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<sst xmlns="http://schemas.openxmlformats.org/spreadsheetml/2006/main" count="26035" uniqueCount="8025">
  <si>
    <t>费款所属期</t>
  </si>
  <si>
    <t>乡镇</t>
  </si>
  <si>
    <t>个人编号</t>
  </si>
  <si>
    <t>身份证号</t>
  </si>
  <si>
    <t>姓名</t>
  </si>
  <si>
    <t>性别</t>
  </si>
  <si>
    <t>民族</t>
  </si>
  <si>
    <t>年龄</t>
  </si>
  <si>
    <t>金额</t>
  </si>
  <si>
    <t>补发金额</t>
  </si>
  <si>
    <t>中央补贴</t>
  </si>
  <si>
    <t>省级补贴</t>
  </si>
  <si>
    <t>市级补贴</t>
  </si>
  <si>
    <t>县级补贴</t>
  </si>
  <si>
    <t>个人账户支出</t>
  </si>
  <si>
    <t>刘凤花</t>
  </si>
  <si>
    <t>女</t>
  </si>
  <si>
    <t>汉族</t>
  </si>
  <si>
    <t>黄桂杰</t>
  </si>
  <si>
    <t>蒙古族</t>
  </si>
  <si>
    <t>张艳花</t>
  </si>
  <si>
    <t>陈翠兰</t>
  </si>
  <si>
    <t>申春兰</t>
  </si>
  <si>
    <t>宝来小</t>
  </si>
  <si>
    <t>王明起</t>
  </si>
  <si>
    <t>男</t>
  </si>
  <si>
    <t>白玉华</t>
  </si>
  <si>
    <t>高景义</t>
  </si>
  <si>
    <t>李瑞学</t>
  </si>
  <si>
    <t>王素华</t>
  </si>
  <si>
    <t>王真林</t>
  </si>
  <si>
    <t>王树</t>
  </si>
  <si>
    <t>田桂玲</t>
  </si>
  <si>
    <t>15232619570318043X</t>
  </si>
  <si>
    <t>孟昭林</t>
  </si>
  <si>
    <t>15232619580301042X</t>
  </si>
  <si>
    <t>刘桂芝</t>
  </si>
  <si>
    <t>张树秀</t>
  </si>
  <si>
    <t>牛井海</t>
  </si>
  <si>
    <t>赵花</t>
  </si>
  <si>
    <t>王秀军</t>
  </si>
  <si>
    <t>徐芝</t>
  </si>
  <si>
    <t>付凤霞</t>
  </si>
  <si>
    <t>郑国军</t>
  </si>
  <si>
    <t>孙彩云</t>
  </si>
  <si>
    <t>15232619580124066X</t>
  </si>
  <si>
    <t>王云方</t>
  </si>
  <si>
    <t>15232619590602041X</t>
  </si>
  <si>
    <t>宋宝忠</t>
  </si>
  <si>
    <t>杜桂芬</t>
  </si>
  <si>
    <t>陈凤兰</t>
  </si>
  <si>
    <t>王凤霞</t>
  </si>
  <si>
    <t>王廷</t>
  </si>
  <si>
    <t>苏贵</t>
  </si>
  <si>
    <t>吴英格</t>
  </si>
  <si>
    <t>金胡荣</t>
  </si>
  <si>
    <t>谭翠娥</t>
  </si>
  <si>
    <t>白常明</t>
  </si>
  <si>
    <t>宝莫德格</t>
  </si>
  <si>
    <t>陈美荣</t>
  </si>
  <si>
    <t>刘凤连</t>
  </si>
  <si>
    <t>吴希日莫</t>
  </si>
  <si>
    <t>王国荣</t>
  </si>
  <si>
    <t>王玉珍</t>
  </si>
  <si>
    <t>岳双喜</t>
  </si>
  <si>
    <t>于秀芝</t>
  </si>
  <si>
    <t>王悦杰</t>
  </si>
  <si>
    <t>15232619600811307X</t>
  </si>
  <si>
    <t>白文忠</t>
  </si>
  <si>
    <t>赵英</t>
  </si>
  <si>
    <t>王国玲</t>
  </si>
  <si>
    <t>张志</t>
  </si>
  <si>
    <t>贾国民</t>
  </si>
  <si>
    <t>周克新</t>
  </si>
  <si>
    <t>王淑云</t>
  </si>
  <si>
    <t>孙根柱</t>
  </si>
  <si>
    <t>席金花</t>
  </si>
  <si>
    <t>张树霞</t>
  </si>
  <si>
    <t>陈国荣</t>
  </si>
  <si>
    <t>梁凤志</t>
  </si>
  <si>
    <t>李秀兰</t>
  </si>
  <si>
    <t>王国花</t>
  </si>
  <si>
    <t>刘祥</t>
  </si>
  <si>
    <t>张文花</t>
  </si>
  <si>
    <t>张喜勤</t>
  </si>
  <si>
    <t>李瑞芝</t>
  </si>
  <si>
    <t>何悦荣</t>
  </si>
  <si>
    <t>张树祥</t>
  </si>
  <si>
    <t>李海彬</t>
  </si>
  <si>
    <t>乔玉柱</t>
  </si>
  <si>
    <t>刘玉金</t>
  </si>
  <si>
    <t>罗纪全</t>
  </si>
  <si>
    <t>刘景武</t>
  </si>
  <si>
    <t>张树友</t>
  </si>
  <si>
    <t>苏玉云</t>
  </si>
  <si>
    <t>辛士忠</t>
  </si>
  <si>
    <t>满族</t>
  </si>
  <si>
    <t>李树英</t>
  </si>
  <si>
    <t>沈玉泉</t>
  </si>
  <si>
    <t>戴常成</t>
  </si>
  <si>
    <t>朱振玲</t>
  </si>
  <si>
    <t>李春祥</t>
  </si>
  <si>
    <t>高桂荣</t>
  </si>
  <si>
    <t>李宁杰沁布</t>
  </si>
  <si>
    <t>郭海德</t>
  </si>
  <si>
    <t>胡秀云</t>
  </si>
  <si>
    <t>丁凤云</t>
  </si>
  <si>
    <t>嵇洪琴</t>
  </si>
  <si>
    <t>15232619451219042X</t>
  </si>
  <si>
    <t>石文芝</t>
  </si>
  <si>
    <t>王国文</t>
  </si>
  <si>
    <t>孙权</t>
  </si>
  <si>
    <t>王连桂</t>
  </si>
  <si>
    <t>袁国志</t>
  </si>
  <si>
    <t>王海</t>
  </si>
  <si>
    <t>王志</t>
  </si>
  <si>
    <t>张桂兰</t>
  </si>
  <si>
    <t>满柱</t>
  </si>
  <si>
    <t>马乌力吉</t>
  </si>
  <si>
    <t>伊呼达古拉</t>
  </si>
  <si>
    <t>厚荣侠</t>
  </si>
  <si>
    <t>吕淑霞</t>
  </si>
  <si>
    <t>杨玉娥</t>
  </si>
  <si>
    <t>王秀花</t>
  </si>
  <si>
    <t>王景文</t>
  </si>
  <si>
    <t>吴孔</t>
  </si>
  <si>
    <t>周玉英</t>
  </si>
  <si>
    <t>江士英</t>
  </si>
  <si>
    <t>杨凤云</t>
  </si>
  <si>
    <t>吕广有</t>
  </si>
  <si>
    <t>王建荣</t>
  </si>
  <si>
    <t>贾桂珍</t>
  </si>
  <si>
    <t>陈福和</t>
  </si>
  <si>
    <t>路彦军</t>
  </si>
  <si>
    <t>张国荣</t>
  </si>
  <si>
    <t>田桂芬</t>
  </si>
  <si>
    <t>马占国</t>
  </si>
  <si>
    <t>江梅</t>
  </si>
  <si>
    <t>辛凤民</t>
  </si>
  <si>
    <t>白海峰</t>
  </si>
  <si>
    <t>董淑花</t>
  </si>
  <si>
    <t>张万祥</t>
  </si>
  <si>
    <t>李大兄</t>
  </si>
  <si>
    <t>宝德</t>
  </si>
  <si>
    <t>赵和林</t>
  </si>
  <si>
    <t>金玉</t>
  </si>
  <si>
    <t>奚云生</t>
  </si>
  <si>
    <t>高凤侠</t>
  </si>
  <si>
    <t>齐振海</t>
  </si>
  <si>
    <t>代宝</t>
  </si>
  <si>
    <t>刘景玉</t>
  </si>
  <si>
    <t>王井花</t>
  </si>
  <si>
    <t>苏廷龙</t>
  </si>
  <si>
    <t>15232619490612066X</t>
  </si>
  <si>
    <t>李素贤</t>
  </si>
  <si>
    <t>吴哈日巴拉</t>
  </si>
  <si>
    <t>陈玉兰</t>
  </si>
  <si>
    <t>韩结籽</t>
  </si>
  <si>
    <t>刘翠侠</t>
  </si>
  <si>
    <t>王桂霞</t>
  </si>
  <si>
    <t>李福</t>
  </si>
  <si>
    <t>杜广秀</t>
  </si>
  <si>
    <t>宝得力根仓</t>
  </si>
  <si>
    <t>吕秀琴</t>
  </si>
  <si>
    <t>宝桑布</t>
  </si>
  <si>
    <t>康进贵</t>
  </si>
  <si>
    <t>王化学</t>
  </si>
  <si>
    <t>张淑梅</t>
  </si>
  <si>
    <t>吕春富</t>
  </si>
  <si>
    <t>邓国生</t>
  </si>
  <si>
    <t>王凤学</t>
  </si>
  <si>
    <t>葛淑华</t>
  </si>
  <si>
    <t>孟宪侠</t>
  </si>
  <si>
    <t>王井荣</t>
  </si>
  <si>
    <t>韩桂兰</t>
  </si>
  <si>
    <t>侯万祥</t>
  </si>
  <si>
    <t>薛广泉</t>
  </si>
  <si>
    <t>陈玉珍</t>
  </si>
  <si>
    <t>15232619601109042X</t>
  </si>
  <si>
    <t>李凤芝</t>
  </si>
  <si>
    <t>刘青华</t>
  </si>
  <si>
    <t>宁志兰</t>
  </si>
  <si>
    <t>马胖小</t>
  </si>
  <si>
    <t>佟彩文</t>
  </si>
  <si>
    <t>胡宝音德力根</t>
  </si>
  <si>
    <t>赵轩</t>
  </si>
  <si>
    <t>郑国义</t>
  </si>
  <si>
    <t>王淑贤</t>
  </si>
  <si>
    <t>丛玉山</t>
  </si>
  <si>
    <t>张财图</t>
  </si>
  <si>
    <t>周振贵</t>
  </si>
  <si>
    <t>李翠英</t>
  </si>
  <si>
    <t>李桂兰</t>
  </si>
  <si>
    <t>陈国琴</t>
  </si>
  <si>
    <t>王秀娥</t>
  </si>
  <si>
    <t>张玉芝</t>
  </si>
  <si>
    <t>宝来呼</t>
  </si>
  <si>
    <t>宝章才图</t>
  </si>
  <si>
    <t>白玉侠</t>
  </si>
  <si>
    <t>罗凤玲</t>
  </si>
  <si>
    <t>腾玉兰</t>
  </si>
  <si>
    <t>崔淑平</t>
  </si>
  <si>
    <t>张国英</t>
  </si>
  <si>
    <t>王树琴</t>
  </si>
  <si>
    <t>颜翠花</t>
  </si>
  <si>
    <t>杜桂珍</t>
  </si>
  <si>
    <t>李秀荣</t>
  </si>
  <si>
    <t>刘凤金</t>
  </si>
  <si>
    <t>陈秉茹</t>
  </si>
  <si>
    <t>刘玉兰</t>
  </si>
  <si>
    <t>贾云</t>
  </si>
  <si>
    <t>王荣</t>
  </si>
  <si>
    <t>李芬</t>
  </si>
  <si>
    <t>杨凤英</t>
  </si>
  <si>
    <t>15232619500909307X</t>
  </si>
  <si>
    <t>王国成</t>
  </si>
  <si>
    <t>程会贤</t>
  </si>
  <si>
    <t>吕淑珍</t>
  </si>
  <si>
    <t>刘富</t>
  </si>
  <si>
    <t>何佰超</t>
  </si>
  <si>
    <t>梁田香</t>
  </si>
  <si>
    <t>苏桂芝</t>
  </si>
  <si>
    <t>宝仓日布</t>
  </si>
  <si>
    <t>刘玉春</t>
  </si>
  <si>
    <t>谭凤云</t>
  </si>
  <si>
    <t>高凤廷</t>
  </si>
  <si>
    <t>张翠苹</t>
  </si>
  <si>
    <t>蔡桂芝</t>
  </si>
  <si>
    <t>马凤英</t>
  </si>
  <si>
    <t>张秀云</t>
  </si>
  <si>
    <t>赵桂枝</t>
  </si>
  <si>
    <t>赵会</t>
  </si>
  <si>
    <t>梁彩侠</t>
  </si>
  <si>
    <t>王淑侠</t>
  </si>
  <si>
    <t>孙桂琴</t>
  </si>
  <si>
    <t>李桂珍</t>
  </si>
  <si>
    <t>赵桂英</t>
  </si>
  <si>
    <t>姚勿力斯其格</t>
  </si>
  <si>
    <t>王淑芬</t>
  </si>
  <si>
    <t>邵玉珍</t>
  </si>
  <si>
    <t>马振祥</t>
  </si>
  <si>
    <t>罗金梅</t>
  </si>
  <si>
    <t>卢凤兰</t>
  </si>
  <si>
    <t>15232619500620044X</t>
  </si>
  <si>
    <t>宋秀娥</t>
  </si>
  <si>
    <t>江会</t>
  </si>
  <si>
    <t>15232619491213067X</t>
  </si>
  <si>
    <t>杨树清</t>
  </si>
  <si>
    <t>季凤兰</t>
  </si>
  <si>
    <t>吴桂枝</t>
  </si>
  <si>
    <t>张相德</t>
  </si>
  <si>
    <t>刘珍</t>
  </si>
  <si>
    <t>魏宝才</t>
  </si>
  <si>
    <t>德力格马</t>
  </si>
  <si>
    <t>梁桂芝</t>
  </si>
  <si>
    <t>温宝山</t>
  </si>
  <si>
    <t>李向琴</t>
  </si>
  <si>
    <t>王秀霞</t>
  </si>
  <si>
    <t>王仪</t>
  </si>
  <si>
    <t>朱秀荣</t>
  </si>
  <si>
    <t>张翠琴</t>
  </si>
  <si>
    <t>齐桂贤</t>
  </si>
  <si>
    <t>高凤花</t>
  </si>
  <si>
    <t>陈凤玲</t>
  </si>
  <si>
    <t>王乌云其木格</t>
  </si>
  <si>
    <t>陈桂芝</t>
  </si>
  <si>
    <t>赵桂琴</t>
  </si>
  <si>
    <t>胡桂琴</t>
  </si>
  <si>
    <t>纪树荣</t>
  </si>
  <si>
    <t>宝散丹</t>
  </si>
  <si>
    <t>赵龙岩</t>
  </si>
  <si>
    <t>张素华</t>
  </si>
  <si>
    <t>席振发</t>
  </si>
  <si>
    <t>窦学英</t>
  </si>
  <si>
    <t>15232619490724041X</t>
  </si>
  <si>
    <t>刘信</t>
  </si>
  <si>
    <t>王化存</t>
  </si>
  <si>
    <t>牛瑞</t>
  </si>
  <si>
    <t>15232619510310381X</t>
  </si>
  <si>
    <t>罗俊祥</t>
  </si>
  <si>
    <t>王翠娥</t>
  </si>
  <si>
    <t>梁淑琴</t>
  </si>
  <si>
    <t>格日勒斯其格</t>
  </si>
  <si>
    <t>宋坤</t>
  </si>
  <si>
    <t>谭桂范</t>
  </si>
  <si>
    <t>王明</t>
  </si>
  <si>
    <t>景占林</t>
  </si>
  <si>
    <t>张勤</t>
  </si>
  <si>
    <t>席凤兰</t>
  </si>
  <si>
    <t>李国琴</t>
  </si>
  <si>
    <t>王景林</t>
  </si>
  <si>
    <t>马春福</t>
  </si>
  <si>
    <t>邢子方</t>
  </si>
  <si>
    <t>毛义很</t>
  </si>
  <si>
    <t>陈春云</t>
  </si>
  <si>
    <t>刘彩霞</t>
  </si>
  <si>
    <t>西林其木格</t>
  </si>
  <si>
    <t>张敖门胡日都</t>
  </si>
  <si>
    <t>贾国珍</t>
  </si>
  <si>
    <t>白华</t>
  </si>
  <si>
    <t>吴振民</t>
  </si>
  <si>
    <t>苏秀苹</t>
  </si>
  <si>
    <t>宋秀敏</t>
  </si>
  <si>
    <t>王秀燕</t>
  </si>
  <si>
    <t>康芬</t>
  </si>
  <si>
    <t>孙玉芬</t>
  </si>
  <si>
    <t>谭桂芝</t>
  </si>
  <si>
    <t>李玉兰</t>
  </si>
  <si>
    <t>15232619600110092X</t>
  </si>
  <si>
    <t>李丫头</t>
  </si>
  <si>
    <t>敖金英</t>
  </si>
  <si>
    <t>席达古拉</t>
  </si>
  <si>
    <t>王玉侠</t>
  </si>
  <si>
    <t>王守有</t>
  </si>
  <si>
    <t>侯金鸽</t>
  </si>
  <si>
    <t>丁桂荣</t>
  </si>
  <si>
    <t>王富</t>
  </si>
  <si>
    <t>姚志</t>
  </si>
  <si>
    <t>刘国玉</t>
  </si>
  <si>
    <t>林桂苹</t>
  </si>
  <si>
    <t>金凤有</t>
  </si>
  <si>
    <t>杜海</t>
  </si>
  <si>
    <t>付崇环</t>
  </si>
  <si>
    <t>董国珍</t>
  </si>
  <si>
    <t>15232619631124067X</t>
  </si>
  <si>
    <t>张永财</t>
  </si>
  <si>
    <t>15232619630711307X</t>
  </si>
  <si>
    <t>王恩</t>
  </si>
  <si>
    <t>罗美荣</t>
  </si>
  <si>
    <t>王桂琴</t>
  </si>
  <si>
    <t>胡兴中</t>
  </si>
  <si>
    <t>潘淑芹</t>
  </si>
  <si>
    <t>李素英</t>
  </si>
  <si>
    <t>崔淑华</t>
  </si>
  <si>
    <t>张贵</t>
  </si>
  <si>
    <t>娄景英</t>
  </si>
  <si>
    <t>15232619561222381X</t>
  </si>
  <si>
    <t>席特木乐</t>
  </si>
  <si>
    <t>李才</t>
  </si>
  <si>
    <t>李玉华</t>
  </si>
  <si>
    <t>王景云</t>
  </si>
  <si>
    <t>太国彬</t>
  </si>
  <si>
    <t>梁格日勒</t>
  </si>
  <si>
    <t>纪海臣</t>
  </si>
  <si>
    <t>15232619600328307X</t>
  </si>
  <si>
    <t>刘凤彬</t>
  </si>
  <si>
    <t>李宝龙</t>
  </si>
  <si>
    <t>15232619550217309X</t>
  </si>
  <si>
    <t>白文江</t>
  </si>
  <si>
    <t>张瑞成</t>
  </si>
  <si>
    <t>包宝金山</t>
  </si>
  <si>
    <t>侯初一</t>
  </si>
  <si>
    <t>丁继城</t>
  </si>
  <si>
    <t>李乌云格日勒</t>
  </si>
  <si>
    <t>王勿恩扎力根</t>
  </si>
  <si>
    <t>郭秀花</t>
  </si>
  <si>
    <t>蔡额尔敦宝力皋</t>
  </si>
  <si>
    <t>范丽英</t>
  </si>
  <si>
    <t>王守礼</t>
  </si>
  <si>
    <t>宋凤花</t>
  </si>
  <si>
    <t>赵同山</t>
  </si>
  <si>
    <t>15232619590203067X</t>
  </si>
  <si>
    <t>唐占友</t>
  </si>
  <si>
    <t>李淑花</t>
  </si>
  <si>
    <t>张桂花</t>
  </si>
  <si>
    <t>15232619561014611X</t>
  </si>
  <si>
    <t>宋喜民</t>
  </si>
  <si>
    <t>孙秀枝</t>
  </si>
  <si>
    <t>蔡高娃</t>
  </si>
  <si>
    <t>徐国侠</t>
  </si>
  <si>
    <t>刘俊霞</t>
  </si>
  <si>
    <t>冯桂芝</t>
  </si>
  <si>
    <t>王亚琴</t>
  </si>
  <si>
    <t>15232619551112066X</t>
  </si>
  <si>
    <t>刘凤英</t>
  </si>
  <si>
    <t>王喜枝</t>
  </si>
  <si>
    <t>姜永海</t>
  </si>
  <si>
    <t>杨淑华</t>
  </si>
  <si>
    <t>崔喜凤</t>
  </si>
  <si>
    <t>杨敏</t>
  </si>
  <si>
    <t>林江</t>
  </si>
  <si>
    <t>陈桂兰</t>
  </si>
  <si>
    <t>丁克芬</t>
  </si>
  <si>
    <t>白素青</t>
  </si>
  <si>
    <t>李彦洁</t>
  </si>
  <si>
    <t>刘淑英</t>
  </si>
  <si>
    <t>韩淑梅</t>
  </si>
  <si>
    <t>杨瑞萍</t>
  </si>
  <si>
    <t>杨瑞红</t>
  </si>
  <si>
    <t>吴士海</t>
  </si>
  <si>
    <t>王桂兰</t>
  </si>
  <si>
    <t>李学忠</t>
  </si>
  <si>
    <t>李淑琴</t>
  </si>
  <si>
    <t>张玉杰</t>
  </si>
  <si>
    <t>李树琴</t>
  </si>
  <si>
    <t>张凤霞</t>
  </si>
  <si>
    <t>周振花</t>
  </si>
  <si>
    <t>南玉平</t>
  </si>
  <si>
    <t>宋秀贤</t>
  </si>
  <si>
    <t>徐秀兰</t>
  </si>
  <si>
    <t>翟凤兰</t>
  </si>
  <si>
    <t>李洪莲</t>
  </si>
  <si>
    <t>刘玉凤</t>
  </si>
  <si>
    <t>蒋彬贵</t>
  </si>
  <si>
    <t>朱占财</t>
  </si>
  <si>
    <t>王丽峰</t>
  </si>
  <si>
    <t>王凤荣</t>
  </si>
  <si>
    <t>李海军</t>
  </si>
  <si>
    <t>葛阳芬</t>
  </si>
  <si>
    <t>刘桂兰</t>
  </si>
  <si>
    <t>张万云</t>
  </si>
  <si>
    <t>崔江</t>
  </si>
  <si>
    <t>韩秀芹</t>
  </si>
  <si>
    <t>李凤琴</t>
  </si>
  <si>
    <t>张翠玲</t>
  </si>
  <si>
    <t>东淑琴</t>
  </si>
  <si>
    <t>刘香珍</t>
  </si>
  <si>
    <t>万景霞</t>
  </si>
  <si>
    <t>邵桂芹</t>
  </si>
  <si>
    <t>韩玉梅</t>
  </si>
  <si>
    <t>徐翠华</t>
  </si>
  <si>
    <t>安振学</t>
  </si>
  <si>
    <t>周淑云</t>
  </si>
  <si>
    <t>张树芳</t>
  </si>
  <si>
    <t>孙景玉</t>
  </si>
  <si>
    <t>崔喜枝</t>
  </si>
  <si>
    <t>孙景和</t>
  </si>
  <si>
    <t>吴秀颜</t>
  </si>
  <si>
    <t>张树财</t>
  </si>
  <si>
    <t>侯桂云</t>
  </si>
  <si>
    <t>张凤阁</t>
  </si>
  <si>
    <t>崔国栋</t>
  </si>
  <si>
    <t>王喜合</t>
  </si>
  <si>
    <t>15232619541030067X</t>
  </si>
  <si>
    <t>孙喜保</t>
  </si>
  <si>
    <t>于化春</t>
  </si>
  <si>
    <t>贾志明</t>
  </si>
  <si>
    <t>张秀贤</t>
  </si>
  <si>
    <t>刘香荣</t>
  </si>
  <si>
    <t>刘丛</t>
  </si>
  <si>
    <t>陈连枝</t>
  </si>
  <si>
    <t>胡桂兰</t>
  </si>
  <si>
    <t>15232619540103041X</t>
  </si>
  <si>
    <t>苏志军</t>
  </si>
  <si>
    <t>梁莲花</t>
  </si>
  <si>
    <t>15232619551105384X</t>
  </si>
  <si>
    <t>马广凤</t>
  </si>
  <si>
    <t>15232619540314308X</t>
  </si>
  <si>
    <t>李月荣</t>
  </si>
  <si>
    <t>15232619560811002X</t>
  </si>
  <si>
    <t>刘亚珍</t>
  </si>
  <si>
    <t>15232619631019005X</t>
  </si>
  <si>
    <t>袁信民</t>
  </si>
  <si>
    <t>刘风平</t>
  </si>
  <si>
    <t>卫守志</t>
  </si>
  <si>
    <t>袁淑坤</t>
  </si>
  <si>
    <t>赵文</t>
  </si>
  <si>
    <t>樊富</t>
  </si>
  <si>
    <t>吴振海</t>
  </si>
  <si>
    <t>李中英</t>
  </si>
  <si>
    <t>15232619621130308X</t>
  </si>
  <si>
    <t>侯国琴</t>
  </si>
  <si>
    <t>张国臣</t>
  </si>
  <si>
    <t>姚奎德</t>
  </si>
  <si>
    <t>15232619550803068X</t>
  </si>
  <si>
    <t>卜庆兰</t>
  </si>
  <si>
    <t>王秀华</t>
  </si>
  <si>
    <t>谢怀福</t>
  </si>
  <si>
    <t>暴桂英</t>
  </si>
  <si>
    <t>吴翠琴</t>
  </si>
  <si>
    <t>王玉荣</t>
  </si>
  <si>
    <t>徐林</t>
  </si>
  <si>
    <t>15232619581113043X</t>
  </si>
  <si>
    <t>朱江</t>
  </si>
  <si>
    <t>李正月</t>
  </si>
  <si>
    <t>王文财</t>
  </si>
  <si>
    <t>赵淑兰</t>
  </si>
  <si>
    <t>程永枝</t>
  </si>
  <si>
    <t>胡永银</t>
  </si>
  <si>
    <t>贾庆有</t>
  </si>
  <si>
    <t>孟庆花</t>
  </si>
  <si>
    <t>宝达喜</t>
  </si>
  <si>
    <t>张淑荣</t>
  </si>
  <si>
    <t>宝勿云其木格</t>
  </si>
  <si>
    <t>15232619490829003X</t>
  </si>
  <si>
    <t>白国民</t>
  </si>
  <si>
    <t>高桂梅</t>
  </si>
  <si>
    <t>15232619630424092X</t>
  </si>
  <si>
    <t>宝章斯来</t>
  </si>
  <si>
    <t>张秀花</t>
  </si>
  <si>
    <t>郭彩琴</t>
  </si>
  <si>
    <t>高桂英</t>
  </si>
  <si>
    <t>谭桂娥</t>
  </si>
  <si>
    <t>杨秀华</t>
  </si>
  <si>
    <t>王怀英</t>
  </si>
  <si>
    <t>丛秀俊</t>
  </si>
  <si>
    <t>朱德芝</t>
  </si>
  <si>
    <t>谭桂荣</t>
  </si>
  <si>
    <t>刘翠花</t>
  </si>
  <si>
    <t>王化琴</t>
  </si>
  <si>
    <t>张永芝</t>
  </si>
  <si>
    <t>刘玉花</t>
  </si>
  <si>
    <t>李世军</t>
  </si>
  <si>
    <t>张永兴</t>
  </si>
  <si>
    <t>刘淑贤</t>
  </si>
  <si>
    <t>马凤琴</t>
  </si>
  <si>
    <t>尹春英</t>
  </si>
  <si>
    <t>金来小</t>
  </si>
  <si>
    <t>宝金花</t>
  </si>
  <si>
    <t>孔桂元</t>
  </si>
  <si>
    <t>胡达古拉</t>
  </si>
  <si>
    <t>张巴达玛</t>
  </si>
  <si>
    <t>王玉科</t>
  </si>
  <si>
    <t>张和</t>
  </si>
  <si>
    <t>张文起</t>
  </si>
  <si>
    <t>苏永富</t>
  </si>
  <si>
    <t>仝占文</t>
  </si>
  <si>
    <t>邵桂珍</t>
  </si>
  <si>
    <t>孙素珍</t>
  </si>
  <si>
    <t>李玉花</t>
  </si>
  <si>
    <t>徐桂芬</t>
  </si>
  <si>
    <t>耿玉财</t>
  </si>
  <si>
    <t>王淑兰</t>
  </si>
  <si>
    <t>15232619470818067X</t>
  </si>
  <si>
    <t>宝特木勒</t>
  </si>
  <si>
    <t>赵桂娥</t>
  </si>
  <si>
    <t>赵新华</t>
  </si>
  <si>
    <t>贾凤珍</t>
  </si>
  <si>
    <t>程会枝</t>
  </si>
  <si>
    <t>岳芝</t>
  </si>
  <si>
    <t>徐秀荣</t>
  </si>
  <si>
    <t>刘廷福</t>
  </si>
  <si>
    <t>尉范林</t>
  </si>
  <si>
    <t>张振荣</t>
  </si>
  <si>
    <t>王金琢</t>
  </si>
  <si>
    <t>15232619481230066X</t>
  </si>
  <si>
    <t>张清</t>
  </si>
  <si>
    <t>李子森</t>
  </si>
  <si>
    <t>丁兰琴</t>
  </si>
  <si>
    <t>李凤珍</t>
  </si>
  <si>
    <t>刘永学</t>
  </si>
  <si>
    <t>高国山</t>
  </si>
  <si>
    <t>白玉珍</t>
  </si>
  <si>
    <t>15232619490405382X</t>
  </si>
  <si>
    <t>吴胖小</t>
  </si>
  <si>
    <t>宋淑贤</t>
  </si>
  <si>
    <t>姜永兰</t>
  </si>
  <si>
    <t>张克琴</t>
  </si>
  <si>
    <t>席布哈朝老</t>
  </si>
  <si>
    <t>15232619591023041X</t>
  </si>
  <si>
    <t>史柏森</t>
  </si>
  <si>
    <t>吴桂兰</t>
  </si>
  <si>
    <t>高那顺巴图</t>
  </si>
  <si>
    <t>周香春</t>
  </si>
  <si>
    <t>包达其其格</t>
  </si>
  <si>
    <t>包哈斯朝鲁</t>
  </si>
  <si>
    <t>15232619410301066X</t>
  </si>
  <si>
    <t>鲁玉花</t>
  </si>
  <si>
    <t>王清</t>
  </si>
  <si>
    <t>杨秀荣</t>
  </si>
  <si>
    <t>杜艳玲</t>
  </si>
  <si>
    <t>王秀英</t>
  </si>
  <si>
    <t>程秀华</t>
  </si>
  <si>
    <t>王桂贤</t>
  </si>
  <si>
    <t>刘国军</t>
  </si>
  <si>
    <t>刘义英</t>
  </si>
  <si>
    <t>宝毛义很</t>
  </si>
  <si>
    <t>韩成</t>
  </si>
  <si>
    <t>刘凤枝</t>
  </si>
  <si>
    <t>刘翠香</t>
  </si>
  <si>
    <t>15232619281213309X</t>
  </si>
  <si>
    <t>吴拉拉</t>
  </si>
  <si>
    <t>高化琴</t>
  </si>
  <si>
    <t>许淑珍</t>
  </si>
  <si>
    <t>龚勤布</t>
  </si>
  <si>
    <t>王会</t>
  </si>
  <si>
    <t>朱六树</t>
  </si>
  <si>
    <t>白老丫头</t>
  </si>
  <si>
    <t>席明</t>
  </si>
  <si>
    <t>15232619450327092X</t>
  </si>
  <si>
    <t>于江玉</t>
  </si>
  <si>
    <t>魏素珍</t>
  </si>
  <si>
    <t>王翠兰</t>
  </si>
  <si>
    <t>轩子富</t>
  </si>
  <si>
    <t>沈凤勤</t>
  </si>
  <si>
    <t>陈绍英</t>
  </si>
  <si>
    <t>石兰</t>
  </si>
  <si>
    <t>张玉凤</t>
  </si>
  <si>
    <t>钟跃兰</t>
  </si>
  <si>
    <t>岳凤英</t>
  </si>
  <si>
    <t>贺景龙</t>
  </si>
  <si>
    <t>赵国良</t>
  </si>
  <si>
    <t>韩秀花</t>
  </si>
  <si>
    <t>闫德怀</t>
  </si>
  <si>
    <t>15232619620820382X</t>
  </si>
  <si>
    <t>刘满良</t>
  </si>
  <si>
    <t>吴台</t>
  </si>
  <si>
    <t>安素梅</t>
  </si>
  <si>
    <t>15232619460505067X</t>
  </si>
  <si>
    <t>刘国林</t>
  </si>
  <si>
    <t>柳淑霞</t>
  </si>
  <si>
    <t>侯财音必力格</t>
  </si>
  <si>
    <t>于凤英</t>
  </si>
  <si>
    <t>陈景海</t>
  </si>
  <si>
    <t>任玉芝</t>
  </si>
  <si>
    <t>梁桂兰</t>
  </si>
  <si>
    <t>张淑</t>
  </si>
  <si>
    <t>高发</t>
  </si>
  <si>
    <t>席乌力吉</t>
  </si>
  <si>
    <t>李根晓</t>
  </si>
  <si>
    <t>李桂芳</t>
  </si>
  <si>
    <t>赵淑莉</t>
  </si>
  <si>
    <t>王玉琴</t>
  </si>
  <si>
    <t>范振娥</t>
  </si>
  <si>
    <t>孙洪荣</t>
  </si>
  <si>
    <t>15232619600210069X</t>
  </si>
  <si>
    <t>刘财</t>
  </si>
  <si>
    <t>15232619570222308X</t>
  </si>
  <si>
    <t>赵福枝</t>
  </si>
  <si>
    <t>刘桂芬</t>
  </si>
  <si>
    <t>马桂君</t>
  </si>
  <si>
    <t>石文学</t>
  </si>
  <si>
    <t>勾素芹</t>
  </si>
  <si>
    <t>王玉</t>
  </si>
  <si>
    <t>崔福</t>
  </si>
  <si>
    <t>王永清</t>
  </si>
  <si>
    <t>15232619620510384X</t>
  </si>
  <si>
    <t>姜宪芝</t>
  </si>
  <si>
    <t>程润</t>
  </si>
  <si>
    <t>王若兰</t>
  </si>
  <si>
    <t>刘云彬</t>
  </si>
  <si>
    <t>刘占信</t>
  </si>
  <si>
    <t>刘忠</t>
  </si>
  <si>
    <t>黄云</t>
  </si>
  <si>
    <t>于永和</t>
  </si>
  <si>
    <t>许文花</t>
  </si>
  <si>
    <t>盛志英</t>
  </si>
  <si>
    <t>15232619570421382X</t>
  </si>
  <si>
    <t>侯桂珍</t>
  </si>
  <si>
    <t>甄云</t>
  </si>
  <si>
    <t>陈海</t>
  </si>
  <si>
    <t>李志学</t>
  </si>
  <si>
    <t>韩明</t>
  </si>
  <si>
    <t>张凤芝</t>
  </si>
  <si>
    <t>窦桂枝</t>
  </si>
  <si>
    <t>15232619520125307X</t>
  </si>
  <si>
    <t>刘义忠</t>
  </si>
  <si>
    <t>15232619580623308X</t>
  </si>
  <si>
    <t>岳淑艳</t>
  </si>
  <si>
    <t>韩英歌</t>
  </si>
  <si>
    <t>15232619521025068X</t>
  </si>
  <si>
    <t>丁桂花</t>
  </si>
  <si>
    <t>田林华</t>
  </si>
  <si>
    <t>姜桂芝</t>
  </si>
  <si>
    <t>张学花</t>
  </si>
  <si>
    <t>郭凤兰</t>
  </si>
  <si>
    <t>孟显英</t>
  </si>
  <si>
    <t>杨满琢</t>
  </si>
  <si>
    <t>钟桂英</t>
  </si>
  <si>
    <t>张洪芳</t>
  </si>
  <si>
    <t>程永军</t>
  </si>
  <si>
    <t>康玉廷</t>
  </si>
  <si>
    <t>王常明</t>
  </si>
  <si>
    <t>梁巴图白音</t>
  </si>
  <si>
    <t>郝振东</t>
  </si>
  <si>
    <t>吴桂芹</t>
  </si>
  <si>
    <t>张风德</t>
  </si>
  <si>
    <t>王玉峰</t>
  </si>
  <si>
    <t>宝领作</t>
  </si>
  <si>
    <t>宝巴图</t>
  </si>
  <si>
    <t>岳景锋</t>
  </si>
  <si>
    <t>许森</t>
  </si>
  <si>
    <t>张有</t>
  </si>
  <si>
    <t>孙凤娥</t>
  </si>
  <si>
    <t>王悦</t>
  </si>
  <si>
    <t>周广文</t>
  </si>
  <si>
    <t>陈桂荣</t>
  </si>
  <si>
    <t>李国明</t>
  </si>
  <si>
    <t>苏永山</t>
  </si>
  <si>
    <t>殷树学</t>
  </si>
  <si>
    <t>李占军</t>
  </si>
  <si>
    <t>刘玉珍</t>
  </si>
  <si>
    <t>于春琴</t>
  </si>
  <si>
    <t>郭振和</t>
  </si>
  <si>
    <t>曹凤荣</t>
  </si>
  <si>
    <t>孟广云</t>
  </si>
  <si>
    <t>15232619551008066X</t>
  </si>
  <si>
    <t>周玉霞</t>
  </si>
  <si>
    <t>李淑荣</t>
  </si>
  <si>
    <t>张固胜</t>
  </si>
  <si>
    <t>王良</t>
  </si>
  <si>
    <t>张玉学</t>
  </si>
  <si>
    <t>15232619570425041X</t>
  </si>
  <si>
    <t>张福民</t>
  </si>
  <si>
    <t>孙继祥</t>
  </si>
  <si>
    <t>15232619530108041X</t>
  </si>
  <si>
    <t>刘振甫</t>
  </si>
  <si>
    <t>15232619540330041X</t>
  </si>
  <si>
    <t>魏民</t>
  </si>
  <si>
    <t>侯树芳</t>
  </si>
  <si>
    <t>李淑英</t>
  </si>
  <si>
    <t>苏志青</t>
  </si>
  <si>
    <t>栾树军</t>
  </si>
  <si>
    <t>郑学凤</t>
  </si>
  <si>
    <t>吕芳</t>
  </si>
  <si>
    <t>范有</t>
  </si>
  <si>
    <t>马秀花</t>
  </si>
  <si>
    <t>张素芝</t>
  </si>
  <si>
    <t>徐爱民</t>
  </si>
  <si>
    <t>青龙</t>
  </si>
  <si>
    <t>白秀英</t>
  </si>
  <si>
    <t>石花</t>
  </si>
  <si>
    <t>吴伊民阿布拉</t>
  </si>
  <si>
    <t>吕华</t>
  </si>
  <si>
    <t>杨秀平</t>
  </si>
  <si>
    <t>王凤芝</t>
  </si>
  <si>
    <t>李贺庭</t>
  </si>
  <si>
    <t>杜凤明</t>
  </si>
  <si>
    <t>张玉花</t>
  </si>
  <si>
    <t>杨春发</t>
  </si>
  <si>
    <t>张晋芹</t>
  </si>
  <si>
    <t>程有义</t>
  </si>
  <si>
    <t>王玉柱</t>
  </si>
  <si>
    <t>桑玉苹</t>
  </si>
  <si>
    <t>李向春</t>
  </si>
  <si>
    <t>石兆兰</t>
  </si>
  <si>
    <t>韩秀云</t>
  </si>
  <si>
    <t>左桂贤</t>
  </si>
  <si>
    <t>孙亚芹</t>
  </si>
  <si>
    <t>15232619540130381X</t>
  </si>
  <si>
    <t>丰奎</t>
  </si>
  <si>
    <t>15232619621011042X</t>
  </si>
  <si>
    <t>武玉芬</t>
  </si>
  <si>
    <t>刘素贤</t>
  </si>
  <si>
    <t>胡桂英</t>
  </si>
  <si>
    <t>田振英</t>
  </si>
  <si>
    <t>徐爱国</t>
  </si>
  <si>
    <t>常万庆</t>
  </si>
  <si>
    <t>徐桂芹</t>
  </si>
  <si>
    <t>李桂琴</t>
  </si>
  <si>
    <t>白领小</t>
  </si>
  <si>
    <t>王凤兰</t>
  </si>
  <si>
    <t>于连芳</t>
  </si>
  <si>
    <t>张忠</t>
  </si>
  <si>
    <t>郭凤珍</t>
  </si>
  <si>
    <t>任国花</t>
  </si>
  <si>
    <t>潘太金</t>
  </si>
  <si>
    <t>甄勤</t>
  </si>
  <si>
    <t>15232619630327006X</t>
  </si>
  <si>
    <t>李华</t>
  </si>
  <si>
    <t>白永春</t>
  </si>
  <si>
    <t>李目珍</t>
  </si>
  <si>
    <t>15232619620904041X</t>
  </si>
  <si>
    <t>王国青</t>
  </si>
  <si>
    <t>15232619630914008X</t>
  </si>
  <si>
    <t>赵春华</t>
  </si>
  <si>
    <t>郭国占</t>
  </si>
  <si>
    <t>王贵</t>
  </si>
  <si>
    <t>李贵军</t>
  </si>
  <si>
    <t>赵铁宝</t>
  </si>
  <si>
    <t>邵朋芳</t>
  </si>
  <si>
    <t>邹德文</t>
  </si>
  <si>
    <t>贺云</t>
  </si>
  <si>
    <t>宋景富</t>
  </si>
  <si>
    <t>林志海</t>
  </si>
  <si>
    <t>徐淑芝</t>
  </si>
  <si>
    <t>张春芝</t>
  </si>
  <si>
    <t>张玉芹</t>
  </si>
  <si>
    <t>张翠荣</t>
  </si>
  <si>
    <t>崔秀荣</t>
  </si>
  <si>
    <t>曹淑芬</t>
  </si>
  <si>
    <t>于成林</t>
  </si>
  <si>
    <t>崔国清</t>
  </si>
  <si>
    <t>贾志芬</t>
  </si>
  <si>
    <t>程友义</t>
  </si>
  <si>
    <t>邓国林</t>
  </si>
  <si>
    <t>张井生</t>
  </si>
  <si>
    <t>勾凤芝</t>
  </si>
  <si>
    <t>韩达古拉</t>
  </si>
  <si>
    <t>宝罗梅</t>
  </si>
  <si>
    <t>陈格力格玛</t>
  </si>
  <si>
    <t>15232619520228381X</t>
  </si>
  <si>
    <t>张振清</t>
  </si>
  <si>
    <t>贺景玉</t>
  </si>
  <si>
    <t>宋山</t>
  </si>
  <si>
    <t>侯布和巴拉</t>
  </si>
  <si>
    <t>15232619530228334X</t>
  </si>
  <si>
    <t>李彩凤</t>
  </si>
  <si>
    <t>王守海</t>
  </si>
  <si>
    <t>卢海英</t>
  </si>
  <si>
    <t>鲍月梅</t>
  </si>
  <si>
    <t>葛福林</t>
  </si>
  <si>
    <t>邵玉芹</t>
  </si>
  <si>
    <t>15232619521116381X</t>
  </si>
  <si>
    <t>崔喜臣</t>
  </si>
  <si>
    <t>张树英</t>
  </si>
  <si>
    <t>朱凤兰</t>
  </si>
  <si>
    <t>李洪福</t>
  </si>
  <si>
    <t>宝水晶</t>
  </si>
  <si>
    <t>董春</t>
  </si>
  <si>
    <t>高乌仁其木格</t>
  </si>
  <si>
    <t>吴青彩</t>
  </si>
  <si>
    <t>李国华</t>
  </si>
  <si>
    <t>陈桂云</t>
  </si>
  <si>
    <t>王彩风</t>
  </si>
  <si>
    <t>王桂芬</t>
  </si>
  <si>
    <t>苏秀芹</t>
  </si>
  <si>
    <t>15232619570321066X</t>
  </si>
  <si>
    <t>冯翠芝</t>
  </si>
  <si>
    <t>邹德花</t>
  </si>
  <si>
    <t>王学会</t>
  </si>
  <si>
    <t>丛桂芹</t>
  </si>
  <si>
    <t>王凤珍</t>
  </si>
  <si>
    <t>安学彬</t>
  </si>
  <si>
    <t>腾亚德</t>
  </si>
  <si>
    <t>刘玉</t>
  </si>
  <si>
    <t>王振廷</t>
  </si>
  <si>
    <t>王志文</t>
  </si>
  <si>
    <t>邵玉明</t>
  </si>
  <si>
    <t>王华</t>
  </si>
  <si>
    <t>李凤英</t>
  </si>
  <si>
    <t>宝模德格</t>
  </si>
  <si>
    <t>王景军</t>
  </si>
  <si>
    <t>潘淑英</t>
  </si>
  <si>
    <t>王凤祥</t>
  </si>
  <si>
    <t>杜怀英</t>
  </si>
  <si>
    <t>金月荣</t>
  </si>
  <si>
    <t>李凤华</t>
  </si>
  <si>
    <t>马翠香</t>
  </si>
  <si>
    <t>白云合</t>
  </si>
  <si>
    <t>张国才</t>
  </si>
  <si>
    <t>张玉新</t>
  </si>
  <si>
    <t>赵丙志</t>
  </si>
  <si>
    <t>王景玲</t>
  </si>
  <si>
    <t>马宝玉</t>
  </si>
  <si>
    <t>张秀侠</t>
  </si>
  <si>
    <t>王丽珍</t>
  </si>
  <si>
    <t>徐德</t>
  </si>
  <si>
    <t>15232619570106331X</t>
  </si>
  <si>
    <t>徐志</t>
  </si>
  <si>
    <t>郭向辉</t>
  </si>
  <si>
    <t>陈富</t>
  </si>
  <si>
    <t>陈井琴</t>
  </si>
  <si>
    <t>孙彦富</t>
  </si>
  <si>
    <t>于水环</t>
  </si>
  <si>
    <t>轩凤侠</t>
  </si>
  <si>
    <t>轩继明</t>
  </si>
  <si>
    <t>15232619521220066X</t>
  </si>
  <si>
    <t>曲桂芝</t>
  </si>
  <si>
    <t>张喜</t>
  </si>
  <si>
    <t>方久彬</t>
  </si>
  <si>
    <t>王丛</t>
  </si>
  <si>
    <t>王银</t>
  </si>
  <si>
    <t>吴玉清</t>
  </si>
  <si>
    <t>刘英翠</t>
  </si>
  <si>
    <t>苏中学</t>
  </si>
  <si>
    <t>孙喜武</t>
  </si>
  <si>
    <t>陈永珍</t>
  </si>
  <si>
    <t>代玉凤</t>
  </si>
  <si>
    <t>贾凤明</t>
  </si>
  <si>
    <t>陈翠枝</t>
  </si>
  <si>
    <t>陈勿日嘎</t>
  </si>
  <si>
    <t>宝梅荣</t>
  </si>
  <si>
    <t>李国财</t>
  </si>
  <si>
    <t>杜国学</t>
  </si>
  <si>
    <t>张俭</t>
  </si>
  <si>
    <t>包娜仁其木格</t>
  </si>
  <si>
    <t>陈财音必力格</t>
  </si>
  <si>
    <t>韩丫头</t>
  </si>
  <si>
    <t>李额尔敦其木格</t>
  </si>
  <si>
    <t>吴秀琴</t>
  </si>
  <si>
    <t>谭桂花</t>
  </si>
  <si>
    <t>白江</t>
  </si>
  <si>
    <t>刘俊全</t>
  </si>
  <si>
    <t>15232619571113066X</t>
  </si>
  <si>
    <t>李桂侠</t>
  </si>
  <si>
    <t>周玉琴</t>
  </si>
  <si>
    <t>石桂兰</t>
  </si>
  <si>
    <t>董文成</t>
  </si>
  <si>
    <t>孙秀平</t>
  </si>
  <si>
    <t>杨桂霞</t>
  </si>
  <si>
    <t>刘玉枝</t>
  </si>
  <si>
    <t>王玉芹</t>
  </si>
  <si>
    <t>15232619610312069X</t>
  </si>
  <si>
    <t>赵志</t>
  </si>
  <si>
    <t>周玉军</t>
  </si>
  <si>
    <t>常明</t>
  </si>
  <si>
    <t>张俊峰</t>
  </si>
  <si>
    <t>景占国</t>
  </si>
  <si>
    <t>吴玉香</t>
  </si>
  <si>
    <t>张凤珍</t>
  </si>
  <si>
    <t>杨玉荣</t>
  </si>
  <si>
    <t>勿仁其木格</t>
  </si>
  <si>
    <t>许云梅</t>
  </si>
  <si>
    <t>于海成</t>
  </si>
  <si>
    <t>张振贤</t>
  </si>
  <si>
    <t>孟宪忠</t>
  </si>
  <si>
    <t>尹庆华</t>
  </si>
  <si>
    <t>张喜阳</t>
  </si>
  <si>
    <t>陈秀英</t>
  </si>
  <si>
    <t>15232619620824332X</t>
  </si>
  <si>
    <t>王翠霞</t>
  </si>
  <si>
    <t>15232619621006331X</t>
  </si>
  <si>
    <t>王守坤</t>
  </si>
  <si>
    <t>王守山</t>
  </si>
  <si>
    <t>张玉芬</t>
  </si>
  <si>
    <t>王丽凤</t>
  </si>
  <si>
    <t>张桂侠</t>
  </si>
  <si>
    <t>赵素芝</t>
  </si>
  <si>
    <t>15232619581013042X</t>
  </si>
  <si>
    <t>朱淑青</t>
  </si>
  <si>
    <t>15232619560403041X</t>
  </si>
  <si>
    <t>丁克丛</t>
  </si>
  <si>
    <t>李向前</t>
  </si>
  <si>
    <t>王树华</t>
  </si>
  <si>
    <t>侯淑芳</t>
  </si>
  <si>
    <t>庞霞</t>
  </si>
  <si>
    <t>刘丽</t>
  </si>
  <si>
    <t>丁付</t>
  </si>
  <si>
    <t>刘玉琴</t>
  </si>
  <si>
    <t>鲁巴根那</t>
  </si>
  <si>
    <t>马志</t>
  </si>
  <si>
    <t>白铁桩</t>
  </si>
  <si>
    <t>李世敏</t>
  </si>
  <si>
    <t>15232619590228336X</t>
  </si>
  <si>
    <t>谭翠花</t>
  </si>
  <si>
    <t>李凤霞</t>
  </si>
  <si>
    <t>15232619440319638X</t>
  </si>
  <si>
    <t>接凤英</t>
  </si>
  <si>
    <t>李春芝</t>
  </si>
  <si>
    <t>刘桂芳</t>
  </si>
  <si>
    <t>张凤兰</t>
  </si>
  <si>
    <t>邵国琴</t>
  </si>
  <si>
    <t>张凤琴</t>
  </si>
  <si>
    <t>单秀英</t>
  </si>
  <si>
    <t>金铁柱</t>
  </si>
  <si>
    <t>邓淑贤</t>
  </si>
  <si>
    <t>郭玉兰</t>
  </si>
  <si>
    <t>丁紫兰</t>
  </si>
  <si>
    <t>石秀英</t>
  </si>
  <si>
    <t>王桂云</t>
  </si>
  <si>
    <t>任秀兰</t>
  </si>
  <si>
    <t>张慧</t>
  </si>
  <si>
    <t>刘忠玉</t>
  </si>
  <si>
    <t>侯乌日那</t>
  </si>
  <si>
    <t>张秀和</t>
  </si>
  <si>
    <t>赵桂学</t>
  </si>
  <si>
    <t>代云</t>
  </si>
  <si>
    <t>董凤兰</t>
  </si>
  <si>
    <t>张玉英</t>
  </si>
  <si>
    <t>宝海成</t>
  </si>
  <si>
    <t>赵玉兰</t>
  </si>
  <si>
    <t>孟广兰</t>
  </si>
  <si>
    <t>李艳玲</t>
  </si>
  <si>
    <t>15232619620129612X</t>
  </si>
  <si>
    <t>田国平</t>
  </si>
  <si>
    <t>冯彩莲</t>
  </si>
  <si>
    <t>梁胜</t>
  </si>
  <si>
    <t>15232619580909381X</t>
  </si>
  <si>
    <t>孙宝和</t>
  </si>
  <si>
    <t>田桂云</t>
  </si>
  <si>
    <t>郑秉俊</t>
  </si>
  <si>
    <t>席勿力吉</t>
  </si>
  <si>
    <t>李显花</t>
  </si>
  <si>
    <t>席跟小</t>
  </si>
  <si>
    <t>刘井义</t>
  </si>
  <si>
    <t>刘淑芹</t>
  </si>
  <si>
    <t>钱玉春</t>
  </si>
  <si>
    <t>王爱军</t>
  </si>
  <si>
    <t>王会平</t>
  </si>
  <si>
    <t>王金和</t>
  </si>
  <si>
    <t>王金枝</t>
  </si>
  <si>
    <t>王显珍</t>
  </si>
  <si>
    <t>陈福祥</t>
  </si>
  <si>
    <t>胡振荣</t>
  </si>
  <si>
    <t>席爱军</t>
  </si>
  <si>
    <t>轩继洪</t>
  </si>
  <si>
    <t>周玉富</t>
  </si>
  <si>
    <t>贺翠英</t>
  </si>
  <si>
    <t>胡元学</t>
  </si>
  <si>
    <t>刘桂荣</t>
  </si>
  <si>
    <t>单彩春</t>
  </si>
  <si>
    <t>王玉玲</t>
  </si>
  <si>
    <t>15232619630428309X</t>
  </si>
  <si>
    <t>王云和</t>
  </si>
  <si>
    <t>张海山</t>
  </si>
  <si>
    <t>齐振荣</t>
  </si>
  <si>
    <t>宝淑花</t>
  </si>
  <si>
    <t>吴宝明</t>
  </si>
  <si>
    <t>郭振春</t>
  </si>
  <si>
    <t>陈瑞兰</t>
  </si>
  <si>
    <t>程秀敏</t>
  </si>
  <si>
    <t>张席仁其木格</t>
  </si>
  <si>
    <t>路占香</t>
  </si>
  <si>
    <t>张宝山</t>
  </si>
  <si>
    <t>谢福荣</t>
  </si>
  <si>
    <t>王庆文</t>
  </si>
  <si>
    <t>包财音乌力吉</t>
  </si>
  <si>
    <t>王学强</t>
  </si>
  <si>
    <t>宗素华</t>
  </si>
  <si>
    <t>王桂侠</t>
  </si>
  <si>
    <t>戈福枝</t>
  </si>
  <si>
    <t>宋桂芬</t>
  </si>
  <si>
    <t>15052519630404004X</t>
  </si>
  <si>
    <t>冯国芹</t>
  </si>
  <si>
    <t>张玉荣</t>
  </si>
  <si>
    <t>15232619590404002X</t>
  </si>
  <si>
    <t>孙玉霞</t>
  </si>
  <si>
    <t>吴凤荣</t>
  </si>
  <si>
    <t>王永民</t>
  </si>
  <si>
    <t>15232619600229042X</t>
  </si>
  <si>
    <t>高凤英</t>
  </si>
  <si>
    <t>盛志贤</t>
  </si>
  <si>
    <t>15232619631212067X</t>
  </si>
  <si>
    <t>申德起</t>
  </si>
  <si>
    <t>董广和</t>
  </si>
  <si>
    <t>胡满小</t>
  </si>
  <si>
    <t>武淑芹</t>
  </si>
  <si>
    <t>包宝山</t>
  </si>
  <si>
    <t>吴哈斯其其格</t>
  </si>
  <si>
    <t>白雅图</t>
  </si>
  <si>
    <t>李席玛</t>
  </si>
  <si>
    <t>王作杰</t>
  </si>
  <si>
    <t>包一中</t>
  </si>
  <si>
    <t>杨凤环</t>
  </si>
  <si>
    <t>张永山</t>
  </si>
  <si>
    <t>胡广清</t>
  </si>
  <si>
    <t>15232619610319092X</t>
  </si>
  <si>
    <t>席阿力坦其木格</t>
  </si>
  <si>
    <t>吴伯亲</t>
  </si>
  <si>
    <t>敖德吉都</t>
  </si>
  <si>
    <t>姚春范</t>
  </si>
  <si>
    <t>王才</t>
  </si>
  <si>
    <t>赵福生</t>
  </si>
  <si>
    <t>敖凤英</t>
  </si>
  <si>
    <t>孙勋良</t>
  </si>
  <si>
    <t>15232619600727383X</t>
  </si>
  <si>
    <t>高芹</t>
  </si>
  <si>
    <t>张海瑞</t>
  </si>
  <si>
    <t>吴巴图温都苏</t>
  </si>
  <si>
    <t>张凤江</t>
  </si>
  <si>
    <t>15232619630710005X</t>
  </si>
  <si>
    <t>张作昌</t>
  </si>
  <si>
    <t>沈玉福</t>
  </si>
  <si>
    <t>齐占林</t>
  </si>
  <si>
    <t>白金梅</t>
  </si>
  <si>
    <t>付纪增</t>
  </si>
  <si>
    <t>吴梅英</t>
  </si>
  <si>
    <t>王福贵</t>
  </si>
  <si>
    <t>张瑞霞</t>
  </si>
  <si>
    <t>15232619601128331X</t>
  </si>
  <si>
    <t>王云华</t>
  </si>
  <si>
    <t>卢宝良</t>
  </si>
  <si>
    <t>张秀芝</t>
  </si>
  <si>
    <t>东艳华</t>
  </si>
  <si>
    <t>赵珍</t>
  </si>
  <si>
    <t>张全</t>
  </si>
  <si>
    <t>李皋春</t>
  </si>
  <si>
    <t>宝阿力旦格日勒</t>
  </si>
  <si>
    <t>邵国彬</t>
  </si>
  <si>
    <t>张海龙</t>
  </si>
  <si>
    <t>崔玉侠</t>
  </si>
  <si>
    <t>张振琴</t>
  </si>
  <si>
    <t>柳贵霞</t>
  </si>
  <si>
    <t>格日勒</t>
  </si>
  <si>
    <t>阿布日拉</t>
  </si>
  <si>
    <t>梁白玉</t>
  </si>
  <si>
    <t>马其其格</t>
  </si>
  <si>
    <t>李树山</t>
  </si>
  <si>
    <t>15232619631016066X</t>
  </si>
  <si>
    <t>穆秀琴</t>
  </si>
  <si>
    <t>15232619630926383X</t>
  </si>
  <si>
    <t>李金庄</t>
  </si>
  <si>
    <t>张凤双</t>
  </si>
  <si>
    <t>辛牡兰</t>
  </si>
  <si>
    <t>15232619630404382X</t>
  </si>
  <si>
    <t>李色布力玛</t>
  </si>
  <si>
    <t>15232619630113067X</t>
  </si>
  <si>
    <t>刘玉林</t>
  </si>
  <si>
    <t>王素芝</t>
  </si>
  <si>
    <t>徐秀环</t>
  </si>
  <si>
    <t>代军荣</t>
  </si>
  <si>
    <t>韩财</t>
  </si>
  <si>
    <t>胡天仓</t>
  </si>
  <si>
    <t>康铁山</t>
  </si>
  <si>
    <t>栾素云</t>
  </si>
  <si>
    <t>张子龙</t>
  </si>
  <si>
    <t>白车吉加卜</t>
  </si>
  <si>
    <t>杨彬</t>
  </si>
  <si>
    <t>牛学玉</t>
  </si>
  <si>
    <t>纪凤彬</t>
  </si>
  <si>
    <t>马树华</t>
  </si>
  <si>
    <t>吴明</t>
  </si>
  <si>
    <t>康富</t>
  </si>
  <si>
    <t>于显军</t>
  </si>
  <si>
    <t>韩桂芝</t>
  </si>
  <si>
    <t>岳景和</t>
  </si>
  <si>
    <t>李桂洁</t>
  </si>
  <si>
    <t>15232619610327041X</t>
  </si>
  <si>
    <t>于文平</t>
  </si>
  <si>
    <t>贾秀珍</t>
  </si>
  <si>
    <t>张玉连</t>
  </si>
  <si>
    <t>周玉荣</t>
  </si>
  <si>
    <t>代东学</t>
  </si>
  <si>
    <t>刘国新</t>
  </si>
  <si>
    <t>邵永琴</t>
  </si>
  <si>
    <t>穆广清</t>
  </si>
  <si>
    <t>王艳华</t>
  </si>
  <si>
    <t>宋淑珍</t>
  </si>
  <si>
    <t>隋玉祥</t>
  </si>
  <si>
    <t>15232619590602068X</t>
  </si>
  <si>
    <t>吴桂芬</t>
  </si>
  <si>
    <t>15232619590924067X</t>
  </si>
  <si>
    <t>孙杰</t>
  </si>
  <si>
    <t>15232619591123042X</t>
  </si>
  <si>
    <t>罗素芝</t>
  </si>
  <si>
    <t>杜怀琴</t>
  </si>
  <si>
    <t>宝玉良</t>
  </si>
  <si>
    <t>吕振民</t>
  </si>
  <si>
    <t>朱桂芬</t>
  </si>
  <si>
    <t>陈玉枝</t>
  </si>
  <si>
    <t>梁布和</t>
  </si>
  <si>
    <t>陈玉</t>
  </si>
  <si>
    <t>王江</t>
  </si>
  <si>
    <t>刘玉芹</t>
  </si>
  <si>
    <t>谭桂芹</t>
  </si>
  <si>
    <t>梁彩芹</t>
  </si>
  <si>
    <t>张喜华</t>
  </si>
  <si>
    <t>孙淑花</t>
  </si>
  <si>
    <t>时继友</t>
  </si>
  <si>
    <t>陈秀琢</t>
  </si>
  <si>
    <t>黄桂友</t>
  </si>
  <si>
    <t>隋利荣</t>
  </si>
  <si>
    <t>刘琢</t>
  </si>
  <si>
    <t>李素珍</t>
  </si>
  <si>
    <t>李天荣</t>
  </si>
  <si>
    <t>刘学</t>
  </si>
  <si>
    <t>徐淑荣</t>
  </si>
  <si>
    <t>王国珍</t>
  </si>
  <si>
    <t>梁淑奎</t>
  </si>
  <si>
    <t>刘国文</t>
  </si>
  <si>
    <t>肖占友</t>
  </si>
  <si>
    <t>勾凤芹</t>
  </si>
  <si>
    <t>王志全</t>
  </si>
  <si>
    <t>15232619620920041X</t>
  </si>
  <si>
    <t>王永海</t>
  </si>
  <si>
    <t>15232619621214042X</t>
  </si>
  <si>
    <t>刘桂霞</t>
  </si>
  <si>
    <t>梁显和</t>
  </si>
  <si>
    <t>潘占财</t>
  </si>
  <si>
    <t>石兆琴</t>
  </si>
  <si>
    <t>张相国</t>
  </si>
  <si>
    <t>陈子中</t>
  </si>
  <si>
    <t>王建文</t>
  </si>
  <si>
    <t>穆永坤</t>
  </si>
  <si>
    <t>桑树枝</t>
  </si>
  <si>
    <t>李宝音德力根</t>
  </si>
  <si>
    <t>梁田花</t>
  </si>
  <si>
    <t>张结子</t>
  </si>
  <si>
    <t>刘广林</t>
  </si>
  <si>
    <t>刘明和</t>
  </si>
  <si>
    <t>王作军</t>
  </si>
  <si>
    <t>吕淑苹</t>
  </si>
  <si>
    <t>刘玉侠</t>
  </si>
  <si>
    <t>朱振芬</t>
  </si>
  <si>
    <t>左海林</t>
  </si>
  <si>
    <t>牛井福</t>
  </si>
  <si>
    <t>朱永平</t>
  </si>
  <si>
    <t>张树文</t>
  </si>
  <si>
    <t>路丕杰</t>
  </si>
  <si>
    <t>陈秀兰</t>
  </si>
  <si>
    <t>李玉枝</t>
  </si>
  <si>
    <t>张吉华</t>
  </si>
  <si>
    <t>卢海瑞</t>
  </si>
  <si>
    <t>王道珍</t>
  </si>
  <si>
    <t>张瑞娟</t>
  </si>
  <si>
    <t>崔国霞</t>
  </si>
  <si>
    <t>王秀珍</t>
  </si>
  <si>
    <t>胡建华</t>
  </si>
  <si>
    <t>邓玉花</t>
  </si>
  <si>
    <t>徐国军</t>
  </si>
  <si>
    <t>孙秀英</t>
  </si>
  <si>
    <t>席金梁</t>
  </si>
  <si>
    <t>梁芝琴</t>
  </si>
  <si>
    <t>图雅</t>
  </si>
  <si>
    <t>陈春玲</t>
  </si>
  <si>
    <t>柏永贵</t>
  </si>
  <si>
    <t>贾芬</t>
  </si>
  <si>
    <t>姚淑才</t>
  </si>
  <si>
    <t>刘占义</t>
  </si>
  <si>
    <t>赵发</t>
  </si>
  <si>
    <t>王凤春</t>
  </si>
  <si>
    <t>唐秀珍</t>
  </si>
  <si>
    <t>郑桂英</t>
  </si>
  <si>
    <t>15232619510224002X</t>
  </si>
  <si>
    <t>侯桂芝</t>
  </si>
  <si>
    <t>岳瑞莲</t>
  </si>
  <si>
    <t>15232619481111307X</t>
  </si>
  <si>
    <t>孙志祥</t>
  </si>
  <si>
    <t>席白音仓</t>
  </si>
  <si>
    <t>李国兴</t>
  </si>
  <si>
    <t>公素艳</t>
  </si>
  <si>
    <t>15232619480826001X</t>
  </si>
  <si>
    <t>李树阁</t>
  </si>
  <si>
    <t>黄万霞</t>
  </si>
  <si>
    <t>马凤苓</t>
  </si>
  <si>
    <t>赵国苓</t>
  </si>
  <si>
    <t>周振兰</t>
  </si>
  <si>
    <t>田振国</t>
  </si>
  <si>
    <t>朱翠琴</t>
  </si>
  <si>
    <t>朱宝江</t>
  </si>
  <si>
    <t>朱凤芹</t>
  </si>
  <si>
    <t>崔占军</t>
  </si>
  <si>
    <t>吕广侠</t>
  </si>
  <si>
    <t>牛景瑞</t>
  </si>
  <si>
    <t>刘福常</t>
  </si>
  <si>
    <t>王悦娥</t>
  </si>
  <si>
    <t>赵玉玲</t>
  </si>
  <si>
    <t>田振兰</t>
  </si>
  <si>
    <t>郑勇</t>
  </si>
  <si>
    <t>杭查干巴拉</t>
  </si>
  <si>
    <t>田桂琢</t>
  </si>
  <si>
    <t>李云龙</t>
  </si>
  <si>
    <t>尤桂贤</t>
  </si>
  <si>
    <t>陈福有</t>
  </si>
  <si>
    <t>刘桂珍</t>
  </si>
  <si>
    <t>申玉</t>
  </si>
  <si>
    <t>高来小</t>
  </si>
  <si>
    <t>王金荣</t>
  </si>
  <si>
    <t>吴仁亲</t>
  </si>
  <si>
    <t>冯翠兰</t>
  </si>
  <si>
    <t>马桂荣</t>
  </si>
  <si>
    <t>高胡达固拉</t>
  </si>
  <si>
    <t>盖明花</t>
  </si>
  <si>
    <t>王振</t>
  </si>
  <si>
    <t>东桂兰</t>
  </si>
  <si>
    <t>彭秀荣</t>
  </si>
  <si>
    <t>15232619480127331X</t>
  </si>
  <si>
    <t>顾景勤</t>
  </si>
  <si>
    <t>王发</t>
  </si>
  <si>
    <t>王国琴</t>
  </si>
  <si>
    <t>刘敏杰</t>
  </si>
  <si>
    <t>辛占贵</t>
  </si>
  <si>
    <t>张占春</t>
  </si>
  <si>
    <t>董玉英</t>
  </si>
  <si>
    <t>高文珍</t>
  </si>
  <si>
    <t>15232619481206066X</t>
  </si>
  <si>
    <t>王翠英</t>
  </si>
  <si>
    <t>王作仪</t>
  </si>
  <si>
    <t>刘景花</t>
  </si>
  <si>
    <t>王云凤</t>
  </si>
  <si>
    <t>曹凤兰</t>
  </si>
  <si>
    <t>张玉兰</t>
  </si>
  <si>
    <t>郭秀芝</t>
  </si>
  <si>
    <t>应占文</t>
  </si>
  <si>
    <t>15232619500104381X</t>
  </si>
  <si>
    <t>王凤江</t>
  </si>
  <si>
    <t>刘少华</t>
  </si>
  <si>
    <t>庞德</t>
  </si>
  <si>
    <t>15232619470105067X</t>
  </si>
  <si>
    <t>张振富</t>
  </si>
  <si>
    <t>邢树贵</t>
  </si>
  <si>
    <t>张月芬</t>
  </si>
  <si>
    <t>李金英</t>
  </si>
  <si>
    <t>佟银花</t>
  </si>
  <si>
    <t>宝阿力玛</t>
  </si>
  <si>
    <t>赵桂荣</t>
  </si>
  <si>
    <t>宝柱</t>
  </si>
  <si>
    <t>王玉杰</t>
  </si>
  <si>
    <t>吴桂英</t>
  </si>
  <si>
    <t>崔广忠</t>
  </si>
  <si>
    <t>袁玉珍</t>
  </si>
  <si>
    <t>杨国树</t>
  </si>
  <si>
    <t>盛志娥</t>
  </si>
  <si>
    <t>包桂花</t>
  </si>
  <si>
    <t>韩巴达玛其其格</t>
  </si>
  <si>
    <t>赵玉侠</t>
  </si>
  <si>
    <t>宋桂琴</t>
  </si>
  <si>
    <t>陶瑞芳</t>
  </si>
  <si>
    <t>高凤华</t>
  </si>
  <si>
    <t>辛华勤</t>
  </si>
  <si>
    <t>辛桂荣</t>
  </si>
  <si>
    <t>15232619480918002X</t>
  </si>
  <si>
    <t>李翠花</t>
  </si>
  <si>
    <t>董翠霞</t>
  </si>
  <si>
    <t>李淑华</t>
  </si>
  <si>
    <t>白腊月</t>
  </si>
  <si>
    <t>刘仪</t>
  </si>
  <si>
    <t>何桂芝</t>
  </si>
  <si>
    <t>候拉苏荣扎布</t>
  </si>
  <si>
    <t>宝孟根宝力高</t>
  </si>
  <si>
    <t>15232619510813042X</t>
  </si>
  <si>
    <t>戚秀花</t>
  </si>
  <si>
    <t>刘凤珍</t>
  </si>
  <si>
    <t>卫芝民</t>
  </si>
  <si>
    <t>郎秀珍</t>
  </si>
  <si>
    <t>何翠芝</t>
  </si>
  <si>
    <t>齐跃祥</t>
  </si>
  <si>
    <t>林志琴</t>
  </si>
  <si>
    <t>于翠花</t>
  </si>
  <si>
    <t>李桂芹</t>
  </si>
  <si>
    <t>15232619480710041X</t>
  </si>
  <si>
    <t>朱云山</t>
  </si>
  <si>
    <t>王景昌</t>
  </si>
  <si>
    <t>金花</t>
  </si>
  <si>
    <t>代哈达</t>
  </si>
  <si>
    <t>朱佩荣</t>
  </si>
  <si>
    <t>赵桂兰</t>
  </si>
  <si>
    <t>15232619480215382X</t>
  </si>
  <si>
    <t>白桂兰</t>
  </si>
  <si>
    <t>李金美</t>
  </si>
  <si>
    <t>15232619340907002X</t>
  </si>
  <si>
    <t>赵桂平</t>
  </si>
  <si>
    <t>郑秀荣</t>
  </si>
  <si>
    <t>张树荣</t>
  </si>
  <si>
    <t>杨春</t>
  </si>
  <si>
    <t>何阿力塔呼</t>
  </si>
  <si>
    <t>王永兰</t>
  </si>
  <si>
    <t>张树勤</t>
  </si>
  <si>
    <t>冯国明</t>
  </si>
  <si>
    <t>张志学</t>
  </si>
  <si>
    <t>梁桂珍</t>
  </si>
  <si>
    <t>徐国民</t>
  </si>
  <si>
    <t>张桂林</t>
  </si>
  <si>
    <t>孟广侠</t>
  </si>
  <si>
    <t>15232619530926044X</t>
  </si>
  <si>
    <t>胡雅琴</t>
  </si>
  <si>
    <t>李学军</t>
  </si>
  <si>
    <t>王来喜</t>
  </si>
  <si>
    <t>席乌云花</t>
  </si>
  <si>
    <t>刘国民</t>
  </si>
  <si>
    <t>周富</t>
  </si>
  <si>
    <t>赵树臣</t>
  </si>
  <si>
    <t>辛秀花</t>
  </si>
  <si>
    <t>郑国荣</t>
  </si>
  <si>
    <t>15232619440202042X</t>
  </si>
  <si>
    <t>邓玉英</t>
  </si>
  <si>
    <t>陈桂花</t>
  </si>
  <si>
    <t>15232619501004382X</t>
  </si>
  <si>
    <t>武殿有</t>
  </si>
  <si>
    <t>付景荣</t>
  </si>
  <si>
    <t>15232619400303308X</t>
  </si>
  <si>
    <t>许广和</t>
  </si>
  <si>
    <t>王云树</t>
  </si>
  <si>
    <t>孙宝霞</t>
  </si>
  <si>
    <t>毛凤兰</t>
  </si>
  <si>
    <t>张海清</t>
  </si>
  <si>
    <t>于和</t>
  </si>
  <si>
    <t>李凤荣</t>
  </si>
  <si>
    <t>李国志</t>
  </si>
  <si>
    <t>王兴柱</t>
  </si>
  <si>
    <t>李皋喜</t>
  </si>
  <si>
    <t>梁水兰</t>
  </si>
  <si>
    <t>范玉德</t>
  </si>
  <si>
    <t>陈玉荣</t>
  </si>
  <si>
    <t>郑桂枝</t>
  </si>
  <si>
    <t>代籽</t>
  </si>
  <si>
    <t>宝桂玲</t>
  </si>
  <si>
    <t>海林</t>
  </si>
  <si>
    <t>李瑞贤</t>
  </si>
  <si>
    <t>刘香芹</t>
  </si>
  <si>
    <t>时登文</t>
  </si>
  <si>
    <t>赵秀莲</t>
  </si>
  <si>
    <t>谭国祥</t>
  </si>
  <si>
    <t>罗玉芬</t>
  </si>
  <si>
    <t>孙尔得</t>
  </si>
  <si>
    <t>郝景玉</t>
  </si>
  <si>
    <t>刘春阳</t>
  </si>
  <si>
    <t>王桂香</t>
  </si>
  <si>
    <t>戴海玉</t>
  </si>
  <si>
    <t>时登科</t>
  </si>
  <si>
    <t>15232619391204067X</t>
  </si>
  <si>
    <t>姚国庆</t>
  </si>
  <si>
    <t>侯富</t>
  </si>
  <si>
    <t>明干白音</t>
  </si>
  <si>
    <t>季步群</t>
  </si>
  <si>
    <t>付竟佘</t>
  </si>
  <si>
    <t>梁常福</t>
  </si>
  <si>
    <t>赵国芳</t>
  </si>
  <si>
    <t>赵国元</t>
  </si>
  <si>
    <t>孟兆玲</t>
  </si>
  <si>
    <t>姚淑文</t>
  </si>
  <si>
    <t>银花</t>
  </si>
  <si>
    <t>张吉林台</t>
  </si>
  <si>
    <t>冯素芹</t>
  </si>
  <si>
    <t>石兆喜</t>
  </si>
  <si>
    <t>郑秀琴</t>
  </si>
  <si>
    <t>穆秀清</t>
  </si>
  <si>
    <t>崔淑花</t>
  </si>
  <si>
    <t>15232619620326042X</t>
  </si>
  <si>
    <t>李悦兰</t>
  </si>
  <si>
    <t>赵永莲</t>
  </si>
  <si>
    <t>周广廷</t>
  </si>
  <si>
    <t>15232619580503066X</t>
  </si>
  <si>
    <t>孙梅燕</t>
  </si>
  <si>
    <t>周振有</t>
  </si>
  <si>
    <t>刘军</t>
  </si>
  <si>
    <t>刘彩荣</t>
  </si>
  <si>
    <t>15232619570313381X</t>
  </si>
  <si>
    <t>于海林</t>
  </si>
  <si>
    <t>刘民</t>
  </si>
  <si>
    <t>李长军</t>
  </si>
  <si>
    <t>马那德那</t>
  </si>
  <si>
    <t>马哈斯</t>
  </si>
  <si>
    <t>隋丽侠</t>
  </si>
  <si>
    <t>腾文军</t>
  </si>
  <si>
    <t>赵国荣</t>
  </si>
  <si>
    <t>张桂珍</t>
  </si>
  <si>
    <t>15232619640215067X</t>
  </si>
  <si>
    <t>范玉芬</t>
  </si>
  <si>
    <t>舒立军</t>
  </si>
  <si>
    <t>王喜春</t>
  </si>
  <si>
    <t>杨艳华</t>
  </si>
  <si>
    <t>宋青</t>
  </si>
  <si>
    <t>杨玉霞</t>
  </si>
  <si>
    <t>袁君</t>
  </si>
  <si>
    <t>盖明富</t>
  </si>
  <si>
    <t>白玉荣</t>
  </si>
  <si>
    <t>程凤歧</t>
  </si>
  <si>
    <t>张永杰</t>
  </si>
  <si>
    <t>来小</t>
  </si>
  <si>
    <t>赵哈斯巴塔</t>
  </si>
  <si>
    <t>辛双喜</t>
  </si>
  <si>
    <t>席银梅</t>
  </si>
  <si>
    <t>单广金</t>
  </si>
  <si>
    <t>高振昌</t>
  </si>
  <si>
    <t>程凤明</t>
  </si>
  <si>
    <t>吕会</t>
  </si>
  <si>
    <t>15232619550906067X</t>
  </si>
  <si>
    <t>申富</t>
  </si>
  <si>
    <t>勾淑兰</t>
  </si>
  <si>
    <t>李国富</t>
  </si>
  <si>
    <t>吴凤</t>
  </si>
  <si>
    <t>吕海军</t>
  </si>
  <si>
    <t>毛凤贤</t>
  </si>
  <si>
    <t>姜显富</t>
  </si>
  <si>
    <t>丁玉芹</t>
  </si>
  <si>
    <t>纪凤海</t>
  </si>
  <si>
    <t>王守忠</t>
  </si>
  <si>
    <t>15232619550308331X</t>
  </si>
  <si>
    <t>刘永</t>
  </si>
  <si>
    <t>15232619540302091X</t>
  </si>
  <si>
    <t>吴财音扎力根</t>
  </si>
  <si>
    <t>宝桂英</t>
  </si>
  <si>
    <t>刘秀云</t>
  </si>
  <si>
    <t>王树贵</t>
  </si>
  <si>
    <t>宝音阿力布其嘎</t>
  </si>
  <si>
    <t>15232619561103307X</t>
  </si>
  <si>
    <t>吴布合阿力塔</t>
  </si>
  <si>
    <t>吴秀兰</t>
  </si>
  <si>
    <t>宋向阳</t>
  </si>
  <si>
    <t>高海龙</t>
  </si>
  <si>
    <t>15232619551220307X</t>
  </si>
  <si>
    <t>宝班斯拉其</t>
  </si>
  <si>
    <t>王国枝</t>
  </si>
  <si>
    <t>孙翠枝</t>
  </si>
  <si>
    <t>王振山</t>
  </si>
  <si>
    <t>吉彩霞</t>
  </si>
  <si>
    <t>于水荣</t>
  </si>
  <si>
    <t>刘汉春</t>
  </si>
  <si>
    <t>王怀芬</t>
  </si>
  <si>
    <t>15232619601013067X</t>
  </si>
  <si>
    <t>陈忠</t>
  </si>
  <si>
    <t>15232619561130612X</t>
  </si>
  <si>
    <t>李凤芹</t>
  </si>
  <si>
    <t>杜怀春</t>
  </si>
  <si>
    <t>德力根玛</t>
  </si>
  <si>
    <t>庞玉环</t>
  </si>
  <si>
    <t>王作花</t>
  </si>
  <si>
    <t>王井云</t>
  </si>
  <si>
    <t>15232619540623637X</t>
  </si>
  <si>
    <t>郑亚秋</t>
  </si>
  <si>
    <t>杨玉英</t>
  </si>
  <si>
    <t>张淑琴</t>
  </si>
  <si>
    <t>王作丰</t>
  </si>
  <si>
    <t>苏玉环</t>
  </si>
  <si>
    <t>孙凤兰</t>
  </si>
  <si>
    <t>刘淑荣</t>
  </si>
  <si>
    <t>刘翠琴</t>
  </si>
  <si>
    <t>刘勇</t>
  </si>
  <si>
    <t>张月平</t>
  </si>
  <si>
    <t>席振和</t>
  </si>
  <si>
    <t>刘桂云</t>
  </si>
  <si>
    <t>丁克军</t>
  </si>
  <si>
    <t>邵秀英</t>
  </si>
  <si>
    <t>孟召军</t>
  </si>
  <si>
    <t>杨金英</t>
  </si>
  <si>
    <t>李贵</t>
  </si>
  <si>
    <t>田桂霞</t>
  </si>
  <si>
    <t>宋月娥</t>
  </si>
  <si>
    <t>谢怀德</t>
  </si>
  <si>
    <t>周玉环</t>
  </si>
  <si>
    <t>王素芬</t>
  </si>
  <si>
    <t>孙贵森</t>
  </si>
  <si>
    <t>张庆余</t>
  </si>
  <si>
    <t>闫凤学</t>
  </si>
  <si>
    <t>岳凤霞</t>
  </si>
  <si>
    <t>娄艳琴</t>
  </si>
  <si>
    <t>寇国芝</t>
  </si>
  <si>
    <t>耿士彬</t>
  </si>
  <si>
    <t>15232619610311381X</t>
  </si>
  <si>
    <t>梁铁旦</t>
  </si>
  <si>
    <t>闫增奇</t>
  </si>
  <si>
    <t>文凤芹</t>
  </si>
  <si>
    <t>赵松树</t>
  </si>
  <si>
    <t>张万存</t>
  </si>
  <si>
    <t>韦秀义</t>
  </si>
  <si>
    <t>15232619520903041X</t>
  </si>
  <si>
    <t>时纪臣</t>
  </si>
  <si>
    <t>杨玉花</t>
  </si>
  <si>
    <t>马国森</t>
  </si>
  <si>
    <t>杨玉玲</t>
  </si>
  <si>
    <t>罗俊岐</t>
  </si>
  <si>
    <t>张国林</t>
  </si>
  <si>
    <t>齐桂荣</t>
  </si>
  <si>
    <t>雷玉山</t>
  </si>
  <si>
    <t>姜凤芝</t>
  </si>
  <si>
    <t>石文俊</t>
  </si>
  <si>
    <t>于桂梅</t>
  </si>
  <si>
    <t>林凤华</t>
  </si>
  <si>
    <t>15232619591116002X</t>
  </si>
  <si>
    <t>杨彩梅</t>
  </si>
  <si>
    <t>郎素萍</t>
  </si>
  <si>
    <t>郝振杰</t>
  </si>
  <si>
    <t>15232619551016381X</t>
  </si>
  <si>
    <t>马宝贵</t>
  </si>
  <si>
    <t>郑德国</t>
  </si>
  <si>
    <t>许敏琴</t>
  </si>
  <si>
    <t>王生财</t>
  </si>
  <si>
    <t>刘树丛</t>
  </si>
  <si>
    <t>宋桂兰</t>
  </si>
  <si>
    <t>谷益海</t>
  </si>
  <si>
    <t>勾凤起</t>
  </si>
  <si>
    <t>张云龙</t>
  </si>
  <si>
    <t>于志学</t>
  </si>
  <si>
    <t>孟庆峰</t>
  </si>
  <si>
    <t>姜秀荣</t>
  </si>
  <si>
    <t>15232619570126308X</t>
  </si>
  <si>
    <t>高化芳</t>
  </si>
  <si>
    <t>贾洪宇</t>
  </si>
  <si>
    <t>郝凤珍</t>
  </si>
  <si>
    <t>王占华</t>
  </si>
  <si>
    <t>卢凤枝</t>
  </si>
  <si>
    <t>李艳芝</t>
  </si>
  <si>
    <t>孙有金</t>
  </si>
  <si>
    <t>满仓</t>
  </si>
  <si>
    <t>孙秀梅</t>
  </si>
  <si>
    <t>15232619570824069X</t>
  </si>
  <si>
    <t>张玉财</t>
  </si>
  <si>
    <t>刁志国</t>
  </si>
  <si>
    <t>刘桂琴</t>
  </si>
  <si>
    <t>周汉有</t>
  </si>
  <si>
    <t>张悦树</t>
  </si>
  <si>
    <t>范景英</t>
  </si>
  <si>
    <t>李志</t>
  </si>
  <si>
    <t>张玉坤</t>
  </si>
  <si>
    <t>张振玲</t>
  </si>
  <si>
    <t>冯国英</t>
  </si>
  <si>
    <t>杜运堂</t>
  </si>
  <si>
    <t>代东青</t>
  </si>
  <si>
    <t>白玉山</t>
  </si>
  <si>
    <t>李淑兰</t>
  </si>
  <si>
    <t>石秀珍</t>
  </si>
  <si>
    <t>田淑杰</t>
  </si>
  <si>
    <t>张继学</t>
  </si>
  <si>
    <t>田永富</t>
  </si>
  <si>
    <t>谭清霞</t>
  </si>
  <si>
    <t>孙桂兰</t>
  </si>
  <si>
    <t>李士俊</t>
  </si>
  <si>
    <t>李凤</t>
  </si>
  <si>
    <t>戴桂芝</t>
  </si>
  <si>
    <t>王翠平</t>
  </si>
  <si>
    <t>史桂芳</t>
  </si>
  <si>
    <t>苏桂琴</t>
  </si>
  <si>
    <t>齐义兰</t>
  </si>
  <si>
    <t>刘淑芬</t>
  </si>
  <si>
    <t>安素玲</t>
  </si>
  <si>
    <t>吴宝力高</t>
  </si>
  <si>
    <t>刘广瑞</t>
  </si>
  <si>
    <t>杜凤枝</t>
  </si>
  <si>
    <t>尹秀荣</t>
  </si>
  <si>
    <t>牟景阳</t>
  </si>
  <si>
    <t>徐占臣</t>
  </si>
  <si>
    <t>吴哈日义很</t>
  </si>
  <si>
    <t>李龙梅</t>
  </si>
  <si>
    <t>苏贵荣</t>
  </si>
  <si>
    <t>陈国清</t>
  </si>
  <si>
    <t>贾秀芝</t>
  </si>
  <si>
    <t>刘风兰</t>
  </si>
  <si>
    <t>宋子财</t>
  </si>
  <si>
    <t>杜淑霞</t>
  </si>
  <si>
    <t>徐凤琴</t>
  </si>
  <si>
    <t>闫守仪</t>
  </si>
  <si>
    <t>厚化贵</t>
  </si>
  <si>
    <t>郑亚华</t>
  </si>
  <si>
    <t>陈玉丰</t>
  </si>
  <si>
    <t>15232619491113381X</t>
  </si>
  <si>
    <t>赵新文</t>
  </si>
  <si>
    <t>15232619511217066X</t>
  </si>
  <si>
    <t>赵苹</t>
  </si>
  <si>
    <t>王有才</t>
  </si>
  <si>
    <t>付彩云</t>
  </si>
  <si>
    <t>韩福</t>
  </si>
  <si>
    <t>韩桂云</t>
  </si>
  <si>
    <t>张振学</t>
  </si>
  <si>
    <t>邵永富</t>
  </si>
  <si>
    <t>孙宝云</t>
  </si>
  <si>
    <t>15232619480716638X</t>
  </si>
  <si>
    <t>王素花</t>
  </si>
  <si>
    <t>南国彬</t>
  </si>
  <si>
    <t>于香玖</t>
  </si>
  <si>
    <t>15232619480908066X</t>
  </si>
  <si>
    <t>陈荣</t>
  </si>
  <si>
    <t>张秀兰</t>
  </si>
  <si>
    <t>侯国林</t>
  </si>
  <si>
    <t>15232619470213041X</t>
  </si>
  <si>
    <t>李占奎</t>
  </si>
  <si>
    <t>厚福存</t>
  </si>
  <si>
    <t>张凤花</t>
  </si>
  <si>
    <t>任凤海</t>
  </si>
  <si>
    <t>15232619630504041X</t>
  </si>
  <si>
    <t>丁克强</t>
  </si>
  <si>
    <t>刘玉芬</t>
  </si>
  <si>
    <t>宝九月</t>
  </si>
  <si>
    <t>金永富</t>
  </si>
  <si>
    <t>吕占花</t>
  </si>
  <si>
    <t>姜翠芝</t>
  </si>
  <si>
    <t>15232619451111066X</t>
  </si>
  <si>
    <t>胡明干白音</t>
  </si>
  <si>
    <t>马根小</t>
  </si>
  <si>
    <t>刘玉英</t>
  </si>
  <si>
    <t>15232619340112066X</t>
  </si>
  <si>
    <t>蔡桂珍</t>
  </si>
  <si>
    <t>冬艳琴</t>
  </si>
  <si>
    <t>郝彩珍</t>
  </si>
  <si>
    <t>席君</t>
  </si>
  <si>
    <t>胡额林嘎</t>
  </si>
  <si>
    <t>辛占民</t>
  </si>
  <si>
    <t>岳国志</t>
  </si>
  <si>
    <t>岳增格</t>
  </si>
  <si>
    <t>张彬</t>
  </si>
  <si>
    <t>刘凤琴</t>
  </si>
  <si>
    <t>银秀英</t>
  </si>
  <si>
    <t>杨秀芹</t>
  </si>
  <si>
    <t>15232619381125381X</t>
  </si>
  <si>
    <t>葛忠乃</t>
  </si>
  <si>
    <t>崔国富</t>
  </si>
  <si>
    <t>15232619470926041X</t>
  </si>
  <si>
    <t>李贵春</t>
  </si>
  <si>
    <t>申成</t>
  </si>
  <si>
    <t>胡高苍呼</t>
  </si>
  <si>
    <t>胡本斯勒</t>
  </si>
  <si>
    <t>15232619430329066X</t>
  </si>
  <si>
    <t>许翠娥</t>
  </si>
  <si>
    <t>陈秀枝</t>
  </si>
  <si>
    <t>白贺丽</t>
  </si>
  <si>
    <t>15232619510613307X</t>
  </si>
  <si>
    <t>席文祥</t>
  </si>
  <si>
    <t>李振学</t>
  </si>
  <si>
    <t>池德有</t>
  </si>
  <si>
    <t>15232619470818091X</t>
  </si>
  <si>
    <t>姚阿力坦宝力高</t>
  </si>
  <si>
    <t>宝通力嘎</t>
  </si>
  <si>
    <t>梁散木嘎</t>
  </si>
  <si>
    <t>杨占英</t>
  </si>
  <si>
    <t>郝文山</t>
  </si>
  <si>
    <t>厚荣林</t>
  </si>
  <si>
    <t>吴布和巴塔</t>
  </si>
  <si>
    <t>宝万梅花</t>
  </si>
  <si>
    <t>杨树江</t>
  </si>
  <si>
    <t>李宝珍</t>
  </si>
  <si>
    <t>刘玉华</t>
  </si>
  <si>
    <t>吕孟丛</t>
  </si>
  <si>
    <t>15232619470807042X</t>
  </si>
  <si>
    <t>陈根小</t>
  </si>
  <si>
    <t>宋占军</t>
  </si>
  <si>
    <t>时淑云</t>
  </si>
  <si>
    <t>孙凤荣</t>
  </si>
  <si>
    <t>姜素兰</t>
  </si>
  <si>
    <t>15232619521228041X</t>
  </si>
  <si>
    <t>王国权</t>
  </si>
  <si>
    <t>孙桂臣</t>
  </si>
  <si>
    <t>田秀芝</t>
  </si>
  <si>
    <t>曹兴春</t>
  </si>
  <si>
    <t>于桂兰</t>
  </si>
  <si>
    <t>罗建平</t>
  </si>
  <si>
    <t>15232619580201762X</t>
  </si>
  <si>
    <t>金格</t>
  </si>
  <si>
    <t>张春彦</t>
  </si>
  <si>
    <t>邓桂英</t>
  </si>
  <si>
    <t>宝万喜</t>
  </si>
  <si>
    <t>王桂平</t>
  </si>
  <si>
    <t>15232619550320066X</t>
  </si>
  <si>
    <t>唐秀芬</t>
  </si>
  <si>
    <t>宋桂枝</t>
  </si>
  <si>
    <t>王玉华</t>
  </si>
  <si>
    <t>15232619550427066X</t>
  </si>
  <si>
    <t>陈国兰</t>
  </si>
  <si>
    <t>张俊祥</t>
  </si>
  <si>
    <t>白素梅</t>
  </si>
  <si>
    <t>王振贵</t>
  </si>
  <si>
    <t>15232619601027004X</t>
  </si>
  <si>
    <t>姚凤兰</t>
  </si>
  <si>
    <t>15232619621012002X</t>
  </si>
  <si>
    <t>15232619580718067X</t>
  </si>
  <si>
    <t>李树芳</t>
  </si>
  <si>
    <t>程强</t>
  </si>
  <si>
    <t>王喜玲</t>
  </si>
  <si>
    <t>杨月新</t>
  </si>
  <si>
    <t>郑淑琴</t>
  </si>
  <si>
    <t>周平</t>
  </si>
  <si>
    <t>王喜军</t>
  </si>
  <si>
    <t>盛俭学</t>
  </si>
  <si>
    <t>苏桂兰</t>
  </si>
  <si>
    <t>杨满祥</t>
  </si>
  <si>
    <t>吕春强</t>
  </si>
  <si>
    <t>高风有</t>
  </si>
  <si>
    <t>15232619550323638X</t>
  </si>
  <si>
    <t>王子学</t>
  </si>
  <si>
    <t>牛海山</t>
  </si>
  <si>
    <t>于国琴</t>
  </si>
  <si>
    <t>陈琢</t>
  </si>
  <si>
    <t>黄淑英</t>
  </si>
  <si>
    <t>刘悦珍</t>
  </si>
  <si>
    <t>李秀梅</t>
  </si>
  <si>
    <t>丁继河</t>
  </si>
  <si>
    <t>李玉琴</t>
  </si>
  <si>
    <t>王淑花</t>
  </si>
  <si>
    <t>金月芹</t>
  </si>
  <si>
    <t>刘翠玲</t>
  </si>
  <si>
    <t>张君</t>
  </si>
  <si>
    <t>王凤琴</t>
  </si>
  <si>
    <t>岳桂枝</t>
  </si>
  <si>
    <t>牟井兰</t>
  </si>
  <si>
    <t>路占财</t>
  </si>
  <si>
    <t>徐国芬</t>
  </si>
  <si>
    <t>金殿林</t>
  </si>
  <si>
    <t>李月亮</t>
  </si>
  <si>
    <t>佟秀花</t>
  </si>
  <si>
    <t>姚庆花</t>
  </si>
  <si>
    <t>吴巴达玛仁钦</t>
  </si>
  <si>
    <t>陈国忠</t>
  </si>
  <si>
    <t>王桂珍</t>
  </si>
  <si>
    <t>岳桂霞</t>
  </si>
  <si>
    <t>杨瑞连</t>
  </si>
  <si>
    <t>齐亚珍</t>
  </si>
  <si>
    <t>高振和</t>
  </si>
  <si>
    <t>郑文平</t>
  </si>
  <si>
    <t>刘应权</t>
  </si>
  <si>
    <t>黄士敏</t>
  </si>
  <si>
    <t>泰满小</t>
  </si>
  <si>
    <t>王桂英</t>
  </si>
  <si>
    <t>王素兰</t>
  </si>
  <si>
    <t>申彩苓</t>
  </si>
  <si>
    <t>韩国军</t>
  </si>
  <si>
    <t>王和</t>
  </si>
  <si>
    <t>张国军</t>
  </si>
  <si>
    <t>唐永霞</t>
  </si>
  <si>
    <t>张翠芝</t>
  </si>
  <si>
    <t>杜树甫</t>
  </si>
  <si>
    <t>15232619520129041X</t>
  </si>
  <si>
    <t>刘玉学</t>
  </si>
  <si>
    <t>15232619560910334X</t>
  </si>
  <si>
    <t>孙秀荣</t>
  </si>
  <si>
    <t>高凤霞</t>
  </si>
  <si>
    <t>吕占英</t>
  </si>
  <si>
    <t>15232619550125041X</t>
  </si>
  <si>
    <t>张相龙</t>
  </si>
  <si>
    <t>贾春花</t>
  </si>
  <si>
    <t>高永淑</t>
  </si>
  <si>
    <t>胡玉兰</t>
  </si>
  <si>
    <t>赵军</t>
  </si>
  <si>
    <t>王景忠</t>
  </si>
  <si>
    <t>刘恩明</t>
  </si>
  <si>
    <t>宋悦华</t>
  </si>
  <si>
    <t>徐秀芝</t>
  </si>
  <si>
    <t>15232619570903066X</t>
  </si>
  <si>
    <t>石兆枝</t>
  </si>
  <si>
    <t>宋国斌</t>
  </si>
  <si>
    <t>罗翠洁</t>
  </si>
  <si>
    <t>王翠枝</t>
  </si>
  <si>
    <t>高娃</t>
  </si>
  <si>
    <t>王树则</t>
  </si>
  <si>
    <t>孙淑兰</t>
  </si>
  <si>
    <t>崔国志</t>
  </si>
  <si>
    <t>王维清</t>
  </si>
  <si>
    <t>周凤芝</t>
  </si>
  <si>
    <t>李振良</t>
  </si>
  <si>
    <t>张瑞英</t>
  </si>
  <si>
    <t>李江</t>
  </si>
  <si>
    <t>吕海芝</t>
  </si>
  <si>
    <t>刘生</t>
  </si>
  <si>
    <t>柳贵</t>
  </si>
  <si>
    <t>伶义</t>
  </si>
  <si>
    <t>马秀芹</t>
  </si>
  <si>
    <t>张桂梅</t>
  </si>
  <si>
    <t>王桂芹</t>
  </si>
  <si>
    <t>张爱启</t>
  </si>
  <si>
    <t>王秀荣</t>
  </si>
  <si>
    <t>宋居泰</t>
  </si>
  <si>
    <t>刘占才</t>
  </si>
  <si>
    <t>韩桂杰</t>
  </si>
  <si>
    <t>刘江</t>
  </si>
  <si>
    <t>崔喜彬</t>
  </si>
  <si>
    <t>张秀芳</t>
  </si>
  <si>
    <t>李向华</t>
  </si>
  <si>
    <t>柳广禄</t>
  </si>
  <si>
    <t>杨素娥</t>
  </si>
  <si>
    <t>董天武</t>
  </si>
  <si>
    <t>龙玉平</t>
  </si>
  <si>
    <t>孙宝印</t>
  </si>
  <si>
    <t>赵清</t>
  </si>
  <si>
    <t>齐玉花</t>
  </si>
  <si>
    <t>15232619630210043X</t>
  </si>
  <si>
    <t>刘玉利</t>
  </si>
  <si>
    <t>15232619600405042X</t>
  </si>
  <si>
    <t>刘玉玲</t>
  </si>
  <si>
    <t>王瑞民</t>
  </si>
  <si>
    <t>王凤英</t>
  </si>
  <si>
    <t>纪凤苹</t>
  </si>
  <si>
    <t>徐惠德</t>
  </si>
  <si>
    <t>15232619531223041X</t>
  </si>
  <si>
    <t>荆国富</t>
  </si>
  <si>
    <t>张丽琴</t>
  </si>
  <si>
    <t>15232619610101042X</t>
  </si>
  <si>
    <t>姚凤芹</t>
  </si>
  <si>
    <t>15232619560610067X</t>
  </si>
  <si>
    <t>王凤国</t>
  </si>
  <si>
    <t>15232619561207042X</t>
  </si>
  <si>
    <t>15232619570712067X</t>
  </si>
  <si>
    <t>宋殿国</t>
  </si>
  <si>
    <t>15232619571023044X</t>
  </si>
  <si>
    <t>张桂华</t>
  </si>
  <si>
    <t>孙淑琴</t>
  </si>
  <si>
    <t>孙凤华</t>
  </si>
  <si>
    <t>孙玉梅</t>
  </si>
  <si>
    <t>侯江</t>
  </si>
  <si>
    <t>牟景贤</t>
  </si>
  <si>
    <t>华桂兰</t>
  </si>
  <si>
    <t>李贵森</t>
  </si>
  <si>
    <t>冬春兰</t>
  </si>
  <si>
    <t>丁贵林</t>
  </si>
  <si>
    <t>刘景贵</t>
  </si>
  <si>
    <t>王桂花</t>
  </si>
  <si>
    <t>李娜娜</t>
  </si>
  <si>
    <t>15232619520112637X</t>
  </si>
  <si>
    <t>李桂民</t>
  </si>
  <si>
    <t>顾翠芬</t>
  </si>
  <si>
    <t>席金荣</t>
  </si>
  <si>
    <t>田玉兰</t>
  </si>
  <si>
    <t>罗艳芬</t>
  </si>
  <si>
    <t>15232619530419042X</t>
  </si>
  <si>
    <t>庄国琴</t>
  </si>
  <si>
    <t>马勿吉巴图</t>
  </si>
  <si>
    <t>15232619530606382X</t>
  </si>
  <si>
    <t>赵学花</t>
  </si>
  <si>
    <t>马旺哈拉</t>
  </si>
  <si>
    <t>李娜日苏</t>
  </si>
  <si>
    <t>盖显文</t>
  </si>
  <si>
    <t>史淑芹</t>
  </si>
  <si>
    <t>杨兴忠</t>
  </si>
  <si>
    <t>牟凤和</t>
  </si>
  <si>
    <t>15232619520612308X</t>
  </si>
  <si>
    <t>梁素枝</t>
  </si>
  <si>
    <t>杭格日勒</t>
  </si>
  <si>
    <t>张军</t>
  </si>
  <si>
    <t>李世琢</t>
  </si>
  <si>
    <t>司守义</t>
  </si>
  <si>
    <t>王国忠</t>
  </si>
  <si>
    <t>15232619530918001X</t>
  </si>
  <si>
    <t>杜广祥</t>
  </si>
  <si>
    <t>宝巴嘎那</t>
  </si>
  <si>
    <t>刘喜花</t>
  </si>
  <si>
    <t>蒋凤云</t>
  </si>
  <si>
    <t>宗占林</t>
  </si>
  <si>
    <t>刘英娟</t>
  </si>
  <si>
    <t>胡秀琴</t>
  </si>
  <si>
    <t>范振荣</t>
  </si>
  <si>
    <t>15232619530426066X</t>
  </si>
  <si>
    <t>马金香</t>
  </si>
  <si>
    <t>轩德增</t>
  </si>
  <si>
    <t>金永生</t>
  </si>
  <si>
    <t>孙凤芝</t>
  </si>
  <si>
    <t>邓玉成</t>
  </si>
  <si>
    <t>姚塔日巴</t>
  </si>
  <si>
    <t>陈永红</t>
  </si>
  <si>
    <t>15232619620904092X</t>
  </si>
  <si>
    <t>侯萨仁其木格</t>
  </si>
  <si>
    <t>吴月香</t>
  </si>
  <si>
    <t>王若富</t>
  </si>
  <si>
    <t>孟庆有</t>
  </si>
  <si>
    <t>田振琴</t>
  </si>
  <si>
    <t>赵学</t>
  </si>
  <si>
    <t>田玉芬</t>
  </si>
  <si>
    <t>张桂苓</t>
  </si>
  <si>
    <t>15232619640211066X</t>
  </si>
  <si>
    <t>丁纪莲</t>
  </si>
  <si>
    <t>盖啊斯冷</t>
  </si>
  <si>
    <t>龚占布拉</t>
  </si>
  <si>
    <t>15232619560802093X</t>
  </si>
  <si>
    <t>韩达木林巴塔尔</t>
  </si>
  <si>
    <t>白金钢</t>
  </si>
  <si>
    <t>白满达</t>
  </si>
  <si>
    <t>何月苹</t>
  </si>
  <si>
    <t>15232619590913069X</t>
  </si>
  <si>
    <t>胡福财</t>
  </si>
  <si>
    <t>王忠荣</t>
  </si>
  <si>
    <t>尉范臣</t>
  </si>
  <si>
    <t>赵臣</t>
  </si>
  <si>
    <t>齐珍云</t>
  </si>
  <si>
    <t>李玛莲</t>
  </si>
  <si>
    <t>刘凤明</t>
  </si>
  <si>
    <t>刘福生</t>
  </si>
  <si>
    <t>周汉相</t>
  </si>
  <si>
    <t>邹德香</t>
  </si>
  <si>
    <t>15232619600428383X</t>
  </si>
  <si>
    <t>王庆有</t>
  </si>
  <si>
    <t>李友</t>
  </si>
  <si>
    <t>刘凤祥</t>
  </si>
  <si>
    <t>田玉侠</t>
  </si>
  <si>
    <t>东玉文</t>
  </si>
  <si>
    <t>徐江</t>
  </si>
  <si>
    <t>满都拉</t>
  </si>
  <si>
    <t>孟宪枝</t>
  </si>
  <si>
    <t>任维臣</t>
  </si>
  <si>
    <t>桑树廷</t>
  </si>
  <si>
    <t>宋桂玲</t>
  </si>
  <si>
    <t>孙秀珍</t>
  </si>
  <si>
    <t>李贺忠</t>
  </si>
  <si>
    <t>王玉新</t>
  </si>
  <si>
    <t>王会玲</t>
  </si>
  <si>
    <t>王守香</t>
  </si>
  <si>
    <t>席阿日斯冷</t>
  </si>
  <si>
    <t>戴国富</t>
  </si>
  <si>
    <t>白秀华</t>
  </si>
  <si>
    <t>迟凤英</t>
  </si>
  <si>
    <t>侯桂侠</t>
  </si>
  <si>
    <t>李桂霞</t>
  </si>
  <si>
    <t>林树华</t>
  </si>
  <si>
    <t>刘淑兰</t>
  </si>
  <si>
    <t>潘秀兰</t>
  </si>
  <si>
    <t>王爱和</t>
  </si>
  <si>
    <t>王云琴</t>
  </si>
  <si>
    <t>王子杰</t>
  </si>
  <si>
    <t>于凤萍</t>
  </si>
  <si>
    <t>张淑芬</t>
  </si>
  <si>
    <t>15232619550228331X</t>
  </si>
  <si>
    <t>王琢</t>
  </si>
  <si>
    <t>杨玉梅</t>
  </si>
  <si>
    <t>陶云鹏</t>
  </si>
  <si>
    <t>吴振芳</t>
  </si>
  <si>
    <t>吴振国</t>
  </si>
  <si>
    <t>贾玉苹</t>
  </si>
  <si>
    <t>蔡桂枝</t>
  </si>
  <si>
    <t>陈毛义很</t>
  </si>
  <si>
    <t>迟凤林</t>
  </si>
  <si>
    <t>白凤荣</t>
  </si>
  <si>
    <t>15232619550519382X</t>
  </si>
  <si>
    <t>张月霞</t>
  </si>
  <si>
    <t>杨秋美</t>
  </si>
  <si>
    <t>侯凤荣</t>
  </si>
  <si>
    <t>包额尔敦道布</t>
  </si>
  <si>
    <t>李巴力吉</t>
  </si>
  <si>
    <t>席奔布格</t>
  </si>
  <si>
    <t>隋桂英</t>
  </si>
  <si>
    <t>高玉芳</t>
  </si>
  <si>
    <t>石贵</t>
  </si>
  <si>
    <t>宫玉芬</t>
  </si>
  <si>
    <t>郭秀芬</t>
  </si>
  <si>
    <t>张玉梅</t>
  </si>
  <si>
    <t>15232619600519066X</t>
  </si>
  <si>
    <t>马翠琴</t>
  </si>
  <si>
    <t>刘素芹</t>
  </si>
  <si>
    <t>桓总权</t>
  </si>
  <si>
    <t>谷益星</t>
  </si>
  <si>
    <t>索明生</t>
  </si>
  <si>
    <t>王艳玲</t>
  </si>
  <si>
    <t>王淑芝</t>
  </si>
  <si>
    <t>韩国琴</t>
  </si>
  <si>
    <t>周悦花</t>
  </si>
  <si>
    <t>厚华敏</t>
  </si>
  <si>
    <t>卢凤廷</t>
  </si>
  <si>
    <t>王井明</t>
  </si>
  <si>
    <t>15232619630903069X</t>
  </si>
  <si>
    <t>甄国存</t>
  </si>
  <si>
    <t>包德力根</t>
  </si>
  <si>
    <t>纪凤和</t>
  </si>
  <si>
    <t>孙永明</t>
  </si>
  <si>
    <t>刘恩英</t>
  </si>
  <si>
    <t>吴秀英</t>
  </si>
  <si>
    <t>朱玉英</t>
  </si>
  <si>
    <t>葛玉芹</t>
  </si>
  <si>
    <t>文宝</t>
  </si>
  <si>
    <t>刘玉苹</t>
  </si>
  <si>
    <t>刘亚琴</t>
  </si>
  <si>
    <t>石兆利</t>
  </si>
  <si>
    <t>谭桂平</t>
  </si>
  <si>
    <t>李洪玉</t>
  </si>
  <si>
    <t>蒋万青</t>
  </si>
  <si>
    <t>王素芹</t>
  </si>
  <si>
    <t>郭凤侠</t>
  </si>
  <si>
    <t>15232619590115307X</t>
  </si>
  <si>
    <t>孟宪军</t>
  </si>
  <si>
    <t>赵亚芳</t>
  </si>
  <si>
    <t>15232619640113044X</t>
  </si>
  <si>
    <t>张桂英</t>
  </si>
  <si>
    <t>李爱民</t>
  </si>
  <si>
    <t>王利平</t>
  </si>
  <si>
    <t>刘国杰</t>
  </si>
  <si>
    <t>白玉平</t>
  </si>
  <si>
    <t>冯庆红</t>
  </si>
  <si>
    <t>杨凤花</t>
  </si>
  <si>
    <t>张玉琴</t>
  </si>
  <si>
    <t>赵淑英</t>
  </si>
  <si>
    <t>闫凤军</t>
  </si>
  <si>
    <t>江学军</t>
  </si>
  <si>
    <t>董阳平</t>
  </si>
  <si>
    <t>姚福</t>
  </si>
  <si>
    <t>吕白香</t>
  </si>
  <si>
    <t>谭桂侠</t>
  </si>
  <si>
    <t>陈彩花</t>
  </si>
  <si>
    <t>姜淑琴</t>
  </si>
  <si>
    <t>刘树芳</t>
  </si>
  <si>
    <t>刘喜德</t>
  </si>
  <si>
    <t>孙志方</t>
  </si>
  <si>
    <t>席扎力嘎夫</t>
  </si>
  <si>
    <t>鲁玉莲</t>
  </si>
  <si>
    <t>15232619580519092X</t>
  </si>
  <si>
    <t>马白玉</t>
  </si>
  <si>
    <t>李振清</t>
  </si>
  <si>
    <t>杜月英</t>
  </si>
  <si>
    <t>15232619421109002X</t>
  </si>
  <si>
    <t>孙玉芳</t>
  </si>
  <si>
    <t>15232619421123066X</t>
  </si>
  <si>
    <t>刘翠华</t>
  </si>
  <si>
    <t>赵佩玉</t>
  </si>
  <si>
    <t>丛秀兰</t>
  </si>
  <si>
    <t>李桂萍</t>
  </si>
  <si>
    <t>崔玉琴</t>
  </si>
  <si>
    <t>15232619471018002X</t>
  </si>
  <si>
    <t>庄国枝</t>
  </si>
  <si>
    <t>刘海江</t>
  </si>
  <si>
    <t>高玉霞</t>
  </si>
  <si>
    <t>杜青芳</t>
  </si>
  <si>
    <t>辛悦忠</t>
  </si>
  <si>
    <t>赛音必力格</t>
  </si>
  <si>
    <t>张霞</t>
  </si>
  <si>
    <t>15232619610820004X</t>
  </si>
  <si>
    <t>于景艳</t>
  </si>
  <si>
    <t>崔广军</t>
  </si>
  <si>
    <t>齐秀琴</t>
  </si>
  <si>
    <t>杜玉金</t>
  </si>
  <si>
    <t>王永琴</t>
  </si>
  <si>
    <t>王献臣</t>
  </si>
  <si>
    <t>徐彩霞</t>
  </si>
  <si>
    <t>张玉贤</t>
  </si>
  <si>
    <t>宝国山</t>
  </si>
  <si>
    <t>银清虎</t>
  </si>
  <si>
    <t>何希国</t>
  </si>
  <si>
    <t>毛桂荣</t>
  </si>
  <si>
    <t>张淑霞</t>
  </si>
  <si>
    <t>柴桂芬</t>
  </si>
  <si>
    <t>程志会</t>
  </si>
  <si>
    <t>杜占柱</t>
  </si>
  <si>
    <t>李春</t>
  </si>
  <si>
    <t>周凤英</t>
  </si>
  <si>
    <t>吴拉给玛</t>
  </si>
  <si>
    <t>席毕力格玛</t>
  </si>
  <si>
    <t>刘琴</t>
  </si>
  <si>
    <t>孙占英</t>
  </si>
  <si>
    <t>王海珍</t>
  </si>
  <si>
    <t>王井强</t>
  </si>
  <si>
    <t>卜庆云</t>
  </si>
  <si>
    <t>金永贵</t>
  </si>
  <si>
    <t>轩德祥</t>
  </si>
  <si>
    <t>张敏霞</t>
  </si>
  <si>
    <t>张乃林</t>
  </si>
  <si>
    <t>杨国森</t>
  </si>
  <si>
    <t>孙彦学</t>
  </si>
  <si>
    <t>王淑英</t>
  </si>
  <si>
    <t>朱凤芝</t>
  </si>
  <si>
    <t>金永福</t>
  </si>
  <si>
    <t>许桂琴</t>
  </si>
  <si>
    <t>范振玲</t>
  </si>
  <si>
    <t>金凤</t>
  </si>
  <si>
    <t>盖显贵</t>
  </si>
  <si>
    <t>路占芬</t>
  </si>
  <si>
    <t>刘福军</t>
  </si>
  <si>
    <t>15232619600121066X</t>
  </si>
  <si>
    <t>姜宪珍</t>
  </si>
  <si>
    <t>15232619560928382X</t>
  </si>
  <si>
    <t>张玉珍</t>
  </si>
  <si>
    <t>吕玉英</t>
  </si>
  <si>
    <t>15232619591016458X</t>
  </si>
  <si>
    <t>束桂平</t>
  </si>
  <si>
    <t>泰翠平</t>
  </si>
  <si>
    <t>张淑侠</t>
  </si>
  <si>
    <t>万小</t>
  </si>
  <si>
    <t>王祥</t>
  </si>
  <si>
    <t>姚凤英</t>
  </si>
  <si>
    <t>吴敖力布</t>
  </si>
  <si>
    <t>高振学</t>
  </si>
  <si>
    <t>肖图布申巴雅尔</t>
  </si>
  <si>
    <t>宝海泉</t>
  </si>
  <si>
    <t>敖关布仓</t>
  </si>
  <si>
    <t>李显伍</t>
  </si>
  <si>
    <t>任秀芝</t>
  </si>
  <si>
    <t>刘敏兰</t>
  </si>
  <si>
    <t>潘井文</t>
  </si>
  <si>
    <t>宝金香</t>
  </si>
  <si>
    <t>郭凤海</t>
  </si>
  <si>
    <t>李香臣</t>
  </si>
  <si>
    <t>李桂云</t>
  </si>
  <si>
    <t>宝音贺什格</t>
  </si>
  <si>
    <t>高洪梅</t>
  </si>
  <si>
    <t>侯乌云其木格</t>
  </si>
  <si>
    <t>冯敏宇</t>
  </si>
  <si>
    <t>侯胡日德</t>
  </si>
  <si>
    <t>席秀云</t>
  </si>
  <si>
    <t>吴德山</t>
  </si>
  <si>
    <t>甄喜德</t>
  </si>
  <si>
    <t>刘付</t>
  </si>
  <si>
    <t>崔国珍</t>
  </si>
  <si>
    <t>时晓莉</t>
  </si>
  <si>
    <t>15232619580113308X</t>
  </si>
  <si>
    <t>赵兰凤</t>
  </si>
  <si>
    <t>李翠平</t>
  </si>
  <si>
    <t>齐仕廷</t>
  </si>
  <si>
    <t>刘国生</t>
  </si>
  <si>
    <t>铁宝</t>
  </si>
  <si>
    <t>赵国利</t>
  </si>
  <si>
    <t>15232619630607382X</t>
  </si>
  <si>
    <t>宝道义宁卜</t>
  </si>
  <si>
    <t>李殿文</t>
  </si>
  <si>
    <t>吴模德格</t>
  </si>
  <si>
    <t>15232619590314381X</t>
  </si>
  <si>
    <t>卫国有</t>
  </si>
  <si>
    <t>15232619530212041X</t>
  </si>
  <si>
    <t>杜国臣</t>
  </si>
  <si>
    <t>高凤林</t>
  </si>
  <si>
    <t>由尚金</t>
  </si>
  <si>
    <t>吴阿力坦其木格</t>
  </si>
  <si>
    <t>袁喜才</t>
  </si>
  <si>
    <t>孙广琴</t>
  </si>
  <si>
    <t>吴图门勿力吉</t>
  </si>
  <si>
    <t>15232619600715382X</t>
  </si>
  <si>
    <t>姜显英</t>
  </si>
  <si>
    <t>昂斯拉马</t>
  </si>
  <si>
    <t>张振军</t>
  </si>
  <si>
    <t>许玉芳</t>
  </si>
  <si>
    <t>胡斯其格</t>
  </si>
  <si>
    <t>宝斯琴格勒</t>
  </si>
  <si>
    <t>15232619590625382X</t>
  </si>
  <si>
    <t>孙树芬</t>
  </si>
  <si>
    <t>白玉芹</t>
  </si>
  <si>
    <t>刘香琴</t>
  </si>
  <si>
    <t>程素香</t>
  </si>
  <si>
    <t>潘景信</t>
  </si>
  <si>
    <t>王树花</t>
  </si>
  <si>
    <t>宝白音扎力根</t>
  </si>
  <si>
    <t>梁勿力吉苍</t>
  </si>
  <si>
    <t>冯桂杰</t>
  </si>
  <si>
    <t>朱兰苓</t>
  </si>
  <si>
    <t>王丕云</t>
  </si>
  <si>
    <t>冯翠玲</t>
  </si>
  <si>
    <t>顾玉荣</t>
  </si>
  <si>
    <t>邰国玉</t>
  </si>
  <si>
    <t>15232619611014637X</t>
  </si>
  <si>
    <t>王庆忠</t>
  </si>
  <si>
    <t>张树芬</t>
  </si>
  <si>
    <t>王巴图温都苏</t>
  </si>
  <si>
    <t>谢巴力吉</t>
  </si>
  <si>
    <t>吴布和哈达</t>
  </si>
  <si>
    <t>王振军</t>
  </si>
  <si>
    <t>梁来小</t>
  </si>
  <si>
    <t>刘殿申</t>
  </si>
  <si>
    <t>15232619631120066X</t>
  </si>
  <si>
    <t>杨秀玲</t>
  </si>
  <si>
    <t>王国民</t>
  </si>
  <si>
    <t>孙明永</t>
  </si>
  <si>
    <t>岳建娥</t>
  </si>
  <si>
    <t>付广中</t>
  </si>
  <si>
    <t>周初一</t>
  </si>
  <si>
    <t>15232619620828069X</t>
  </si>
  <si>
    <t>刘国彬</t>
  </si>
  <si>
    <t>张芬</t>
  </si>
  <si>
    <t>王达古拉</t>
  </si>
  <si>
    <t>韩寿元</t>
  </si>
  <si>
    <t>15232619620409382X</t>
  </si>
  <si>
    <t>谢斯其格</t>
  </si>
  <si>
    <t>邹继玲</t>
  </si>
  <si>
    <t>白翠贤</t>
  </si>
  <si>
    <t>崔希锋</t>
  </si>
  <si>
    <t>刘玉连</t>
  </si>
  <si>
    <t>卫守义</t>
  </si>
  <si>
    <t>钟福</t>
  </si>
  <si>
    <t>冠玉霞</t>
  </si>
  <si>
    <t>郭凤艳</t>
  </si>
  <si>
    <t>宗莲凤</t>
  </si>
  <si>
    <t>赵斯老</t>
  </si>
  <si>
    <t>白吉拉呼</t>
  </si>
  <si>
    <t>陈文志</t>
  </si>
  <si>
    <t>刘梦军</t>
  </si>
  <si>
    <t>丁喜峰</t>
  </si>
  <si>
    <t>马凤芝</t>
  </si>
  <si>
    <t>孟庆学</t>
  </si>
  <si>
    <t>杜怀忠</t>
  </si>
  <si>
    <t>刘淑花</t>
  </si>
  <si>
    <t>路凤</t>
  </si>
  <si>
    <t>罗彩云</t>
  </si>
  <si>
    <t>杨青明</t>
  </si>
  <si>
    <t>王来小</t>
  </si>
  <si>
    <t>朱宝霞</t>
  </si>
  <si>
    <t>15232619530814042X</t>
  </si>
  <si>
    <t>李凤花</t>
  </si>
  <si>
    <t>韩勤</t>
  </si>
  <si>
    <t>李占祥</t>
  </si>
  <si>
    <t>金翠芝</t>
  </si>
  <si>
    <t>段玉芝</t>
  </si>
  <si>
    <t>15232619561019041X</t>
  </si>
  <si>
    <t>徐淑琴</t>
  </si>
  <si>
    <t>刘云霞</t>
  </si>
  <si>
    <t>李翠彬</t>
  </si>
  <si>
    <t>姜有林</t>
  </si>
  <si>
    <t>葛淑芹</t>
  </si>
  <si>
    <t>15232619561012042X</t>
  </si>
  <si>
    <t>高秀芝</t>
  </si>
  <si>
    <t>王臣</t>
  </si>
  <si>
    <t>韩殿林</t>
  </si>
  <si>
    <t>张秀英</t>
  </si>
  <si>
    <t>贾国有</t>
  </si>
  <si>
    <t>刘桂丛</t>
  </si>
  <si>
    <t>刘文辉</t>
  </si>
  <si>
    <t>王燕梅</t>
  </si>
  <si>
    <t>15232619580327066X</t>
  </si>
  <si>
    <t>吴桂芝</t>
  </si>
  <si>
    <t>15232619581004066X</t>
  </si>
  <si>
    <t>张淑贤</t>
  </si>
  <si>
    <t>王玉霞</t>
  </si>
  <si>
    <t>王美华</t>
  </si>
  <si>
    <t>岳春</t>
  </si>
  <si>
    <t>高峰山</t>
  </si>
  <si>
    <t>徐国荣</t>
  </si>
  <si>
    <t>王勿力吉木仁</t>
  </si>
  <si>
    <t>贾素琢</t>
  </si>
  <si>
    <t>田花</t>
  </si>
  <si>
    <t>陈青山</t>
  </si>
  <si>
    <t>王海梅</t>
  </si>
  <si>
    <t>宝满良</t>
  </si>
  <si>
    <t>侯金财</t>
  </si>
  <si>
    <t>15232619550719042X</t>
  </si>
  <si>
    <t>杨秀新</t>
  </si>
  <si>
    <t>张永珍</t>
  </si>
  <si>
    <t>刘海臣</t>
  </si>
  <si>
    <t>姜素珍</t>
  </si>
  <si>
    <t>程翠娥</t>
  </si>
  <si>
    <t>张桂珠</t>
  </si>
  <si>
    <t>肖特格喜</t>
  </si>
  <si>
    <t>辛凤祥</t>
  </si>
  <si>
    <t>杜秀芝</t>
  </si>
  <si>
    <t>刘凤兰</t>
  </si>
  <si>
    <t>高凤义</t>
  </si>
  <si>
    <t>牛井良</t>
  </si>
  <si>
    <t>吕宝珍</t>
  </si>
  <si>
    <t>高洪文</t>
  </si>
  <si>
    <t>王作梅</t>
  </si>
  <si>
    <t>杜立梅</t>
  </si>
  <si>
    <t>岳侠</t>
  </si>
  <si>
    <t>15232619570314042X</t>
  </si>
  <si>
    <t>张桂芬</t>
  </si>
  <si>
    <t>朱俊花</t>
  </si>
  <si>
    <t>索明艳</t>
  </si>
  <si>
    <t>程琴</t>
  </si>
  <si>
    <t>尉范民</t>
  </si>
  <si>
    <t>岳建明</t>
  </si>
  <si>
    <t>郭海玉</t>
  </si>
  <si>
    <t>付桂云</t>
  </si>
  <si>
    <t>姜平</t>
  </si>
  <si>
    <t>任学霞</t>
  </si>
  <si>
    <t>王秀芹</t>
  </si>
  <si>
    <t>陈久华</t>
  </si>
  <si>
    <t>厚桂珍</t>
  </si>
  <si>
    <t>吕悦文</t>
  </si>
  <si>
    <t>15232619520202042X</t>
  </si>
  <si>
    <t>王丽华</t>
  </si>
  <si>
    <t>罗延华</t>
  </si>
  <si>
    <t>王翠珍</t>
  </si>
  <si>
    <t>刘玉清</t>
  </si>
  <si>
    <t>席勿力吉仓</t>
  </si>
  <si>
    <t>王玉英</t>
  </si>
  <si>
    <t>李淑珍</t>
  </si>
  <si>
    <t>路英</t>
  </si>
  <si>
    <t>李振祥</t>
  </si>
  <si>
    <t>王树有</t>
  </si>
  <si>
    <t>杨秀珍</t>
  </si>
  <si>
    <t>时淑琴</t>
  </si>
  <si>
    <t>15232619410928002X</t>
  </si>
  <si>
    <t>勾凤兰</t>
  </si>
  <si>
    <t>张玖林</t>
  </si>
  <si>
    <t>李亚琴</t>
  </si>
  <si>
    <t>15232619490911381X</t>
  </si>
  <si>
    <t>宗占荣</t>
  </si>
  <si>
    <t>赵林</t>
  </si>
  <si>
    <t>阿力他呼</t>
  </si>
  <si>
    <t>单国枝</t>
  </si>
  <si>
    <t>林申</t>
  </si>
  <si>
    <t>林魁</t>
  </si>
  <si>
    <t>谢荣芹</t>
  </si>
  <si>
    <t>李秀</t>
  </si>
  <si>
    <t>周刘金</t>
  </si>
  <si>
    <t>姜秀兰</t>
  </si>
  <si>
    <t>郭金瑕</t>
  </si>
  <si>
    <t>白雪梅</t>
  </si>
  <si>
    <t>甄英</t>
  </si>
  <si>
    <t>秦桂芬</t>
  </si>
  <si>
    <t>郝凤军</t>
  </si>
  <si>
    <t>崔玉春</t>
  </si>
  <si>
    <t>15232619570808042X</t>
  </si>
  <si>
    <t>周秀珍</t>
  </si>
  <si>
    <t>时桂平</t>
  </si>
  <si>
    <t>孙久凤</t>
  </si>
  <si>
    <t>朱宝海</t>
  </si>
  <si>
    <t>郎玉霞</t>
  </si>
  <si>
    <t>王国利</t>
  </si>
  <si>
    <t>郭振祥</t>
  </si>
  <si>
    <t>刘瑞梅</t>
  </si>
  <si>
    <t>王淑民</t>
  </si>
  <si>
    <t>夏长俊</t>
  </si>
  <si>
    <t>嵇桂玲</t>
  </si>
  <si>
    <t>胡泉</t>
  </si>
  <si>
    <t>15232619600226044X</t>
  </si>
  <si>
    <t>王庆云</t>
  </si>
  <si>
    <t>吕美英</t>
  </si>
  <si>
    <t>朱振兰</t>
  </si>
  <si>
    <t>王振兴</t>
  </si>
  <si>
    <t>王淑霞</t>
  </si>
  <si>
    <t>李永芝</t>
  </si>
  <si>
    <t>侯秀琴</t>
  </si>
  <si>
    <t>白长有</t>
  </si>
  <si>
    <t>姜占民</t>
  </si>
  <si>
    <t>齐淑花</t>
  </si>
  <si>
    <t>李敖力歹</t>
  </si>
  <si>
    <t>15232619620919382X</t>
  </si>
  <si>
    <t>王桂荣</t>
  </si>
  <si>
    <t>王庆付</t>
  </si>
  <si>
    <t>15232619480729332X</t>
  </si>
  <si>
    <t>徐淑芳</t>
  </si>
  <si>
    <t>韩桂霞</t>
  </si>
  <si>
    <t>程永富</t>
  </si>
  <si>
    <t>李文祥</t>
  </si>
  <si>
    <t>陈玉芹</t>
  </si>
  <si>
    <t>宝代小</t>
  </si>
  <si>
    <t>包长明</t>
  </si>
  <si>
    <t>候查干巴拉</t>
  </si>
  <si>
    <t>李国林</t>
  </si>
  <si>
    <t>谢占英</t>
  </si>
  <si>
    <t>肖凤英</t>
  </si>
  <si>
    <t>宋向平</t>
  </si>
  <si>
    <t>李满长</t>
  </si>
  <si>
    <t>孙祥</t>
  </si>
  <si>
    <t>吴艳玲</t>
  </si>
  <si>
    <t>15232619571106042X</t>
  </si>
  <si>
    <t>尉凤英</t>
  </si>
  <si>
    <t>刘桂洁</t>
  </si>
  <si>
    <t>赵方</t>
  </si>
  <si>
    <t>赵春</t>
  </si>
  <si>
    <t>杜义春</t>
  </si>
  <si>
    <t>高敏</t>
  </si>
  <si>
    <t>赵国仁</t>
  </si>
  <si>
    <t>刘景英</t>
  </si>
  <si>
    <t>杜国财</t>
  </si>
  <si>
    <t>李秀芝</t>
  </si>
  <si>
    <t>宝扎木散</t>
  </si>
  <si>
    <t>林凤江</t>
  </si>
  <si>
    <t>高恩布和</t>
  </si>
  <si>
    <t>马焕明</t>
  </si>
  <si>
    <t>张树国</t>
  </si>
  <si>
    <t>郝彩凤</t>
  </si>
  <si>
    <t>赵桂花</t>
  </si>
  <si>
    <t>陈景芝</t>
  </si>
  <si>
    <t>15232619480309004X</t>
  </si>
  <si>
    <t>杨彩霞</t>
  </si>
  <si>
    <t>韩福云</t>
  </si>
  <si>
    <t>赵国志</t>
  </si>
  <si>
    <t>王淑琢</t>
  </si>
  <si>
    <t>罗凤琴</t>
  </si>
  <si>
    <t>李翠兰</t>
  </si>
  <si>
    <t>辛士军</t>
  </si>
  <si>
    <t>田玉枝</t>
  </si>
  <si>
    <t>孔香英</t>
  </si>
  <si>
    <t>辛秀琴</t>
  </si>
  <si>
    <t>15232619340829067X</t>
  </si>
  <si>
    <t>吴占林</t>
  </si>
  <si>
    <t>敖常明</t>
  </si>
  <si>
    <t>刘彩莲</t>
  </si>
  <si>
    <t>郑秀花</t>
  </si>
  <si>
    <t>董淑琴</t>
  </si>
  <si>
    <t>张景莲</t>
  </si>
  <si>
    <t>蒋彬财</t>
  </si>
  <si>
    <t>刘义青</t>
  </si>
  <si>
    <t>董文彬</t>
  </si>
  <si>
    <t>甄喜学</t>
  </si>
  <si>
    <t>胡跟小</t>
  </si>
  <si>
    <t>冯玉珍</t>
  </si>
  <si>
    <t>韩桂荣</t>
  </si>
  <si>
    <t>孙庆芝</t>
  </si>
  <si>
    <t>张桂芝</t>
  </si>
  <si>
    <t>刘桂花</t>
  </si>
  <si>
    <t>马喜荣</t>
  </si>
  <si>
    <t>姚继秀</t>
  </si>
  <si>
    <t>朱德海</t>
  </si>
  <si>
    <t>耿百臣</t>
  </si>
  <si>
    <t>耿瑞侠</t>
  </si>
  <si>
    <t>杨中花</t>
  </si>
  <si>
    <t>尉振霞</t>
  </si>
  <si>
    <t>郭秀琴</t>
  </si>
  <si>
    <t>席桂荣</t>
  </si>
  <si>
    <t>吴月英</t>
  </si>
  <si>
    <t>沈玉兰</t>
  </si>
  <si>
    <t>桑有</t>
  </si>
  <si>
    <t>厚化江</t>
  </si>
  <si>
    <t>宋殿荣</t>
  </si>
  <si>
    <t>宝冰棠</t>
  </si>
  <si>
    <t>刘丫头</t>
  </si>
  <si>
    <t>宝乌仁其木格</t>
  </si>
  <si>
    <t>白花拉</t>
  </si>
  <si>
    <t>邱淑琴</t>
  </si>
  <si>
    <t>陈桂英</t>
  </si>
  <si>
    <t>王秀兰</t>
  </si>
  <si>
    <t>王殿阁</t>
  </si>
  <si>
    <t>李自富</t>
  </si>
  <si>
    <t>高振莲</t>
  </si>
  <si>
    <t>张宝荣</t>
  </si>
  <si>
    <t>王占发</t>
  </si>
  <si>
    <t>王爱生</t>
  </si>
  <si>
    <t>15232619480423042X</t>
  </si>
  <si>
    <t>高翠德</t>
  </si>
  <si>
    <t>张月明珠</t>
  </si>
  <si>
    <t>周惠花</t>
  </si>
  <si>
    <t>穆景兰</t>
  </si>
  <si>
    <t>杜国军</t>
  </si>
  <si>
    <t>包凤俄</t>
  </si>
  <si>
    <t>吴海棠</t>
  </si>
  <si>
    <t>额尔敦塔那</t>
  </si>
  <si>
    <t>席凤菊</t>
  </si>
  <si>
    <t>梁国福</t>
  </si>
  <si>
    <t>15232619500319067X</t>
  </si>
  <si>
    <t>张玉</t>
  </si>
  <si>
    <t>任学礼</t>
  </si>
  <si>
    <t>15232619470311637X</t>
  </si>
  <si>
    <t>刘福金</t>
  </si>
  <si>
    <t>纪凤兰</t>
  </si>
  <si>
    <t>王翠云</t>
  </si>
  <si>
    <t>付继君</t>
  </si>
  <si>
    <t>侯其木格</t>
  </si>
  <si>
    <t>周汉忠</t>
  </si>
  <si>
    <t>王天喜</t>
  </si>
  <si>
    <t>孙凤臣</t>
  </si>
  <si>
    <t>李桂枝</t>
  </si>
  <si>
    <t>朱兰花</t>
  </si>
  <si>
    <t>王显贵</t>
  </si>
  <si>
    <t>15232619491007001X</t>
  </si>
  <si>
    <t>闫顺</t>
  </si>
  <si>
    <t>陈国英</t>
  </si>
  <si>
    <t>王玉兰</t>
  </si>
  <si>
    <t>甄海花</t>
  </si>
  <si>
    <t>王守青</t>
  </si>
  <si>
    <t>盖玉珍</t>
  </si>
  <si>
    <t>金凤英</t>
  </si>
  <si>
    <t>15232619501123381X</t>
  </si>
  <si>
    <t>郭喜志</t>
  </si>
  <si>
    <t>侯国昌</t>
  </si>
  <si>
    <t>龚秋芳</t>
  </si>
  <si>
    <t>宝田根</t>
  </si>
  <si>
    <t>15232619451223332X</t>
  </si>
  <si>
    <t>15232619460402332X</t>
  </si>
  <si>
    <t>赵昂斯根</t>
  </si>
  <si>
    <t>白双玉</t>
  </si>
  <si>
    <t>宋淑琴</t>
  </si>
  <si>
    <t>陈兴志</t>
  </si>
  <si>
    <t>康凤玉</t>
  </si>
  <si>
    <t>崔桂梅</t>
  </si>
  <si>
    <t>赵全</t>
  </si>
  <si>
    <t>马宝力高</t>
  </si>
  <si>
    <t>高桂珍</t>
  </si>
  <si>
    <t>15232619491014041X</t>
  </si>
  <si>
    <t>张凤山</t>
  </si>
  <si>
    <t>丁喜志</t>
  </si>
  <si>
    <t>桑臣</t>
  </si>
  <si>
    <t>15232619281228332X</t>
  </si>
  <si>
    <t>韩金玉</t>
  </si>
  <si>
    <t>蔡玉山</t>
  </si>
  <si>
    <t>李卓哲</t>
  </si>
  <si>
    <t>张国玉</t>
  </si>
  <si>
    <t>由尚胜</t>
  </si>
  <si>
    <t>吴常福</t>
  </si>
  <si>
    <t>赵福荣</t>
  </si>
  <si>
    <t>勾振中</t>
  </si>
  <si>
    <t>15232619630708044X</t>
  </si>
  <si>
    <t>贾丕丽</t>
  </si>
  <si>
    <t>散木嘎</t>
  </si>
  <si>
    <t>时登明</t>
  </si>
  <si>
    <t>15232619580802066X</t>
  </si>
  <si>
    <t>王淑华</t>
  </si>
  <si>
    <t>陈春枝</t>
  </si>
  <si>
    <t>桓总华</t>
  </si>
  <si>
    <t>杜淑英</t>
  </si>
  <si>
    <t>郝春英</t>
  </si>
  <si>
    <t>周巴根那</t>
  </si>
  <si>
    <t>宝根梅</t>
  </si>
  <si>
    <t>宁维贺</t>
  </si>
  <si>
    <t>15232619620808092X</t>
  </si>
  <si>
    <t>席接小</t>
  </si>
  <si>
    <t>15232619631108091X</t>
  </si>
  <si>
    <t>席白音仑</t>
  </si>
  <si>
    <t>胡孟根宝力高</t>
  </si>
  <si>
    <t>吴梅荣</t>
  </si>
  <si>
    <t>高淑兰</t>
  </si>
  <si>
    <t>徐桂霞</t>
  </si>
  <si>
    <t>贾坤</t>
  </si>
  <si>
    <t>吴凤云</t>
  </si>
  <si>
    <t>腾淑贤</t>
  </si>
  <si>
    <t>韩春</t>
  </si>
  <si>
    <t>王桂枝</t>
  </si>
  <si>
    <t>李桂军</t>
  </si>
  <si>
    <t>陈景富</t>
  </si>
  <si>
    <t>时纪贤</t>
  </si>
  <si>
    <t>朱占峰</t>
  </si>
  <si>
    <t>15232619561111382X</t>
  </si>
  <si>
    <t>刘汉清</t>
  </si>
  <si>
    <t>崔喜泉</t>
  </si>
  <si>
    <t>李秀英</t>
  </si>
  <si>
    <t>宝跟小</t>
  </si>
  <si>
    <t>盖显成</t>
  </si>
  <si>
    <t>王天志</t>
  </si>
  <si>
    <t>吴金花</t>
  </si>
  <si>
    <t>15232619630627068X</t>
  </si>
  <si>
    <t>孙秀芝</t>
  </si>
  <si>
    <t>邹吉琴</t>
  </si>
  <si>
    <t>杨艳清</t>
  </si>
  <si>
    <t>15232619630707041X</t>
  </si>
  <si>
    <t>张明</t>
  </si>
  <si>
    <t>15232619630812044X</t>
  </si>
  <si>
    <t>李艳民</t>
  </si>
  <si>
    <t>刘清学</t>
  </si>
  <si>
    <t>王贵清</t>
  </si>
  <si>
    <t>李桂荣</t>
  </si>
  <si>
    <t>张海琴</t>
  </si>
  <si>
    <t>刘喜明</t>
  </si>
  <si>
    <t>勾凤军</t>
  </si>
  <si>
    <t>张彩霞</t>
  </si>
  <si>
    <t>杨金财</t>
  </si>
  <si>
    <t>邱凤兰</t>
  </si>
  <si>
    <t>王建若</t>
  </si>
  <si>
    <t>王平</t>
  </si>
  <si>
    <t>梁玉</t>
  </si>
  <si>
    <t>厚荣合</t>
  </si>
  <si>
    <t>吴秀珍</t>
  </si>
  <si>
    <t>胡福权</t>
  </si>
  <si>
    <t>韩根小</t>
  </si>
  <si>
    <t>李素梅</t>
  </si>
  <si>
    <t>郝文兰</t>
  </si>
  <si>
    <t>苏秀花</t>
  </si>
  <si>
    <t>李淑山</t>
  </si>
  <si>
    <t>何富</t>
  </si>
  <si>
    <t>厚荣玲</t>
  </si>
  <si>
    <t>岳凤荣</t>
  </si>
  <si>
    <t>樊玉花</t>
  </si>
  <si>
    <t>沈少文</t>
  </si>
  <si>
    <t>马锋坡</t>
  </si>
  <si>
    <t>15232619541210068X</t>
  </si>
  <si>
    <t>曲玉枝</t>
  </si>
  <si>
    <t>路占琴</t>
  </si>
  <si>
    <t>程永霞</t>
  </si>
  <si>
    <t>耿玉良</t>
  </si>
  <si>
    <t>王忠</t>
  </si>
  <si>
    <t>刘喜伍</t>
  </si>
  <si>
    <t>李秀芬</t>
  </si>
  <si>
    <t>韩建华</t>
  </si>
  <si>
    <t>杨文杰</t>
  </si>
  <si>
    <t>孟庆祥</t>
  </si>
  <si>
    <t>张立新</t>
  </si>
  <si>
    <t>徐龙</t>
  </si>
  <si>
    <t>15232619620816068X</t>
  </si>
  <si>
    <t>徐诚</t>
  </si>
  <si>
    <t>15232619620915066X</t>
  </si>
  <si>
    <t>程侠</t>
  </si>
  <si>
    <t>王艳枝</t>
  </si>
  <si>
    <t>黄桂英</t>
  </si>
  <si>
    <t>于少平</t>
  </si>
  <si>
    <t>孙志友</t>
  </si>
  <si>
    <t>许云英</t>
  </si>
  <si>
    <t>白玉祥</t>
  </si>
  <si>
    <t>王景华</t>
  </si>
  <si>
    <t>曲国良</t>
  </si>
  <si>
    <t>马淑芬</t>
  </si>
  <si>
    <t>冯国芬</t>
  </si>
  <si>
    <t>姚凤节</t>
  </si>
  <si>
    <t>孟宪丛</t>
  </si>
  <si>
    <t>嵇洪芹</t>
  </si>
  <si>
    <t>王柏林</t>
  </si>
  <si>
    <t>刘占成</t>
  </si>
  <si>
    <t>杨玉</t>
  </si>
  <si>
    <t>张彩芹</t>
  </si>
  <si>
    <t>15232619600520382X</t>
  </si>
  <si>
    <t>王振荣</t>
  </si>
  <si>
    <t>崔福森</t>
  </si>
  <si>
    <t>15232619580228041X</t>
  </si>
  <si>
    <t>张树学</t>
  </si>
  <si>
    <t>孙秀芹</t>
  </si>
  <si>
    <t>张凤财</t>
  </si>
  <si>
    <t>秦淑凤</t>
  </si>
  <si>
    <t>15232619630107003X</t>
  </si>
  <si>
    <t>张东风</t>
  </si>
  <si>
    <t>郝彩花</t>
  </si>
  <si>
    <t>李赛琴</t>
  </si>
  <si>
    <t>15232619520519066X</t>
  </si>
  <si>
    <t>张淑枝</t>
  </si>
  <si>
    <t>李海</t>
  </si>
  <si>
    <t>15232619600525044X</t>
  </si>
  <si>
    <t>王凤侠</t>
  </si>
  <si>
    <t>蒋彩花</t>
  </si>
  <si>
    <t>武殿芝</t>
  </si>
  <si>
    <t>15232619541018041X</t>
  </si>
  <si>
    <t>赵广</t>
  </si>
  <si>
    <t>15232619550310044X</t>
  </si>
  <si>
    <t>单秀芬</t>
  </si>
  <si>
    <t>梁淑珍</t>
  </si>
  <si>
    <t>宋菊兰</t>
  </si>
  <si>
    <t>15232619570506386X</t>
  </si>
  <si>
    <t>王俊云</t>
  </si>
  <si>
    <t>15232619561011381X</t>
  </si>
  <si>
    <t>崔喜俊</t>
  </si>
  <si>
    <t>翟淑芳</t>
  </si>
  <si>
    <t>黄富</t>
  </si>
  <si>
    <t>徐富</t>
  </si>
  <si>
    <t>崔春丽</t>
  </si>
  <si>
    <t>赵华</t>
  </si>
  <si>
    <t>15232619580919002X</t>
  </si>
  <si>
    <t>董淑芳</t>
  </si>
  <si>
    <t>15232619621024310X</t>
  </si>
  <si>
    <t>刘海玲</t>
  </si>
  <si>
    <t>孙有梅</t>
  </si>
  <si>
    <t>张秀荣</t>
  </si>
  <si>
    <t>孙国有</t>
  </si>
  <si>
    <t>崔淑珍</t>
  </si>
  <si>
    <t>崔桂琴</t>
  </si>
  <si>
    <t>冯翠莲</t>
  </si>
  <si>
    <t>王淑珍</t>
  </si>
  <si>
    <t>于砚芝</t>
  </si>
  <si>
    <t>马亲布</t>
  </si>
  <si>
    <t>伍莲花</t>
  </si>
  <si>
    <t>陈兴礼</t>
  </si>
  <si>
    <t>卢玉</t>
  </si>
  <si>
    <t>15232619461225382X</t>
  </si>
  <si>
    <t>岳振华</t>
  </si>
  <si>
    <t>李淑芝</t>
  </si>
  <si>
    <t>崔凤荣</t>
  </si>
  <si>
    <t>张玉江</t>
  </si>
  <si>
    <t>白相真</t>
  </si>
  <si>
    <t>陈景花</t>
  </si>
  <si>
    <t>朱彩凤</t>
  </si>
  <si>
    <t>康秀兰</t>
  </si>
  <si>
    <t>贾玉荣</t>
  </si>
  <si>
    <t>丁桂兰</t>
  </si>
  <si>
    <t>史桂琴</t>
  </si>
  <si>
    <t>陈春英</t>
  </si>
  <si>
    <t>席凤琴</t>
  </si>
  <si>
    <t>侯凤英</t>
  </si>
  <si>
    <t>王玉芝</t>
  </si>
  <si>
    <t>肖桂芝</t>
  </si>
  <si>
    <t>希勒</t>
  </si>
  <si>
    <t>吴敖日布仁亲</t>
  </si>
  <si>
    <t>温桂荣</t>
  </si>
  <si>
    <t>李永富</t>
  </si>
  <si>
    <t>钟宪荣</t>
  </si>
  <si>
    <t>吴范</t>
  </si>
  <si>
    <t>宝莲花</t>
  </si>
  <si>
    <t>刘模德格</t>
  </si>
  <si>
    <t>王有民</t>
  </si>
  <si>
    <t>孙玉柱</t>
  </si>
  <si>
    <t>于海瑞</t>
  </si>
  <si>
    <t>于文成</t>
  </si>
  <si>
    <t>邓坤</t>
  </si>
  <si>
    <t>张晓明</t>
  </si>
  <si>
    <t>韩福贵</t>
  </si>
  <si>
    <t>徐玉兰</t>
  </si>
  <si>
    <t>陈凤江</t>
  </si>
  <si>
    <t>宁志恒</t>
  </si>
  <si>
    <t>史国忠</t>
  </si>
  <si>
    <t>刘树怀</t>
  </si>
  <si>
    <t>其木格</t>
  </si>
  <si>
    <t>陶玉兰</t>
  </si>
  <si>
    <t>张景芳</t>
  </si>
  <si>
    <t>15232619381026041X</t>
  </si>
  <si>
    <t>王聪</t>
  </si>
  <si>
    <t>侯乌力吉尼玛</t>
  </si>
  <si>
    <t>15232619591115042X</t>
  </si>
  <si>
    <t>李向侠</t>
  </si>
  <si>
    <t>吴俊英</t>
  </si>
  <si>
    <t>苗玉英</t>
  </si>
  <si>
    <t>牟景臣</t>
  </si>
  <si>
    <t>刘素琴</t>
  </si>
  <si>
    <t>王贵春</t>
  </si>
  <si>
    <t>15232619631214046X</t>
  </si>
  <si>
    <t>高新华</t>
  </si>
  <si>
    <t>孙久琴</t>
  </si>
  <si>
    <t>刘文山</t>
  </si>
  <si>
    <t>马金花</t>
  </si>
  <si>
    <t>张秀琴</t>
  </si>
  <si>
    <t>王凤花</t>
  </si>
  <si>
    <t>张敏杰</t>
  </si>
  <si>
    <t>贺有仪</t>
  </si>
  <si>
    <t>张翠平</t>
  </si>
  <si>
    <t>张殿相</t>
  </si>
  <si>
    <t>宗明贤</t>
  </si>
  <si>
    <t>杨玉兰</t>
  </si>
  <si>
    <t>张会芝</t>
  </si>
  <si>
    <t>张国珍</t>
  </si>
  <si>
    <t>姜显忠</t>
  </si>
  <si>
    <t>史桂英</t>
  </si>
  <si>
    <t>戴昂斯玛</t>
  </si>
  <si>
    <t>15232619480916066X</t>
  </si>
  <si>
    <t>张淑兰</t>
  </si>
  <si>
    <t>耿玉枝</t>
  </si>
  <si>
    <t>吴凤金</t>
  </si>
  <si>
    <t>周帮肋</t>
  </si>
  <si>
    <t>张布和</t>
  </si>
  <si>
    <t>白朝古拉</t>
  </si>
  <si>
    <t>15232619471204091X</t>
  </si>
  <si>
    <t>宝车吉敖斯</t>
  </si>
  <si>
    <t>席梅吉德道尔吉</t>
  </si>
  <si>
    <t>15232619490923614X</t>
  </si>
  <si>
    <t>张月云</t>
  </si>
  <si>
    <t>倪桂芝</t>
  </si>
  <si>
    <t>王井财</t>
  </si>
  <si>
    <t>王喜琢</t>
  </si>
  <si>
    <t>宝巴达玛</t>
  </si>
  <si>
    <t>张桂娥</t>
  </si>
  <si>
    <t>莫得格</t>
  </si>
  <si>
    <t>纪树兰</t>
  </si>
  <si>
    <t>刘中兴</t>
  </si>
  <si>
    <t>15232619510522042X</t>
  </si>
  <si>
    <t>韩树花</t>
  </si>
  <si>
    <t>曹会</t>
  </si>
  <si>
    <t>15232619500826042X</t>
  </si>
  <si>
    <t>于桂英</t>
  </si>
  <si>
    <t>吴桂霞</t>
  </si>
  <si>
    <t>15232619480117002X</t>
  </si>
  <si>
    <t>董欣华</t>
  </si>
  <si>
    <t>宝凤琴</t>
  </si>
  <si>
    <t>王金财</t>
  </si>
  <si>
    <t>扎力嘎</t>
  </si>
  <si>
    <t>15232619541217067X</t>
  </si>
  <si>
    <t>15232619610127066X</t>
  </si>
  <si>
    <t>王永红</t>
  </si>
  <si>
    <t>李新</t>
  </si>
  <si>
    <t>张淑苓</t>
  </si>
  <si>
    <t>谷士强</t>
  </si>
  <si>
    <t>王建军</t>
  </si>
  <si>
    <t>王作芳</t>
  </si>
  <si>
    <t>哈达朝鲁</t>
  </si>
  <si>
    <t>崔宝德</t>
  </si>
  <si>
    <t>牟景华</t>
  </si>
  <si>
    <t>孙继和</t>
  </si>
  <si>
    <t>唐永荣</t>
  </si>
  <si>
    <t>宝乌力塔</t>
  </si>
  <si>
    <t>白胖小</t>
  </si>
  <si>
    <t>王国玉</t>
  </si>
  <si>
    <t>刘翠环</t>
  </si>
  <si>
    <t>张国柱</t>
  </si>
  <si>
    <t>勾淑真</t>
  </si>
  <si>
    <t>15232619560503069X</t>
  </si>
  <si>
    <t>张林</t>
  </si>
  <si>
    <t>敖花木兰</t>
  </si>
  <si>
    <t>吕金和</t>
  </si>
  <si>
    <t>马广兰</t>
  </si>
  <si>
    <t>牛井英</t>
  </si>
  <si>
    <t>高福</t>
  </si>
  <si>
    <t>王梅花</t>
  </si>
  <si>
    <t>吴松江</t>
  </si>
  <si>
    <t>耿桂坤</t>
  </si>
  <si>
    <t>梁淑芬</t>
  </si>
  <si>
    <t>罗广军</t>
  </si>
  <si>
    <t>段玉琢</t>
  </si>
  <si>
    <t>15232619580929067X</t>
  </si>
  <si>
    <t>王有</t>
  </si>
  <si>
    <t>常桂云</t>
  </si>
  <si>
    <t>刘振富</t>
  </si>
  <si>
    <t>张海林</t>
  </si>
  <si>
    <t>韦秀玲</t>
  </si>
  <si>
    <t>刘振生</t>
  </si>
  <si>
    <t>东亚文</t>
  </si>
  <si>
    <t>李子忠</t>
  </si>
  <si>
    <t>武玉珍</t>
  </si>
  <si>
    <t>15232619630814066X</t>
  </si>
  <si>
    <t>王英</t>
  </si>
  <si>
    <t>宋国香</t>
  </si>
  <si>
    <t>刘金荣</t>
  </si>
  <si>
    <t>王淑学</t>
  </si>
  <si>
    <t>刘福芹</t>
  </si>
  <si>
    <t>15232619580415066X</t>
  </si>
  <si>
    <t>于翠萍</t>
  </si>
  <si>
    <t>牛景贵</t>
  </si>
  <si>
    <t>田桂兰</t>
  </si>
  <si>
    <t>陈玉祥</t>
  </si>
  <si>
    <t>王会芬</t>
  </si>
  <si>
    <t>任凤琴</t>
  </si>
  <si>
    <t>樊翠莲</t>
  </si>
  <si>
    <t>15232619531015066X</t>
  </si>
  <si>
    <t>张玉霞</t>
  </si>
  <si>
    <t>周桂芬</t>
  </si>
  <si>
    <t>牟景花</t>
  </si>
  <si>
    <t>刘玉娥</t>
  </si>
  <si>
    <t>张晓民</t>
  </si>
  <si>
    <t>刘国忠</t>
  </si>
  <si>
    <t>谢来小</t>
  </si>
  <si>
    <t>孙玉兰</t>
  </si>
  <si>
    <t>杨礼</t>
  </si>
  <si>
    <t>翟占霞</t>
  </si>
  <si>
    <t>吴常荣</t>
  </si>
  <si>
    <t>翟桂英</t>
  </si>
  <si>
    <t>万丫头</t>
  </si>
  <si>
    <t>李凤岐</t>
  </si>
  <si>
    <t>周素云</t>
  </si>
  <si>
    <t>席龙</t>
  </si>
  <si>
    <t>梁玉柱</t>
  </si>
  <si>
    <t>卢凤芝</t>
  </si>
  <si>
    <t>常凤珠</t>
  </si>
  <si>
    <t>肖洪水</t>
  </si>
  <si>
    <t>辛凤华</t>
  </si>
  <si>
    <t>王翠花</t>
  </si>
  <si>
    <t>卢永付</t>
  </si>
  <si>
    <t>贾荣</t>
  </si>
  <si>
    <t>吕占荣</t>
  </si>
  <si>
    <t>洪文梅</t>
  </si>
  <si>
    <t>周宁布</t>
  </si>
  <si>
    <t>马勿日嘎</t>
  </si>
  <si>
    <t>李丁宝</t>
  </si>
  <si>
    <t>杭月兰</t>
  </si>
  <si>
    <t>龚金花</t>
  </si>
  <si>
    <t>邰那仁其木格</t>
  </si>
  <si>
    <t>顾翠平</t>
  </si>
  <si>
    <t>15232619570716041X</t>
  </si>
  <si>
    <t>乔树林</t>
  </si>
  <si>
    <t>王凤芹</t>
  </si>
  <si>
    <t>王凯</t>
  </si>
  <si>
    <t>徐原琴</t>
  </si>
  <si>
    <t>15232619610913067X</t>
  </si>
  <si>
    <t>于海</t>
  </si>
  <si>
    <t>张淑英</t>
  </si>
  <si>
    <t>15232619540909045X</t>
  </si>
  <si>
    <t>贾玉福</t>
  </si>
  <si>
    <t>王瑞青</t>
  </si>
  <si>
    <t>王翠芝</t>
  </si>
  <si>
    <t>胡桂荣</t>
  </si>
  <si>
    <t>王爱荣</t>
  </si>
  <si>
    <t>陈桂玲</t>
  </si>
  <si>
    <t>15232619551024066X</t>
  </si>
  <si>
    <t>路桂芹</t>
  </si>
  <si>
    <t>王财</t>
  </si>
  <si>
    <t>刘翠珍</t>
  </si>
  <si>
    <t>索明华</t>
  </si>
  <si>
    <t>孙桂霞</t>
  </si>
  <si>
    <t>刘洪兰</t>
  </si>
  <si>
    <t>根叶</t>
  </si>
  <si>
    <t>15232619550520041X</t>
  </si>
  <si>
    <t>陈国田</t>
  </si>
  <si>
    <t>张俊花</t>
  </si>
  <si>
    <t>15232619570824042X</t>
  </si>
  <si>
    <t>邹继梅</t>
  </si>
  <si>
    <t>马凤学</t>
  </si>
  <si>
    <t>穆秀芬</t>
  </si>
  <si>
    <t>15232619520424067X</t>
  </si>
  <si>
    <t>张爱民</t>
  </si>
  <si>
    <t>张玉枝</t>
  </si>
  <si>
    <t>张庆芹</t>
  </si>
  <si>
    <t>曹国华</t>
  </si>
  <si>
    <t>李向仪</t>
  </si>
  <si>
    <t>张桂杰</t>
  </si>
  <si>
    <t>刘芝</t>
  </si>
  <si>
    <t>15232619621122041X</t>
  </si>
  <si>
    <t>宫玉军</t>
  </si>
  <si>
    <t>腾玉贤</t>
  </si>
  <si>
    <t>刘庆凤</t>
  </si>
  <si>
    <t>李凤先</t>
  </si>
  <si>
    <t>轩凤英</t>
  </si>
  <si>
    <t>孟庆山</t>
  </si>
  <si>
    <t>龙清</t>
  </si>
  <si>
    <t>林贵成</t>
  </si>
  <si>
    <t>杨春林</t>
  </si>
  <si>
    <t>王珍贵</t>
  </si>
  <si>
    <t>姜彦廷</t>
  </si>
  <si>
    <t>范德</t>
  </si>
  <si>
    <t>隋玉华</t>
  </si>
  <si>
    <t>刘凤芝</t>
  </si>
  <si>
    <t>周玉芝</t>
  </si>
  <si>
    <t>张亚贤</t>
  </si>
  <si>
    <t>李有</t>
  </si>
  <si>
    <t>张喜生</t>
  </si>
  <si>
    <t>刘振阳</t>
  </si>
  <si>
    <t>葛树春</t>
  </si>
  <si>
    <t>张喜玲</t>
  </si>
  <si>
    <t>张云英</t>
  </si>
  <si>
    <t>霍英兰</t>
  </si>
  <si>
    <t>白宝森</t>
  </si>
  <si>
    <t>郭金龙</t>
  </si>
  <si>
    <t>李国霞</t>
  </si>
  <si>
    <t>刘凤全</t>
  </si>
  <si>
    <t>吕广义</t>
  </si>
  <si>
    <t>刘树杰</t>
  </si>
  <si>
    <t>沈玉枝</t>
  </si>
  <si>
    <t>宋树全</t>
  </si>
  <si>
    <t>张纪福</t>
  </si>
  <si>
    <t>高国富</t>
  </si>
  <si>
    <t>刘亚军</t>
  </si>
  <si>
    <t>刘振江</t>
  </si>
  <si>
    <t>王玲</t>
  </si>
  <si>
    <t>梁满都拉</t>
  </si>
  <si>
    <t>葛福春</t>
  </si>
  <si>
    <t>郭荣</t>
  </si>
  <si>
    <t>张淑云</t>
  </si>
  <si>
    <t>15232619530824611X</t>
  </si>
  <si>
    <t>杨军</t>
  </si>
  <si>
    <t>刘玉琢</t>
  </si>
  <si>
    <t>白玉</t>
  </si>
  <si>
    <t>白海香</t>
  </si>
  <si>
    <t>正月</t>
  </si>
  <si>
    <t>吴双喜</t>
  </si>
  <si>
    <t>柳义芳</t>
  </si>
  <si>
    <t>姚淑珍</t>
  </si>
  <si>
    <t>刘井荣</t>
  </si>
  <si>
    <t>田振花</t>
  </si>
  <si>
    <t>张勿力吉</t>
  </si>
  <si>
    <t>潘景琴</t>
  </si>
  <si>
    <t>昝桂芬</t>
  </si>
  <si>
    <t>15232619520520331X</t>
  </si>
  <si>
    <t>陈玉林</t>
  </si>
  <si>
    <t>陈永岐</t>
  </si>
  <si>
    <t>窦振河</t>
  </si>
  <si>
    <t>李青海</t>
  </si>
  <si>
    <t>谢素云</t>
  </si>
  <si>
    <t>石树学</t>
  </si>
  <si>
    <t>恒布和敖斯</t>
  </si>
  <si>
    <t>盛志义</t>
  </si>
  <si>
    <t>王云杰</t>
  </si>
  <si>
    <t>刘恩泽</t>
  </si>
  <si>
    <t>吕丙荣</t>
  </si>
  <si>
    <t>孔香莲</t>
  </si>
  <si>
    <t>李月琴</t>
  </si>
  <si>
    <t>张树华</t>
  </si>
  <si>
    <t>李淑梅</t>
  </si>
  <si>
    <t>孙凤明</t>
  </si>
  <si>
    <t>孙国军</t>
  </si>
  <si>
    <t>孙淑玉</t>
  </si>
  <si>
    <t>15232619550117092X</t>
  </si>
  <si>
    <t>梁双喜</t>
  </si>
  <si>
    <t>王布和</t>
  </si>
  <si>
    <t>15232619550504092X</t>
  </si>
  <si>
    <t>王勿云其木格</t>
  </si>
  <si>
    <t>吴布图格其</t>
  </si>
  <si>
    <t>邓玉财</t>
  </si>
  <si>
    <t>邓玉海</t>
  </si>
  <si>
    <t>贾青</t>
  </si>
  <si>
    <t>刘文军</t>
  </si>
  <si>
    <t>张振华</t>
  </si>
  <si>
    <t>吕月学</t>
  </si>
  <si>
    <t>15232619571204611X</t>
  </si>
  <si>
    <t>杜义彬</t>
  </si>
  <si>
    <t>郭素珍</t>
  </si>
  <si>
    <t>郭永华</t>
  </si>
  <si>
    <t>包文都苏</t>
  </si>
  <si>
    <t>唐玉娥</t>
  </si>
  <si>
    <t>15232619590729042X</t>
  </si>
  <si>
    <t>王树荣</t>
  </si>
  <si>
    <t>15232619560426067X</t>
  </si>
  <si>
    <t>王天富</t>
  </si>
  <si>
    <t>胡敖斯加卜</t>
  </si>
  <si>
    <t>贾荣学</t>
  </si>
  <si>
    <t>丁彩学</t>
  </si>
  <si>
    <t>何翠花</t>
  </si>
  <si>
    <t>15232619561226382X</t>
  </si>
  <si>
    <t>黄杰</t>
  </si>
  <si>
    <t>张晓凤</t>
  </si>
  <si>
    <t>罗艳岭</t>
  </si>
  <si>
    <t>乔玉荣</t>
  </si>
  <si>
    <t>李淑香</t>
  </si>
  <si>
    <t>莫都格</t>
  </si>
  <si>
    <t>李永琴</t>
  </si>
  <si>
    <t>刘坤</t>
  </si>
  <si>
    <t>刘明</t>
  </si>
  <si>
    <t>朱翠云</t>
  </si>
  <si>
    <t>朱凤岐</t>
  </si>
  <si>
    <t>宋国峰</t>
  </si>
  <si>
    <t>15232619630303004X</t>
  </si>
  <si>
    <t>刘玉荣</t>
  </si>
  <si>
    <t>龙建臣</t>
  </si>
  <si>
    <t>周振玲</t>
  </si>
  <si>
    <t>黄凤芹</t>
  </si>
  <si>
    <t>王占生</t>
  </si>
  <si>
    <t>王爱琴</t>
  </si>
  <si>
    <t>王建国</t>
  </si>
  <si>
    <t>蔚增云</t>
  </si>
  <si>
    <t>金殿江</t>
  </si>
  <si>
    <t>孙国臣</t>
  </si>
  <si>
    <t>王爱学</t>
  </si>
  <si>
    <t>王丽芬</t>
  </si>
  <si>
    <t>沈少萍</t>
  </si>
  <si>
    <t>于香臣</t>
  </si>
  <si>
    <t>宝萨那才图</t>
  </si>
  <si>
    <t>李志生</t>
  </si>
  <si>
    <t>15232619550915334X</t>
  </si>
  <si>
    <t>杨桂芹</t>
  </si>
  <si>
    <t>李士祥</t>
  </si>
  <si>
    <t>李显凤</t>
  </si>
  <si>
    <t>刘国均</t>
  </si>
  <si>
    <t>田凤友</t>
  </si>
  <si>
    <t>陈秀平</t>
  </si>
  <si>
    <t>陈永发</t>
  </si>
  <si>
    <t>胡贵枝</t>
  </si>
  <si>
    <t>宝海峰</t>
  </si>
  <si>
    <t>曹凤霞</t>
  </si>
  <si>
    <t>陈桂平</t>
  </si>
  <si>
    <t>陈英</t>
  </si>
  <si>
    <t>代玉芝</t>
  </si>
  <si>
    <t>宝米切道尔吉</t>
  </si>
  <si>
    <t>王凤丛</t>
  </si>
  <si>
    <t>赵春香</t>
  </si>
  <si>
    <t>宝那木拉</t>
  </si>
  <si>
    <t>李敖特根白音</t>
  </si>
  <si>
    <t>王玉龙</t>
  </si>
  <si>
    <t>吴敖敦格日乐</t>
  </si>
  <si>
    <t>刘树新</t>
  </si>
  <si>
    <t>白秀侠</t>
  </si>
  <si>
    <t>刘少芹</t>
  </si>
  <si>
    <t>15232619590126612X</t>
  </si>
  <si>
    <t>王淑平</t>
  </si>
  <si>
    <t>胡永金</t>
  </si>
  <si>
    <t>15232619561225638X</t>
  </si>
  <si>
    <t>庞玉兰</t>
  </si>
  <si>
    <t>黄翠花</t>
  </si>
  <si>
    <t>赵淑苹</t>
  </si>
  <si>
    <t>齐亚华</t>
  </si>
  <si>
    <t>王秀芬</t>
  </si>
  <si>
    <t>吴海清</t>
  </si>
  <si>
    <t>朱国玉</t>
  </si>
  <si>
    <t>张淑清</t>
  </si>
  <si>
    <t>刘淑敏</t>
  </si>
  <si>
    <t>王喜廷</t>
  </si>
  <si>
    <t>毕秀云</t>
  </si>
  <si>
    <t>陈云峰</t>
  </si>
  <si>
    <t>贾凤阳</t>
  </si>
  <si>
    <t>韩宝金</t>
  </si>
  <si>
    <t>昝化君</t>
  </si>
  <si>
    <t>崔凤霞</t>
  </si>
  <si>
    <t>孟宪文</t>
  </si>
  <si>
    <t>金月平</t>
  </si>
  <si>
    <t>张亚琴</t>
  </si>
  <si>
    <t>耿桂花</t>
  </si>
  <si>
    <t>李凤枝</t>
  </si>
  <si>
    <t>宋凤珍</t>
  </si>
  <si>
    <t>桑树兰</t>
  </si>
  <si>
    <t>王鹏</t>
  </si>
  <si>
    <t>宝正月九</t>
  </si>
  <si>
    <t>王桂凤</t>
  </si>
  <si>
    <t>薛巴图</t>
  </si>
  <si>
    <t>15232619591017004X</t>
  </si>
  <si>
    <t>刘梦华</t>
  </si>
  <si>
    <t>刘金辉</t>
  </si>
  <si>
    <t>孙建华</t>
  </si>
  <si>
    <t>王建明</t>
  </si>
  <si>
    <t>吴朝格图</t>
  </si>
  <si>
    <t>15232619620617333X</t>
  </si>
  <si>
    <t>李巴根那</t>
  </si>
  <si>
    <t>孙喜臣</t>
  </si>
  <si>
    <t>单桂琴</t>
  </si>
  <si>
    <t>刘香玲</t>
  </si>
  <si>
    <t>戴志钢</t>
  </si>
  <si>
    <t>盛瑞枝</t>
  </si>
  <si>
    <t>韩春林</t>
  </si>
  <si>
    <t>李友贤</t>
  </si>
  <si>
    <t>赵青林</t>
  </si>
  <si>
    <t>15232619580527383X</t>
  </si>
  <si>
    <t>席日莫</t>
  </si>
  <si>
    <t>15232619470326118X</t>
  </si>
  <si>
    <t>尹桂芬</t>
  </si>
  <si>
    <t>15232619310919002X</t>
  </si>
  <si>
    <t>徐桂兰</t>
  </si>
  <si>
    <t>15232619320404002X</t>
  </si>
  <si>
    <t>陈淑荣</t>
  </si>
  <si>
    <t>15232619321212002X</t>
  </si>
  <si>
    <t>张显英</t>
  </si>
  <si>
    <t>肖风娥</t>
  </si>
  <si>
    <t>孟和</t>
  </si>
  <si>
    <t>夏庆兰</t>
  </si>
  <si>
    <t>潘淑兰</t>
  </si>
  <si>
    <t>任国芹</t>
  </si>
  <si>
    <t>王明霞</t>
  </si>
  <si>
    <t>刘莲花</t>
  </si>
  <si>
    <t>祝国凤</t>
  </si>
  <si>
    <t>陈廷香</t>
  </si>
  <si>
    <t>15232619381229228X</t>
  </si>
  <si>
    <t>郭金枝</t>
  </si>
  <si>
    <t>蔡继福</t>
  </si>
  <si>
    <t>王继华</t>
  </si>
  <si>
    <t>陈秀凤</t>
  </si>
  <si>
    <t>牟凤忠</t>
  </si>
  <si>
    <t>腾杜根扎卜</t>
  </si>
  <si>
    <t>15232619590127092X</t>
  </si>
  <si>
    <t>程秀英</t>
  </si>
  <si>
    <t>路丕贤</t>
  </si>
  <si>
    <t>宋淑荣</t>
  </si>
  <si>
    <t>15232619560609066X</t>
  </si>
  <si>
    <t>昝桂花</t>
  </si>
  <si>
    <t>张俊富</t>
  </si>
  <si>
    <t>吴达木加布</t>
  </si>
  <si>
    <t>李占柱</t>
  </si>
  <si>
    <t>宝那须仓</t>
  </si>
  <si>
    <t>马木日额</t>
  </si>
  <si>
    <t>宋秀珍</t>
  </si>
  <si>
    <t>李忠</t>
  </si>
  <si>
    <t>韩国荣</t>
  </si>
  <si>
    <t>周丽娟</t>
  </si>
  <si>
    <t>吴扎拉</t>
  </si>
  <si>
    <t>席布和巴塔</t>
  </si>
  <si>
    <t>孟庆芬</t>
  </si>
  <si>
    <t>周汉林</t>
  </si>
  <si>
    <t>李回春</t>
  </si>
  <si>
    <t>李井辉</t>
  </si>
  <si>
    <t>任维军</t>
  </si>
  <si>
    <t>安晓辉</t>
  </si>
  <si>
    <t>程起</t>
  </si>
  <si>
    <t>程永和</t>
  </si>
  <si>
    <t>耿柏华</t>
  </si>
  <si>
    <t>郝文财</t>
  </si>
  <si>
    <t>厚华玉</t>
  </si>
  <si>
    <t>金永存</t>
  </si>
  <si>
    <t>轩德军</t>
  </si>
  <si>
    <t>张喜民</t>
  </si>
  <si>
    <t>15232619600412066X</t>
  </si>
  <si>
    <t>赵玉芹</t>
  </si>
  <si>
    <t>邹继花</t>
  </si>
  <si>
    <t>魏树江</t>
  </si>
  <si>
    <t>何玉海</t>
  </si>
  <si>
    <t>田桂术</t>
  </si>
  <si>
    <t>宝格斯日玛</t>
  </si>
  <si>
    <t>宝娜仁必力格</t>
  </si>
  <si>
    <t>范振山</t>
  </si>
  <si>
    <t>宝彩花</t>
  </si>
  <si>
    <t>徐白乙拉</t>
  </si>
  <si>
    <t>陈福忠</t>
  </si>
  <si>
    <t>朱玲娟</t>
  </si>
  <si>
    <t>梁宝迪贺什格</t>
  </si>
  <si>
    <t>辛凤兰</t>
  </si>
  <si>
    <t>崔淑荣</t>
  </si>
  <si>
    <t>孙芳</t>
  </si>
  <si>
    <t>王振华</t>
  </si>
  <si>
    <t>陈俭</t>
  </si>
  <si>
    <t>牛学风</t>
  </si>
  <si>
    <t>腾孙小</t>
  </si>
  <si>
    <t>穆秀珍</t>
  </si>
  <si>
    <t>张凤英</t>
  </si>
  <si>
    <t>石玉芳</t>
  </si>
  <si>
    <t>白布和</t>
  </si>
  <si>
    <t>15232619580730066X</t>
  </si>
  <si>
    <t>李悦华</t>
  </si>
  <si>
    <t>寇江</t>
  </si>
  <si>
    <t>勾素珍</t>
  </si>
  <si>
    <t>15232619590303041X</t>
  </si>
  <si>
    <t>赵国学</t>
  </si>
  <si>
    <t>徐虎</t>
  </si>
  <si>
    <t>徐会</t>
  </si>
  <si>
    <t>王亚兰</t>
  </si>
  <si>
    <t>梁志学</t>
  </si>
  <si>
    <t>夏长岭</t>
  </si>
  <si>
    <t>杨桂珍</t>
  </si>
  <si>
    <t>周月亮</t>
  </si>
  <si>
    <t>卢凤霞</t>
  </si>
  <si>
    <t>杜国树</t>
  </si>
  <si>
    <t>牛井荣</t>
  </si>
  <si>
    <t>李月辉</t>
  </si>
  <si>
    <t>丛志民</t>
  </si>
  <si>
    <t>姜显文</t>
  </si>
  <si>
    <t>李洪金</t>
  </si>
  <si>
    <t>白图门勿力吉</t>
  </si>
  <si>
    <t>15232619580621003X</t>
  </si>
  <si>
    <t>吕国和</t>
  </si>
  <si>
    <t>刘连花</t>
  </si>
  <si>
    <t>伍宝音格喜格</t>
  </si>
  <si>
    <t>刘玉梅</t>
  </si>
  <si>
    <t>胡巴图</t>
  </si>
  <si>
    <t>张吉贵</t>
  </si>
  <si>
    <t>姚月英</t>
  </si>
  <si>
    <t>孙合</t>
  </si>
  <si>
    <t>武坤</t>
  </si>
  <si>
    <t>徐明</t>
  </si>
  <si>
    <t>梁勿云其木格</t>
  </si>
  <si>
    <t>15232619601205042X</t>
  </si>
  <si>
    <t>谢志林</t>
  </si>
  <si>
    <t>单永财</t>
  </si>
  <si>
    <t>王明干白音</t>
  </si>
  <si>
    <t>兰国军</t>
  </si>
  <si>
    <t>王庆林</t>
  </si>
  <si>
    <t>李凤山</t>
  </si>
  <si>
    <t>涂玉芝</t>
  </si>
  <si>
    <t>王建玉</t>
  </si>
  <si>
    <t>田林英</t>
  </si>
  <si>
    <t>王丽荣</t>
  </si>
  <si>
    <t>王乌力吉</t>
  </si>
  <si>
    <t>张振琢</t>
  </si>
  <si>
    <t>15232619600707382X</t>
  </si>
  <si>
    <t>陈凤英</t>
  </si>
  <si>
    <t>齐凤明</t>
  </si>
  <si>
    <t>15232619611218066X</t>
  </si>
  <si>
    <t>马哈斯托雅</t>
  </si>
  <si>
    <t>宝玉山</t>
  </si>
  <si>
    <t>李百顺</t>
  </si>
  <si>
    <t>沈林</t>
  </si>
  <si>
    <t>蒋万荣</t>
  </si>
  <si>
    <t>陈凤芝</t>
  </si>
  <si>
    <t>范国臣</t>
  </si>
  <si>
    <t>刘庆俊</t>
  </si>
  <si>
    <t>15232619621106383X</t>
  </si>
  <si>
    <t>范玉贵</t>
  </si>
  <si>
    <t>袁喜文</t>
  </si>
  <si>
    <t>刘立安</t>
  </si>
  <si>
    <t>王树心</t>
  </si>
  <si>
    <t>白玉莲</t>
  </si>
  <si>
    <t>李彩芬</t>
  </si>
  <si>
    <t>15232619630615331X</t>
  </si>
  <si>
    <t>王哈朝老</t>
  </si>
  <si>
    <t>宁维华</t>
  </si>
  <si>
    <t>宗安</t>
  </si>
  <si>
    <t>魏淑坤</t>
  </si>
  <si>
    <t>赵金香</t>
  </si>
  <si>
    <t>领小</t>
  </si>
  <si>
    <t>15232619631013068X</t>
  </si>
  <si>
    <t>洪秀杰</t>
  </si>
  <si>
    <t>崔占有</t>
  </si>
  <si>
    <t>张桂霞</t>
  </si>
  <si>
    <t>孙洪彬</t>
  </si>
  <si>
    <t>王树莲</t>
  </si>
  <si>
    <t>张举</t>
  </si>
  <si>
    <t>王景利</t>
  </si>
  <si>
    <t>刘凤志</t>
  </si>
  <si>
    <t>刘万春</t>
  </si>
  <si>
    <t>郭学礼</t>
  </si>
  <si>
    <t>韩玉花</t>
  </si>
  <si>
    <t>胡达巴宁布</t>
  </si>
  <si>
    <t>罗俊生</t>
  </si>
  <si>
    <t>王瑞芳</t>
  </si>
  <si>
    <t>王有祥</t>
  </si>
  <si>
    <t>15232619630906382X</t>
  </si>
  <si>
    <t>陈玉霞</t>
  </si>
  <si>
    <t>康有</t>
  </si>
  <si>
    <t>王景荣</t>
  </si>
  <si>
    <t>吴军</t>
  </si>
  <si>
    <t>于香民</t>
  </si>
  <si>
    <t>孙国花</t>
  </si>
  <si>
    <t>郑彩云</t>
  </si>
  <si>
    <t>范国军</t>
  </si>
  <si>
    <t>孙洪喜</t>
  </si>
  <si>
    <t>付崇仪</t>
  </si>
  <si>
    <t>叶素花</t>
  </si>
  <si>
    <t>许云芝</t>
  </si>
  <si>
    <t>闫素云</t>
  </si>
  <si>
    <t>计祥</t>
  </si>
  <si>
    <t>马国林</t>
  </si>
  <si>
    <t>索纪海</t>
  </si>
  <si>
    <t>胡玉华</t>
  </si>
  <si>
    <t>王淑琴</t>
  </si>
  <si>
    <t>15232619590825042X</t>
  </si>
  <si>
    <t>王秀琴</t>
  </si>
  <si>
    <t>张彩珍</t>
  </si>
  <si>
    <t>高玉芝</t>
  </si>
  <si>
    <t>时淑芳</t>
  </si>
  <si>
    <t>包结籽</t>
  </si>
  <si>
    <t>15232619590203331X</t>
  </si>
  <si>
    <t>江占峰</t>
  </si>
  <si>
    <t>梁海堂</t>
  </si>
  <si>
    <t>崔喜龙</t>
  </si>
  <si>
    <t>15232619591230331X</t>
  </si>
  <si>
    <t>郭振全</t>
  </si>
  <si>
    <t>陈龙</t>
  </si>
  <si>
    <t>徐凤华</t>
  </si>
  <si>
    <t>15232619580228332X</t>
  </si>
  <si>
    <t>高桂兰</t>
  </si>
  <si>
    <t>尉范珍</t>
  </si>
  <si>
    <t>张岐</t>
  </si>
  <si>
    <t>崔贺玲</t>
  </si>
  <si>
    <t>张惠武</t>
  </si>
  <si>
    <t>李金荣</t>
  </si>
  <si>
    <t>卢海廷</t>
  </si>
  <si>
    <t>魏素兰</t>
  </si>
  <si>
    <t>闫秀云</t>
  </si>
  <si>
    <t>封树</t>
  </si>
  <si>
    <t>范国学</t>
  </si>
  <si>
    <t>杜淑苹</t>
  </si>
  <si>
    <t>刘成霞</t>
  </si>
  <si>
    <t>卢景琴</t>
  </si>
  <si>
    <t>王景勤</t>
  </si>
  <si>
    <t>袁树芬</t>
  </si>
  <si>
    <t>刘国志</t>
  </si>
  <si>
    <t>张淑芝</t>
  </si>
  <si>
    <t>张银</t>
  </si>
  <si>
    <t>于祥</t>
  </si>
  <si>
    <t>于显明</t>
  </si>
  <si>
    <t>邱春莲</t>
  </si>
  <si>
    <t>刘凤华</t>
  </si>
  <si>
    <t>颜景和</t>
  </si>
  <si>
    <t>夏淑荣</t>
  </si>
  <si>
    <t>15232619570825010X</t>
  </si>
  <si>
    <t>冯玉华</t>
  </si>
  <si>
    <t>徐原花</t>
  </si>
  <si>
    <t>15232619420324042X</t>
  </si>
  <si>
    <t>袁秀花</t>
  </si>
  <si>
    <t>田国民</t>
  </si>
  <si>
    <t>代凤云</t>
  </si>
  <si>
    <t>15232619390516384X</t>
  </si>
  <si>
    <t>侯巴力吉尼玛</t>
  </si>
  <si>
    <t>孙占武</t>
  </si>
  <si>
    <t>孔庆连</t>
  </si>
  <si>
    <t>15232619490701069X</t>
  </si>
  <si>
    <t>唐占福</t>
  </si>
  <si>
    <t>徐福</t>
  </si>
  <si>
    <t>贾振清</t>
  </si>
  <si>
    <t>金宝玉</t>
  </si>
  <si>
    <t>金伶美</t>
  </si>
  <si>
    <t>陈玉芬</t>
  </si>
  <si>
    <t>乔树军</t>
  </si>
  <si>
    <t>罗文发</t>
  </si>
  <si>
    <t>朱云苓</t>
  </si>
  <si>
    <t>梁金花</t>
  </si>
  <si>
    <t>15232619540326042X</t>
  </si>
  <si>
    <t>刘海芝</t>
  </si>
  <si>
    <t>罗翠荣</t>
  </si>
  <si>
    <t>盛玉贤</t>
  </si>
  <si>
    <t>高学瑞</t>
  </si>
  <si>
    <t>王喜梅</t>
  </si>
  <si>
    <t>苏凤花</t>
  </si>
  <si>
    <t>杜凤荣</t>
  </si>
  <si>
    <t>李瑞霞</t>
  </si>
  <si>
    <t>邢印富</t>
  </si>
  <si>
    <t>徐桂东</t>
  </si>
  <si>
    <t>张玉华</t>
  </si>
  <si>
    <t>潘太永</t>
  </si>
  <si>
    <t>辛士有</t>
  </si>
  <si>
    <t>赵国民</t>
  </si>
  <si>
    <t>张学云</t>
  </si>
  <si>
    <t>王国军</t>
  </si>
  <si>
    <t>刘凤忠</t>
  </si>
  <si>
    <t>李彩儒</t>
  </si>
  <si>
    <t>韩福明</t>
  </si>
  <si>
    <t>罗延学</t>
  </si>
  <si>
    <t>李玉娥</t>
  </si>
  <si>
    <t>孙秀云</t>
  </si>
  <si>
    <t>贺宝花</t>
  </si>
  <si>
    <t>陈树桃</t>
  </si>
  <si>
    <t>王振伍</t>
  </si>
  <si>
    <t>李海清</t>
  </si>
  <si>
    <t>辛化领</t>
  </si>
  <si>
    <t>齐振英</t>
  </si>
  <si>
    <t>15232619490613384X</t>
  </si>
  <si>
    <t>吕桂芝</t>
  </si>
  <si>
    <t>石兆银</t>
  </si>
  <si>
    <t>何桂兰</t>
  </si>
  <si>
    <t>闫绍云</t>
  </si>
  <si>
    <t>牛学增</t>
  </si>
  <si>
    <t>李树荣</t>
  </si>
  <si>
    <t>罗永富</t>
  </si>
  <si>
    <t>崔桂丛</t>
  </si>
  <si>
    <t>张爱荣</t>
  </si>
  <si>
    <t>15232619301221067X</t>
  </si>
  <si>
    <t>轩子林</t>
  </si>
  <si>
    <t>刘云塔</t>
  </si>
  <si>
    <t>束桂珍</t>
  </si>
  <si>
    <t>林凤英</t>
  </si>
  <si>
    <t>高振兴</t>
  </si>
  <si>
    <t>丁彩凤</t>
  </si>
  <si>
    <t>范玉坤</t>
  </si>
  <si>
    <t>方秀英</t>
  </si>
  <si>
    <t>周恩令</t>
  </si>
  <si>
    <t>刘春福</t>
  </si>
  <si>
    <t>石金芝</t>
  </si>
  <si>
    <t>于香芝</t>
  </si>
  <si>
    <t>蔡石头</t>
  </si>
  <si>
    <t>孟昭海</t>
  </si>
  <si>
    <t>高吐木勒</t>
  </si>
  <si>
    <t>15232619501207067X</t>
  </si>
  <si>
    <t>张树海</t>
  </si>
  <si>
    <t>张秀才</t>
  </si>
  <si>
    <t>张景权</t>
  </si>
  <si>
    <t>井占伍</t>
  </si>
  <si>
    <t>许文</t>
  </si>
  <si>
    <t>吴苓春</t>
  </si>
  <si>
    <t>高额尔敦朝古拉</t>
  </si>
  <si>
    <t>龚业喜</t>
  </si>
  <si>
    <t>吴春</t>
  </si>
  <si>
    <t>刘凤山</t>
  </si>
  <si>
    <t>15232619431018067X</t>
  </si>
  <si>
    <t>苏先</t>
  </si>
  <si>
    <t>宋德</t>
  </si>
  <si>
    <t>张国清</t>
  </si>
  <si>
    <t>杨桂英</t>
  </si>
  <si>
    <t>董连荣</t>
  </si>
  <si>
    <t>徐芹</t>
  </si>
  <si>
    <t>15232619441010042X</t>
  </si>
  <si>
    <t>杜玉珍</t>
  </si>
  <si>
    <t>宝香玉</t>
  </si>
  <si>
    <t>李拉义</t>
  </si>
  <si>
    <t>15232619500728004X</t>
  </si>
  <si>
    <t>郎素芳</t>
  </si>
  <si>
    <t>周素洁</t>
  </si>
  <si>
    <t>赵领小</t>
  </si>
  <si>
    <t>赵秀花</t>
  </si>
  <si>
    <t>齐桂芝</t>
  </si>
  <si>
    <t>厚荣芬</t>
  </si>
  <si>
    <t>林桂云</t>
  </si>
  <si>
    <t>陈海堂</t>
  </si>
  <si>
    <t>姜桂花</t>
  </si>
  <si>
    <t>程淑兰</t>
  </si>
  <si>
    <t>牛淑荣</t>
  </si>
  <si>
    <t>王明福</t>
  </si>
  <si>
    <t>岳桂芝</t>
  </si>
  <si>
    <t>毛凤侠</t>
  </si>
  <si>
    <t>姜玉兰</t>
  </si>
  <si>
    <t>盖显忠</t>
  </si>
  <si>
    <t>王爱尊</t>
  </si>
  <si>
    <t>董文山</t>
  </si>
  <si>
    <t>刘瑞</t>
  </si>
  <si>
    <t>张瑞</t>
  </si>
  <si>
    <t>15232619470926332X</t>
  </si>
  <si>
    <t>王志荣</t>
  </si>
  <si>
    <t>侯特木乐</t>
  </si>
  <si>
    <t>康秀珍</t>
  </si>
  <si>
    <t>王守清</t>
  </si>
  <si>
    <t>许发</t>
  </si>
  <si>
    <t>王喜兰</t>
  </si>
  <si>
    <t>姚国兰</t>
  </si>
  <si>
    <t>巴根</t>
  </si>
  <si>
    <t>白风明</t>
  </si>
  <si>
    <t>吕金花</t>
  </si>
  <si>
    <t>时纪荣</t>
  </si>
  <si>
    <t>15232619480422066X</t>
  </si>
  <si>
    <t>候玉琴</t>
  </si>
  <si>
    <t>15232619440413309X</t>
  </si>
  <si>
    <t>王永学</t>
  </si>
  <si>
    <t>王景富</t>
  </si>
  <si>
    <t>郭玉</t>
  </si>
  <si>
    <t>李长义</t>
  </si>
  <si>
    <t>高金亮</t>
  </si>
  <si>
    <t>阿力木扎</t>
  </si>
  <si>
    <t>东淑兰</t>
  </si>
  <si>
    <t>15232619501212042X</t>
  </si>
  <si>
    <t>杨海芝</t>
  </si>
  <si>
    <t>侯国兰</t>
  </si>
  <si>
    <t>张庆芬</t>
  </si>
  <si>
    <t>陈满良</t>
  </si>
  <si>
    <t>宝月明珠</t>
  </si>
  <si>
    <t>陈玉芝</t>
  </si>
  <si>
    <t>贺景富</t>
  </si>
  <si>
    <t>王素琴</t>
  </si>
  <si>
    <t>赵国财</t>
  </si>
  <si>
    <t>高金梅</t>
  </si>
  <si>
    <t>李章财图</t>
  </si>
  <si>
    <t>张永林</t>
  </si>
  <si>
    <t>王子龙</t>
  </si>
  <si>
    <t>贾忠</t>
  </si>
  <si>
    <t>郑亚玲</t>
  </si>
  <si>
    <t>15232619420304332X</t>
  </si>
  <si>
    <t>魏芝琴</t>
  </si>
  <si>
    <t>李琢</t>
  </si>
  <si>
    <t>厚荣雨</t>
  </si>
  <si>
    <t>15232619500212382X</t>
  </si>
  <si>
    <t>撒木嘎</t>
  </si>
  <si>
    <t>朱兰琴</t>
  </si>
  <si>
    <t>耿素琴</t>
  </si>
  <si>
    <t>付风江</t>
  </si>
  <si>
    <t>张文军</t>
  </si>
  <si>
    <t>尉悦荣</t>
  </si>
  <si>
    <t>朱永江</t>
  </si>
  <si>
    <t>王自芳</t>
  </si>
  <si>
    <t>车占国</t>
  </si>
  <si>
    <t>白秀兰</t>
  </si>
  <si>
    <t>陈凤云</t>
  </si>
  <si>
    <t>郝彩兰</t>
  </si>
  <si>
    <t>石金英</t>
  </si>
  <si>
    <t>厚福珍</t>
  </si>
  <si>
    <t>韩金呼</t>
  </si>
  <si>
    <t>民珠来</t>
  </si>
  <si>
    <t>岳贤</t>
  </si>
  <si>
    <t>吴那日格日乐</t>
  </si>
  <si>
    <t>佟其木格</t>
  </si>
  <si>
    <t>劳瑞祥</t>
  </si>
  <si>
    <t>李国荣</t>
  </si>
  <si>
    <t>王洪芝</t>
  </si>
  <si>
    <t>刘香凤</t>
  </si>
  <si>
    <t>刘彩侠</t>
  </si>
  <si>
    <t>许淑兰</t>
  </si>
  <si>
    <t>王景权</t>
  </si>
  <si>
    <t>唐福云</t>
  </si>
  <si>
    <t>邱树贤</t>
  </si>
  <si>
    <t>顾永林</t>
  </si>
  <si>
    <t>宝玉初</t>
  </si>
  <si>
    <t>李凤侠</t>
  </si>
  <si>
    <t>刘春发</t>
  </si>
  <si>
    <t>15232619580715042X</t>
  </si>
  <si>
    <t>郑桂兰</t>
  </si>
  <si>
    <t>常凤云</t>
  </si>
  <si>
    <t>陈哈斯必力格</t>
  </si>
  <si>
    <t>陈努那</t>
  </si>
  <si>
    <t>苏桂芹</t>
  </si>
  <si>
    <t>史玉廷</t>
  </si>
  <si>
    <t>马宝军</t>
  </si>
  <si>
    <t>白团良</t>
  </si>
  <si>
    <t>石景玉</t>
  </si>
  <si>
    <t>刘素枝</t>
  </si>
  <si>
    <t>杜坤</t>
  </si>
  <si>
    <t>宁维祥</t>
  </si>
  <si>
    <t>田凤琴</t>
  </si>
  <si>
    <t>毛富</t>
  </si>
  <si>
    <t>姚国军</t>
  </si>
  <si>
    <t>白志</t>
  </si>
  <si>
    <t>15232619550424092X</t>
  </si>
  <si>
    <t>宝龙棠</t>
  </si>
  <si>
    <t>代军海</t>
  </si>
  <si>
    <t>马淑侠</t>
  </si>
  <si>
    <t>张俊清</t>
  </si>
  <si>
    <t>张国芝</t>
  </si>
  <si>
    <t>林国宝</t>
  </si>
  <si>
    <t>周振荣</t>
  </si>
  <si>
    <t>尤凤兰</t>
  </si>
  <si>
    <t>宫玉华</t>
  </si>
  <si>
    <t>马春祥</t>
  </si>
  <si>
    <t>张永</t>
  </si>
  <si>
    <t>盖显有</t>
  </si>
  <si>
    <t>何玉芝</t>
  </si>
  <si>
    <t>15232619620425382X</t>
  </si>
  <si>
    <t>席希呼乐</t>
  </si>
  <si>
    <t>姜显芳</t>
  </si>
  <si>
    <t>苏秀霞</t>
  </si>
  <si>
    <t>15232619581004381X</t>
  </si>
  <si>
    <t>刘哈达</t>
  </si>
  <si>
    <t>15232619560602382X</t>
  </si>
  <si>
    <t>陈达拉呼</t>
  </si>
  <si>
    <t>15232619560403332X</t>
  </si>
  <si>
    <t>徐园芝</t>
  </si>
  <si>
    <t>15232619601224331X</t>
  </si>
  <si>
    <t>王凤雨</t>
  </si>
  <si>
    <t>吴海</t>
  </si>
  <si>
    <t>白文龙</t>
  </si>
  <si>
    <t>15232619541217091X</t>
  </si>
  <si>
    <t>陈德格西白音</t>
  </si>
  <si>
    <t>15232619590223308X</t>
  </si>
  <si>
    <t>刘英恒</t>
  </si>
  <si>
    <t>宝桂兰</t>
  </si>
  <si>
    <t>李占清</t>
  </si>
  <si>
    <t>侯芳</t>
  </si>
  <si>
    <t>敖建忠</t>
  </si>
  <si>
    <t>武殿昌</t>
  </si>
  <si>
    <t>15232619550205308X</t>
  </si>
  <si>
    <t>纪树瑕</t>
  </si>
  <si>
    <t>15232619551018002X</t>
  </si>
  <si>
    <t>王俊英</t>
  </si>
  <si>
    <t>周明礼</t>
  </si>
  <si>
    <t>冯会</t>
  </si>
  <si>
    <t>南国信</t>
  </si>
  <si>
    <t>邓玉枝</t>
  </si>
  <si>
    <t>石明</t>
  </si>
  <si>
    <t>王淑芹</t>
  </si>
  <si>
    <t>雷秀花</t>
  </si>
  <si>
    <t>蔡额尔敦贺喜格</t>
  </si>
  <si>
    <t>孔祥华</t>
  </si>
  <si>
    <t>罗敬霞</t>
  </si>
  <si>
    <t>陈秀荣</t>
  </si>
  <si>
    <t>于桂银</t>
  </si>
  <si>
    <t>张景良</t>
  </si>
  <si>
    <t>宋喜春</t>
  </si>
  <si>
    <t>刘应双</t>
  </si>
  <si>
    <t>王国臣</t>
  </si>
  <si>
    <t>孟庆梅</t>
  </si>
  <si>
    <t>刘银</t>
  </si>
  <si>
    <t>王丙侠</t>
  </si>
  <si>
    <t>郭凤梅</t>
  </si>
  <si>
    <t>王佩良</t>
  </si>
  <si>
    <t>徐彩凤</t>
  </si>
  <si>
    <t>席振海</t>
  </si>
  <si>
    <t>赵廷琴</t>
  </si>
  <si>
    <t>姜秀芝</t>
  </si>
  <si>
    <t>宋桂凤</t>
  </si>
  <si>
    <t>宋桂花</t>
  </si>
  <si>
    <t>杨金娥</t>
  </si>
  <si>
    <t>冯翠凤</t>
  </si>
  <si>
    <t>冯俊</t>
  </si>
  <si>
    <t>15232619530714762X</t>
  </si>
  <si>
    <t>胡胖小</t>
  </si>
  <si>
    <t>温占山</t>
  </si>
  <si>
    <t>张振国</t>
  </si>
  <si>
    <t>李学</t>
  </si>
  <si>
    <t>徐素琴</t>
  </si>
  <si>
    <t>董淑侠</t>
  </si>
  <si>
    <t>娄艳玲</t>
  </si>
  <si>
    <t>岳正军</t>
  </si>
  <si>
    <t>赵雅华</t>
  </si>
  <si>
    <t>雷景玲</t>
  </si>
  <si>
    <t>王占清</t>
  </si>
  <si>
    <t>于秀花</t>
  </si>
  <si>
    <t>魏连霞</t>
  </si>
  <si>
    <t>侯云瑞</t>
  </si>
  <si>
    <t>15232619531225004X</t>
  </si>
  <si>
    <t>刘淑云</t>
  </si>
  <si>
    <t>郭俊芬</t>
  </si>
  <si>
    <t>姜海有</t>
  </si>
  <si>
    <t>陈凤军</t>
  </si>
  <si>
    <t>贾玉枝</t>
  </si>
  <si>
    <t>李国臣</t>
  </si>
  <si>
    <t>李俊</t>
  </si>
  <si>
    <t>姚秀花</t>
  </si>
  <si>
    <t>李树江</t>
  </si>
  <si>
    <t>王清海</t>
  </si>
  <si>
    <t>赵艳华</t>
  </si>
  <si>
    <t>邵鹏霞</t>
  </si>
  <si>
    <t>李龙堂</t>
  </si>
  <si>
    <t>贾志臣</t>
  </si>
  <si>
    <t>王凤华</t>
  </si>
  <si>
    <t>李峰</t>
  </si>
  <si>
    <t>孟宪景</t>
  </si>
  <si>
    <t>杨永青</t>
  </si>
  <si>
    <t>王学玲</t>
  </si>
  <si>
    <t>郑显琴</t>
  </si>
  <si>
    <t>刘殿芳</t>
  </si>
  <si>
    <t>黄明凤</t>
  </si>
  <si>
    <t>宝景叶玛</t>
  </si>
  <si>
    <t>侯赛吉拉夫</t>
  </si>
  <si>
    <t>李莫德格</t>
  </si>
  <si>
    <t>潘景玲</t>
  </si>
  <si>
    <t>月亮</t>
  </si>
  <si>
    <t>孙广成</t>
  </si>
  <si>
    <t>15232619531201002X</t>
  </si>
  <si>
    <t>卫子彬</t>
  </si>
  <si>
    <t>张秀娥</t>
  </si>
  <si>
    <t>秦翠侠</t>
  </si>
  <si>
    <t>毛桂芝</t>
  </si>
  <si>
    <t>15232619620730002X</t>
  </si>
  <si>
    <t>石玉娥</t>
  </si>
  <si>
    <t>安淑贞</t>
  </si>
  <si>
    <t>鲍琢</t>
  </si>
  <si>
    <t>时基城</t>
  </si>
  <si>
    <t>15232619551021308X</t>
  </si>
  <si>
    <t>李学兰</t>
  </si>
  <si>
    <t>刘和</t>
  </si>
  <si>
    <t>于凤</t>
  </si>
  <si>
    <t>付柏森</t>
  </si>
  <si>
    <t>15232619571129068X</t>
  </si>
  <si>
    <t>刘玉香</t>
  </si>
  <si>
    <t>佟桂芬</t>
  </si>
  <si>
    <t>吴勿力吉白音</t>
  </si>
  <si>
    <t>华桂芹</t>
  </si>
  <si>
    <t>王艳琴</t>
  </si>
  <si>
    <t>陈井阳</t>
  </si>
  <si>
    <t>代东军</t>
  </si>
  <si>
    <t>柳树花</t>
  </si>
  <si>
    <t>石柏锋</t>
  </si>
  <si>
    <t>于福和</t>
  </si>
  <si>
    <t>卫国庆</t>
  </si>
  <si>
    <t>潘景凤</t>
  </si>
  <si>
    <t>杜秀兰</t>
  </si>
  <si>
    <t>朱莲凤</t>
  </si>
  <si>
    <t>郑玉芝</t>
  </si>
  <si>
    <t>15232619470313042X</t>
  </si>
  <si>
    <t>代国琴</t>
  </si>
  <si>
    <t>苏玉兰</t>
  </si>
  <si>
    <t>胡景荣</t>
  </si>
  <si>
    <t>王素珍</t>
  </si>
  <si>
    <t>石柏华</t>
  </si>
  <si>
    <t>陈广仪</t>
  </si>
  <si>
    <t>王自学</t>
  </si>
  <si>
    <t>胡凤兰</t>
  </si>
  <si>
    <t>袁玉芬</t>
  </si>
  <si>
    <t>卜秀珍</t>
  </si>
  <si>
    <t>王金兰</t>
  </si>
  <si>
    <t>张玉莲</t>
  </si>
  <si>
    <t>赵富</t>
  </si>
  <si>
    <t>李继先</t>
  </si>
  <si>
    <t>15232619501119067X</t>
  </si>
  <si>
    <t>徐贵</t>
  </si>
  <si>
    <t>15232619520430002X</t>
  </si>
  <si>
    <t>宝坦花</t>
  </si>
  <si>
    <t>15232619421227762X</t>
  </si>
  <si>
    <t>吴树如花</t>
  </si>
  <si>
    <t>王散旦</t>
  </si>
  <si>
    <t>15232619490721043X</t>
  </si>
  <si>
    <t>王振海</t>
  </si>
  <si>
    <t>刘有贵</t>
  </si>
  <si>
    <t>张学礼</t>
  </si>
  <si>
    <t>辛凤梅</t>
  </si>
  <si>
    <t>李春有</t>
  </si>
  <si>
    <t>王全</t>
  </si>
  <si>
    <t>15232619470715308X</t>
  </si>
  <si>
    <t>葛兰英</t>
  </si>
  <si>
    <t>吴俊清</t>
  </si>
  <si>
    <t>马宝荣</t>
  </si>
  <si>
    <t>王怀生</t>
  </si>
  <si>
    <t>张凤勤</t>
  </si>
  <si>
    <t>马田仓</t>
  </si>
  <si>
    <t>15232619531020041X</t>
  </si>
  <si>
    <t>朱森</t>
  </si>
  <si>
    <t>潘淑贤</t>
  </si>
  <si>
    <t>龚玉珍</t>
  </si>
  <si>
    <t>崔国芹</t>
  </si>
  <si>
    <t>15232619510509067X</t>
  </si>
  <si>
    <t>杜荣贵</t>
  </si>
  <si>
    <t>马志和</t>
  </si>
  <si>
    <t>刘文有</t>
  </si>
  <si>
    <t>厚丽学</t>
  </si>
  <si>
    <t>付桂芹</t>
  </si>
  <si>
    <t>马查干义很</t>
  </si>
  <si>
    <t>梁朱仁其木格</t>
  </si>
  <si>
    <t>宋淑英</t>
  </si>
  <si>
    <t>宋秀枝</t>
  </si>
  <si>
    <t>王占林</t>
  </si>
  <si>
    <t>杜凤琴</t>
  </si>
  <si>
    <t>杨彩凤</t>
  </si>
  <si>
    <t>华占贵</t>
  </si>
  <si>
    <t>李振民</t>
  </si>
  <si>
    <t>罗敬姿</t>
  </si>
  <si>
    <t>李彩霞</t>
  </si>
  <si>
    <t>宋秀琴</t>
  </si>
  <si>
    <t>李玉英</t>
  </si>
  <si>
    <t>孙国枝</t>
  </si>
  <si>
    <t>厚荣瑞</t>
  </si>
  <si>
    <t>吴勿额巴音拉</t>
  </si>
  <si>
    <t>15232619330909637X</t>
  </si>
  <si>
    <t>胡万启</t>
  </si>
  <si>
    <t>许凤琴</t>
  </si>
  <si>
    <t>胡学琴</t>
  </si>
  <si>
    <t>宝吉格木都</t>
  </si>
  <si>
    <t>15232619471116091X</t>
  </si>
  <si>
    <t>吴文都苏</t>
  </si>
  <si>
    <t>赵胖小</t>
  </si>
  <si>
    <t>刘瑞珍</t>
  </si>
  <si>
    <t>赵凤英</t>
  </si>
  <si>
    <t>胡桂香</t>
  </si>
  <si>
    <t>甄桂霞</t>
  </si>
  <si>
    <t>任秀凤</t>
  </si>
  <si>
    <t>马占丰</t>
  </si>
  <si>
    <t>朱翠兰</t>
  </si>
  <si>
    <t>索凤霞</t>
  </si>
  <si>
    <t>吕占军</t>
  </si>
  <si>
    <t>杜青莲</t>
  </si>
  <si>
    <t>15232619551017042X</t>
  </si>
  <si>
    <t>高凤琴</t>
  </si>
  <si>
    <t>程素琢</t>
  </si>
  <si>
    <t>于水连</t>
  </si>
  <si>
    <t>周淑艳</t>
  </si>
  <si>
    <t>李世梅</t>
  </si>
  <si>
    <t>刘国财</t>
  </si>
  <si>
    <t>张景祥</t>
  </si>
  <si>
    <t>卜庆林</t>
  </si>
  <si>
    <t>敖来胡</t>
  </si>
  <si>
    <t>15232619571102332X</t>
  </si>
  <si>
    <t>王桂琢</t>
  </si>
  <si>
    <t>15232619560709331X</t>
  </si>
  <si>
    <t>于自武</t>
  </si>
  <si>
    <t>王龙</t>
  </si>
  <si>
    <t>张树兰</t>
  </si>
  <si>
    <t>刘庆文</t>
  </si>
  <si>
    <t>顾翠琴</t>
  </si>
  <si>
    <t>王志军</t>
  </si>
  <si>
    <t>李斯其格</t>
  </si>
  <si>
    <t>鲁振文</t>
  </si>
  <si>
    <t>高翠平</t>
  </si>
  <si>
    <t>15232619550318070X</t>
  </si>
  <si>
    <t>冯秀坤</t>
  </si>
  <si>
    <t>15232619570907067X</t>
  </si>
  <si>
    <t>谷宝珠</t>
  </si>
  <si>
    <t>15232619600117067X</t>
  </si>
  <si>
    <t>张秀</t>
  </si>
  <si>
    <t>15232619610204068X</t>
  </si>
  <si>
    <t>牛井娥</t>
  </si>
  <si>
    <t>15232619620126067X</t>
  </si>
  <si>
    <t>赵悦林</t>
  </si>
  <si>
    <t>陈巴塔尔</t>
  </si>
  <si>
    <t>谷益文</t>
  </si>
  <si>
    <t>刘秀琴</t>
  </si>
  <si>
    <t>刘香平</t>
  </si>
  <si>
    <t>楼景兰</t>
  </si>
  <si>
    <t>15232619591206067X</t>
  </si>
  <si>
    <t>胡占礼</t>
  </si>
  <si>
    <t>15232619620410068X</t>
  </si>
  <si>
    <t>李明</t>
  </si>
  <si>
    <t>李民</t>
  </si>
  <si>
    <t>安振友</t>
  </si>
  <si>
    <t>宋桂芹</t>
  </si>
  <si>
    <t>李桂贤</t>
  </si>
  <si>
    <t>朱云英</t>
  </si>
  <si>
    <t>吴桂花</t>
  </si>
  <si>
    <t>盖显良</t>
  </si>
  <si>
    <t>张玉环</t>
  </si>
  <si>
    <t>刘树清</t>
  </si>
  <si>
    <t>付重玲</t>
  </si>
  <si>
    <t>李风学</t>
  </si>
  <si>
    <t>秦国军</t>
  </si>
  <si>
    <t>陈福</t>
  </si>
  <si>
    <t>姜云苓</t>
  </si>
  <si>
    <t>王凤岐</t>
  </si>
  <si>
    <t>高双福</t>
  </si>
  <si>
    <t>李玉霞</t>
  </si>
  <si>
    <t>刘显英</t>
  </si>
  <si>
    <t>孙凤山</t>
  </si>
  <si>
    <t>吴向东</t>
  </si>
  <si>
    <t>15232619560709382X</t>
  </si>
  <si>
    <t>王国兰</t>
  </si>
  <si>
    <t>张永芳</t>
  </si>
  <si>
    <t>李宝有</t>
  </si>
  <si>
    <t>15232619520930066X</t>
  </si>
  <si>
    <t>姜桂英</t>
  </si>
  <si>
    <t>15232619570208637X</t>
  </si>
  <si>
    <t>申学友</t>
  </si>
  <si>
    <t>金丹</t>
  </si>
  <si>
    <t>任桂香</t>
  </si>
  <si>
    <t>李宝音勿力吉</t>
  </si>
  <si>
    <t>樊翠芳</t>
  </si>
  <si>
    <t>吴庆花</t>
  </si>
  <si>
    <t>李金珊</t>
  </si>
  <si>
    <t>于桂芳</t>
  </si>
  <si>
    <t>计明琴</t>
  </si>
  <si>
    <t>包凤琴</t>
  </si>
  <si>
    <t>牟景英</t>
  </si>
  <si>
    <t>15232619630924003X</t>
  </si>
  <si>
    <t>郝振昌</t>
  </si>
  <si>
    <t>吴守山</t>
  </si>
  <si>
    <t>杨秀芬</t>
  </si>
  <si>
    <t>孙桂铃</t>
  </si>
  <si>
    <t>宁维杰</t>
  </si>
  <si>
    <t>胡翠芝</t>
  </si>
  <si>
    <t>何月华</t>
  </si>
  <si>
    <t>赵香玉</t>
  </si>
  <si>
    <t>白玉花</t>
  </si>
  <si>
    <t>李殿江</t>
  </si>
  <si>
    <t>吴桂娥</t>
  </si>
  <si>
    <t>王玉清</t>
  </si>
  <si>
    <t>侯和</t>
  </si>
  <si>
    <t>刘桂学</t>
  </si>
  <si>
    <t>刘景峰</t>
  </si>
  <si>
    <t>陈丽霞</t>
  </si>
  <si>
    <t>庞国芝</t>
  </si>
  <si>
    <t>周凤芹</t>
  </si>
  <si>
    <t>李艳芹</t>
  </si>
  <si>
    <t>张贵兴</t>
  </si>
  <si>
    <t>王桂学</t>
  </si>
  <si>
    <t>韩秀兰</t>
  </si>
  <si>
    <t>孙秀华</t>
  </si>
  <si>
    <t>王国祥</t>
  </si>
  <si>
    <t>刘国祥</t>
  </si>
  <si>
    <t>田桂芹</t>
  </si>
  <si>
    <t>15232619550512068X</t>
  </si>
  <si>
    <t>王爱花</t>
  </si>
  <si>
    <t>穆翠花</t>
  </si>
  <si>
    <t>赵国海</t>
  </si>
  <si>
    <t>陈春学</t>
  </si>
  <si>
    <t>吕广祥</t>
  </si>
  <si>
    <t>王会财</t>
  </si>
  <si>
    <t>盖明有</t>
  </si>
  <si>
    <t>张永侠</t>
  </si>
  <si>
    <t>刘庆琴</t>
  </si>
  <si>
    <t>马金芝</t>
  </si>
  <si>
    <t>宫树坡</t>
  </si>
  <si>
    <t>苏井民</t>
  </si>
  <si>
    <t>陈荣花</t>
  </si>
  <si>
    <t>宋国昌</t>
  </si>
  <si>
    <t>王佩义</t>
  </si>
  <si>
    <t>李桂芝</t>
  </si>
  <si>
    <t>梁淑香</t>
  </si>
  <si>
    <t>李占彬</t>
  </si>
  <si>
    <t>周汉琴</t>
  </si>
  <si>
    <t>苑凤琴</t>
  </si>
  <si>
    <t>王有全</t>
  </si>
  <si>
    <t>方秀枝</t>
  </si>
  <si>
    <t>陈广学</t>
  </si>
  <si>
    <t>席英</t>
  </si>
  <si>
    <t>杜景学</t>
  </si>
  <si>
    <t>刘恩芝</t>
  </si>
  <si>
    <t>何翠荣</t>
  </si>
  <si>
    <t>魏展芝</t>
  </si>
  <si>
    <t>时左珍</t>
  </si>
  <si>
    <t>贾翠英</t>
  </si>
  <si>
    <t>张素琴</t>
  </si>
  <si>
    <t>周汉民</t>
  </si>
  <si>
    <t>李玉</t>
  </si>
  <si>
    <t>吴布和格西格</t>
  </si>
  <si>
    <t>杨文平</t>
  </si>
  <si>
    <t>陈广军</t>
  </si>
  <si>
    <t>李树和</t>
  </si>
  <si>
    <t>王彩琴</t>
  </si>
  <si>
    <t>高文芝</t>
  </si>
  <si>
    <t>于砚芬</t>
  </si>
  <si>
    <t>孙桂枝</t>
  </si>
  <si>
    <t>范国民</t>
  </si>
  <si>
    <t>何新华</t>
  </si>
  <si>
    <t>15232619560725307X</t>
  </si>
  <si>
    <t>崔志</t>
  </si>
  <si>
    <t>15232619571209308X</t>
  </si>
  <si>
    <t>郭凤枝</t>
  </si>
  <si>
    <t>卢永平</t>
  </si>
  <si>
    <t>牛景凤</t>
  </si>
  <si>
    <t>孙井武</t>
  </si>
  <si>
    <t>刘恩娥</t>
  </si>
  <si>
    <t>杨雨相</t>
  </si>
  <si>
    <t>李桂玲</t>
  </si>
  <si>
    <t>何生嘎</t>
  </si>
  <si>
    <t>宝泉</t>
  </si>
  <si>
    <t>宋玉珍</t>
  </si>
  <si>
    <t>单秀琴</t>
  </si>
  <si>
    <t>杨占华</t>
  </si>
  <si>
    <t>刘凤和</t>
  </si>
  <si>
    <t>赵翠英</t>
  </si>
  <si>
    <t>吴金梅</t>
  </si>
  <si>
    <t>肖翠枝</t>
  </si>
  <si>
    <t>王洪琴</t>
  </si>
  <si>
    <t>刘恩庆</t>
  </si>
  <si>
    <t>张悦华</t>
  </si>
  <si>
    <t>赵淑霞</t>
  </si>
  <si>
    <t>王春德</t>
  </si>
  <si>
    <t>吴铁山</t>
  </si>
  <si>
    <t>贾凤坤</t>
  </si>
  <si>
    <t>邓玉珍</t>
  </si>
  <si>
    <t>代玉环</t>
  </si>
  <si>
    <t>王林</t>
  </si>
  <si>
    <t>王巴金</t>
  </si>
  <si>
    <t>唐占元</t>
  </si>
  <si>
    <t>魏学国</t>
  </si>
  <si>
    <t>张玉春</t>
  </si>
  <si>
    <t>张瑞云</t>
  </si>
  <si>
    <t>宋淑民</t>
  </si>
  <si>
    <t>马照古早老</t>
  </si>
  <si>
    <t>吴阿力力塔呼</t>
  </si>
  <si>
    <t>盖明勤</t>
  </si>
  <si>
    <t>丁喜琢</t>
  </si>
  <si>
    <t>15232619630906091X</t>
  </si>
  <si>
    <t>宝峰宝</t>
  </si>
  <si>
    <t>韩海锁</t>
  </si>
  <si>
    <t>侯哈斯毕力格</t>
  </si>
  <si>
    <t>李扎木苏荣扎布</t>
  </si>
  <si>
    <t>路占福</t>
  </si>
  <si>
    <t>田慧琴</t>
  </si>
  <si>
    <t>郝文生</t>
  </si>
  <si>
    <t>15232619560510066X</t>
  </si>
  <si>
    <t>代桂兰</t>
  </si>
  <si>
    <t>轩德山</t>
  </si>
  <si>
    <t>李士霞</t>
  </si>
  <si>
    <t>井树田</t>
  </si>
  <si>
    <t>姜玉玲</t>
  </si>
  <si>
    <t>李树云</t>
  </si>
  <si>
    <t>郭扎木撒</t>
  </si>
  <si>
    <t>果木</t>
  </si>
  <si>
    <t>白贺金</t>
  </si>
  <si>
    <t>宝长寿</t>
  </si>
  <si>
    <t>王丙林</t>
  </si>
  <si>
    <t>胡林侠</t>
  </si>
  <si>
    <t>赵春学</t>
  </si>
  <si>
    <t>结籽</t>
  </si>
  <si>
    <t>魏广霞</t>
  </si>
  <si>
    <t>刘凤霞</t>
  </si>
  <si>
    <t>15232619580911043X</t>
  </si>
  <si>
    <t>王朋</t>
  </si>
  <si>
    <t>杜才</t>
  </si>
  <si>
    <t>15232619600408067X</t>
  </si>
  <si>
    <t>樊秀义</t>
  </si>
  <si>
    <t>张振枝</t>
  </si>
  <si>
    <t>宋殿财</t>
  </si>
  <si>
    <t>梁玉环</t>
  </si>
  <si>
    <t>刘淑环</t>
  </si>
  <si>
    <t>马莫德格</t>
  </si>
  <si>
    <t>马尚琴</t>
  </si>
  <si>
    <t>张树云</t>
  </si>
  <si>
    <t>佟胖小</t>
  </si>
  <si>
    <t>吴秀芬</t>
  </si>
  <si>
    <t>徐玉芹</t>
  </si>
  <si>
    <t>侯国花</t>
  </si>
  <si>
    <t>白金香</t>
  </si>
  <si>
    <t>林树杰</t>
  </si>
  <si>
    <t>潘景山</t>
  </si>
  <si>
    <t>王杰</t>
  </si>
  <si>
    <t>王作然</t>
  </si>
  <si>
    <t>张雪英</t>
  </si>
  <si>
    <t>梁国青</t>
  </si>
  <si>
    <t>安素英</t>
  </si>
  <si>
    <t>许淑枝</t>
  </si>
  <si>
    <t>王建云</t>
  </si>
  <si>
    <t>王玉祥</t>
  </si>
  <si>
    <t>15232619570708332X</t>
  </si>
  <si>
    <t>杨玉珍</t>
  </si>
  <si>
    <t>姚宝有</t>
  </si>
  <si>
    <t>翟桂兰</t>
  </si>
  <si>
    <t>刘树</t>
  </si>
  <si>
    <t>牟淑华</t>
  </si>
  <si>
    <t>宋国芝</t>
  </si>
  <si>
    <t>田霞</t>
  </si>
  <si>
    <t>刘翠贤</t>
  </si>
  <si>
    <t>勾凤有</t>
  </si>
  <si>
    <t>陈福江</t>
  </si>
  <si>
    <t>崔信</t>
  </si>
  <si>
    <t>代东红</t>
  </si>
  <si>
    <t>宝海籽</t>
  </si>
  <si>
    <t>宝姝仁其木格</t>
  </si>
  <si>
    <t>孙淑珍</t>
  </si>
  <si>
    <t>吴额尔敦呼</t>
  </si>
  <si>
    <t>吴特古苏白音</t>
  </si>
  <si>
    <t>张翠娥</t>
  </si>
  <si>
    <t>张富</t>
  </si>
  <si>
    <t>15232619571029307X</t>
  </si>
  <si>
    <t>王福成</t>
  </si>
  <si>
    <t>安学东</t>
  </si>
  <si>
    <t>李凤萍</t>
  </si>
  <si>
    <t>吴海芝</t>
  </si>
  <si>
    <t>田国宝</t>
  </si>
  <si>
    <t>张景坤</t>
  </si>
  <si>
    <t>15232619590122638X</t>
  </si>
  <si>
    <t>王素霞</t>
  </si>
  <si>
    <t>姜凤莲</t>
  </si>
  <si>
    <t>张学成</t>
  </si>
  <si>
    <t>长青</t>
  </si>
  <si>
    <t>付山</t>
  </si>
  <si>
    <t>15232619630930331X</t>
  </si>
  <si>
    <t>郭振海</t>
  </si>
  <si>
    <t>陈久平</t>
  </si>
  <si>
    <t>王化江</t>
  </si>
  <si>
    <t>吴呼力得呼</t>
  </si>
  <si>
    <t>刘惠明</t>
  </si>
  <si>
    <t>15232619620207334X</t>
  </si>
  <si>
    <t>吴凤华</t>
  </si>
  <si>
    <t>白贵</t>
  </si>
  <si>
    <t>于海平</t>
  </si>
  <si>
    <t>董淑芹</t>
  </si>
  <si>
    <t>15232619600122042X</t>
  </si>
  <si>
    <t>王凤</t>
  </si>
  <si>
    <t>15232619620314308X</t>
  </si>
  <si>
    <t>尹桂华</t>
  </si>
  <si>
    <t>江海</t>
  </si>
  <si>
    <t>张凤龙</t>
  </si>
  <si>
    <t>曲海</t>
  </si>
  <si>
    <t>杨国芹</t>
  </si>
  <si>
    <t>雷玉富</t>
  </si>
  <si>
    <t>曹富</t>
  </si>
  <si>
    <t>李艳春</t>
  </si>
  <si>
    <t>尤国花</t>
  </si>
  <si>
    <t>15232619580116381X</t>
  </si>
  <si>
    <t>陈玉中</t>
  </si>
  <si>
    <t>吴振军</t>
  </si>
  <si>
    <t>杨清议</t>
  </si>
  <si>
    <t>刘振明</t>
  </si>
  <si>
    <t>15232619620927382X</t>
  </si>
  <si>
    <t>周桂凤</t>
  </si>
  <si>
    <t>八月</t>
  </si>
  <si>
    <t>宝格日勒</t>
  </si>
  <si>
    <t>崔喜坤</t>
  </si>
  <si>
    <t>陈凤仪</t>
  </si>
  <si>
    <t>陈莲花</t>
  </si>
  <si>
    <t>15232619600527066X</t>
  </si>
  <si>
    <t>朱凤云</t>
  </si>
  <si>
    <t>嵇增福</t>
  </si>
  <si>
    <t>刘金英</t>
  </si>
  <si>
    <t>15232619381004002X</t>
  </si>
  <si>
    <t>史桂芝</t>
  </si>
  <si>
    <t>司艳珍</t>
  </si>
  <si>
    <t>单桂芝</t>
  </si>
  <si>
    <t>田艳梅</t>
  </si>
  <si>
    <t>郝文歧</t>
  </si>
  <si>
    <t>杜玉琴</t>
  </si>
  <si>
    <t>刘素英</t>
  </si>
  <si>
    <t>王勤</t>
  </si>
  <si>
    <t>梁玉芝</t>
  </si>
  <si>
    <t>牛景华</t>
  </si>
  <si>
    <t>林玉霞</t>
  </si>
  <si>
    <t>15232619630304066X</t>
  </si>
  <si>
    <t>林志静</t>
  </si>
  <si>
    <t>张成</t>
  </si>
  <si>
    <t>聂淑琴</t>
  </si>
  <si>
    <t>万花</t>
  </si>
  <si>
    <t>15232619510302066X</t>
  </si>
  <si>
    <t>刘金环</t>
  </si>
  <si>
    <t>宝杰</t>
  </si>
  <si>
    <t>李爱学</t>
  </si>
  <si>
    <t>王佩成</t>
  </si>
  <si>
    <t>15232619640125117X</t>
  </si>
  <si>
    <t>徐建国</t>
  </si>
  <si>
    <t>张文龙</t>
  </si>
  <si>
    <t>张玖玲</t>
  </si>
  <si>
    <t>路花</t>
  </si>
  <si>
    <t>胡福民</t>
  </si>
  <si>
    <t>张振秀</t>
  </si>
  <si>
    <t>李那木斯来</t>
  </si>
  <si>
    <t>吴常柱</t>
  </si>
  <si>
    <t>陈才</t>
  </si>
  <si>
    <t>15232619600106042X</t>
  </si>
  <si>
    <t>高淑芬</t>
  </si>
  <si>
    <t>于树华</t>
  </si>
  <si>
    <t>李淑平</t>
  </si>
  <si>
    <t>刘凤云</t>
  </si>
  <si>
    <t>齐亚志</t>
  </si>
  <si>
    <t>王金霞</t>
  </si>
  <si>
    <t>窦金兰</t>
  </si>
  <si>
    <t>葛福臣</t>
  </si>
  <si>
    <t>郝凤华</t>
  </si>
  <si>
    <t>金德顺</t>
  </si>
  <si>
    <t>轩德全</t>
  </si>
  <si>
    <t>赵成</t>
  </si>
  <si>
    <t>王文起</t>
  </si>
  <si>
    <t>李殿荣</t>
  </si>
  <si>
    <t>钟凤财</t>
  </si>
  <si>
    <t>朱井林</t>
  </si>
  <si>
    <t>15232619571025066X</t>
  </si>
  <si>
    <t>朱振芝</t>
  </si>
  <si>
    <t>刘艳霞</t>
  </si>
  <si>
    <t>任国强</t>
  </si>
  <si>
    <t>刘翠霞</t>
  </si>
  <si>
    <t>蔡玉林</t>
  </si>
  <si>
    <t>赵凤琴</t>
  </si>
  <si>
    <t>杨清学</t>
  </si>
  <si>
    <t>韩布和特木乐</t>
  </si>
  <si>
    <t>15232619611223041X</t>
  </si>
  <si>
    <t>郭振民</t>
  </si>
  <si>
    <t>张胜</t>
  </si>
  <si>
    <t>王梁金花</t>
  </si>
  <si>
    <t>德力根</t>
  </si>
  <si>
    <t>刘月琴</t>
  </si>
  <si>
    <t>席凤军</t>
  </si>
  <si>
    <t>罗建华</t>
  </si>
  <si>
    <t>马金吉马</t>
  </si>
  <si>
    <t>鲁翠英</t>
  </si>
  <si>
    <t>白桂琴</t>
  </si>
  <si>
    <t>张桂枝</t>
  </si>
  <si>
    <t>白文信</t>
  </si>
  <si>
    <t>王佰森</t>
  </si>
  <si>
    <t>孟兆晖</t>
  </si>
  <si>
    <t>赵喜仁其木格</t>
  </si>
  <si>
    <t>王有春</t>
  </si>
  <si>
    <t>徐元昌</t>
  </si>
  <si>
    <t>王树发</t>
  </si>
  <si>
    <t>车占全</t>
  </si>
  <si>
    <t>吕淑华</t>
  </si>
  <si>
    <t>周素花</t>
  </si>
  <si>
    <t>李凤杰</t>
  </si>
  <si>
    <t>杨长海</t>
  </si>
  <si>
    <t>宝高娃</t>
  </si>
  <si>
    <t>席艳荣</t>
  </si>
  <si>
    <t>孟庆华</t>
  </si>
  <si>
    <t>15232619590218381X</t>
  </si>
  <si>
    <t>刘国钟</t>
  </si>
  <si>
    <t>吴姑娘</t>
  </si>
  <si>
    <t>15232619580925066X</t>
  </si>
  <si>
    <t>刘文花</t>
  </si>
  <si>
    <t>石有</t>
  </si>
  <si>
    <t>韩树民</t>
  </si>
  <si>
    <t>王财音木林</t>
  </si>
  <si>
    <t>张芹</t>
  </si>
  <si>
    <t>宝撒木嘎</t>
  </si>
  <si>
    <t>丛日香</t>
  </si>
  <si>
    <t>王青亮</t>
  </si>
  <si>
    <t>宝青海</t>
  </si>
  <si>
    <t>程悦</t>
  </si>
  <si>
    <t>15232619590721382X</t>
  </si>
  <si>
    <t>刘翠云</t>
  </si>
  <si>
    <t>孙凤琴</t>
  </si>
  <si>
    <t>席金梅</t>
  </si>
  <si>
    <t>韩白音巴塔</t>
  </si>
  <si>
    <t>张国良</t>
  </si>
  <si>
    <t>李雅杰</t>
  </si>
  <si>
    <t>厚荣太</t>
  </si>
  <si>
    <t>乌云其木格</t>
  </si>
  <si>
    <t>宝金荣</t>
  </si>
  <si>
    <t>王信</t>
  </si>
  <si>
    <t>孔祥芹</t>
  </si>
  <si>
    <t>宝图古苏</t>
  </si>
  <si>
    <t>韩凤英</t>
  </si>
  <si>
    <t>韩桂芹</t>
  </si>
  <si>
    <t>陈银山</t>
  </si>
  <si>
    <t>刘彦海</t>
  </si>
  <si>
    <t>冯玉霞</t>
  </si>
  <si>
    <t>高艳荣</t>
  </si>
  <si>
    <t>贺明</t>
  </si>
  <si>
    <t>于少梅</t>
  </si>
  <si>
    <t>侯凤花</t>
  </si>
  <si>
    <t>15232619621229068X</t>
  </si>
  <si>
    <t>薛哈斯其其格</t>
  </si>
  <si>
    <t>张民</t>
  </si>
  <si>
    <t>刘云平</t>
  </si>
  <si>
    <t>席株叶</t>
  </si>
  <si>
    <t>韩丫图</t>
  </si>
  <si>
    <t>哈期勿日嘎</t>
  </si>
  <si>
    <t>金秀芹</t>
  </si>
  <si>
    <t>李彩祥</t>
  </si>
  <si>
    <t>乌仁套都</t>
  </si>
  <si>
    <t>雷玉军</t>
  </si>
  <si>
    <t>郑淑艳</t>
  </si>
  <si>
    <t>梁双福</t>
  </si>
  <si>
    <t>宝金山</t>
  </si>
  <si>
    <t>15232619630201382X</t>
  </si>
  <si>
    <t>高胖小</t>
  </si>
  <si>
    <t>王金花</t>
  </si>
  <si>
    <t>宝老丫头</t>
  </si>
  <si>
    <t>徐云</t>
  </si>
  <si>
    <t>席凤芝</t>
  </si>
  <si>
    <t>何那仁格日乐</t>
  </si>
  <si>
    <t>马文</t>
  </si>
  <si>
    <t>包玉芹</t>
  </si>
  <si>
    <t>15043019610809285X</t>
  </si>
  <si>
    <t>吴朋</t>
  </si>
  <si>
    <t>席仁胡</t>
  </si>
  <si>
    <t>蒋万宏</t>
  </si>
  <si>
    <t>盖查干巴拉</t>
  </si>
  <si>
    <t>翟占荣</t>
  </si>
  <si>
    <t>宝格日乐</t>
  </si>
  <si>
    <t>王雨</t>
  </si>
  <si>
    <t>朱凤华</t>
  </si>
  <si>
    <t>15232619590112042X</t>
  </si>
  <si>
    <t>杨彩琴</t>
  </si>
  <si>
    <t>李明侠</t>
  </si>
  <si>
    <t>刘景财</t>
  </si>
  <si>
    <t>15232619591211042X</t>
  </si>
  <si>
    <t>刘玉霞</t>
  </si>
  <si>
    <t>王志英</t>
  </si>
  <si>
    <t>王守才</t>
  </si>
  <si>
    <t>白云花</t>
  </si>
  <si>
    <t>齐仕军</t>
  </si>
  <si>
    <t>于翠霞</t>
  </si>
  <si>
    <t>田英</t>
  </si>
  <si>
    <t>张艳梅</t>
  </si>
  <si>
    <t>胡林军</t>
  </si>
  <si>
    <t>杨淑花</t>
  </si>
  <si>
    <t>15232619580914041X</t>
  </si>
  <si>
    <t>于显廷</t>
  </si>
  <si>
    <t>15232619591226068X</t>
  </si>
  <si>
    <t>赵国英</t>
  </si>
  <si>
    <t>周广军</t>
  </si>
  <si>
    <t>原淑芬</t>
  </si>
  <si>
    <t>吴领小</t>
  </si>
  <si>
    <t>陈查干巴拉</t>
  </si>
  <si>
    <t>吴海花</t>
  </si>
  <si>
    <t>孙满都拉</t>
  </si>
  <si>
    <t>阿日坦胡日都</t>
  </si>
  <si>
    <t>杭金祥</t>
  </si>
  <si>
    <t>鲁宝力朝老</t>
  </si>
  <si>
    <t>侯银梅</t>
  </si>
  <si>
    <t>陈宝音代来</t>
  </si>
  <si>
    <t>宋瑞芹</t>
  </si>
  <si>
    <t>付玉琴</t>
  </si>
  <si>
    <t>郑桂琴</t>
  </si>
  <si>
    <t>李翠玲</t>
  </si>
  <si>
    <t>郭玉花</t>
  </si>
  <si>
    <t>王国侠</t>
  </si>
  <si>
    <t>白国全</t>
  </si>
  <si>
    <t>15232619600803067X</t>
  </si>
  <si>
    <t>赵景明</t>
  </si>
  <si>
    <t>15232619610418066X</t>
  </si>
  <si>
    <t>石兆娟</t>
  </si>
  <si>
    <t>15232619610606067X</t>
  </si>
  <si>
    <t>郭海峰</t>
  </si>
  <si>
    <t>王文中</t>
  </si>
  <si>
    <t>岳建枝</t>
  </si>
  <si>
    <t>张权</t>
  </si>
  <si>
    <t>刘振林</t>
  </si>
  <si>
    <t>王有文</t>
  </si>
  <si>
    <t>张万军</t>
  </si>
  <si>
    <t>吴福小</t>
  </si>
  <si>
    <t>腾淑珍</t>
  </si>
  <si>
    <t>隋秀芹</t>
  </si>
  <si>
    <t>李向宽</t>
  </si>
  <si>
    <t>李孟兰</t>
  </si>
  <si>
    <t>张秀凤</t>
  </si>
  <si>
    <t>刘海民</t>
  </si>
  <si>
    <t>郭凤花</t>
  </si>
  <si>
    <t>徐文新</t>
  </si>
  <si>
    <t>刘宝军</t>
  </si>
  <si>
    <t>潘玉民</t>
  </si>
  <si>
    <t>王作明</t>
  </si>
  <si>
    <t>宋景财</t>
  </si>
  <si>
    <t>齐仕彬</t>
  </si>
  <si>
    <t>张淑敏</t>
  </si>
  <si>
    <t>仝占祥</t>
  </si>
  <si>
    <t>朱桂珍</t>
  </si>
  <si>
    <t>赵春福</t>
  </si>
  <si>
    <t>陈子轩</t>
  </si>
  <si>
    <t>丛艳英</t>
  </si>
  <si>
    <t>刘凤荣</t>
  </si>
  <si>
    <t>牛学枝</t>
  </si>
  <si>
    <t>刘元明</t>
  </si>
  <si>
    <t>李庆义</t>
  </si>
  <si>
    <t>张宝德</t>
  </si>
  <si>
    <t>甄国茹</t>
  </si>
  <si>
    <t>邵朋军</t>
  </si>
  <si>
    <t>席爱学</t>
  </si>
  <si>
    <t>15232619441010309X</t>
  </si>
  <si>
    <t>胡福海</t>
  </si>
  <si>
    <t>钟树荣</t>
  </si>
  <si>
    <t>朱宝兰</t>
  </si>
  <si>
    <t>15232619490601092X</t>
  </si>
  <si>
    <t>席格日乐</t>
  </si>
  <si>
    <t>何翠芳</t>
  </si>
  <si>
    <t>李玉芝</t>
  </si>
  <si>
    <t>宋国忠</t>
  </si>
  <si>
    <t>代萨仁其木格</t>
  </si>
  <si>
    <t>李舍布力玛</t>
  </si>
  <si>
    <t>苏永成</t>
  </si>
  <si>
    <t>刘元福</t>
  </si>
  <si>
    <t>杜青芬</t>
  </si>
  <si>
    <t>王瑞花</t>
  </si>
  <si>
    <t>文凤臣</t>
  </si>
  <si>
    <t>张万和</t>
  </si>
  <si>
    <t>15232619570206041X</t>
  </si>
  <si>
    <t>王殿云</t>
  </si>
  <si>
    <t>白文祥</t>
  </si>
  <si>
    <t>卢海峰</t>
  </si>
  <si>
    <t>苏秀枝</t>
  </si>
  <si>
    <t>何明花</t>
  </si>
  <si>
    <t>白秀花</t>
  </si>
  <si>
    <t>15232619560813067X</t>
  </si>
  <si>
    <t>于锋</t>
  </si>
  <si>
    <t>朱秀华</t>
  </si>
  <si>
    <t>乔树生</t>
  </si>
  <si>
    <t>隋凤海</t>
  </si>
  <si>
    <t>安秀华</t>
  </si>
  <si>
    <t>张立华</t>
  </si>
  <si>
    <t>赵淑荣</t>
  </si>
  <si>
    <t>沈玉林</t>
  </si>
  <si>
    <t>刘雨英</t>
  </si>
  <si>
    <t>孙庆国</t>
  </si>
  <si>
    <t>宋爱民</t>
  </si>
  <si>
    <t>刘国龙</t>
  </si>
  <si>
    <t>15232619600226001X</t>
  </si>
  <si>
    <t>宫玉彬</t>
  </si>
  <si>
    <t>吕国柱</t>
  </si>
  <si>
    <t>敖道胡</t>
  </si>
  <si>
    <t>王帮助</t>
  </si>
  <si>
    <t>姚宝山</t>
  </si>
  <si>
    <t>刘相芬</t>
  </si>
  <si>
    <t>单国侠</t>
  </si>
  <si>
    <t>雷桂枝</t>
  </si>
  <si>
    <t>韩大喜</t>
  </si>
  <si>
    <t>张渭清</t>
  </si>
  <si>
    <t>钟丰久</t>
  </si>
  <si>
    <t>杨秀兰</t>
  </si>
  <si>
    <t>周秀花</t>
  </si>
  <si>
    <t>赵学范</t>
  </si>
  <si>
    <t>彭秀英</t>
  </si>
  <si>
    <t>宝京格</t>
  </si>
  <si>
    <t>15232619470129042X</t>
  </si>
  <si>
    <t>梁玉荣</t>
  </si>
  <si>
    <t>杜成文</t>
  </si>
  <si>
    <t>王秀芝</t>
  </si>
  <si>
    <t>张庆和</t>
  </si>
  <si>
    <t>李德力根</t>
  </si>
  <si>
    <t>15232619451112042X</t>
  </si>
  <si>
    <t>贾玉生</t>
  </si>
  <si>
    <t>隋凤山</t>
  </si>
  <si>
    <t>高振龙</t>
  </si>
  <si>
    <t>15232619461117066X</t>
  </si>
  <si>
    <t>范学丛</t>
  </si>
  <si>
    <t>姚春祥</t>
  </si>
  <si>
    <t>毛仪</t>
  </si>
  <si>
    <t>王洪廷</t>
  </si>
  <si>
    <t>张桂芹</t>
  </si>
  <si>
    <t>张彩瑞</t>
  </si>
  <si>
    <t>侯凤兰</t>
  </si>
  <si>
    <t>徐玉</t>
  </si>
  <si>
    <t>程永兰</t>
  </si>
  <si>
    <t>15232619630217042X</t>
  </si>
  <si>
    <t>张文侠</t>
  </si>
  <si>
    <t>赵国强</t>
  </si>
  <si>
    <t>田海华</t>
  </si>
  <si>
    <t>高喜柱</t>
  </si>
  <si>
    <t>席凤山</t>
  </si>
  <si>
    <t>15232619511026331X</t>
  </si>
  <si>
    <t>高彭斯格</t>
  </si>
  <si>
    <t>吴海成</t>
  </si>
  <si>
    <t>15232619470412067X</t>
  </si>
  <si>
    <t>郑子明</t>
  </si>
  <si>
    <t>岳秀</t>
  </si>
  <si>
    <t>范常凤</t>
  </si>
  <si>
    <t>侯达拉夫</t>
  </si>
  <si>
    <t>徐井山</t>
  </si>
  <si>
    <t>15232619390727042X</t>
  </si>
  <si>
    <t>张淑范</t>
  </si>
  <si>
    <t>赵淑贤</t>
  </si>
  <si>
    <t>15232619450929042X</t>
  </si>
  <si>
    <t>刘俊荣</t>
  </si>
  <si>
    <t>王柏荣</t>
  </si>
  <si>
    <t>牛秀英</t>
  </si>
  <si>
    <t>谢九月</t>
  </si>
  <si>
    <t>谢香金梅</t>
  </si>
  <si>
    <t>15232619340419092X</t>
  </si>
  <si>
    <t>梁吉梅香</t>
  </si>
  <si>
    <t>王国英</t>
  </si>
  <si>
    <t>15232619500104066X</t>
  </si>
  <si>
    <t>陈桂芬</t>
  </si>
  <si>
    <t>李淑杰</t>
  </si>
  <si>
    <t>包胡日旦胡</t>
  </si>
  <si>
    <t>周俊英</t>
  </si>
  <si>
    <t>郝玉花</t>
  </si>
  <si>
    <t>15232619511225066X</t>
  </si>
  <si>
    <t>吴松琴</t>
  </si>
  <si>
    <t>达古拉</t>
  </si>
  <si>
    <t>吴桂荣</t>
  </si>
  <si>
    <t>左文凤</t>
  </si>
  <si>
    <t>张喜贵</t>
  </si>
  <si>
    <t>甄国宝</t>
  </si>
  <si>
    <t>李赛花</t>
  </si>
  <si>
    <t>林志俭</t>
  </si>
  <si>
    <t>何翠环</t>
  </si>
  <si>
    <t>卜庆芝</t>
  </si>
  <si>
    <t>李国玉</t>
  </si>
  <si>
    <t>林树桐</t>
  </si>
  <si>
    <t>陈国霞</t>
  </si>
  <si>
    <t>张宝花</t>
  </si>
  <si>
    <t>15232619481010004X</t>
  </si>
  <si>
    <t>席龙梅</t>
  </si>
  <si>
    <t>吴龙梅</t>
  </si>
  <si>
    <t>周桂荣</t>
  </si>
  <si>
    <t>赵青华</t>
  </si>
  <si>
    <t>15232619460824092X</t>
  </si>
  <si>
    <t>胡那仁满都拉</t>
  </si>
  <si>
    <t>梁金梨</t>
  </si>
  <si>
    <t>贾玉琴</t>
  </si>
  <si>
    <t>黄瑞琴</t>
  </si>
  <si>
    <t>15232619430901042X</t>
  </si>
  <si>
    <t>张翠兰</t>
  </si>
  <si>
    <t>李庆艳</t>
  </si>
  <si>
    <t>冯国忠</t>
  </si>
  <si>
    <t>张平</t>
  </si>
  <si>
    <t>15232619330313307X</t>
  </si>
  <si>
    <t>许广志</t>
  </si>
  <si>
    <t>于素珍</t>
  </si>
  <si>
    <t>孟宪玉</t>
  </si>
  <si>
    <t>刘彬</t>
  </si>
  <si>
    <t>赵国军</t>
  </si>
  <si>
    <t>包扫不道</t>
  </si>
  <si>
    <t>窦会荣</t>
  </si>
  <si>
    <t>吕秀兰</t>
  </si>
  <si>
    <t>刘春起</t>
  </si>
  <si>
    <t>杜国有</t>
  </si>
  <si>
    <t>张凤荣</t>
  </si>
  <si>
    <t>何翠琴</t>
  </si>
  <si>
    <t>15232619480127067X</t>
  </si>
  <si>
    <t>张永富</t>
  </si>
  <si>
    <t>魏国霞</t>
  </si>
  <si>
    <t>周桂琴</t>
  </si>
  <si>
    <t>王利霞</t>
  </si>
  <si>
    <t>刘勤</t>
  </si>
  <si>
    <t>15232619390424092X</t>
  </si>
  <si>
    <t>高曹布道</t>
  </si>
  <si>
    <t>陈照格斯老</t>
  </si>
  <si>
    <t>何宝</t>
  </si>
  <si>
    <t>王玉山</t>
  </si>
  <si>
    <t>单国玖</t>
  </si>
  <si>
    <t>孙文花</t>
  </si>
  <si>
    <t>齐恩华</t>
  </si>
  <si>
    <t>朱宝林</t>
  </si>
  <si>
    <t>蒋凤琴</t>
  </si>
  <si>
    <t>贾志福</t>
  </si>
  <si>
    <t>赵有</t>
  </si>
  <si>
    <t>张荣花</t>
  </si>
  <si>
    <t>狄秀英</t>
  </si>
  <si>
    <t>徐花</t>
  </si>
  <si>
    <t>李桂平</t>
  </si>
  <si>
    <t>张桂琴</t>
  </si>
  <si>
    <t>王桂芝</t>
  </si>
  <si>
    <t>邰德芳</t>
  </si>
  <si>
    <t>李玉喜</t>
  </si>
  <si>
    <t>白西巴</t>
  </si>
  <si>
    <t>张阿斯冷</t>
  </si>
  <si>
    <t>刘道日吉宁布</t>
  </si>
  <si>
    <t>齐振森</t>
  </si>
  <si>
    <t>刘瑞芬</t>
  </si>
  <si>
    <t>15232619470401384X</t>
  </si>
  <si>
    <t>曹国苹</t>
  </si>
  <si>
    <t>15232619360926382X</t>
  </si>
  <si>
    <t>王万里</t>
  </si>
  <si>
    <t>王文久</t>
  </si>
  <si>
    <t>15232619450526331X</t>
  </si>
  <si>
    <t>高秀德</t>
  </si>
  <si>
    <t>白英格</t>
  </si>
  <si>
    <t>王春</t>
  </si>
  <si>
    <t>陈全付</t>
  </si>
  <si>
    <t>白敖力布</t>
  </si>
  <si>
    <t>15232619550918308X</t>
  </si>
  <si>
    <t>薛桂琴</t>
  </si>
  <si>
    <t>潘玉英</t>
  </si>
  <si>
    <t>张文江</t>
  </si>
  <si>
    <t>15232619570616382X</t>
  </si>
  <si>
    <t>任桂芬</t>
  </si>
  <si>
    <t>15232619590119041X</t>
  </si>
  <si>
    <t>赵国富</t>
  </si>
  <si>
    <t>李彩林</t>
  </si>
  <si>
    <t>曼图嘎</t>
  </si>
  <si>
    <t>刘井玲</t>
  </si>
  <si>
    <t>霍轶成</t>
  </si>
  <si>
    <t>刘桂英</t>
  </si>
  <si>
    <t>王国华</t>
  </si>
  <si>
    <t>郑国玲</t>
  </si>
  <si>
    <t>刘香芬</t>
  </si>
  <si>
    <t>吴领格</t>
  </si>
  <si>
    <t>王景仪</t>
  </si>
  <si>
    <t>王国申</t>
  </si>
  <si>
    <t>赵树国</t>
  </si>
  <si>
    <t>张彩侠</t>
  </si>
  <si>
    <t>赵国和</t>
  </si>
  <si>
    <t>15232619540708382X</t>
  </si>
  <si>
    <t>朱玉梅</t>
  </si>
  <si>
    <t>王代小</t>
  </si>
  <si>
    <t>白小</t>
  </si>
  <si>
    <t>舍布乐玛</t>
  </si>
  <si>
    <t>格日乐其其格</t>
  </si>
  <si>
    <t>陈凤侠</t>
  </si>
  <si>
    <t>朱云河</t>
  </si>
  <si>
    <t>钟福枝</t>
  </si>
  <si>
    <t>崔国友</t>
  </si>
  <si>
    <t>左桂兰</t>
  </si>
  <si>
    <t>张玲</t>
  </si>
  <si>
    <t>周桂芹</t>
  </si>
  <si>
    <t>宁卫花</t>
  </si>
  <si>
    <t>孙文学</t>
  </si>
  <si>
    <t>勾振云</t>
  </si>
  <si>
    <t>张振江</t>
  </si>
  <si>
    <t>吴英</t>
  </si>
  <si>
    <t>史凤云</t>
  </si>
  <si>
    <t>马玉琴</t>
  </si>
  <si>
    <t>15232619630105067X</t>
  </si>
  <si>
    <t>于德民</t>
  </si>
  <si>
    <t>吴有</t>
  </si>
  <si>
    <t>张国义</t>
  </si>
  <si>
    <t>15232619560426307X</t>
  </si>
  <si>
    <t>苏凤芹</t>
  </si>
  <si>
    <t>朱凤花</t>
  </si>
  <si>
    <t>宝胖小</t>
  </si>
  <si>
    <t>何黑小</t>
  </si>
  <si>
    <t>梁图门白音</t>
  </si>
  <si>
    <t>韩秀荣</t>
  </si>
  <si>
    <t>姚艳英</t>
  </si>
  <si>
    <t>15232619521121092X</t>
  </si>
  <si>
    <t>李金花</t>
  </si>
  <si>
    <t>许云龙</t>
  </si>
  <si>
    <t>吕桂清</t>
  </si>
  <si>
    <t>冯祥</t>
  </si>
  <si>
    <t>李玉发</t>
  </si>
  <si>
    <t>宁维新</t>
  </si>
  <si>
    <t>吴色音白音</t>
  </si>
  <si>
    <t>吕振义</t>
  </si>
  <si>
    <t>程玉莲</t>
  </si>
  <si>
    <t>张淑芹</t>
  </si>
  <si>
    <t>冯淑敏</t>
  </si>
  <si>
    <t>刁志文</t>
  </si>
  <si>
    <t>厚花玲</t>
  </si>
  <si>
    <t>井淑芬</t>
  </si>
  <si>
    <t>孙树云</t>
  </si>
  <si>
    <t>张凤儒</t>
  </si>
  <si>
    <t>暴连军</t>
  </si>
  <si>
    <t>张金娥</t>
  </si>
  <si>
    <t>侯桂香</t>
  </si>
  <si>
    <t>刘翠兰</t>
  </si>
  <si>
    <t>姚翠侠</t>
  </si>
  <si>
    <t>邵玉国</t>
  </si>
  <si>
    <t>刘淑梅</t>
  </si>
  <si>
    <t>潘太香</t>
  </si>
  <si>
    <t>15232619630703067X</t>
  </si>
  <si>
    <t>宋春</t>
  </si>
  <si>
    <t>苏井龙</t>
  </si>
  <si>
    <t>卢凤国</t>
  </si>
  <si>
    <t>钟玉琴</t>
  </si>
  <si>
    <t>婵凤云</t>
  </si>
  <si>
    <t>林秀兰</t>
  </si>
  <si>
    <t>赵瑞华</t>
  </si>
  <si>
    <t>邵玉丰</t>
  </si>
  <si>
    <t>张顺</t>
  </si>
  <si>
    <t>张振民</t>
  </si>
  <si>
    <t>15232619601001066X</t>
  </si>
  <si>
    <t>徐翠凤</t>
  </si>
  <si>
    <t>马华</t>
  </si>
  <si>
    <t>张淑花</t>
  </si>
  <si>
    <t>吴洪江</t>
  </si>
  <si>
    <t>宋悦霞</t>
  </si>
  <si>
    <t>牟秀芳</t>
  </si>
  <si>
    <t>李秀云</t>
  </si>
  <si>
    <t>张桂贤</t>
  </si>
  <si>
    <t>范学芳</t>
  </si>
  <si>
    <t>周兰香</t>
  </si>
  <si>
    <t>刘翠荣</t>
  </si>
  <si>
    <t>刁志华</t>
  </si>
  <si>
    <t>李素华</t>
  </si>
  <si>
    <t>韦秀芹</t>
  </si>
  <si>
    <t>姚财</t>
  </si>
  <si>
    <t>肖翠萍</t>
  </si>
  <si>
    <t>魏殿海</t>
  </si>
  <si>
    <t>卫芝霞</t>
  </si>
  <si>
    <t>孟庆彪</t>
  </si>
  <si>
    <t>王国强</t>
  </si>
  <si>
    <t>邵朋珍</t>
  </si>
  <si>
    <t>刘巴塔</t>
  </si>
  <si>
    <t>韩国良</t>
  </si>
  <si>
    <t>15232619601214002X</t>
  </si>
  <si>
    <t>田桂芝</t>
  </si>
  <si>
    <t>王景祥</t>
  </si>
  <si>
    <t>许敏萍</t>
  </si>
  <si>
    <t>赵国友</t>
  </si>
  <si>
    <t>李树坤</t>
  </si>
  <si>
    <t>15232619520324066X</t>
  </si>
  <si>
    <t>朱兰凤</t>
  </si>
  <si>
    <t>刘云青</t>
  </si>
  <si>
    <t>刘树辉</t>
  </si>
  <si>
    <t>张国生</t>
  </si>
  <si>
    <t>15232619520824044X</t>
  </si>
  <si>
    <t>陈秀花</t>
  </si>
  <si>
    <t>张希贵</t>
  </si>
  <si>
    <t>15232619561018428X</t>
  </si>
  <si>
    <t>贺琴</t>
  </si>
  <si>
    <t>15232619521113068X</t>
  </si>
  <si>
    <t>孙桂玲</t>
  </si>
  <si>
    <t>何淑琴</t>
  </si>
  <si>
    <t>孙国玉</t>
  </si>
  <si>
    <t>甄桂枝</t>
  </si>
  <si>
    <t>15232619590610308X</t>
  </si>
  <si>
    <t>郑瑞芝</t>
  </si>
  <si>
    <t>15232619591222307X</t>
  </si>
  <si>
    <t>辛占海</t>
  </si>
  <si>
    <t>卜庆英</t>
  </si>
  <si>
    <t>15232619561226067X</t>
  </si>
  <si>
    <t>南国祥</t>
  </si>
  <si>
    <t>盛志文</t>
  </si>
  <si>
    <t>王纪春</t>
  </si>
  <si>
    <t>王子珍</t>
  </si>
  <si>
    <t>时作贤</t>
  </si>
  <si>
    <t>冯民</t>
  </si>
  <si>
    <t>秦桂荣</t>
  </si>
  <si>
    <t>宋国祥</t>
  </si>
  <si>
    <t>15232619540716067X</t>
  </si>
  <si>
    <t>陈秀</t>
  </si>
  <si>
    <t>李树珍</t>
  </si>
  <si>
    <t>李月芝</t>
  </si>
  <si>
    <t>15232619520715091X</t>
  </si>
  <si>
    <t>陈敖斯亲布</t>
  </si>
  <si>
    <t>15232619620210066X</t>
  </si>
  <si>
    <t>于秀荣</t>
  </si>
  <si>
    <t>朱凤英</t>
  </si>
  <si>
    <t>李恩甫</t>
  </si>
  <si>
    <t>于凤兰</t>
  </si>
  <si>
    <t>张希荣</t>
  </si>
  <si>
    <t>范玉刚</t>
  </si>
  <si>
    <t>苏玉英</t>
  </si>
  <si>
    <t>孟庆林</t>
  </si>
  <si>
    <t>马必力格</t>
  </si>
  <si>
    <t>阿力旦敖其</t>
  </si>
  <si>
    <t>刘亚茹</t>
  </si>
  <si>
    <t>田秀兰</t>
  </si>
  <si>
    <t>徐桂琴</t>
  </si>
  <si>
    <t>王喜花</t>
  </si>
  <si>
    <t>姜秀英</t>
  </si>
  <si>
    <t>朱连英</t>
  </si>
  <si>
    <t>王喜云</t>
  </si>
  <si>
    <t>张瑞连</t>
  </si>
  <si>
    <t>崔贵</t>
  </si>
  <si>
    <t>杨平</t>
  </si>
  <si>
    <t>郝凤芹</t>
  </si>
  <si>
    <t>李玉凤</t>
  </si>
  <si>
    <t>赵瑞英</t>
  </si>
  <si>
    <t>鲍来福</t>
  </si>
  <si>
    <t>辛秀英</t>
  </si>
  <si>
    <t>付凤云</t>
  </si>
  <si>
    <t>15232619470726066X</t>
  </si>
  <si>
    <t>王桂玲</t>
  </si>
  <si>
    <t>程永芬</t>
  </si>
  <si>
    <t>张文学</t>
  </si>
  <si>
    <t>杜玉荣</t>
  </si>
  <si>
    <t>刘桂梅</t>
  </si>
  <si>
    <t>袁凤珍</t>
  </si>
  <si>
    <t>孙学</t>
  </si>
  <si>
    <t>卓云</t>
  </si>
  <si>
    <t>高玉枝</t>
  </si>
  <si>
    <t>马秀琴</t>
  </si>
  <si>
    <t>王喜森</t>
  </si>
  <si>
    <t>张树清</t>
  </si>
  <si>
    <t>赵起</t>
  </si>
  <si>
    <t>薛广信</t>
  </si>
  <si>
    <t>王功</t>
  </si>
  <si>
    <t>姚利富</t>
  </si>
  <si>
    <t>崔凤兰</t>
  </si>
  <si>
    <t>戈侠</t>
  </si>
  <si>
    <t>李树海</t>
  </si>
  <si>
    <t>于成江</t>
  </si>
  <si>
    <t>林桂枝</t>
  </si>
  <si>
    <t>梁金良</t>
  </si>
  <si>
    <t>梁国学</t>
  </si>
  <si>
    <t>于云</t>
  </si>
  <si>
    <t>宋玉兰</t>
  </si>
  <si>
    <t>王岑</t>
  </si>
  <si>
    <t>李文春</t>
  </si>
  <si>
    <t>朱云泽</t>
  </si>
  <si>
    <t>崔国福</t>
  </si>
  <si>
    <t>孟昭贤</t>
  </si>
  <si>
    <t>吕素荣</t>
  </si>
  <si>
    <t>满常</t>
  </si>
  <si>
    <t>陈宝音德力根</t>
  </si>
  <si>
    <t>高宁布</t>
  </si>
  <si>
    <t>于砚明</t>
  </si>
  <si>
    <t>吴香堂</t>
  </si>
  <si>
    <t>谷益良</t>
  </si>
  <si>
    <t>敖那大木都</t>
  </si>
  <si>
    <t>郭秀珍</t>
  </si>
  <si>
    <t>苑景武</t>
  </si>
  <si>
    <t>刘凤学</t>
  </si>
  <si>
    <t>王玉平</t>
  </si>
  <si>
    <t>张美英</t>
  </si>
  <si>
    <t>15232619511030066X</t>
  </si>
  <si>
    <t>卢凤英</t>
  </si>
  <si>
    <t>包英格</t>
  </si>
  <si>
    <t>杭乌力吉</t>
  </si>
  <si>
    <t>赵侠</t>
  </si>
  <si>
    <t>李宝贤</t>
  </si>
  <si>
    <t>韩俊</t>
  </si>
  <si>
    <t>耿桂英</t>
  </si>
  <si>
    <t>卜庆花</t>
  </si>
  <si>
    <t>冯秀荷</t>
  </si>
  <si>
    <t>席文和</t>
  </si>
  <si>
    <t>王宁卜</t>
  </si>
  <si>
    <t>盖宝凤</t>
  </si>
  <si>
    <t>吴阿力坦</t>
  </si>
  <si>
    <t>孙兰英</t>
  </si>
  <si>
    <t>王景江</t>
  </si>
  <si>
    <t>张志福</t>
  </si>
  <si>
    <t>厚荣财</t>
  </si>
  <si>
    <t>辛春梅</t>
  </si>
  <si>
    <t>成恩英</t>
  </si>
  <si>
    <t>王爱华</t>
  </si>
  <si>
    <t>王柱</t>
  </si>
  <si>
    <t>盛志珍</t>
  </si>
  <si>
    <t>张义</t>
  </si>
  <si>
    <t>王振英</t>
  </si>
  <si>
    <t>胡桂芝</t>
  </si>
  <si>
    <t>15232619560622041X</t>
  </si>
  <si>
    <t>厚福有</t>
  </si>
  <si>
    <t>田桂江</t>
  </si>
  <si>
    <t>老丫头</t>
  </si>
  <si>
    <t>张海</t>
  </si>
  <si>
    <t>代玉霞</t>
  </si>
  <si>
    <t>刘良玉</t>
  </si>
  <si>
    <t>盖显昌</t>
  </si>
  <si>
    <t>王海民</t>
  </si>
  <si>
    <t>刘瑞华</t>
  </si>
  <si>
    <t>张玉玲</t>
  </si>
  <si>
    <t>15232619560702092X</t>
  </si>
  <si>
    <t>代凤琴</t>
  </si>
  <si>
    <t>李丙成</t>
  </si>
  <si>
    <t>席斯其玛</t>
  </si>
  <si>
    <t>候国芬</t>
  </si>
  <si>
    <t>15232619560529066X</t>
  </si>
  <si>
    <t>范丽军</t>
  </si>
  <si>
    <t>杨忠富</t>
  </si>
  <si>
    <t>李淑芹</t>
  </si>
  <si>
    <t>王海臣</t>
  </si>
  <si>
    <t>谢素芝</t>
  </si>
  <si>
    <t>李向玉</t>
  </si>
  <si>
    <t>张洪荣</t>
  </si>
  <si>
    <t>于广忠</t>
  </si>
  <si>
    <t>张洪兰</t>
  </si>
  <si>
    <t>15232619631006001X</t>
  </si>
  <si>
    <t>李学成</t>
  </si>
  <si>
    <t>15232619530104382X</t>
  </si>
  <si>
    <t>李学海</t>
  </si>
  <si>
    <t>梁宝玉</t>
  </si>
  <si>
    <t>昝桂芝</t>
  </si>
  <si>
    <t>冯国林</t>
  </si>
  <si>
    <t>15232619550926308X</t>
  </si>
  <si>
    <t>刘殿云</t>
  </si>
  <si>
    <t>甄桂玲</t>
  </si>
  <si>
    <t>王玉忠</t>
  </si>
  <si>
    <t>陈连文</t>
  </si>
  <si>
    <t>沈玉荣</t>
  </si>
  <si>
    <t>佟翠琴</t>
  </si>
  <si>
    <t>孔祥果</t>
  </si>
  <si>
    <t>张景娥</t>
  </si>
  <si>
    <t>李宝富</t>
  </si>
  <si>
    <t>李宝兰</t>
  </si>
  <si>
    <t>郭玉玲</t>
  </si>
  <si>
    <t>王继生</t>
  </si>
  <si>
    <t>周振学</t>
  </si>
  <si>
    <t>李秀枝</t>
  </si>
  <si>
    <t>鲁振国</t>
  </si>
  <si>
    <t>李玉芬</t>
  </si>
  <si>
    <t>牟凤有</t>
  </si>
  <si>
    <t>陈凤学</t>
  </si>
  <si>
    <t>15232619540310382X</t>
  </si>
  <si>
    <t>于翠芬</t>
  </si>
  <si>
    <t>15232619520308066X</t>
  </si>
  <si>
    <t>迟德荣</t>
  </si>
  <si>
    <t>张凤学</t>
  </si>
  <si>
    <t>沈少堂</t>
  </si>
  <si>
    <t>宝图雅</t>
  </si>
  <si>
    <t>陈龙梅</t>
  </si>
  <si>
    <t>陈常月</t>
  </si>
  <si>
    <t>高玉花</t>
  </si>
  <si>
    <t>付崇芝</t>
  </si>
  <si>
    <t>15232619520504382X</t>
  </si>
  <si>
    <t>罗艳春</t>
  </si>
  <si>
    <t>李学富</t>
  </si>
  <si>
    <t>王凤生</t>
  </si>
  <si>
    <t>张继书</t>
  </si>
  <si>
    <t>陈文</t>
  </si>
  <si>
    <t>闫世杰</t>
  </si>
  <si>
    <t>张桂云</t>
  </si>
  <si>
    <t>15232619581208042X</t>
  </si>
  <si>
    <t>刘俊英</t>
  </si>
  <si>
    <t>高青英</t>
  </si>
  <si>
    <t>蔡军</t>
  </si>
  <si>
    <t>孙洪贵</t>
  </si>
  <si>
    <t>卫莲玉</t>
  </si>
  <si>
    <t>董秀丽</t>
  </si>
  <si>
    <t>崔桂华</t>
  </si>
  <si>
    <t>高秀芬</t>
  </si>
  <si>
    <t>于景娥</t>
  </si>
  <si>
    <t>周淑芝</t>
  </si>
  <si>
    <t>侯贵</t>
  </si>
  <si>
    <t>王国才</t>
  </si>
  <si>
    <t>韩淑芬</t>
  </si>
  <si>
    <t>时秀兰</t>
  </si>
  <si>
    <t>王振国</t>
  </si>
  <si>
    <t>刘桂贤</t>
  </si>
  <si>
    <t>薛荣</t>
  </si>
  <si>
    <t>朝鲜族</t>
  </si>
  <si>
    <t>陈景和</t>
  </si>
  <si>
    <t>刘彦彬</t>
  </si>
  <si>
    <t>梁显信</t>
  </si>
  <si>
    <t>何翠杰</t>
  </si>
  <si>
    <t>15232619531227042X</t>
  </si>
  <si>
    <t>姚振兰</t>
  </si>
  <si>
    <t>张淑珍</t>
  </si>
  <si>
    <t>高学玲</t>
  </si>
  <si>
    <t>方久芝</t>
  </si>
  <si>
    <t>刘占富</t>
  </si>
  <si>
    <t>孙久富</t>
  </si>
  <si>
    <t>王美荣</t>
  </si>
  <si>
    <t>程惠娥</t>
  </si>
  <si>
    <t>王永志</t>
  </si>
  <si>
    <t>孙彩莲</t>
  </si>
  <si>
    <t>姜玉枝</t>
  </si>
  <si>
    <t>春花</t>
  </si>
  <si>
    <t>宝敖来</t>
  </si>
  <si>
    <t>钱玉林</t>
  </si>
  <si>
    <t>赵秀英</t>
  </si>
  <si>
    <t>王玉花</t>
  </si>
  <si>
    <t>周和</t>
  </si>
  <si>
    <t>李桂花</t>
  </si>
  <si>
    <t>王品贵</t>
  </si>
  <si>
    <t>高淑芹</t>
  </si>
  <si>
    <t>苏俊玲</t>
  </si>
  <si>
    <t>齐桂芬</t>
  </si>
  <si>
    <t>王自华</t>
  </si>
  <si>
    <t>郭凤仪</t>
  </si>
  <si>
    <t>朱永强</t>
  </si>
  <si>
    <t>吕月芝</t>
  </si>
  <si>
    <t>王彩霞</t>
  </si>
  <si>
    <t>盛云苹</t>
  </si>
  <si>
    <t>宝山</t>
  </si>
  <si>
    <t>赵淑学</t>
  </si>
  <si>
    <t>牛井林</t>
  </si>
  <si>
    <t>王殿军</t>
  </si>
  <si>
    <t>李素芝</t>
  </si>
  <si>
    <t>沈少琴</t>
  </si>
  <si>
    <t>刘春莲</t>
  </si>
  <si>
    <t>于秀英</t>
  </si>
  <si>
    <t>苏春兰</t>
  </si>
  <si>
    <t>张文志</t>
  </si>
  <si>
    <t>侯景志</t>
  </si>
  <si>
    <t>谷士有</t>
  </si>
  <si>
    <t>曹秀云</t>
  </si>
  <si>
    <t>刘春民</t>
  </si>
  <si>
    <t>张玉喜</t>
  </si>
  <si>
    <t>胡凤平</t>
  </si>
  <si>
    <t>崔国发</t>
  </si>
  <si>
    <t>张国仁</t>
  </si>
  <si>
    <t>15232619560928331X</t>
  </si>
  <si>
    <t>李生</t>
  </si>
  <si>
    <t>李铁庄</t>
  </si>
  <si>
    <t>刘素霞</t>
  </si>
  <si>
    <t>辛士芝</t>
  </si>
  <si>
    <t>江占云</t>
  </si>
  <si>
    <t>于凤云</t>
  </si>
  <si>
    <t>徐秀云</t>
  </si>
  <si>
    <t>张小亮</t>
  </si>
  <si>
    <t>张明清</t>
  </si>
  <si>
    <t>徐桂珍</t>
  </si>
  <si>
    <t>王景兰</t>
  </si>
  <si>
    <t>孙淑英</t>
  </si>
  <si>
    <t>15232619600209041X</t>
  </si>
  <si>
    <t>王艳侠</t>
  </si>
  <si>
    <t>王雅芹</t>
  </si>
  <si>
    <t>张亚杰</t>
  </si>
  <si>
    <t>李彩文</t>
  </si>
  <si>
    <t>朱莫德格</t>
  </si>
  <si>
    <t>胡来小</t>
  </si>
  <si>
    <t>付桂兰</t>
  </si>
  <si>
    <t>赵桂林</t>
  </si>
  <si>
    <t>吕海青</t>
  </si>
  <si>
    <t>15232619531020383X</t>
  </si>
  <si>
    <t>李振林</t>
  </si>
  <si>
    <t>15232619520627382X</t>
  </si>
  <si>
    <t>周素玉</t>
  </si>
  <si>
    <t>包玉良</t>
  </si>
  <si>
    <t>刘春英</t>
  </si>
  <si>
    <t>王井阳</t>
  </si>
  <si>
    <t>梁金玉</t>
  </si>
  <si>
    <t>15232619531103066X</t>
  </si>
  <si>
    <t>王瑞贤</t>
  </si>
  <si>
    <t>胡敖门巴塔</t>
  </si>
  <si>
    <t>15232619570916043X</t>
  </si>
  <si>
    <t>张起</t>
  </si>
  <si>
    <t>高文华</t>
  </si>
  <si>
    <t>王玉庆</t>
  </si>
  <si>
    <t>李香玉</t>
  </si>
  <si>
    <t>吴阿力塔</t>
  </si>
  <si>
    <t>李玉坤</t>
  </si>
  <si>
    <t>邹纪珍</t>
  </si>
  <si>
    <t>陈井田</t>
  </si>
  <si>
    <t>王会贤</t>
  </si>
  <si>
    <t>刘国范</t>
  </si>
  <si>
    <t>15232619591018066X</t>
  </si>
  <si>
    <t>鲁秀云</t>
  </si>
  <si>
    <t>崔玉玲</t>
  </si>
  <si>
    <t>刘淑侠</t>
  </si>
  <si>
    <t>庄守华</t>
  </si>
  <si>
    <t>郝文学</t>
  </si>
  <si>
    <t>宋国兰</t>
  </si>
  <si>
    <t>钱玉才</t>
  </si>
  <si>
    <t>古木达</t>
  </si>
  <si>
    <t>郝玉凤</t>
  </si>
  <si>
    <t>安凤平</t>
  </si>
  <si>
    <t>安庆花</t>
  </si>
  <si>
    <t>白金荣</t>
  </si>
  <si>
    <t>冷凤英</t>
  </si>
  <si>
    <t>齐桂花</t>
  </si>
  <si>
    <t>赵贺荣</t>
  </si>
  <si>
    <t>刘福兴</t>
  </si>
  <si>
    <t>李永强</t>
  </si>
  <si>
    <t>15232619620907066X</t>
  </si>
  <si>
    <t>李悦荣</t>
  </si>
  <si>
    <t>舒玉华</t>
  </si>
  <si>
    <t>吴金龙</t>
  </si>
  <si>
    <t>樊玉侠</t>
  </si>
  <si>
    <t>卢海芝</t>
  </si>
  <si>
    <t>贺芝</t>
  </si>
  <si>
    <t>刘悦梅</t>
  </si>
  <si>
    <t>吕保军</t>
  </si>
  <si>
    <t>张树田</t>
  </si>
  <si>
    <t>墨玉莲</t>
  </si>
  <si>
    <t>南秀芬</t>
  </si>
  <si>
    <t>谭清山</t>
  </si>
  <si>
    <t>张彩凤</t>
  </si>
  <si>
    <t>毕永生</t>
  </si>
  <si>
    <t>张锋</t>
  </si>
  <si>
    <t>张天贵</t>
  </si>
  <si>
    <t>刘秀</t>
  </si>
  <si>
    <t>15232619620115384X</t>
  </si>
  <si>
    <t>张术芳</t>
  </si>
  <si>
    <t>单翠霞</t>
  </si>
  <si>
    <t>石会珠</t>
  </si>
  <si>
    <t>时作民</t>
  </si>
  <si>
    <t>王文贤</t>
  </si>
  <si>
    <t>15232619610204041X</t>
  </si>
  <si>
    <t>孙彦贵</t>
  </si>
  <si>
    <t>15232619570728042X</t>
  </si>
  <si>
    <t>王丙和</t>
  </si>
  <si>
    <t>王秀云</t>
  </si>
  <si>
    <t>王玉枝</t>
  </si>
  <si>
    <t>谢素珍</t>
  </si>
  <si>
    <t>于秀琢</t>
  </si>
  <si>
    <t>李世学</t>
  </si>
  <si>
    <t>刘树芹</t>
  </si>
  <si>
    <t>王爱东</t>
  </si>
  <si>
    <t>毕彩霞</t>
  </si>
  <si>
    <t>高凤云</t>
  </si>
  <si>
    <t>武建国</t>
  </si>
  <si>
    <t>侯高峰</t>
  </si>
  <si>
    <t>胡广彬</t>
  </si>
  <si>
    <t>蒋秀花</t>
  </si>
  <si>
    <t>曹艳梅</t>
  </si>
  <si>
    <t>白七月</t>
  </si>
  <si>
    <t>代桂芳</t>
  </si>
  <si>
    <t>厚立云</t>
  </si>
  <si>
    <t>王永芬</t>
  </si>
  <si>
    <t>15232619591111041X</t>
  </si>
  <si>
    <t>张生</t>
  </si>
  <si>
    <t>15232619520424331X</t>
  </si>
  <si>
    <t>陈永青</t>
  </si>
  <si>
    <t>白宁布</t>
  </si>
  <si>
    <t>包孟和</t>
  </si>
  <si>
    <t>陈格根阿布拉</t>
  </si>
  <si>
    <t>15232619551108091X</t>
  </si>
  <si>
    <t>侯孟根宝力皋</t>
  </si>
  <si>
    <t>王梅荣</t>
  </si>
  <si>
    <t>席乌梅</t>
  </si>
  <si>
    <t>刘秀芹</t>
  </si>
  <si>
    <t>姚国学</t>
  </si>
  <si>
    <t>杜秀莲</t>
  </si>
  <si>
    <t>韩友</t>
  </si>
  <si>
    <t>谷益坤</t>
  </si>
  <si>
    <t>赵国花</t>
  </si>
  <si>
    <t>马志山</t>
  </si>
  <si>
    <t>冯翠荣</t>
  </si>
  <si>
    <t>刘喜林</t>
  </si>
  <si>
    <t>刘希君</t>
  </si>
  <si>
    <t>龚秀琢</t>
  </si>
  <si>
    <t>厚华军</t>
  </si>
  <si>
    <t>申学明</t>
  </si>
  <si>
    <t>王守臣</t>
  </si>
  <si>
    <t>张志荣</t>
  </si>
  <si>
    <t>朱秀霞</t>
  </si>
  <si>
    <t>冯翠芬</t>
  </si>
  <si>
    <t>吕淑凤</t>
  </si>
  <si>
    <t>朱桂芝</t>
  </si>
  <si>
    <t>张有琢</t>
  </si>
  <si>
    <t>刘全宝</t>
  </si>
  <si>
    <t>侯额木图</t>
  </si>
  <si>
    <t>景占胜</t>
  </si>
  <si>
    <t>吴铁生</t>
  </si>
  <si>
    <t>杨国芝</t>
  </si>
  <si>
    <t>张翠花</t>
  </si>
  <si>
    <t>孙宝林</t>
  </si>
  <si>
    <t>刘香兰</t>
  </si>
  <si>
    <t>杨树兰</t>
  </si>
  <si>
    <t>张淑华</t>
  </si>
  <si>
    <t>赵山</t>
  </si>
  <si>
    <t>赵素花</t>
  </si>
  <si>
    <t>邵永明</t>
  </si>
  <si>
    <t>时作荣</t>
  </si>
  <si>
    <t>杜成俊</t>
  </si>
  <si>
    <t>李殿霞</t>
  </si>
  <si>
    <t>15232619621108004X</t>
  </si>
  <si>
    <t>于志勤</t>
  </si>
  <si>
    <t>张显宗</t>
  </si>
  <si>
    <t>武俊琴</t>
  </si>
  <si>
    <t>15232619561020384X</t>
  </si>
  <si>
    <t>岳见云</t>
  </si>
  <si>
    <t>张仁停</t>
  </si>
  <si>
    <t>白凤兰</t>
  </si>
  <si>
    <t>时纪艳</t>
  </si>
  <si>
    <t>白芹</t>
  </si>
  <si>
    <t>赵铁山</t>
  </si>
  <si>
    <t>刘广彬</t>
  </si>
  <si>
    <t>陈连军</t>
  </si>
  <si>
    <t>石井平</t>
  </si>
  <si>
    <t>左玉芝</t>
  </si>
  <si>
    <t>15232619410703428X</t>
  </si>
  <si>
    <t>厚荣英</t>
  </si>
  <si>
    <t>侯铁明</t>
  </si>
  <si>
    <t>宝彩琴</t>
  </si>
  <si>
    <t>鲁青莲</t>
  </si>
  <si>
    <t>马占清</t>
  </si>
  <si>
    <t>许桂云</t>
  </si>
  <si>
    <t>胜梅</t>
  </si>
  <si>
    <t>邵仪</t>
  </si>
  <si>
    <t>孙国芝</t>
  </si>
  <si>
    <t>宝玉华</t>
  </si>
  <si>
    <t>李新国</t>
  </si>
  <si>
    <t>徐彩华</t>
  </si>
  <si>
    <t>刘恩军</t>
  </si>
  <si>
    <t>由焕彬</t>
  </si>
  <si>
    <t>迟凤兰</t>
  </si>
  <si>
    <t>程宝树</t>
  </si>
  <si>
    <t>朱国林</t>
  </si>
  <si>
    <t>吴恩合勿力吉</t>
  </si>
  <si>
    <t>侯根小</t>
  </si>
  <si>
    <t>王喜财</t>
  </si>
  <si>
    <t>宝呀图</t>
  </si>
  <si>
    <t>李香</t>
  </si>
  <si>
    <t>15232619540908042X</t>
  </si>
  <si>
    <t>时纪民</t>
  </si>
  <si>
    <t>15232619620406042X</t>
  </si>
  <si>
    <t>王玉欣</t>
  </si>
  <si>
    <t>15232619631201069X</t>
  </si>
  <si>
    <t>徐同有</t>
  </si>
  <si>
    <t>张宝音朝古拉</t>
  </si>
  <si>
    <t>刘恩财</t>
  </si>
  <si>
    <t>李树华</t>
  </si>
  <si>
    <t>刘瑞莲</t>
  </si>
  <si>
    <t>钱玉民</t>
  </si>
  <si>
    <t>姜淑珍</t>
  </si>
  <si>
    <t>金永良</t>
  </si>
  <si>
    <t>轩凤敏</t>
  </si>
  <si>
    <t>15232619600504067X</t>
  </si>
  <si>
    <t>轩继岭</t>
  </si>
  <si>
    <t>程瑞花</t>
  </si>
  <si>
    <t>张文忠</t>
  </si>
  <si>
    <t>孙占林</t>
  </si>
  <si>
    <t>尤景玉</t>
  </si>
  <si>
    <t>甄喜柱</t>
  </si>
  <si>
    <t>侯桂霞</t>
  </si>
  <si>
    <t>15232619510808382X</t>
  </si>
  <si>
    <t>吴照古苏老</t>
  </si>
  <si>
    <t>15232619640212042X</t>
  </si>
  <si>
    <t>卢海荣</t>
  </si>
  <si>
    <t>15232619460222382X</t>
  </si>
  <si>
    <t>阿根玛</t>
  </si>
  <si>
    <t>宝占小</t>
  </si>
  <si>
    <t>王海明</t>
  </si>
  <si>
    <t>宝金格</t>
  </si>
  <si>
    <t>金那仁</t>
  </si>
  <si>
    <t>梁显柱</t>
  </si>
  <si>
    <t>刘有</t>
  </si>
  <si>
    <t>李淑连</t>
  </si>
  <si>
    <t>冯伟</t>
  </si>
  <si>
    <t>李永志</t>
  </si>
  <si>
    <t>梁国凤</t>
  </si>
  <si>
    <t>卢凤花</t>
  </si>
  <si>
    <t>任凤山</t>
  </si>
  <si>
    <t>董淑华</t>
  </si>
  <si>
    <t>刘振轩</t>
  </si>
  <si>
    <t>王瑞新</t>
  </si>
  <si>
    <t>徐万强</t>
  </si>
  <si>
    <t>15232619601126002X</t>
  </si>
  <si>
    <t>衣秀芝</t>
  </si>
  <si>
    <t>银荣</t>
  </si>
  <si>
    <t>刘文广</t>
  </si>
  <si>
    <t>孙海芳</t>
  </si>
  <si>
    <t>金月玲</t>
  </si>
  <si>
    <t>侯月亮</t>
  </si>
  <si>
    <t>张凤华</t>
  </si>
  <si>
    <t>王都达古拉</t>
  </si>
  <si>
    <t>15232619580205042X</t>
  </si>
  <si>
    <t>顾长祥</t>
  </si>
  <si>
    <t>15232619600113066X</t>
  </si>
  <si>
    <t>王国凤</t>
  </si>
  <si>
    <t>徐万奎</t>
  </si>
  <si>
    <t>刘殿学</t>
  </si>
  <si>
    <t>15232619590219384X</t>
  </si>
  <si>
    <t>刘海琴</t>
  </si>
  <si>
    <t>那顺乌日他</t>
  </si>
  <si>
    <t>王金香</t>
  </si>
  <si>
    <t>杨云</t>
  </si>
  <si>
    <t>王额布力图</t>
  </si>
  <si>
    <t>那木吉拉</t>
  </si>
  <si>
    <t>宝萨木雅</t>
  </si>
  <si>
    <t>15232619600308381X</t>
  </si>
  <si>
    <t>马宝臣</t>
  </si>
  <si>
    <t>戴金枝</t>
  </si>
  <si>
    <t>达力玛</t>
  </si>
  <si>
    <t>图布新</t>
  </si>
  <si>
    <t>宝布和哈达</t>
  </si>
  <si>
    <t>柴瑞芹</t>
  </si>
  <si>
    <t>李琴</t>
  </si>
  <si>
    <t>姚玉娥</t>
  </si>
  <si>
    <t>王振生</t>
  </si>
  <si>
    <t>金小</t>
  </si>
  <si>
    <t>陈勤</t>
  </si>
  <si>
    <t>15232619591202381X</t>
  </si>
  <si>
    <t>王青龙</t>
  </si>
  <si>
    <t>于那顺乌力吉</t>
  </si>
  <si>
    <t>15232619611219042X</t>
  </si>
  <si>
    <t>东志民</t>
  </si>
  <si>
    <t>徐国苓</t>
  </si>
  <si>
    <t>王占籽</t>
  </si>
  <si>
    <t>赵玉文</t>
  </si>
  <si>
    <t>15232619630228382X</t>
  </si>
  <si>
    <t>高梅荣</t>
  </si>
  <si>
    <t>吕宝玉</t>
  </si>
  <si>
    <t>梁阿力旦呼</t>
  </si>
  <si>
    <t>包海泉</t>
  </si>
  <si>
    <t>王永福</t>
  </si>
  <si>
    <t>15232619630221041X</t>
  </si>
  <si>
    <t>张伟</t>
  </si>
  <si>
    <t>毛军</t>
  </si>
  <si>
    <t>吕金霞</t>
  </si>
  <si>
    <t>贺根小</t>
  </si>
  <si>
    <t>金凤花</t>
  </si>
  <si>
    <t>白高民阿布拉</t>
  </si>
  <si>
    <t>张领梅</t>
  </si>
  <si>
    <t>张荣</t>
  </si>
  <si>
    <t>15232619620601331X</t>
  </si>
  <si>
    <t>于六一</t>
  </si>
  <si>
    <t>于桂芹</t>
  </si>
  <si>
    <t>席白仪拉</t>
  </si>
  <si>
    <t>胡敖门德力根</t>
  </si>
  <si>
    <t>陈勿日斯其格</t>
  </si>
  <si>
    <t>王玉格</t>
  </si>
  <si>
    <t>于玲</t>
  </si>
  <si>
    <t>隋玉花</t>
  </si>
  <si>
    <t>刘桂枝</t>
  </si>
  <si>
    <t>武殿兰</t>
  </si>
  <si>
    <t>赵宽</t>
  </si>
  <si>
    <t>张淑芳</t>
  </si>
  <si>
    <t>杨立</t>
  </si>
  <si>
    <t>勾振富</t>
  </si>
  <si>
    <t>包雅图</t>
  </si>
  <si>
    <t>香春</t>
  </si>
  <si>
    <t>蔡尼玛敖斯</t>
  </si>
  <si>
    <t>赵阿力旦其其格</t>
  </si>
  <si>
    <t>15232619640109045X</t>
  </si>
  <si>
    <t>高军</t>
  </si>
  <si>
    <t>王清和</t>
  </si>
  <si>
    <t>王景芝</t>
  </si>
  <si>
    <t>蔡乌云毕力格</t>
  </si>
  <si>
    <t>王老小</t>
  </si>
  <si>
    <t>郭凤春</t>
  </si>
  <si>
    <t>隋凤侠</t>
  </si>
  <si>
    <t>李树全</t>
  </si>
  <si>
    <t>张永清</t>
  </si>
  <si>
    <t>刘恩苹</t>
  </si>
  <si>
    <t>刘庆怀</t>
  </si>
  <si>
    <t>韩玉琴</t>
  </si>
  <si>
    <t>郑显洁</t>
  </si>
  <si>
    <t>15232619580420041X</t>
  </si>
  <si>
    <t>王维起</t>
  </si>
  <si>
    <t>郭国发</t>
  </si>
  <si>
    <t>金凤路</t>
  </si>
  <si>
    <t>刘国学</t>
  </si>
  <si>
    <t>于凤霞</t>
  </si>
  <si>
    <t>宋玉梅</t>
  </si>
  <si>
    <t>15232619580902067X</t>
  </si>
  <si>
    <t>郭海山</t>
  </si>
  <si>
    <t>代玉琴</t>
  </si>
  <si>
    <t>吴玉琴</t>
  </si>
  <si>
    <t>曼都拉</t>
  </si>
  <si>
    <t>15232619601005331X</t>
  </si>
  <si>
    <t>白七十三</t>
  </si>
  <si>
    <t>时桂华</t>
  </si>
  <si>
    <t>白金龙</t>
  </si>
  <si>
    <t>谭凤华</t>
  </si>
  <si>
    <t>安庆山</t>
  </si>
  <si>
    <t>李玉珍</t>
  </si>
  <si>
    <t>张志成</t>
  </si>
  <si>
    <t>15232619620409067X</t>
  </si>
  <si>
    <t>赵金华</t>
  </si>
  <si>
    <t>林志水</t>
  </si>
  <si>
    <t>罗延会</t>
  </si>
  <si>
    <t>罗延志</t>
  </si>
  <si>
    <t>柴秀兰</t>
  </si>
  <si>
    <t>罗朝古拉</t>
  </si>
  <si>
    <t>范井霞</t>
  </si>
  <si>
    <t>刘秀荣</t>
  </si>
  <si>
    <t>杜淑华</t>
  </si>
  <si>
    <t>李双山</t>
  </si>
  <si>
    <t>王景琴</t>
  </si>
  <si>
    <t>张桂喜</t>
  </si>
  <si>
    <t>张树明</t>
  </si>
  <si>
    <t>甄财</t>
  </si>
  <si>
    <t>康秀枝</t>
  </si>
  <si>
    <t>王玉芬</t>
  </si>
  <si>
    <t>崔桂英</t>
  </si>
  <si>
    <t>宫子正</t>
  </si>
  <si>
    <t>甄国香</t>
  </si>
  <si>
    <t>李玉梅</t>
  </si>
  <si>
    <t>贾林</t>
  </si>
  <si>
    <t>杨满春</t>
  </si>
  <si>
    <t>王君</t>
  </si>
  <si>
    <t>吕淑芳</t>
  </si>
  <si>
    <t>罗敬芝</t>
  </si>
  <si>
    <t>闫凤春</t>
  </si>
  <si>
    <t>刘义</t>
  </si>
  <si>
    <t>陈有荣</t>
  </si>
  <si>
    <t>鲁振友</t>
  </si>
  <si>
    <t>王有臣</t>
  </si>
  <si>
    <t>张臣</t>
  </si>
  <si>
    <t>刘彩花</t>
  </si>
  <si>
    <t>梁冰糖</t>
  </si>
  <si>
    <t>孟庆军</t>
  </si>
  <si>
    <t>蔡珍</t>
  </si>
  <si>
    <t>任凤军</t>
  </si>
  <si>
    <t>刘凤军</t>
  </si>
  <si>
    <t>包国玉</t>
  </si>
  <si>
    <t>15232619630102042X</t>
  </si>
  <si>
    <t>王永芝</t>
  </si>
  <si>
    <t>15232619530220041X</t>
  </si>
  <si>
    <t>周海</t>
  </si>
  <si>
    <t>包金小</t>
  </si>
  <si>
    <t>李悦霞</t>
  </si>
  <si>
    <t>张国文</t>
  </si>
  <si>
    <t>杨瑞英</t>
  </si>
  <si>
    <t>15232619520620308X</t>
  </si>
  <si>
    <t>龚金山</t>
  </si>
  <si>
    <t>张永新</t>
  </si>
  <si>
    <t>李美荣</t>
  </si>
  <si>
    <t>王福助</t>
  </si>
  <si>
    <t>陈银锁</t>
  </si>
  <si>
    <t>文氏侠</t>
  </si>
  <si>
    <t>李月娥</t>
  </si>
  <si>
    <t>成秀兰</t>
  </si>
  <si>
    <t>15232619611111381X</t>
  </si>
  <si>
    <t>张玉峰</t>
  </si>
  <si>
    <t>宝特木勤</t>
  </si>
  <si>
    <t>15232619500626091X</t>
  </si>
  <si>
    <t>李阿力坦敖斯</t>
  </si>
  <si>
    <t>胡拉力哈</t>
  </si>
  <si>
    <t>姚树枝</t>
  </si>
  <si>
    <t>甄宝安</t>
  </si>
  <si>
    <t>赵强</t>
  </si>
  <si>
    <t>张字荣</t>
  </si>
  <si>
    <t>张国霞</t>
  </si>
  <si>
    <t>郭占民</t>
  </si>
  <si>
    <t>高良玉</t>
  </si>
  <si>
    <t>吴查干花</t>
  </si>
  <si>
    <t>李国学</t>
  </si>
  <si>
    <t>李育民</t>
  </si>
  <si>
    <t>肖凤枝</t>
  </si>
  <si>
    <t>王春英</t>
  </si>
  <si>
    <t>敖吉子</t>
  </si>
  <si>
    <t>15232619510103382X</t>
  </si>
  <si>
    <t>吴金小</t>
  </si>
  <si>
    <t>盛奎</t>
  </si>
  <si>
    <t>姜凤兰</t>
  </si>
  <si>
    <t>高森</t>
  </si>
  <si>
    <t>赵俊</t>
  </si>
  <si>
    <t>15232619510816331X</t>
  </si>
  <si>
    <t>涂宪珍</t>
  </si>
  <si>
    <t>翟凤枝</t>
  </si>
  <si>
    <t>15232619440827069X</t>
  </si>
  <si>
    <t>罗永明</t>
  </si>
  <si>
    <t>张淑凤</t>
  </si>
  <si>
    <t>宗占德</t>
  </si>
  <si>
    <t>15232619471108382X</t>
  </si>
  <si>
    <t>宋桂针</t>
  </si>
  <si>
    <t>汪学英</t>
  </si>
  <si>
    <t>张凤枝</t>
  </si>
  <si>
    <t>15232619460905001X</t>
  </si>
  <si>
    <t>姜占元</t>
  </si>
  <si>
    <t>王丕侠</t>
  </si>
  <si>
    <t>刘云侠</t>
  </si>
  <si>
    <t>杜国平</t>
  </si>
  <si>
    <t>胡广臣</t>
  </si>
  <si>
    <t>宝敖力布</t>
  </si>
  <si>
    <t>宝敖其</t>
  </si>
  <si>
    <t>鲁玉云</t>
  </si>
  <si>
    <t>郑国忠</t>
  </si>
  <si>
    <t>郝吉三</t>
  </si>
  <si>
    <t>王凤明</t>
  </si>
  <si>
    <t>15232619500618067X</t>
  </si>
  <si>
    <t>李志财</t>
  </si>
  <si>
    <t>吴柳柱</t>
  </si>
  <si>
    <t>赵秀林</t>
  </si>
  <si>
    <t>15232619380214067X</t>
  </si>
  <si>
    <t>樊国荣</t>
  </si>
  <si>
    <t>杜成学</t>
  </si>
  <si>
    <t>耿瑞贤</t>
  </si>
  <si>
    <t>牟凤山</t>
  </si>
  <si>
    <t>张淑新</t>
  </si>
  <si>
    <t>张相兰</t>
  </si>
  <si>
    <t>郝秀荣</t>
  </si>
  <si>
    <t>刘景莲</t>
  </si>
  <si>
    <t>刘喜文</t>
  </si>
  <si>
    <t>甄侠</t>
  </si>
  <si>
    <t>宝葡萄</t>
  </si>
  <si>
    <t>齐雅琴</t>
  </si>
  <si>
    <t>15232619501028042X</t>
  </si>
  <si>
    <t>魏悦兰</t>
  </si>
  <si>
    <t>刘俊杰</t>
  </si>
  <si>
    <t>齐凤珍</t>
  </si>
  <si>
    <t>刘凤清</t>
  </si>
  <si>
    <t>15232619471204614X</t>
  </si>
  <si>
    <t>陈凤芹</t>
  </si>
  <si>
    <t>15232619430410382X</t>
  </si>
  <si>
    <t>韩士云</t>
  </si>
  <si>
    <t>孙玉喜</t>
  </si>
  <si>
    <t>徐淑清</t>
  </si>
  <si>
    <t>周桂芝</t>
  </si>
  <si>
    <t>牟桂荣</t>
  </si>
  <si>
    <t>韩满塔嘎拉</t>
  </si>
  <si>
    <t>郭凤臣</t>
  </si>
  <si>
    <t>吴新华</t>
  </si>
  <si>
    <t>李廷花</t>
  </si>
  <si>
    <t>盖明海</t>
  </si>
  <si>
    <t>李洪林</t>
  </si>
  <si>
    <t>孔祥花</t>
  </si>
  <si>
    <t>雷顺发</t>
  </si>
  <si>
    <t>齐仪芝</t>
  </si>
  <si>
    <t>15232619510812066X</t>
  </si>
  <si>
    <t>甄华</t>
  </si>
  <si>
    <t>李桂新</t>
  </si>
  <si>
    <t>黎族</t>
  </si>
  <si>
    <t>董桂英</t>
  </si>
  <si>
    <t>王兴荣</t>
  </si>
  <si>
    <t>宝龙艳</t>
  </si>
  <si>
    <t>包金香</t>
  </si>
  <si>
    <t>15232619440318002X</t>
  </si>
  <si>
    <t>常淑英</t>
  </si>
  <si>
    <t>崔振</t>
  </si>
  <si>
    <t>崔淑琴</t>
  </si>
  <si>
    <t>尉强</t>
  </si>
  <si>
    <t>宝万梅</t>
  </si>
  <si>
    <t>王丽贤</t>
  </si>
  <si>
    <t>孙桂青</t>
  </si>
  <si>
    <t>李景春</t>
  </si>
  <si>
    <t>苏云</t>
  </si>
  <si>
    <t>张桂荣</t>
  </si>
  <si>
    <t>王惠英</t>
  </si>
  <si>
    <t>杨山</t>
  </si>
  <si>
    <t>路桂英</t>
  </si>
  <si>
    <t>张海侠</t>
  </si>
  <si>
    <t>姜振忠</t>
  </si>
  <si>
    <t>刘权</t>
  </si>
  <si>
    <t>周军</t>
  </si>
  <si>
    <t>刘俊</t>
  </si>
  <si>
    <t>赵国臣</t>
  </si>
  <si>
    <t>赵玉英</t>
  </si>
  <si>
    <t>吴珍</t>
  </si>
  <si>
    <t>15232619500611308X</t>
  </si>
  <si>
    <t>高永琴</t>
  </si>
  <si>
    <t>代阿力坛其其格</t>
  </si>
  <si>
    <t>15232619511003092X</t>
  </si>
  <si>
    <t>吴海堂</t>
  </si>
  <si>
    <t>宋珍英</t>
  </si>
  <si>
    <t>吴章恩来</t>
  </si>
  <si>
    <t>刘海春</t>
  </si>
  <si>
    <t>孙宝珠</t>
  </si>
  <si>
    <t>于俊英</t>
  </si>
  <si>
    <t>王兴玲</t>
  </si>
  <si>
    <t>窦坤</t>
  </si>
  <si>
    <t>吴章彩图</t>
  </si>
  <si>
    <t>陈书学</t>
  </si>
  <si>
    <t>韩振清</t>
  </si>
  <si>
    <t>张财</t>
  </si>
  <si>
    <t>高艳华</t>
  </si>
  <si>
    <t>石英</t>
  </si>
  <si>
    <t>郭凤山</t>
  </si>
  <si>
    <t>何勤</t>
  </si>
  <si>
    <t>陈国仪</t>
  </si>
  <si>
    <t>宋桂苹</t>
  </si>
  <si>
    <t>15232619371029310X</t>
  </si>
  <si>
    <t>义力根车</t>
  </si>
  <si>
    <t>付凤琴</t>
  </si>
  <si>
    <t>高兰英</t>
  </si>
  <si>
    <t>龚良嘎</t>
  </si>
  <si>
    <t>席斯其格</t>
  </si>
  <si>
    <t>李桂学</t>
  </si>
  <si>
    <t>朱桂荣</t>
  </si>
  <si>
    <t>柳义芬</t>
  </si>
  <si>
    <t>杨再勤</t>
  </si>
  <si>
    <t>宁志国</t>
  </si>
  <si>
    <t>王国栋</t>
  </si>
  <si>
    <t>王树清</t>
  </si>
  <si>
    <t>付财格</t>
  </si>
  <si>
    <t>袁振甲</t>
  </si>
  <si>
    <t>王敖其</t>
  </si>
  <si>
    <t>吴顺福</t>
  </si>
  <si>
    <t>李武</t>
  </si>
  <si>
    <t>15232619620529042X</t>
  </si>
  <si>
    <t>席白乙拉</t>
  </si>
  <si>
    <t>刘景兰</t>
  </si>
  <si>
    <t>张泉</t>
  </si>
  <si>
    <t>孟广花</t>
  </si>
  <si>
    <t>付崇文</t>
  </si>
  <si>
    <t>孙洪岭</t>
  </si>
  <si>
    <t>张振祥</t>
  </si>
  <si>
    <t>吴图门</t>
  </si>
  <si>
    <t>梅斯其格</t>
  </si>
  <si>
    <t>姜宪君</t>
  </si>
  <si>
    <t>张志军</t>
  </si>
  <si>
    <t>王民</t>
  </si>
  <si>
    <t>15232619630806381X</t>
  </si>
  <si>
    <t>谢文学</t>
  </si>
  <si>
    <t>宝孟和勿力吉</t>
  </si>
  <si>
    <t>李双平</t>
  </si>
  <si>
    <t>单翠琴</t>
  </si>
  <si>
    <t>杜香云</t>
  </si>
  <si>
    <t>15232619550707041X</t>
  </si>
  <si>
    <t>康跃明</t>
  </si>
  <si>
    <t>何其文</t>
  </si>
  <si>
    <t>王树兰</t>
  </si>
  <si>
    <t>金凤侠</t>
  </si>
  <si>
    <t>李信</t>
  </si>
  <si>
    <t>张喜学</t>
  </si>
  <si>
    <t>王艳英</t>
  </si>
  <si>
    <t>梁金梅香</t>
  </si>
  <si>
    <t>包金财</t>
  </si>
  <si>
    <t>崔喜英</t>
  </si>
  <si>
    <t>高井玉</t>
  </si>
  <si>
    <t>朱永民</t>
  </si>
  <si>
    <t>陈凤国</t>
  </si>
  <si>
    <t>刘洪明</t>
  </si>
  <si>
    <t>马宝珍</t>
  </si>
  <si>
    <t>吕海玲</t>
  </si>
  <si>
    <t>孙永志</t>
  </si>
  <si>
    <t>杨淑云</t>
  </si>
  <si>
    <t>金常明</t>
  </si>
  <si>
    <t>15232619540111762X</t>
  </si>
  <si>
    <t>连花</t>
  </si>
  <si>
    <t>王领小</t>
  </si>
  <si>
    <t>李撒木嘎</t>
  </si>
  <si>
    <t>胡敖其尔</t>
  </si>
  <si>
    <t>梁胖撒</t>
  </si>
  <si>
    <t>李海玉</t>
  </si>
  <si>
    <t>肖志强</t>
  </si>
  <si>
    <t>崔玉枝</t>
  </si>
  <si>
    <t>韩志权</t>
  </si>
  <si>
    <t>刘图古苏</t>
  </si>
  <si>
    <t>崔国芳</t>
  </si>
  <si>
    <t>陈银花</t>
  </si>
  <si>
    <t>杜树敏</t>
  </si>
  <si>
    <t>徐永生</t>
  </si>
  <si>
    <t>李亚杰</t>
  </si>
  <si>
    <t>付百合</t>
  </si>
  <si>
    <t>齐义芹</t>
  </si>
  <si>
    <t>孙玉江</t>
  </si>
  <si>
    <t>宋彬</t>
  </si>
  <si>
    <t>程发</t>
  </si>
  <si>
    <t>塔彩云</t>
  </si>
  <si>
    <t>田玉琴</t>
  </si>
  <si>
    <t>15232619600501042X</t>
  </si>
  <si>
    <t>盛志霞</t>
  </si>
  <si>
    <t>冯树青</t>
  </si>
  <si>
    <t>15232619600110068X</t>
  </si>
  <si>
    <t>王素娥</t>
  </si>
  <si>
    <t>赵振文</t>
  </si>
  <si>
    <t>张海和</t>
  </si>
  <si>
    <t>祝占荣</t>
  </si>
  <si>
    <t>宋青华</t>
  </si>
  <si>
    <t>杜仪领</t>
  </si>
  <si>
    <t>姜秀琴</t>
  </si>
  <si>
    <t>邵玉枝</t>
  </si>
  <si>
    <t>杨兴玉</t>
  </si>
  <si>
    <t>丁凤海</t>
  </si>
  <si>
    <t>王景芬</t>
  </si>
  <si>
    <t>张素枝</t>
  </si>
  <si>
    <t>崔启</t>
  </si>
  <si>
    <t>范丽华</t>
  </si>
  <si>
    <t>15232619590920066X</t>
  </si>
  <si>
    <t>郑宪霞</t>
  </si>
  <si>
    <t>刘长花</t>
  </si>
  <si>
    <t>任桂琴</t>
  </si>
  <si>
    <t>崔广会</t>
  </si>
  <si>
    <t>许才</t>
  </si>
  <si>
    <t>耿士坤</t>
  </si>
  <si>
    <t>赵志武</t>
  </si>
  <si>
    <t>刘素珍</t>
  </si>
  <si>
    <t>梁凤英</t>
  </si>
  <si>
    <t>张立荣</t>
  </si>
  <si>
    <t>姜占文</t>
  </si>
  <si>
    <t>张亮</t>
  </si>
  <si>
    <t>侯桂杰</t>
  </si>
  <si>
    <t>崔福珍</t>
  </si>
  <si>
    <t>15232619560123066X</t>
  </si>
  <si>
    <t>王瑞英</t>
  </si>
  <si>
    <t>杨长余</t>
  </si>
  <si>
    <t>张国民</t>
  </si>
  <si>
    <t>于景华</t>
  </si>
  <si>
    <t>15232619620906004X</t>
  </si>
  <si>
    <t>丛日霞</t>
  </si>
  <si>
    <t>李国权</t>
  </si>
  <si>
    <t>林玉琴</t>
  </si>
  <si>
    <t>王丕祥</t>
  </si>
  <si>
    <t>杨文华</t>
  </si>
  <si>
    <t>刘洪琴</t>
  </si>
  <si>
    <t>王生林</t>
  </si>
  <si>
    <t>吴哈斯图雅</t>
  </si>
  <si>
    <t>潘海凤</t>
  </si>
  <si>
    <t>张国祥</t>
  </si>
  <si>
    <t>15232619570808333X</t>
  </si>
  <si>
    <t>陈国军</t>
  </si>
  <si>
    <t>林俭</t>
  </si>
  <si>
    <t>15232619530201043X</t>
  </si>
  <si>
    <t>张凤俊</t>
  </si>
  <si>
    <t>15232619541020002X</t>
  </si>
  <si>
    <t>吕桂琴</t>
  </si>
  <si>
    <t>高玉兰</t>
  </si>
  <si>
    <t>周汉国</t>
  </si>
  <si>
    <t>敖龙棠</t>
  </si>
  <si>
    <t>15232619591112095X</t>
  </si>
  <si>
    <t>鞠海忠</t>
  </si>
  <si>
    <t>杨玉华</t>
  </si>
  <si>
    <t>钟宪林</t>
  </si>
  <si>
    <t>邵芹</t>
  </si>
  <si>
    <t>杜怀有</t>
  </si>
  <si>
    <t>张有志</t>
  </si>
  <si>
    <t>杨淑霞</t>
  </si>
  <si>
    <t>武玉莲</t>
  </si>
  <si>
    <t>姚国华</t>
  </si>
  <si>
    <t>宝金虎</t>
  </si>
  <si>
    <t>陈牡丹</t>
  </si>
  <si>
    <t>刘国英</t>
  </si>
  <si>
    <t>盛志富</t>
  </si>
  <si>
    <t>林玉春</t>
  </si>
  <si>
    <t>甄海凤</t>
  </si>
  <si>
    <t>刘素芳</t>
  </si>
  <si>
    <t>齐占国</t>
  </si>
  <si>
    <t>宝树亮</t>
  </si>
  <si>
    <t>蔡田梅</t>
  </si>
  <si>
    <t>姜云水</t>
  </si>
  <si>
    <t>姚玉英</t>
  </si>
  <si>
    <t>周慧萍</t>
  </si>
  <si>
    <t>张景荣</t>
  </si>
  <si>
    <t>付宁布</t>
  </si>
  <si>
    <t>孙都吉拉</t>
  </si>
  <si>
    <t>朱景兰</t>
  </si>
  <si>
    <t>魏首花</t>
  </si>
  <si>
    <t>胡秀珍</t>
  </si>
  <si>
    <t>15232619470225042X</t>
  </si>
  <si>
    <t>毕彩琴</t>
  </si>
  <si>
    <t>侯玉兰</t>
  </si>
  <si>
    <t>刘会云</t>
  </si>
  <si>
    <t>白俊英</t>
  </si>
  <si>
    <t>冯国翠</t>
  </si>
  <si>
    <t>15232619491121066X</t>
  </si>
  <si>
    <t>于凤荣</t>
  </si>
  <si>
    <t>单乌仁其木格</t>
  </si>
  <si>
    <t>王芳</t>
  </si>
  <si>
    <t>15232619390312381X</t>
  </si>
  <si>
    <t>高风春</t>
  </si>
  <si>
    <t>侯桂英</t>
  </si>
  <si>
    <t>张洪芬</t>
  </si>
  <si>
    <t>王文</t>
  </si>
  <si>
    <t>刘凤</t>
  </si>
  <si>
    <t>魏素贤</t>
  </si>
  <si>
    <t>15232619500806308X</t>
  </si>
  <si>
    <t>曹国芬</t>
  </si>
  <si>
    <t>王桂贞</t>
  </si>
  <si>
    <t>顾凤云</t>
  </si>
  <si>
    <t>张永琴</t>
  </si>
  <si>
    <t>孟宪荣</t>
  </si>
  <si>
    <t>刘喜志</t>
  </si>
  <si>
    <t>姜海发</t>
  </si>
  <si>
    <t>刘瑞芝</t>
  </si>
  <si>
    <t>丁克江</t>
  </si>
  <si>
    <t>于素琴</t>
  </si>
  <si>
    <t>张玉珠</t>
  </si>
  <si>
    <t>索纪兰</t>
  </si>
  <si>
    <t>丁继荣</t>
  </si>
  <si>
    <t>束桂荣</t>
  </si>
  <si>
    <t>程永明</t>
  </si>
  <si>
    <t>15232619401230067X</t>
  </si>
  <si>
    <t>张永福</t>
  </si>
  <si>
    <t>谢乌仁陶</t>
  </si>
  <si>
    <t>何黄花扎拉</t>
  </si>
  <si>
    <t>封玉学</t>
  </si>
  <si>
    <t>齐仕新</t>
  </si>
  <si>
    <t>15232619490914638X</t>
  </si>
  <si>
    <t>于彩凤</t>
  </si>
  <si>
    <t>姚桂芝</t>
  </si>
  <si>
    <t>侯秀芬</t>
  </si>
  <si>
    <t>颜成江</t>
  </si>
  <si>
    <t>15232619511004044X</t>
  </si>
  <si>
    <t>15232619501206638X</t>
  </si>
  <si>
    <t>田国芹</t>
  </si>
  <si>
    <t>田素芹</t>
  </si>
  <si>
    <t>徐国兰</t>
  </si>
  <si>
    <t>吴海梅</t>
  </si>
  <si>
    <t>蔡素珍</t>
  </si>
  <si>
    <t>苏秀兰</t>
  </si>
  <si>
    <t>王秀春</t>
  </si>
  <si>
    <t>高额未格图</t>
  </si>
  <si>
    <t>15232619481111091X</t>
  </si>
  <si>
    <t>吴布和</t>
  </si>
  <si>
    <t>宝达木林</t>
  </si>
  <si>
    <t>田富</t>
  </si>
  <si>
    <t>高云芳</t>
  </si>
  <si>
    <t>郭淑珍</t>
  </si>
  <si>
    <t>高山</t>
  </si>
  <si>
    <t>孙亚荣</t>
  </si>
  <si>
    <t>15232619400107382X</t>
  </si>
  <si>
    <t>宗连英</t>
  </si>
  <si>
    <t>林淑芝</t>
  </si>
  <si>
    <t>李翠矾</t>
  </si>
  <si>
    <t>杨桂香</t>
  </si>
  <si>
    <t>杨德荣</t>
  </si>
  <si>
    <t>高照格斯老</t>
  </si>
  <si>
    <t>迟秀芹</t>
  </si>
  <si>
    <t>15232619580213042X</t>
  </si>
  <si>
    <t>纪明环</t>
  </si>
  <si>
    <t>王学著</t>
  </si>
  <si>
    <t>李茹芬</t>
  </si>
  <si>
    <t>15232619590306381X</t>
  </si>
  <si>
    <t>柳富</t>
  </si>
  <si>
    <t>刘福民</t>
  </si>
  <si>
    <t>席扎嘎拉</t>
  </si>
  <si>
    <t>毛建华</t>
  </si>
  <si>
    <t>席团良</t>
  </si>
  <si>
    <t>李龙</t>
  </si>
  <si>
    <t>15232619551124067X</t>
  </si>
  <si>
    <t>王停祥</t>
  </si>
  <si>
    <t>李玉荣</t>
  </si>
  <si>
    <t>15232619570212070X</t>
  </si>
  <si>
    <t>15232619591222067X</t>
  </si>
  <si>
    <t>刘井峰</t>
  </si>
  <si>
    <t>李丛</t>
  </si>
  <si>
    <t>图彩云</t>
  </si>
  <si>
    <t>程凤娥</t>
  </si>
  <si>
    <t>唐秀芝</t>
  </si>
  <si>
    <t>张文祥</t>
  </si>
  <si>
    <t>索凤花</t>
  </si>
  <si>
    <t>王月香</t>
  </si>
  <si>
    <t>孙喜贵</t>
  </si>
  <si>
    <t>张丛霞</t>
  </si>
  <si>
    <t>程凤山</t>
  </si>
  <si>
    <t>15232619571109067X</t>
  </si>
  <si>
    <t>李学文</t>
  </si>
  <si>
    <t>15232619620413066X</t>
  </si>
  <si>
    <t>安学永</t>
  </si>
  <si>
    <t>韩有</t>
  </si>
  <si>
    <t>15232619621002066X</t>
  </si>
  <si>
    <t>陈玉江</t>
  </si>
  <si>
    <t>朱树英</t>
  </si>
  <si>
    <t>崔和</t>
  </si>
  <si>
    <t>白术兰</t>
  </si>
  <si>
    <t>陈国民</t>
  </si>
  <si>
    <t>王风</t>
  </si>
  <si>
    <t>安树芹</t>
  </si>
  <si>
    <t>刘梦林</t>
  </si>
  <si>
    <t>谢怀忠</t>
  </si>
  <si>
    <t>杨金花</t>
  </si>
  <si>
    <t>李香春</t>
  </si>
  <si>
    <t>盖玉娥</t>
  </si>
  <si>
    <t>齐桂芹</t>
  </si>
  <si>
    <t>樊常珍</t>
  </si>
  <si>
    <t>杨满和</t>
  </si>
  <si>
    <t>王景苍</t>
  </si>
  <si>
    <t>刘凤彩</t>
  </si>
  <si>
    <t>15232619571123002X</t>
  </si>
  <si>
    <t>沈少霞</t>
  </si>
  <si>
    <t>杜树臣</t>
  </si>
  <si>
    <t>王才吉力虎</t>
  </si>
  <si>
    <t>张汉荣</t>
  </si>
  <si>
    <t>隋井荣</t>
  </si>
  <si>
    <t>鲁桂兰</t>
  </si>
  <si>
    <t>陈其木格</t>
  </si>
  <si>
    <t>赵吉力图</t>
  </si>
  <si>
    <t>席萨茹拉</t>
  </si>
  <si>
    <t>王领格</t>
  </si>
  <si>
    <t>赵振军</t>
  </si>
  <si>
    <t>东桂芝</t>
  </si>
  <si>
    <t>刘梗</t>
  </si>
  <si>
    <t>郭云花</t>
  </si>
  <si>
    <t>于秀兰</t>
  </si>
  <si>
    <t>张振彬</t>
  </si>
  <si>
    <t>许云杰</t>
  </si>
  <si>
    <t>杨凤平</t>
  </si>
  <si>
    <t>孙洪林</t>
  </si>
  <si>
    <t>车占起</t>
  </si>
  <si>
    <t>梁梅荣</t>
  </si>
  <si>
    <t>邰宝金</t>
  </si>
  <si>
    <t>宝金柱</t>
  </si>
  <si>
    <t>李凤云</t>
  </si>
  <si>
    <t>丁贵军</t>
  </si>
  <si>
    <t>孙久志</t>
  </si>
  <si>
    <t>15232619620912041X</t>
  </si>
  <si>
    <t>15232619530821066X</t>
  </si>
  <si>
    <t>15232619531223332X</t>
  </si>
  <si>
    <t>韩白乙拉</t>
  </si>
  <si>
    <t>王建春</t>
  </si>
  <si>
    <t>15232619580319066X</t>
  </si>
  <si>
    <t>李苹</t>
  </si>
  <si>
    <t>穆秀龙</t>
  </si>
  <si>
    <t>唐淑杰</t>
  </si>
  <si>
    <t>王恒</t>
  </si>
  <si>
    <t>王铎</t>
  </si>
  <si>
    <t>朱宝和</t>
  </si>
  <si>
    <t>张贵清</t>
  </si>
  <si>
    <t>梁显明</t>
  </si>
  <si>
    <t>张振和</t>
  </si>
  <si>
    <t>纪凤军</t>
  </si>
  <si>
    <t>刘凤娇</t>
  </si>
  <si>
    <t>李桂华</t>
  </si>
  <si>
    <t>陈美玉</t>
  </si>
  <si>
    <t>丁继花</t>
  </si>
  <si>
    <t>陈凤贵</t>
  </si>
  <si>
    <t>付月新</t>
  </si>
  <si>
    <t>郑淑荣</t>
  </si>
  <si>
    <t>王树军</t>
  </si>
  <si>
    <t>胡凤华</t>
  </si>
  <si>
    <t>15232619520509044X</t>
  </si>
  <si>
    <t>东秀芹</t>
  </si>
  <si>
    <t>铁明</t>
  </si>
  <si>
    <t>张吉良</t>
  </si>
  <si>
    <t>刘彩敏</t>
  </si>
  <si>
    <t>齐振唐</t>
  </si>
  <si>
    <t>包宝小</t>
  </si>
  <si>
    <t>15232619571102041X</t>
  </si>
  <si>
    <t>丁贵春</t>
  </si>
  <si>
    <t>郭国有</t>
  </si>
  <si>
    <t>高素芹</t>
  </si>
  <si>
    <t>赵秀云</t>
  </si>
  <si>
    <t>王明清</t>
  </si>
  <si>
    <t>魏彩霞</t>
  </si>
  <si>
    <t>15232619550708001X</t>
  </si>
  <si>
    <t>刘宝福</t>
  </si>
  <si>
    <t>卫子坤</t>
  </si>
  <si>
    <t>卢海春</t>
  </si>
  <si>
    <t>王俊荣</t>
  </si>
  <si>
    <t>李永侠</t>
  </si>
  <si>
    <t>王生</t>
  </si>
  <si>
    <t>于素兰</t>
  </si>
  <si>
    <t>杨美荣</t>
  </si>
  <si>
    <t>高贵有</t>
  </si>
  <si>
    <t>郎玉荣</t>
  </si>
  <si>
    <t>杨立平</t>
  </si>
  <si>
    <t>王子贵</t>
  </si>
  <si>
    <t>15232619630820044X</t>
  </si>
  <si>
    <t>张玉姿</t>
  </si>
  <si>
    <t>高志</t>
  </si>
  <si>
    <t>于秀芹</t>
  </si>
  <si>
    <t>蒋凤珍</t>
  </si>
  <si>
    <t>王建侠</t>
  </si>
  <si>
    <t>郭素芹</t>
  </si>
  <si>
    <t>张洪艳</t>
  </si>
  <si>
    <t>15232619570608067X</t>
  </si>
  <si>
    <t>任凤祥</t>
  </si>
  <si>
    <t>王文勤</t>
  </si>
  <si>
    <t>丁喜云</t>
  </si>
  <si>
    <t>李桂苓</t>
  </si>
  <si>
    <t>孙学荣</t>
  </si>
  <si>
    <t>李作兰</t>
  </si>
  <si>
    <t>白文志</t>
  </si>
  <si>
    <t>王守成</t>
  </si>
  <si>
    <t>陈翠芳</t>
  </si>
  <si>
    <t>张连峰</t>
  </si>
  <si>
    <t>15232619561212044X</t>
  </si>
  <si>
    <t>张广华</t>
  </si>
  <si>
    <t>15232619600612041X</t>
  </si>
  <si>
    <t>范国文</t>
  </si>
  <si>
    <t>刘文财</t>
  </si>
  <si>
    <t>付重礼</t>
  </si>
  <si>
    <t>张敏英</t>
  </si>
  <si>
    <t>宝根小</t>
  </si>
  <si>
    <t>王作富</t>
  </si>
  <si>
    <t>申学文</t>
  </si>
  <si>
    <t>王兴烈</t>
  </si>
  <si>
    <t>祁素贤</t>
  </si>
  <si>
    <t>王国霞</t>
  </si>
  <si>
    <t>宝金明</t>
  </si>
  <si>
    <t>齐凤英</t>
  </si>
  <si>
    <t>张嘎如迪</t>
  </si>
  <si>
    <t>姚春荣</t>
  </si>
  <si>
    <t>朱凤珍</t>
  </si>
  <si>
    <t>15232619520114042X</t>
  </si>
  <si>
    <t>杨海云</t>
  </si>
  <si>
    <t>曹秀芹</t>
  </si>
  <si>
    <t>15232619520918382X</t>
  </si>
  <si>
    <t>包阿力他</t>
  </si>
  <si>
    <t>周玉兰</t>
  </si>
  <si>
    <t>王巴塔</t>
  </si>
  <si>
    <t>15232619530403382X</t>
  </si>
  <si>
    <t>梁领小</t>
  </si>
  <si>
    <t>李芳</t>
  </si>
  <si>
    <t>桑树琴</t>
  </si>
  <si>
    <t>姚白音仓</t>
  </si>
  <si>
    <t>崔喜花</t>
  </si>
  <si>
    <t>许云芬</t>
  </si>
  <si>
    <t>秦桂侠</t>
  </si>
  <si>
    <t>王云志</t>
  </si>
  <si>
    <t>王凤仪</t>
  </si>
  <si>
    <t>时基华</t>
  </si>
  <si>
    <t>王志学</t>
  </si>
  <si>
    <t>金永财</t>
  </si>
  <si>
    <t>15232619520607066X</t>
  </si>
  <si>
    <t>阿尔根</t>
  </si>
  <si>
    <t>白格日乐</t>
  </si>
  <si>
    <t>刘术兰</t>
  </si>
  <si>
    <t>谢阿力塔</t>
  </si>
  <si>
    <t>15232619571010331X</t>
  </si>
  <si>
    <t>李荣</t>
  </si>
  <si>
    <t>李淑霞</t>
  </si>
  <si>
    <t>孙洪军</t>
  </si>
  <si>
    <t>孙玉华</t>
  </si>
  <si>
    <t>韩花拉</t>
  </si>
  <si>
    <t>任国玲</t>
  </si>
  <si>
    <t>谢文琴</t>
  </si>
  <si>
    <t>轩凤华</t>
  </si>
  <si>
    <t>刘文学</t>
  </si>
  <si>
    <t>杜淑梅</t>
  </si>
  <si>
    <t>白宝音加布</t>
  </si>
  <si>
    <t>白福泉</t>
  </si>
  <si>
    <t>马玉芹</t>
  </si>
  <si>
    <t>吴金和</t>
  </si>
  <si>
    <t>吴满都拉</t>
  </si>
  <si>
    <t>宝阿力塔</t>
  </si>
  <si>
    <t>刘金花</t>
  </si>
  <si>
    <t>桑玉凤</t>
  </si>
  <si>
    <t>李凤娥</t>
  </si>
  <si>
    <t>马孟和</t>
  </si>
  <si>
    <t>姚彩云</t>
  </si>
  <si>
    <t>郑子祥</t>
  </si>
  <si>
    <t>王翠华</t>
  </si>
  <si>
    <t>张满常</t>
  </si>
  <si>
    <t>赵素珍</t>
  </si>
  <si>
    <t>贾志双</t>
  </si>
  <si>
    <t>张凤芹</t>
  </si>
  <si>
    <t>15232619570202382X</t>
  </si>
  <si>
    <t>王花</t>
  </si>
  <si>
    <t>吴兴</t>
  </si>
  <si>
    <t>席满都拉</t>
  </si>
  <si>
    <t>15232619551216308X</t>
  </si>
  <si>
    <t>席仁其木格</t>
  </si>
  <si>
    <t>厚荣丽</t>
  </si>
  <si>
    <t>岳树华</t>
  </si>
  <si>
    <t>安素珍</t>
  </si>
  <si>
    <t>王树欣</t>
  </si>
  <si>
    <t>杨福才</t>
  </si>
  <si>
    <t>于德财</t>
  </si>
  <si>
    <t>张凤莲</t>
  </si>
  <si>
    <t>15232619580722066X</t>
  </si>
  <si>
    <t>魏国民</t>
  </si>
  <si>
    <t>赵凤娥</t>
  </si>
  <si>
    <t>15232619541215002X</t>
  </si>
  <si>
    <t>马玉珍</t>
  </si>
  <si>
    <t>向桂花</t>
  </si>
  <si>
    <t>梁金香</t>
  </si>
  <si>
    <t>南淑华</t>
  </si>
  <si>
    <t>陈玉苹</t>
  </si>
  <si>
    <t>张世春</t>
  </si>
  <si>
    <t>姚宝义</t>
  </si>
  <si>
    <t>李占山</t>
  </si>
  <si>
    <t>刘国辉</t>
  </si>
  <si>
    <t>15232619600516332X</t>
  </si>
  <si>
    <t>唐富</t>
  </si>
  <si>
    <t>鲍军</t>
  </si>
  <si>
    <t>张翠梅</t>
  </si>
  <si>
    <t>张金花</t>
  </si>
  <si>
    <t>张希琢</t>
  </si>
  <si>
    <t>董阳民</t>
  </si>
  <si>
    <t>刘国珍</t>
  </si>
  <si>
    <t>王常顺</t>
  </si>
  <si>
    <t>王春梅</t>
  </si>
  <si>
    <t>顾常玉</t>
  </si>
  <si>
    <t>15232619560323332X</t>
  </si>
  <si>
    <t>15232619620214382X</t>
  </si>
  <si>
    <t>程秀丽</t>
  </si>
  <si>
    <t>李桂英</t>
  </si>
  <si>
    <t>苏永春</t>
  </si>
  <si>
    <t>陈世新</t>
  </si>
  <si>
    <t>厚化德</t>
  </si>
  <si>
    <t>任凤义</t>
  </si>
  <si>
    <t>邰国志</t>
  </si>
  <si>
    <t>王艳会</t>
  </si>
  <si>
    <t>封月荣</t>
  </si>
  <si>
    <t>张翠霞</t>
  </si>
  <si>
    <t>张峰</t>
  </si>
  <si>
    <t>宝勿云</t>
  </si>
  <si>
    <t>郭阿力塔</t>
  </si>
  <si>
    <t>李勿仁夫</t>
  </si>
  <si>
    <t>那仁格日勒</t>
  </si>
  <si>
    <t>王那木达嘎</t>
  </si>
  <si>
    <t>吴王散扎布</t>
  </si>
  <si>
    <t>刘才</t>
  </si>
  <si>
    <t>隋桂花</t>
  </si>
  <si>
    <t>李艳芬</t>
  </si>
  <si>
    <t>何翠玲</t>
  </si>
  <si>
    <t>张建华</t>
  </si>
  <si>
    <t>杨淑芬</t>
  </si>
  <si>
    <t>杜怀民</t>
  </si>
  <si>
    <t>杨翠贤</t>
  </si>
  <si>
    <t>肖福荣</t>
  </si>
  <si>
    <t>孙民</t>
  </si>
  <si>
    <t>王振梅</t>
  </si>
  <si>
    <t>于水花</t>
  </si>
  <si>
    <t>张玉琢</t>
  </si>
  <si>
    <t>候桂芹</t>
  </si>
  <si>
    <t>陈春香</t>
  </si>
  <si>
    <t>都吉雅</t>
  </si>
  <si>
    <t>朱永华</t>
  </si>
  <si>
    <t>闫翠珍</t>
  </si>
  <si>
    <t>15232619550707332X</t>
  </si>
  <si>
    <t>刘俊军</t>
  </si>
  <si>
    <t>苗秀华</t>
  </si>
  <si>
    <t>时登伦</t>
  </si>
  <si>
    <t>谭风秀</t>
  </si>
  <si>
    <t>15232619601010042X</t>
  </si>
  <si>
    <t>王玉贤</t>
  </si>
  <si>
    <t>姚春江</t>
  </si>
  <si>
    <t>耿百山</t>
  </si>
  <si>
    <t>王云海</t>
  </si>
  <si>
    <t>袁永海</t>
  </si>
  <si>
    <t>朱财</t>
  </si>
  <si>
    <t>朱凤彬</t>
  </si>
  <si>
    <t>陈秀侠</t>
  </si>
  <si>
    <t>杜国信</t>
  </si>
  <si>
    <t>于凤清</t>
  </si>
  <si>
    <t>宝翠连</t>
  </si>
  <si>
    <t>赵凤和</t>
  </si>
  <si>
    <t>于绍林</t>
  </si>
  <si>
    <t>李文秀</t>
  </si>
  <si>
    <t>李玉明</t>
  </si>
  <si>
    <t>卢永芬</t>
  </si>
  <si>
    <t>路占云</t>
  </si>
  <si>
    <t>顾玉芹</t>
  </si>
  <si>
    <t>王爱春</t>
  </si>
  <si>
    <t>香金梅</t>
  </si>
  <si>
    <t>刘素艳</t>
  </si>
  <si>
    <t>田淑云</t>
  </si>
  <si>
    <t>鲍琴</t>
  </si>
  <si>
    <t>陈香</t>
  </si>
  <si>
    <t>丁喜才</t>
  </si>
  <si>
    <t>贾国玉</t>
  </si>
  <si>
    <t>姜青贤</t>
  </si>
  <si>
    <t>赵秀芝</t>
  </si>
  <si>
    <t>齐欣</t>
  </si>
  <si>
    <t>尤静仁</t>
  </si>
  <si>
    <t>席占凤</t>
  </si>
  <si>
    <t>胡桂珍</t>
  </si>
  <si>
    <t>郭秀英</t>
  </si>
  <si>
    <t>安学生</t>
  </si>
  <si>
    <t>张春凤</t>
  </si>
  <si>
    <t>15232619500519042X</t>
  </si>
  <si>
    <t>朱秀英</t>
  </si>
  <si>
    <t>姜占臣</t>
  </si>
  <si>
    <t>王丙琴</t>
  </si>
  <si>
    <t>马乌日乐玛</t>
  </si>
  <si>
    <t>王艳</t>
  </si>
  <si>
    <t>杜玉银</t>
  </si>
  <si>
    <t>刘桂芹</t>
  </si>
  <si>
    <t>王震</t>
  </si>
  <si>
    <t>吴格日乐</t>
  </si>
  <si>
    <t>王喜凤</t>
  </si>
  <si>
    <t>胡元平</t>
  </si>
  <si>
    <t>贾玉玲</t>
  </si>
  <si>
    <t>梁莫德格</t>
  </si>
  <si>
    <t>曹努恩吉雅</t>
  </si>
  <si>
    <t>宝敖敦其木格</t>
  </si>
  <si>
    <t>15232619521208067X</t>
  </si>
  <si>
    <t>朱国栋</t>
  </si>
  <si>
    <t>韩桂琴</t>
  </si>
  <si>
    <t>15232619570106091X</t>
  </si>
  <si>
    <t>谢阿力坦宝力皋</t>
  </si>
  <si>
    <t>吴乌恩白音</t>
  </si>
  <si>
    <t>梁布和格西格</t>
  </si>
  <si>
    <t>刘瑞玲</t>
  </si>
  <si>
    <t>穆秀民</t>
  </si>
  <si>
    <t>陈福山</t>
  </si>
  <si>
    <t>刘都根扎力增</t>
  </si>
  <si>
    <t>金永军</t>
  </si>
  <si>
    <t>夏常岐</t>
  </si>
  <si>
    <t>辛淑霞</t>
  </si>
  <si>
    <t>轩凤荣</t>
  </si>
  <si>
    <t>岳桂英</t>
  </si>
  <si>
    <t>杨春生</t>
  </si>
  <si>
    <t>甄喜山</t>
  </si>
  <si>
    <t>甄喜田</t>
  </si>
  <si>
    <t>朱凤霞</t>
  </si>
  <si>
    <t>范洪生</t>
  </si>
  <si>
    <t>卜祥英</t>
  </si>
  <si>
    <t>贾振军</t>
  </si>
  <si>
    <t>陈舍勒</t>
  </si>
  <si>
    <t>王风军</t>
  </si>
  <si>
    <t>牡丹</t>
  </si>
  <si>
    <t>15232619600117331X</t>
  </si>
  <si>
    <t>王景海</t>
  </si>
  <si>
    <t>车淑芬</t>
  </si>
  <si>
    <t>赵琢</t>
  </si>
  <si>
    <t>李宝音阿日布其嘎</t>
  </si>
  <si>
    <t>席巴雅那</t>
  </si>
  <si>
    <t>白跟小</t>
  </si>
  <si>
    <t>董桂霞</t>
  </si>
  <si>
    <t>刘亮梅</t>
  </si>
  <si>
    <t>宝七月</t>
  </si>
  <si>
    <t>席满胡</t>
  </si>
  <si>
    <t>董连花</t>
  </si>
  <si>
    <t>孙玉莲</t>
  </si>
  <si>
    <t>辛森林</t>
  </si>
  <si>
    <t>辛和</t>
  </si>
  <si>
    <t>董云</t>
  </si>
  <si>
    <t>梁国忠</t>
  </si>
  <si>
    <t>王天成</t>
  </si>
  <si>
    <t>张那达木都</t>
  </si>
  <si>
    <t>李承文</t>
  </si>
  <si>
    <t>宝格什温都苏</t>
  </si>
  <si>
    <t>宝仁钦</t>
  </si>
  <si>
    <t>陈香梅</t>
  </si>
  <si>
    <t>席同力嘎</t>
  </si>
  <si>
    <t>15232619540616381X</t>
  </si>
  <si>
    <t>白巴力吉</t>
  </si>
  <si>
    <t>胡满喜</t>
  </si>
  <si>
    <t>王军</t>
  </si>
  <si>
    <t>陈宝格旦阿卜拉</t>
  </si>
  <si>
    <t>郎玉彬</t>
  </si>
  <si>
    <t>梁德格吉日呼</t>
  </si>
  <si>
    <t>敖来喜</t>
  </si>
  <si>
    <t>吴芳</t>
  </si>
  <si>
    <t>席孟根仓</t>
  </si>
  <si>
    <t>岭月</t>
  </si>
  <si>
    <t>由尚银</t>
  </si>
  <si>
    <t>郭玉霞</t>
  </si>
  <si>
    <t>王布和敖斯</t>
  </si>
  <si>
    <t>张凤水</t>
  </si>
  <si>
    <t>吴莫德格</t>
  </si>
  <si>
    <t>张芝</t>
  </si>
  <si>
    <t>张素荣</t>
  </si>
  <si>
    <t>陈金良</t>
  </si>
  <si>
    <t>席德格喜扎力根</t>
  </si>
  <si>
    <t>马金霞</t>
  </si>
  <si>
    <t>王乌云</t>
  </si>
  <si>
    <t>于国民</t>
  </si>
  <si>
    <t>杜青学</t>
  </si>
  <si>
    <t>王桂海</t>
  </si>
  <si>
    <t>15232619621014382X</t>
  </si>
  <si>
    <t>丁继芝</t>
  </si>
  <si>
    <t>太向荣</t>
  </si>
  <si>
    <t>桑树云</t>
  </si>
  <si>
    <t>15232619610323382X</t>
  </si>
  <si>
    <t>徐桂云</t>
  </si>
  <si>
    <t>陈团良</t>
  </si>
  <si>
    <t>15232619601228041X</t>
  </si>
  <si>
    <t>郎玉芳</t>
  </si>
  <si>
    <t>申秀琴</t>
  </si>
  <si>
    <t>陈海山</t>
  </si>
  <si>
    <t>吴祥</t>
  </si>
  <si>
    <t>王瑞梅</t>
  </si>
  <si>
    <t>15232619630926332X</t>
  </si>
  <si>
    <t>于香荣</t>
  </si>
  <si>
    <t>马桂琴</t>
  </si>
  <si>
    <t>肖敬芬</t>
  </si>
  <si>
    <t>王宝胜</t>
  </si>
  <si>
    <t>温占财</t>
  </si>
  <si>
    <t>左海民</t>
  </si>
  <si>
    <t>孙爱文</t>
  </si>
  <si>
    <t>石兆权</t>
  </si>
  <si>
    <t>15232619621212071X</t>
  </si>
  <si>
    <t>柴国祥</t>
  </si>
  <si>
    <t>李树良</t>
  </si>
  <si>
    <t>鲁振罡</t>
  </si>
  <si>
    <t>白玉香</t>
  </si>
  <si>
    <t>景占坤</t>
  </si>
  <si>
    <t>王学友</t>
  </si>
  <si>
    <t>那仁斯其格</t>
  </si>
  <si>
    <t>侯必力格</t>
  </si>
  <si>
    <t>15232619620214091X</t>
  </si>
  <si>
    <t>侯锁柱</t>
  </si>
  <si>
    <t>15232619630523066X</t>
  </si>
  <si>
    <t>王桂苓</t>
  </si>
  <si>
    <t>薛振华</t>
  </si>
  <si>
    <t>15232619631028067X</t>
  </si>
  <si>
    <t>王禄</t>
  </si>
  <si>
    <t>刘艳侠</t>
  </si>
  <si>
    <t>刘玉喜</t>
  </si>
  <si>
    <t>陶云鹤</t>
  </si>
  <si>
    <t>范井琴</t>
  </si>
  <si>
    <t>张海杰</t>
  </si>
  <si>
    <t>齐振芳</t>
  </si>
  <si>
    <t>席莲花</t>
  </si>
  <si>
    <t>刘龙</t>
  </si>
  <si>
    <t>修玉荣</t>
  </si>
  <si>
    <t>梁满仓</t>
  </si>
  <si>
    <t>安素霞</t>
  </si>
  <si>
    <t>孙彦发</t>
  </si>
  <si>
    <t>李布和巴图</t>
  </si>
  <si>
    <t>吴云</t>
  </si>
  <si>
    <t>敖建刚</t>
  </si>
  <si>
    <t>高巴图吉力根</t>
  </si>
  <si>
    <t>肖图木勒</t>
  </si>
  <si>
    <t>于瑞芳</t>
  </si>
  <si>
    <t>王海春</t>
  </si>
  <si>
    <t>俞少忠</t>
  </si>
  <si>
    <t>崔喜明</t>
  </si>
  <si>
    <t>贾志路</t>
  </si>
  <si>
    <t>王国林</t>
  </si>
  <si>
    <t>王立</t>
  </si>
  <si>
    <t>刘义金</t>
  </si>
  <si>
    <t>宝章梅花</t>
  </si>
  <si>
    <t>胡阿力坦巴嘎那</t>
  </si>
  <si>
    <t>李宝音朝古拉</t>
  </si>
  <si>
    <t>范国新</t>
  </si>
  <si>
    <t>王珍民</t>
  </si>
  <si>
    <t>左志云</t>
  </si>
  <si>
    <t>丛乃然</t>
  </si>
  <si>
    <t>贾秉玉</t>
  </si>
  <si>
    <t>15232619550505044X</t>
  </si>
  <si>
    <t>杜桂荣</t>
  </si>
  <si>
    <t>吴万山</t>
  </si>
  <si>
    <t>吴桂云</t>
  </si>
  <si>
    <t>姜山</t>
  </si>
  <si>
    <t>张振海</t>
  </si>
  <si>
    <t>王会霞</t>
  </si>
  <si>
    <t>郝兴华</t>
  </si>
  <si>
    <t>15232619580208067X</t>
  </si>
  <si>
    <t>韩殿云</t>
  </si>
  <si>
    <t>15232619591222382X</t>
  </si>
  <si>
    <t>刘庆平</t>
  </si>
  <si>
    <t>姚信</t>
  </si>
  <si>
    <t>李显贵</t>
  </si>
  <si>
    <t>田桂英</t>
  </si>
  <si>
    <t>李占英</t>
  </si>
  <si>
    <t>盖宝花</t>
  </si>
  <si>
    <t>蔡树青</t>
  </si>
  <si>
    <t>15232619541014331X</t>
  </si>
  <si>
    <t>王作义</t>
  </si>
  <si>
    <t>宝李树莫</t>
  </si>
  <si>
    <t>宝五台阿布日拉</t>
  </si>
  <si>
    <t>15232619590514041X</t>
  </si>
  <si>
    <t>刘景军</t>
  </si>
  <si>
    <t>刘桂平</t>
  </si>
  <si>
    <t>郑丙玉</t>
  </si>
  <si>
    <t>何双叶</t>
  </si>
  <si>
    <t>张福臣</t>
  </si>
  <si>
    <t>潘井芬</t>
  </si>
  <si>
    <t>席胡达古拉</t>
  </si>
  <si>
    <t>刘翠芹</t>
  </si>
  <si>
    <t>郝凤廷</t>
  </si>
  <si>
    <t>刘杰</t>
  </si>
  <si>
    <t>徐俊云</t>
  </si>
  <si>
    <t>张树春</t>
  </si>
  <si>
    <t>张文臣</t>
  </si>
  <si>
    <t>李满喜阿布拉</t>
  </si>
  <si>
    <t>王香玉</t>
  </si>
  <si>
    <t>15232619610212092X</t>
  </si>
  <si>
    <t>谢敖敦其木格</t>
  </si>
  <si>
    <t>赵新花</t>
  </si>
  <si>
    <t>范井芬</t>
  </si>
  <si>
    <t>张庆新</t>
  </si>
  <si>
    <t>柴树云</t>
  </si>
  <si>
    <t>刘庆军</t>
  </si>
  <si>
    <t>15232619520524041X</t>
  </si>
  <si>
    <t>刘玉和</t>
  </si>
  <si>
    <t>高景奎</t>
  </si>
  <si>
    <t>赵连芳</t>
  </si>
  <si>
    <t>马玉海</t>
  </si>
  <si>
    <t>姚淑云</t>
  </si>
  <si>
    <t>李双全</t>
  </si>
  <si>
    <t>燕玉芹</t>
  </si>
  <si>
    <t>张玉树</t>
  </si>
  <si>
    <t>何玉琴</t>
  </si>
  <si>
    <t>宝敖仁雅</t>
  </si>
  <si>
    <t>单秀玲</t>
  </si>
  <si>
    <t>李淑云</t>
  </si>
  <si>
    <t>吴桂玲</t>
  </si>
  <si>
    <t>陈春荣</t>
  </si>
  <si>
    <t>常凤枝</t>
  </si>
  <si>
    <t>郝凤云</t>
  </si>
  <si>
    <t>王凤启</t>
  </si>
  <si>
    <t>刘凤梅</t>
  </si>
  <si>
    <t>王作武</t>
  </si>
  <si>
    <t>席乌云达来</t>
  </si>
  <si>
    <t>苏桂英</t>
  </si>
  <si>
    <t>唐相芝</t>
  </si>
  <si>
    <t>刘树范</t>
  </si>
  <si>
    <t>牛景泉</t>
  </si>
  <si>
    <t>高美英</t>
  </si>
  <si>
    <t>岳景龙</t>
  </si>
  <si>
    <t>任凤明</t>
  </si>
  <si>
    <t>邵朋兰</t>
  </si>
  <si>
    <t>15232619510513066X</t>
  </si>
  <si>
    <t>岳桂珍</t>
  </si>
  <si>
    <t>王根小</t>
  </si>
  <si>
    <t>雷宝财</t>
  </si>
  <si>
    <t>陈福林</t>
  </si>
  <si>
    <t>邱桂珍</t>
  </si>
  <si>
    <t>李根小</t>
  </si>
  <si>
    <t>闫凤廷</t>
  </si>
  <si>
    <t>姚春丰</t>
  </si>
  <si>
    <t>沈祥</t>
  </si>
  <si>
    <t>周井春</t>
  </si>
  <si>
    <t>张敏</t>
  </si>
  <si>
    <t>张万平</t>
  </si>
  <si>
    <t>15232619571130042X</t>
  </si>
  <si>
    <t>马凤芹</t>
  </si>
  <si>
    <t>李殿臣</t>
  </si>
  <si>
    <t>卢海山</t>
  </si>
  <si>
    <t>李仕国</t>
  </si>
  <si>
    <t>谢素环</t>
  </si>
  <si>
    <t>邹季芬</t>
  </si>
  <si>
    <t>王羽香</t>
  </si>
  <si>
    <t>吴希伶</t>
  </si>
  <si>
    <t>赵桂珍</t>
  </si>
  <si>
    <t>卢凤芹</t>
  </si>
  <si>
    <t>徐凤霞</t>
  </si>
  <si>
    <t>霍淑芝</t>
  </si>
  <si>
    <t>杨花</t>
  </si>
  <si>
    <t>刘英香</t>
  </si>
  <si>
    <t>郭海英</t>
  </si>
  <si>
    <t>轩德福</t>
  </si>
  <si>
    <t>杭那拉</t>
  </si>
  <si>
    <t>方秀兰</t>
  </si>
  <si>
    <t>姚国财</t>
  </si>
  <si>
    <t>贾桂荣</t>
  </si>
  <si>
    <t>席秀荣</t>
  </si>
  <si>
    <t>刘喜坤</t>
  </si>
  <si>
    <t>金翠兰</t>
  </si>
  <si>
    <t>杜秀荣</t>
  </si>
  <si>
    <t>席梅吉都增格</t>
  </si>
  <si>
    <t>李亲布</t>
  </si>
  <si>
    <t>刘守贵</t>
  </si>
  <si>
    <t>孙桂英</t>
  </si>
  <si>
    <t>顾长云</t>
  </si>
  <si>
    <t>宝萨仁其木格</t>
  </si>
  <si>
    <t>包秀英</t>
  </si>
  <si>
    <t>梁玉升</t>
  </si>
  <si>
    <t>席金泉</t>
  </si>
  <si>
    <t>盛云广</t>
  </si>
  <si>
    <t>宁维生</t>
  </si>
  <si>
    <t>白孟良</t>
  </si>
  <si>
    <t>李树金</t>
  </si>
  <si>
    <t>15232619390929381X</t>
  </si>
  <si>
    <t>白学忠</t>
  </si>
  <si>
    <t>丁克志</t>
  </si>
  <si>
    <t>于桂华</t>
  </si>
  <si>
    <t>申林</t>
  </si>
  <si>
    <t>吴信</t>
  </si>
  <si>
    <t>罗永荣</t>
  </si>
  <si>
    <t>高凤元</t>
  </si>
  <si>
    <t>苑凤英</t>
  </si>
  <si>
    <t>杜兰珠</t>
  </si>
  <si>
    <t>张会</t>
  </si>
  <si>
    <t>孙国忠</t>
  </si>
  <si>
    <t>15232619501016383X</t>
  </si>
  <si>
    <t>谭桂柱</t>
  </si>
  <si>
    <t>张玉山</t>
  </si>
  <si>
    <t>包宝良</t>
  </si>
  <si>
    <t>徐海</t>
  </si>
  <si>
    <t>栾素芬</t>
  </si>
  <si>
    <t>宝乌格登</t>
  </si>
  <si>
    <t>连八月</t>
  </si>
  <si>
    <t>刘月</t>
  </si>
  <si>
    <t>席巴图文都苏</t>
  </si>
  <si>
    <t>王显</t>
  </si>
  <si>
    <t>雷顺有</t>
  </si>
  <si>
    <t>张秀林</t>
  </si>
  <si>
    <t>李洪举</t>
  </si>
  <si>
    <t>王景瑞</t>
  </si>
  <si>
    <t>赵勤</t>
  </si>
  <si>
    <t>15232619440301067X</t>
  </si>
  <si>
    <t>轩子和</t>
  </si>
  <si>
    <t>白贺什都冷</t>
  </si>
  <si>
    <t>宝翠灵</t>
  </si>
  <si>
    <t>侯德木其格</t>
  </si>
  <si>
    <t>安学林</t>
  </si>
  <si>
    <t>孟广富</t>
  </si>
  <si>
    <t>王树叶</t>
  </si>
  <si>
    <t>张淑媛</t>
  </si>
  <si>
    <t>白文玉</t>
  </si>
  <si>
    <t>丁淑琴</t>
  </si>
  <si>
    <t>杨国财</t>
  </si>
  <si>
    <t>彭国发</t>
  </si>
  <si>
    <t>杨臣云</t>
  </si>
  <si>
    <t>高荣</t>
  </si>
  <si>
    <t>田素琴</t>
  </si>
  <si>
    <t>15232619361013382X</t>
  </si>
  <si>
    <t>赵兰英</t>
  </si>
  <si>
    <t>罗翠花</t>
  </si>
  <si>
    <t>程荣</t>
  </si>
  <si>
    <t>王茹莲</t>
  </si>
  <si>
    <t>崔国学</t>
  </si>
  <si>
    <t>董彬</t>
  </si>
  <si>
    <t>丛丕显</t>
  </si>
  <si>
    <t>张连友</t>
  </si>
  <si>
    <t>张连荣</t>
  </si>
  <si>
    <t>候国凤</t>
  </si>
  <si>
    <t>盖明清</t>
  </si>
  <si>
    <t>窦淑琴</t>
  </si>
  <si>
    <t>15232619510617308X</t>
  </si>
  <si>
    <t>吕宝琴</t>
  </si>
  <si>
    <t>祝国刚</t>
  </si>
  <si>
    <t>候香梅</t>
  </si>
  <si>
    <t>席香荣</t>
  </si>
  <si>
    <t>赵达古拉</t>
  </si>
  <si>
    <t>丛秀芹</t>
  </si>
  <si>
    <t>张俊娥</t>
  </si>
  <si>
    <t>葛福祥</t>
  </si>
  <si>
    <t>徐占珍</t>
  </si>
  <si>
    <t>王廷军</t>
  </si>
  <si>
    <t>李月芬</t>
  </si>
  <si>
    <t>15232619450304042X</t>
  </si>
  <si>
    <t>15232619430916308X</t>
  </si>
  <si>
    <t>安素琴</t>
  </si>
  <si>
    <t>姚国芝</t>
  </si>
  <si>
    <t>路翠平</t>
  </si>
  <si>
    <t>李连花</t>
  </si>
  <si>
    <t>敖清云</t>
  </si>
  <si>
    <t>包梅花</t>
  </si>
  <si>
    <t>杨森</t>
  </si>
  <si>
    <t>15232619501020307X</t>
  </si>
  <si>
    <t>王彬</t>
  </si>
  <si>
    <t>刘春仪</t>
  </si>
  <si>
    <t>于翠兰</t>
  </si>
  <si>
    <t>郭凤军</t>
  </si>
  <si>
    <t>王爱成</t>
  </si>
  <si>
    <t>徐学凤</t>
  </si>
  <si>
    <t>王丙德</t>
  </si>
  <si>
    <t>高福兰</t>
  </si>
  <si>
    <t>李长才</t>
  </si>
  <si>
    <t>白呼义力合</t>
  </si>
  <si>
    <t>赵秀霞</t>
  </si>
  <si>
    <t>高有</t>
  </si>
  <si>
    <t>桑泉</t>
  </si>
  <si>
    <t>邰国民</t>
  </si>
  <si>
    <t>牛淑琴</t>
  </si>
  <si>
    <t>陈兴芬</t>
  </si>
  <si>
    <t>宝乌日勒</t>
  </si>
  <si>
    <t>15232619400119041X</t>
  </si>
  <si>
    <t>李文</t>
  </si>
  <si>
    <t>王景秀</t>
  </si>
  <si>
    <t>郑丙枝</t>
  </si>
  <si>
    <t>李凤兰</t>
  </si>
  <si>
    <t>崔国君</t>
  </si>
  <si>
    <t>张井方</t>
  </si>
  <si>
    <t>刘荣芬</t>
  </si>
  <si>
    <t>马秀珍</t>
  </si>
  <si>
    <t>15232619470918092X</t>
  </si>
  <si>
    <t>韩阿力坦其其格</t>
  </si>
  <si>
    <t>孙德鹏</t>
  </si>
  <si>
    <t>马桂芝</t>
  </si>
  <si>
    <t>闫志新</t>
  </si>
  <si>
    <t>赵连霞</t>
  </si>
  <si>
    <t>张吉春</t>
  </si>
  <si>
    <t>张连君</t>
  </si>
  <si>
    <t>张云福</t>
  </si>
  <si>
    <t>卢宝珍</t>
  </si>
  <si>
    <t>邵秀芝</t>
  </si>
  <si>
    <t>王淑洁</t>
  </si>
  <si>
    <t>刘淑霞</t>
  </si>
  <si>
    <t>15232619521113041X</t>
  </si>
  <si>
    <t>王兴春</t>
  </si>
  <si>
    <t>孟宪花</t>
  </si>
  <si>
    <t>王殿国</t>
  </si>
  <si>
    <t>15232619540202381X</t>
  </si>
  <si>
    <t>崔喜忠</t>
  </si>
  <si>
    <t>15232619491113066X</t>
  </si>
  <si>
    <t>郝悦兰</t>
  </si>
  <si>
    <t>15232619500304332X</t>
  </si>
  <si>
    <t>杜兰花</t>
  </si>
  <si>
    <t>15232619470619332X</t>
  </si>
  <si>
    <t>林桂侠</t>
  </si>
  <si>
    <t>何翠云</t>
  </si>
  <si>
    <t>刘凤平</t>
  </si>
  <si>
    <t>赵生</t>
  </si>
  <si>
    <t>姜桂民</t>
  </si>
  <si>
    <t>王桑杰</t>
  </si>
  <si>
    <t>勾振琴</t>
  </si>
  <si>
    <t>王彩凤</t>
  </si>
  <si>
    <t>刘兰芳</t>
  </si>
  <si>
    <t>白素香</t>
  </si>
  <si>
    <t>阎世文</t>
  </si>
  <si>
    <t>王化文</t>
  </si>
  <si>
    <t>嘎少布</t>
  </si>
  <si>
    <t>马仁钦</t>
  </si>
  <si>
    <t>15232619561007307X</t>
  </si>
  <si>
    <t>王范</t>
  </si>
  <si>
    <t>谢怀喜</t>
  </si>
  <si>
    <t>马丽平</t>
  </si>
  <si>
    <t>高凤成</t>
  </si>
  <si>
    <t>吴金财</t>
  </si>
  <si>
    <t>苏玉梅</t>
  </si>
  <si>
    <t>赵永</t>
  </si>
  <si>
    <t>张白音都冷</t>
  </si>
  <si>
    <t>王月</t>
  </si>
  <si>
    <t>侯凤华</t>
  </si>
  <si>
    <t>赵桂云</t>
  </si>
  <si>
    <t>张祥</t>
  </si>
  <si>
    <t>齐义华</t>
  </si>
  <si>
    <t>厚荣军</t>
  </si>
  <si>
    <t>郑桂芳</t>
  </si>
  <si>
    <t>马志顺</t>
  </si>
  <si>
    <t>何金宝</t>
  </si>
  <si>
    <t>良梅</t>
  </si>
  <si>
    <t>刘亚洁</t>
  </si>
  <si>
    <t>马常明</t>
  </si>
  <si>
    <t>赵国范</t>
  </si>
  <si>
    <t>王停玉</t>
  </si>
  <si>
    <t>张宁布</t>
  </si>
  <si>
    <t>张振林</t>
  </si>
  <si>
    <t>刘宝芹</t>
  </si>
  <si>
    <t>柴瑞花</t>
  </si>
  <si>
    <t>程树芝</t>
  </si>
  <si>
    <t>谢占花</t>
  </si>
  <si>
    <t>李瑞琴</t>
  </si>
  <si>
    <t>查干义很</t>
  </si>
  <si>
    <t>吴玉华</t>
  </si>
  <si>
    <t>吕淑青</t>
  </si>
  <si>
    <t>王秀</t>
  </si>
  <si>
    <t>勾素平</t>
  </si>
  <si>
    <t>孙秀</t>
  </si>
  <si>
    <t>杨会</t>
  </si>
  <si>
    <t>纪绍春</t>
  </si>
  <si>
    <t>15232619540430042X</t>
  </si>
  <si>
    <t>张振梅</t>
  </si>
  <si>
    <t>李洪荣</t>
  </si>
  <si>
    <t>吴秀华</t>
  </si>
  <si>
    <t>南玉祥</t>
  </si>
  <si>
    <t>王翠芹</t>
  </si>
  <si>
    <t>吕海山</t>
  </si>
  <si>
    <t>吴海玉</t>
  </si>
  <si>
    <t>吴桂贤</t>
  </si>
  <si>
    <t>王素荣</t>
  </si>
  <si>
    <t>席金才</t>
  </si>
  <si>
    <t>李扎力根</t>
  </si>
  <si>
    <t>王志民</t>
  </si>
  <si>
    <t>于淑香</t>
  </si>
  <si>
    <t>梁布和特木乐</t>
  </si>
  <si>
    <t>马秀英</t>
  </si>
  <si>
    <t>15232619610216042X</t>
  </si>
  <si>
    <t>武翠霞</t>
  </si>
  <si>
    <t>张相坤</t>
  </si>
  <si>
    <t>陈撒木嘎</t>
  </si>
  <si>
    <t>孙桂芝</t>
  </si>
  <si>
    <t>南玉霞</t>
  </si>
  <si>
    <t>崔玉荣</t>
  </si>
  <si>
    <t>吴朝古拉</t>
  </si>
  <si>
    <t>闫秀玲</t>
  </si>
  <si>
    <t>崔永</t>
  </si>
  <si>
    <t>宝金风</t>
  </si>
  <si>
    <t>15232619540927307X</t>
  </si>
  <si>
    <t>刘占和</t>
  </si>
  <si>
    <t>回族</t>
  </si>
  <si>
    <t>杜国荣</t>
  </si>
  <si>
    <t>李国花</t>
  </si>
  <si>
    <t>姚忠富</t>
  </si>
  <si>
    <t>唐占海</t>
  </si>
  <si>
    <t>张艳芬</t>
  </si>
  <si>
    <t>15232619530610381X</t>
  </si>
  <si>
    <t>周宪有</t>
  </si>
  <si>
    <t>赵云兰</t>
  </si>
  <si>
    <t>韩文茹</t>
  </si>
  <si>
    <t>张俊义</t>
  </si>
  <si>
    <t>杜林</t>
  </si>
  <si>
    <t>15232619560309004X</t>
  </si>
  <si>
    <t>张永云</t>
  </si>
  <si>
    <t>刘淑玲</t>
  </si>
  <si>
    <t>15232619550504308X</t>
  </si>
  <si>
    <t>郝文琴</t>
  </si>
  <si>
    <t>孙秀花</t>
  </si>
  <si>
    <t>徐素萍</t>
  </si>
  <si>
    <t>邓淑华</t>
  </si>
  <si>
    <t>范玉琴</t>
  </si>
  <si>
    <t>邓玉芝</t>
  </si>
  <si>
    <t>闫凤成</t>
  </si>
  <si>
    <t>刘华成</t>
  </si>
  <si>
    <t>刘常新</t>
  </si>
  <si>
    <t>刘淑琴</t>
  </si>
  <si>
    <t>苏凤芝</t>
  </si>
  <si>
    <t>王景霞</t>
  </si>
  <si>
    <t>岳淑琴</t>
  </si>
  <si>
    <t>马春刚</t>
  </si>
  <si>
    <t>耿玉喜</t>
  </si>
  <si>
    <t>常永莲</t>
  </si>
  <si>
    <t>朱翠平</t>
  </si>
  <si>
    <t>魏艳杰</t>
  </si>
  <si>
    <t>孙殿忱</t>
  </si>
  <si>
    <t>魏云廷</t>
  </si>
  <si>
    <t>吕桂花</t>
  </si>
  <si>
    <t>岳政华</t>
  </si>
  <si>
    <t>耿素芝</t>
  </si>
  <si>
    <t>15232619630410002X</t>
  </si>
  <si>
    <t>宋玉芹</t>
  </si>
  <si>
    <t>祝国生</t>
  </si>
  <si>
    <t>杨振生</t>
  </si>
  <si>
    <t>黄素琴</t>
  </si>
  <si>
    <t>吕霞</t>
  </si>
  <si>
    <t>耿百强</t>
  </si>
  <si>
    <t>安学芳</t>
  </si>
  <si>
    <t>王桂杰</t>
  </si>
  <si>
    <t>15232619540701041X</t>
  </si>
  <si>
    <t>沈和</t>
  </si>
  <si>
    <t>徐琴</t>
  </si>
  <si>
    <t>杨金凤</t>
  </si>
  <si>
    <t>兰素琴</t>
  </si>
  <si>
    <t>郭林</t>
  </si>
  <si>
    <t>张国廷</t>
  </si>
  <si>
    <t>吴前大门</t>
  </si>
  <si>
    <t>谢素花</t>
  </si>
  <si>
    <t>徐桂枝</t>
  </si>
  <si>
    <t>郝秀琴</t>
  </si>
  <si>
    <t>宝巴干那</t>
  </si>
  <si>
    <t>付丛兰</t>
  </si>
  <si>
    <t>隋继昌</t>
  </si>
  <si>
    <t>15232619530329004X</t>
  </si>
  <si>
    <t>曹国云</t>
  </si>
  <si>
    <t>卫子祥</t>
  </si>
  <si>
    <t>赵学琴</t>
  </si>
  <si>
    <t>刘恩</t>
  </si>
  <si>
    <t>赵凤华</t>
  </si>
  <si>
    <t>刘霞</t>
  </si>
  <si>
    <t>15232619620214307X</t>
  </si>
  <si>
    <t>李瑞</t>
  </si>
  <si>
    <t>15232619620804382X</t>
  </si>
  <si>
    <t>胡桂花</t>
  </si>
  <si>
    <t>盛海芹</t>
  </si>
  <si>
    <t>周广明</t>
  </si>
  <si>
    <t>路占杰</t>
  </si>
  <si>
    <t>谢怀民</t>
  </si>
  <si>
    <t>齐翠华</t>
  </si>
  <si>
    <t>封德</t>
  </si>
  <si>
    <t>张树元</t>
  </si>
  <si>
    <t>李悦琴</t>
  </si>
  <si>
    <t>徐彩云</t>
  </si>
  <si>
    <t>周有福</t>
  </si>
  <si>
    <t>赵泉</t>
  </si>
  <si>
    <t>周桂英</t>
  </si>
  <si>
    <t>梁龙梅</t>
  </si>
  <si>
    <t>周振仪</t>
  </si>
  <si>
    <t>15232619500403381X</t>
  </si>
  <si>
    <t>周丕琢</t>
  </si>
  <si>
    <t>罗俊文</t>
  </si>
  <si>
    <t>于桂荣</t>
  </si>
  <si>
    <t>15232619420404042X</t>
  </si>
  <si>
    <t>桑桂花</t>
  </si>
  <si>
    <t>15232619430919066X</t>
  </si>
  <si>
    <t>孙玉珍</t>
  </si>
  <si>
    <t>15232619360113066X</t>
  </si>
  <si>
    <t>罗玉珍</t>
  </si>
  <si>
    <t>梁秀英</t>
  </si>
  <si>
    <t>胡代小</t>
  </si>
  <si>
    <t>吴存英</t>
  </si>
  <si>
    <t>刘起</t>
  </si>
  <si>
    <t>王丕昌</t>
  </si>
  <si>
    <t>张永权</t>
  </si>
  <si>
    <t>腾琴</t>
  </si>
  <si>
    <t>宝巴达玛道尔吉</t>
  </si>
  <si>
    <t>15232619490720067X</t>
  </si>
  <si>
    <t>恒常明</t>
  </si>
  <si>
    <t>陈兴文</t>
  </si>
  <si>
    <t>李风</t>
  </si>
  <si>
    <t>卫子平</t>
  </si>
  <si>
    <t>崔景海</t>
  </si>
  <si>
    <t>王连珍</t>
  </si>
  <si>
    <t>李国中</t>
  </si>
  <si>
    <t>丁喜和</t>
  </si>
  <si>
    <t>15232619460808092X</t>
  </si>
  <si>
    <t>白那仁其木格</t>
  </si>
  <si>
    <t>王宝森</t>
  </si>
  <si>
    <t>潘井海</t>
  </si>
  <si>
    <t>15232619570118041X</t>
  </si>
  <si>
    <t>朱芬</t>
  </si>
  <si>
    <t>孙风和</t>
  </si>
  <si>
    <t>于清</t>
  </si>
  <si>
    <t>贾素兰</t>
  </si>
  <si>
    <t>姜秀云</t>
  </si>
  <si>
    <t>蔡玉清</t>
  </si>
  <si>
    <t>周玉坤</t>
  </si>
  <si>
    <t>丁克有</t>
  </si>
  <si>
    <t>15232619481019332X</t>
  </si>
  <si>
    <t>皮桂兰</t>
  </si>
  <si>
    <t>连香梅</t>
  </si>
  <si>
    <t>陈格日勒</t>
  </si>
  <si>
    <t>孙玉花</t>
  </si>
  <si>
    <t>张花</t>
  </si>
  <si>
    <t>张宝云</t>
  </si>
  <si>
    <t>15232619490920042X</t>
  </si>
  <si>
    <t>徐振霞</t>
  </si>
  <si>
    <t>梁胖萨</t>
  </si>
  <si>
    <t>孙达古拉</t>
  </si>
  <si>
    <t>王凤云</t>
  </si>
  <si>
    <t>吴向良</t>
  </si>
  <si>
    <t>付兆琴</t>
  </si>
  <si>
    <t>15232619500625638X</t>
  </si>
  <si>
    <t>候凤兰</t>
  </si>
  <si>
    <t>马淑荣</t>
  </si>
  <si>
    <t>刘秀英</t>
  </si>
  <si>
    <t>王化珍</t>
  </si>
  <si>
    <t>曹喜荣</t>
  </si>
  <si>
    <t>伍朝格德力根</t>
  </si>
  <si>
    <t>包财那</t>
  </si>
  <si>
    <t>马国祥</t>
  </si>
  <si>
    <t>张彩云</t>
  </si>
  <si>
    <t>王井林</t>
  </si>
  <si>
    <t>张永民</t>
  </si>
  <si>
    <t>刘国柱</t>
  </si>
  <si>
    <t>田荣</t>
  </si>
  <si>
    <t>祁桂学</t>
  </si>
  <si>
    <t>白凤琴</t>
  </si>
  <si>
    <t>龚勿仁其木格</t>
  </si>
  <si>
    <t>蒋瑞平</t>
  </si>
  <si>
    <t>吕淑荣</t>
  </si>
  <si>
    <t>高振海</t>
  </si>
  <si>
    <t>车占华</t>
  </si>
  <si>
    <t>周新花</t>
  </si>
  <si>
    <t>李巴达玛</t>
  </si>
  <si>
    <t>席道尔吉</t>
  </si>
  <si>
    <t>王景枝</t>
  </si>
  <si>
    <t>谢怀诚</t>
  </si>
  <si>
    <t>唐占清</t>
  </si>
  <si>
    <t>15232619560414066X</t>
  </si>
  <si>
    <t>郑翠杰</t>
  </si>
  <si>
    <t>李海玲</t>
  </si>
  <si>
    <t>李洪银</t>
  </si>
  <si>
    <t>林国军</t>
  </si>
  <si>
    <t>桓总海</t>
  </si>
  <si>
    <t>勾海林</t>
  </si>
  <si>
    <t>15232619590723003X</t>
  </si>
  <si>
    <t>郑君</t>
  </si>
  <si>
    <t>15232619630904002X</t>
  </si>
  <si>
    <t>15232619580925381X</t>
  </si>
  <si>
    <t>韦秀民</t>
  </si>
  <si>
    <t>马凤云</t>
  </si>
  <si>
    <t>李树兰</t>
  </si>
  <si>
    <t>盖明泉</t>
  </si>
  <si>
    <t>康玉</t>
  </si>
  <si>
    <t>15232619630121067X</t>
  </si>
  <si>
    <t>刘军政</t>
  </si>
  <si>
    <t>李国兰</t>
  </si>
  <si>
    <t>15232619570130307X</t>
  </si>
  <si>
    <t>刘贵</t>
  </si>
  <si>
    <t>15232619580720001X</t>
  </si>
  <si>
    <t>马占学</t>
  </si>
  <si>
    <t>赵永华</t>
  </si>
  <si>
    <t>杭桂芹</t>
  </si>
  <si>
    <t>赵斌</t>
  </si>
  <si>
    <t>吴财</t>
  </si>
  <si>
    <t>盖玉芬</t>
  </si>
  <si>
    <t>15232619520711381X</t>
  </si>
  <si>
    <t>宋国泉</t>
  </si>
  <si>
    <t>李图木乐</t>
  </si>
  <si>
    <t>周恩花</t>
  </si>
  <si>
    <t>鲁振山</t>
  </si>
  <si>
    <t>谢怀彬</t>
  </si>
  <si>
    <t>范景兰</t>
  </si>
  <si>
    <t>得喜</t>
  </si>
  <si>
    <t>李玉辉</t>
  </si>
  <si>
    <t>张云</t>
  </si>
  <si>
    <t>林河</t>
  </si>
  <si>
    <t>袁信财</t>
  </si>
  <si>
    <t>郝玉珍</t>
  </si>
  <si>
    <t>吕美兰</t>
  </si>
  <si>
    <t>梁国珍</t>
  </si>
  <si>
    <t>王常海</t>
  </si>
  <si>
    <t>郑淑兰</t>
  </si>
  <si>
    <t>厚荣金</t>
  </si>
  <si>
    <t>吴秀云</t>
  </si>
  <si>
    <t>王风成</t>
  </si>
  <si>
    <t>沈少英</t>
  </si>
  <si>
    <t>张凤林</t>
  </si>
  <si>
    <t>吴满喜</t>
  </si>
  <si>
    <t>王斯其格</t>
  </si>
  <si>
    <t>刘文信</t>
  </si>
  <si>
    <t>罗玉学</t>
  </si>
  <si>
    <t>马结树</t>
  </si>
  <si>
    <t>宝荣</t>
  </si>
  <si>
    <t>董梅花</t>
  </si>
  <si>
    <t>宝团连</t>
  </si>
  <si>
    <t>王彩英</t>
  </si>
  <si>
    <t>岳淑侠</t>
  </si>
  <si>
    <t>耿素兰</t>
  </si>
  <si>
    <t>胡元明</t>
  </si>
  <si>
    <t>徐庆</t>
  </si>
  <si>
    <t>宋芳</t>
  </si>
  <si>
    <t>郑彩芝</t>
  </si>
  <si>
    <t>王守祥</t>
  </si>
  <si>
    <t>原树琴</t>
  </si>
  <si>
    <t>彭勉春</t>
  </si>
  <si>
    <t>李殿海</t>
  </si>
  <si>
    <t>桑玉侠</t>
  </si>
  <si>
    <t>15232619540816041X</t>
  </si>
  <si>
    <t>陈景林</t>
  </si>
  <si>
    <t>卢凤民</t>
  </si>
  <si>
    <t>李长俊</t>
  </si>
  <si>
    <t>卢振龙</t>
  </si>
  <si>
    <t>赵瑞芳</t>
  </si>
  <si>
    <t>15232619520923042X</t>
  </si>
  <si>
    <t>李素芹</t>
  </si>
  <si>
    <t>岳建珍</t>
  </si>
  <si>
    <t>钟翠花</t>
  </si>
  <si>
    <t>曹军</t>
  </si>
  <si>
    <t>周玉花</t>
  </si>
  <si>
    <t>秀英</t>
  </si>
  <si>
    <t>吴银小</t>
  </si>
  <si>
    <t>周毛义很</t>
  </si>
  <si>
    <t>张立祥</t>
  </si>
  <si>
    <t>宋海芝</t>
  </si>
  <si>
    <t>朱学芹</t>
  </si>
  <si>
    <t>白秀芝</t>
  </si>
  <si>
    <t>王有志</t>
  </si>
  <si>
    <t>田振江</t>
  </si>
  <si>
    <t>15232619540728762X</t>
  </si>
  <si>
    <t>高树兰</t>
  </si>
  <si>
    <t>15232619540314041X</t>
  </si>
  <si>
    <t>于秀山</t>
  </si>
  <si>
    <t>张宝琢</t>
  </si>
  <si>
    <t>15232619560802042X</t>
  </si>
  <si>
    <t>赵淑华</t>
  </si>
  <si>
    <t>胡亚荣</t>
  </si>
  <si>
    <t>赵爱花</t>
  </si>
  <si>
    <t>于翠芝</t>
  </si>
  <si>
    <t>刘俊兰</t>
  </si>
  <si>
    <t>白素玲</t>
  </si>
  <si>
    <t>李淑芬</t>
  </si>
  <si>
    <t>李永凤</t>
  </si>
  <si>
    <t>吴根小</t>
  </si>
  <si>
    <t>王井玉</t>
  </si>
  <si>
    <t>王振刚</t>
  </si>
  <si>
    <t>代瑞兰</t>
  </si>
  <si>
    <t>王阿力根扎</t>
  </si>
  <si>
    <t>贾玉芝</t>
  </si>
  <si>
    <t>席田虎</t>
  </si>
  <si>
    <t>宋文义</t>
  </si>
  <si>
    <t>张翠珍</t>
  </si>
  <si>
    <t>刘义春</t>
  </si>
  <si>
    <t>张文海</t>
  </si>
  <si>
    <t>于秀臣</t>
  </si>
  <si>
    <t>孙玉芹</t>
  </si>
  <si>
    <t>魏彩贤</t>
  </si>
  <si>
    <t>朱富</t>
  </si>
  <si>
    <t>宋国军</t>
  </si>
  <si>
    <t>包秀兰</t>
  </si>
  <si>
    <t>范国武</t>
  </si>
  <si>
    <t>崔国俭</t>
  </si>
  <si>
    <t>王爱香</t>
  </si>
  <si>
    <t>索明辉</t>
  </si>
  <si>
    <t>刁显树</t>
  </si>
  <si>
    <t>姚宝均</t>
  </si>
  <si>
    <t>何秀兰</t>
  </si>
  <si>
    <t>宋国花</t>
  </si>
  <si>
    <t>徐俭</t>
  </si>
  <si>
    <t>马占莲</t>
  </si>
  <si>
    <t>葛福军</t>
  </si>
  <si>
    <t>苑桂霞</t>
  </si>
  <si>
    <t>王春玲</t>
  </si>
  <si>
    <t>尉月芹</t>
  </si>
  <si>
    <t>史柏林</t>
  </si>
  <si>
    <t>王占福</t>
  </si>
  <si>
    <t>李敏凤</t>
  </si>
  <si>
    <t>15232619561010071X</t>
  </si>
  <si>
    <t>辛凤廷</t>
  </si>
  <si>
    <t>刘云长</t>
  </si>
  <si>
    <t>刘占玉</t>
  </si>
  <si>
    <t>王守云</t>
  </si>
  <si>
    <t>丁喜贵</t>
  </si>
  <si>
    <t>王云娥</t>
  </si>
  <si>
    <t>邵桂华</t>
  </si>
  <si>
    <t>鲁坤学</t>
  </si>
  <si>
    <t>15232619550110042X</t>
  </si>
  <si>
    <t>马玉英</t>
  </si>
  <si>
    <t>索春香</t>
  </si>
  <si>
    <t>于晓玲</t>
  </si>
  <si>
    <t>韩希日布</t>
  </si>
  <si>
    <t>赖福仓</t>
  </si>
  <si>
    <t>王振财</t>
  </si>
  <si>
    <t>孔庆芬</t>
  </si>
  <si>
    <t>姜国中</t>
  </si>
  <si>
    <t>15232619530312042X</t>
  </si>
  <si>
    <t>滕文生</t>
  </si>
  <si>
    <t>尹桂玲</t>
  </si>
  <si>
    <t>姜清琴</t>
  </si>
  <si>
    <t>窦信</t>
  </si>
  <si>
    <t>阿力旦其木格</t>
  </si>
  <si>
    <t>谢春梅</t>
  </si>
  <si>
    <t>刘喜</t>
  </si>
  <si>
    <t>孟宪明</t>
  </si>
  <si>
    <t>吴格四格</t>
  </si>
  <si>
    <t>15232619531219069X</t>
  </si>
  <si>
    <t>段玉民</t>
  </si>
  <si>
    <t>15232619530909383X</t>
  </si>
  <si>
    <t>赵明</t>
  </si>
  <si>
    <t>李志友</t>
  </si>
  <si>
    <t>任桂勤</t>
  </si>
  <si>
    <t>李图门巴音</t>
  </si>
  <si>
    <t>孙凤喜</t>
  </si>
  <si>
    <t>王那仁满都胡</t>
  </si>
  <si>
    <t>孙玉英</t>
  </si>
  <si>
    <t>王大永</t>
  </si>
  <si>
    <t>周玉林</t>
  </si>
  <si>
    <t>王树林</t>
  </si>
  <si>
    <t>刘香坤</t>
  </si>
  <si>
    <t>葛福华</t>
  </si>
  <si>
    <t>韩宝泉</t>
  </si>
  <si>
    <t>王素梅</t>
  </si>
  <si>
    <t>卢桂芝</t>
  </si>
  <si>
    <t>巍歌</t>
  </si>
  <si>
    <t>吴牧仁</t>
  </si>
  <si>
    <t>马特木勒</t>
  </si>
  <si>
    <t>任桂华</t>
  </si>
  <si>
    <t>金凤芹</t>
  </si>
  <si>
    <t>刘玉艳</t>
  </si>
  <si>
    <t>赵满桌</t>
  </si>
  <si>
    <t>李子祥</t>
  </si>
  <si>
    <t>梁满都呼</t>
  </si>
  <si>
    <t>邝国芹</t>
  </si>
  <si>
    <t>杜运星</t>
  </si>
  <si>
    <t>石兆芬</t>
  </si>
  <si>
    <t>孙学芹</t>
  </si>
  <si>
    <t>王玉娥</t>
  </si>
  <si>
    <t>15232619590318067X</t>
  </si>
  <si>
    <t>齐亚奎</t>
  </si>
  <si>
    <t>李永海</t>
  </si>
  <si>
    <t>15232619620805334X</t>
  </si>
  <si>
    <t>鲁胡吉雅</t>
  </si>
  <si>
    <t>吕宝英</t>
  </si>
  <si>
    <t>贺兴</t>
  </si>
  <si>
    <t>张桂芳</t>
  </si>
  <si>
    <t>宋学忠</t>
  </si>
  <si>
    <t>赵秀玲</t>
  </si>
  <si>
    <t>吴万枝</t>
  </si>
  <si>
    <t>15232619600512382X</t>
  </si>
  <si>
    <t>席桂英</t>
  </si>
  <si>
    <t>15232619640315332X</t>
  </si>
  <si>
    <t>席银柱</t>
  </si>
  <si>
    <t>吴迎春</t>
  </si>
  <si>
    <t>金月霞</t>
  </si>
  <si>
    <t>王玉双</t>
  </si>
  <si>
    <t>宋子芹</t>
  </si>
  <si>
    <t>康国杰</t>
  </si>
  <si>
    <t>杨长福</t>
  </si>
  <si>
    <t>袁会</t>
  </si>
  <si>
    <t>岳彩琴</t>
  </si>
  <si>
    <t>钟成</t>
  </si>
  <si>
    <t>李向兰</t>
  </si>
  <si>
    <t>沈少华</t>
  </si>
  <si>
    <t>辛凤芹</t>
  </si>
  <si>
    <t>陈玉成</t>
  </si>
  <si>
    <t>李满良</t>
  </si>
  <si>
    <t>李秀华</t>
  </si>
  <si>
    <t>张金荣</t>
  </si>
  <si>
    <t>董阳怀</t>
  </si>
  <si>
    <t>刘景芝</t>
  </si>
  <si>
    <t>王凤贤</t>
  </si>
  <si>
    <t>胡广林</t>
  </si>
  <si>
    <t>15232619540808068X</t>
  </si>
  <si>
    <t>徐国花</t>
  </si>
  <si>
    <t>15232619600216006X</t>
  </si>
  <si>
    <t>陈秀芹</t>
  </si>
  <si>
    <t>程志华</t>
  </si>
  <si>
    <t>柳凤英</t>
  </si>
  <si>
    <t>吴翠兰</t>
  </si>
  <si>
    <t>齐振林</t>
  </si>
  <si>
    <t>张素英</t>
  </si>
  <si>
    <t>张艳荣</t>
  </si>
  <si>
    <t>吴高娃</t>
  </si>
  <si>
    <t>刘俊锋</t>
  </si>
  <si>
    <t>舒立芝</t>
  </si>
  <si>
    <t>霍淑兰</t>
  </si>
  <si>
    <t>索明财</t>
  </si>
  <si>
    <t>胡桂霞</t>
  </si>
  <si>
    <t>于彩贤</t>
  </si>
  <si>
    <t>门桂兰</t>
  </si>
  <si>
    <t>白秀荣</t>
  </si>
  <si>
    <t>冯国江</t>
  </si>
  <si>
    <t>厚华梅</t>
  </si>
  <si>
    <t>王秀莲</t>
  </si>
  <si>
    <t>葛淑珍</t>
  </si>
  <si>
    <t>15232619560307041X</t>
  </si>
  <si>
    <t>马广元</t>
  </si>
  <si>
    <t>刁勿林其木格</t>
  </si>
  <si>
    <t>王朝伦巴塔</t>
  </si>
  <si>
    <t>王翠玲</t>
  </si>
  <si>
    <t>15232619580829066X</t>
  </si>
  <si>
    <t>郑丙新</t>
  </si>
  <si>
    <t>李相春</t>
  </si>
  <si>
    <t>15232619560905308X</t>
  </si>
  <si>
    <t>孟宪春</t>
  </si>
  <si>
    <t>辛化芝</t>
  </si>
  <si>
    <t>甄国奎</t>
  </si>
  <si>
    <t>王喜芬</t>
  </si>
  <si>
    <t>翟海云</t>
  </si>
  <si>
    <t>铁状</t>
  </si>
  <si>
    <t>王子树</t>
  </si>
  <si>
    <t>赵利</t>
  </si>
  <si>
    <t>邵玉荣</t>
  </si>
  <si>
    <t>王淑杰</t>
  </si>
  <si>
    <t>王哲</t>
  </si>
  <si>
    <t>刘洪芹</t>
  </si>
  <si>
    <t>韩淑芝</t>
  </si>
  <si>
    <t>何占青</t>
  </si>
  <si>
    <t>15232619611123331X</t>
  </si>
  <si>
    <t>孙喜良</t>
  </si>
  <si>
    <t>孙喜明</t>
  </si>
  <si>
    <t>石景霞</t>
  </si>
  <si>
    <t>代美荣</t>
  </si>
  <si>
    <t>杭金钟</t>
  </si>
  <si>
    <t>胡玉发</t>
  </si>
  <si>
    <t>华桂芬</t>
  </si>
  <si>
    <t>王凤杰</t>
  </si>
  <si>
    <t>15232619611215332X</t>
  </si>
  <si>
    <t>张敏华</t>
  </si>
  <si>
    <t>15232619590928383X</t>
  </si>
  <si>
    <t>15232619561023307X</t>
  </si>
  <si>
    <t>韩国柱</t>
  </si>
  <si>
    <t>宝秀花</t>
  </si>
  <si>
    <t>香玉</t>
  </si>
  <si>
    <t>15232619320428004X</t>
  </si>
  <si>
    <t>石淑珍</t>
  </si>
  <si>
    <t>李惠芬</t>
  </si>
  <si>
    <t>宝那仁其木格</t>
  </si>
  <si>
    <t>包桂兰</t>
  </si>
  <si>
    <t>15232619470816002X</t>
  </si>
  <si>
    <t>袁玉琴</t>
  </si>
  <si>
    <t>于占芹</t>
  </si>
  <si>
    <t>15232619560610091X</t>
  </si>
  <si>
    <t>金达木林加布</t>
  </si>
  <si>
    <t>白福芝</t>
  </si>
  <si>
    <t>罗玉芝</t>
  </si>
  <si>
    <t>布和文都苏</t>
  </si>
  <si>
    <t>李艳珍</t>
  </si>
  <si>
    <t>杨国兴</t>
  </si>
  <si>
    <t>马青梅</t>
  </si>
  <si>
    <t>15232619621223002X</t>
  </si>
  <si>
    <t>王作云</t>
  </si>
  <si>
    <t>吴京生</t>
  </si>
  <si>
    <t>吴宝音道图格</t>
  </si>
  <si>
    <t>高孟金</t>
  </si>
  <si>
    <t>15232619620115042X</t>
  </si>
  <si>
    <t>谭桂霞</t>
  </si>
  <si>
    <t>万景秀</t>
  </si>
  <si>
    <t>朱兰荣</t>
  </si>
  <si>
    <t>15232619590323042X</t>
  </si>
  <si>
    <t>许淑荣</t>
  </si>
  <si>
    <t>杭扎力根</t>
  </si>
  <si>
    <t>吴香鲁</t>
  </si>
  <si>
    <t>刘瑞学</t>
  </si>
  <si>
    <t>刘淑华</t>
  </si>
  <si>
    <t>刘文志</t>
  </si>
  <si>
    <t>齐亚军</t>
  </si>
  <si>
    <t>王宝荣</t>
  </si>
  <si>
    <t>李梅荣</t>
  </si>
  <si>
    <t>金月梅</t>
  </si>
  <si>
    <t>井占民</t>
  </si>
  <si>
    <t>付淑花</t>
  </si>
  <si>
    <t>15232619590429381X</t>
  </si>
  <si>
    <t>于少德</t>
  </si>
  <si>
    <t>侯桂芬</t>
  </si>
  <si>
    <t>王玉坤</t>
  </si>
  <si>
    <t>杨桂华</t>
  </si>
  <si>
    <t>白满都呼</t>
  </si>
  <si>
    <t>谢塔日巴</t>
  </si>
  <si>
    <t>15232619580406004X</t>
  </si>
  <si>
    <t>曹英</t>
  </si>
  <si>
    <t>宗占明</t>
  </si>
  <si>
    <t>宋秀莲</t>
  </si>
  <si>
    <t>李海侠</t>
  </si>
  <si>
    <t>白玉清</t>
  </si>
  <si>
    <t>李洪起</t>
  </si>
  <si>
    <t>白金</t>
  </si>
  <si>
    <t>15232619580505002X</t>
  </si>
  <si>
    <t>包连叶</t>
  </si>
  <si>
    <t>宝嘎巴</t>
  </si>
  <si>
    <t>刘耀辉</t>
  </si>
  <si>
    <t>赵查干呼</t>
  </si>
  <si>
    <t>崔相荣</t>
  </si>
  <si>
    <t>高术华</t>
  </si>
  <si>
    <t>15232619610522381X</t>
  </si>
  <si>
    <t>吴温都苏</t>
  </si>
  <si>
    <t>15232619600918067X</t>
  </si>
  <si>
    <t>刘艳民</t>
  </si>
  <si>
    <t>白财音其其格</t>
  </si>
  <si>
    <t>吴扎力嘎胡</t>
  </si>
  <si>
    <t>温国学</t>
  </si>
  <si>
    <t>张庆武</t>
  </si>
  <si>
    <t>李桂凤</t>
  </si>
  <si>
    <t>代霞</t>
  </si>
  <si>
    <t>15232619600205382X</t>
  </si>
  <si>
    <t>蔡桂霞</t>
  </si>
  <si>
    <t>15232619571018042X</t>
  </si>
  <si>
    <t>刘辉</t>
  </si>
  <si>
    <t>许军</t>
  </si>
  <si>
    <t>李彩云</t>
  </si>
  <si>
    <t>冯庆茹</t>
  </si>
  <si>
    <t>李凤平</t>
  </si>
  <si>
    <t>孙广珍</t>
  </si>
  <si>
    <t>庞虎</t>
  </si>
  <si>
    <t>张庆金</t>
  </si>
  <si>
    <t>15232619631212382X</t>
  </si>
  <si>
    <t>毛桂琴</t>
  </si>
  <si>
    <t>傅淑英</t>
  </si>
  <si>
    <t>张树臣</t>
  </si>
  <si>
    <t>李扎木萨</t>
  </si>
  <si>
    <t>田文举</t>
  </si>
  <si>
    <t>席海涛</t>
  </si>
  <si>
    <t>吴凤赞</t>
  </si>
  <si>
    <t>张启文</t>
  </si>
  <si>
    <t>王彩荣</t>
  </si>
  <si>
    <t>郭萨木嘎</t>
  </si>
  <si>
    <t>李特古苏宝音</t>
  </si>
  <si>
    <t>海堂</t>
  </si>
  <si>
    <t>杨瑞军</t>
  </si>
  <si>
    <t>郭风岐</t>
  </si>
  <si>
    <t>候平</t>
  </si>
  <si>
    <t>王爱武</t>
  </si>
  <si>
    <t>杨文和</t>
  </si>
  <si>
    <t>魏振生</t>
  </si>
  <si>
    <t>庄春霞</t>
  </si>
  <si>
    <t>陈民</t>
  </si>
  <si>
    <t>陈永志</t>
  </si>
  <si>
    <t>15232619600906381X</t>
  </si>
  <si>
    <t>刘庆忠</t>
  </si>
  <si>
    <t>杨索花</t>
  </si>
  <si>
    <t>勾素荣</t>
  </si>
  <si>
    <t>代彬</t>
  </si>
  <si>
    <t>敖树芬</t>
  </si>
  <si>
    <t>高满都呼</t>
  </si>
  <si>
    <t>孙桂华</t>
  </si>
  <si>
    <t>张鸿祥</t>
  </si>
  <si>
    <t>姚忠琴</t>
  </si>
  <si>
    <t>刘怀林</t>
  </si>
  <si>
    <t>谢文花</t>
  </si>
  <si>
    <t>齐秀芬</t>
  </si>
  <si>
    <t>孔苓芝</t>
  </si>
  <si>
    <t>宝勿日娜</t>
  </si>
  <si>
    <t>张发</t>
  </si>
  <si>
    <t>高春迎</t>
  </si>
  <si>
    <t>赵国林</t>
  </si>
  <si>
    <t>刘国云</t>
  </si>
  <si>
    <t>孙树良</t>
  </si>
  <si>
    <t>吴福荣</t>
  </si>
  <si>
    <t>刘青梅</t>
  </si>
  <si>
    <t>陈学忠</t>
  </si>
  <si>
    <t>候俊</t>
  </si>
  <si>
    <t>靳学荣</t>
  </si>
  <si>
    <t>15232619621210308X</t>
  </si>
  <si>
    <t>谭常海</t>
  </si>
  <si>
    <t>代白音仓</t>
  </si>
  <si>
    <t>崔义军</t>
  </si>
  <si>
    <t>王瑞芹</t>
  </si>
  <si>
    <t>15232619601025332X</t>
  </si>
  <si>
    <t>王爱芹</t>
  </si>
  <si>
    <t>王必力格图</t>
  </si>
  <si>
    <t>15232619630615067X</t>
  </si>
  <si>
    <t>吴代来</t>
  </si>
  <si>
    <t>刘贺兰</t>
  </si>
  <si>
    <t>谢贵</t>
  </si>
  <si>
    <t>梁喜财</t>
  </si>
  <si>
    <t>张延君</t>
  </si>
  <si>
    <t>盛志荣</t>
  </si>
  <si>
    <t>高贵</t>
  </si>
  <si>
    <t>宝海花</t>
  </si>
  <si>
    <t>宝巴图毕力格</t>
  </si>
  <si>
    <t>李斯琴毕力格</t>
  </si>
  <si>
    <t>陈德有</t>
  </si>
  <si>
    <t>周凤华</t>
  </si>
  <si>
    <t>宋丽民</t>
  </si>
  <si>
    <t>范国芹</t>
  </si>
  <si>
    <t>彭维军</t>
  </si>
  <si>
    <t>15232619640124042X</t>
  </si>
  <si>
    <t>朱玉侠</t>
  </si>
  <si>
    <t>宋秀芬</t>
  </si>
  <si>
    <t>于彩霞</t>
  </si>
  <si>
    <t>于素霞</t>
  </si>
  <si>
    <t>李月英</t>
  </si>
  <si>
    <t>隋桂玲</t>
  </si>
  <si>
    <t>罗延芝</t>
  </si>
  <si>
    <t>王桂华</t>
  </si>
  <si>
    <t>周秀芹</t>
  </si>
  <si>
    <t>15232619520225041X</t>
  </si>
  <si>
    <t>李会</t>
  </si>
  <si>
    <t>卢永珍</t>
  </si>
  <si>
    <t>张学军</t>
  </si>
  <si>
    <t>胡玉玲</t>
  </si>
  <si>
    <t>常桂平</t>
  </si>
  <si>
    <t>仲秀杰</t>
  </si>
  <si>
    <t>付崇翠</t>
  </si>
  <si>
    <t>李永芬</t>
  </si>
  <si>
    <t>姜淑芝</t>
  </si>
  <si>
    <t>宝双花</t>
  </si>
  <si>
    <t>15232619540920332X</t>
  </si>
  <si>
    <t>15232619550125332X</t>
  </si>
  <si>
    <t>达来</t>
  </si>
  <si>
    <t>宝官布扎布</t>
  </si>
  <si>
    <t>高月英</t>
  </si>
  <si>
    <t>侯胖小</t>
  </si>
  <si>
    <t>赵国芬</t>
  </si>
  <si>
    <t>伟淑香</t>
  </si>
  <si>
    <t>周树华</t>
  </si>
  <si>
    <t>李桂梅</t>
  </si>
  <si>
    <t>高凤平</t>
  </si>
  <si>
    <t>陈凤桂</t>
  </si>
  <si>
    <t>毛凤山</t>
  </si>
  <si>
    <t>燕桂荣</t>
  </si>
  <si>
    <t>15232619620728068X</t>
  </si>
  <si>
    <t>康国兰</t>
  </si>
  <si>
    <t>岳凤艳</t>
  </si>
  <si>
    <t>刘俊珍</t>
  </si>
  <si>
    <t>涂显凤</t>
  </si>
  <si>
    <t>李艳琴</t>
  </si>
  <si>
    <t>崔喜堂</t>
  </si>
  <si>
    <t>石兆会</t>
  </si>
  <si>
    <t>刘汉云</t>
  </si>
  <si>
    <t>孙洪清</t>
  </si>
  <si>
    <t>梁宪霞</t>
  </si>
  <si>
    <t>于学明</t>
  </si>
  <si>
    <t>闫淑霞</t>
  </si>
  <si>
    <t>田振环</t>
  </si>
  <si>
    <t>何才音斯其格</t>
  </si>
  <si>
    <t>王国清</t>
  </si>
  <si>
    <t>岳岭</t>
  </si>
  <si>
    <t>15232619540327002X</t>
  </si>
  <si>
    <t>刁树花</t>
  </si>
  <si>
    <t>陈凤山</t>
  </si>
  <si>
    <t>15232619510908041X</t>
  </si>
  <si>
    <t>刘凤权</t>
  </si>
  <si>
    <t>15232619471008381X</t>
  </si>
  <si>
    <t>吴占发</t>
  </si>
  <si>
    <t>15232619401018381X</t>
  </si>
  <si>
    <t>王羲</t>
  </si>
  <si>
    <t>岳景宇</t>
  </si>
  <si>
    <t>杜国廷</t>
  </si>
  <si>
    <t>陈兴</t>
  </si>
  <si>
    <t>杜守芬</t>
  </si>
  <si>
    <t>朱景春</t>
  </si>
  <si>
    <t>邱化民</t>
  </si>
  <si>
    <t>曹桂新</t>
  </si>
  <si>
    <t>姚凤祥</t>
  </si>
  <si>
    <t>15232619310116381X</t>
  </si>
  <si>
    <t>毛景春</t>
  </si>
  <si>
    <t>樊国庆</t>
  </si>
  <si>
    <t>粱翠金</t>
  </si>
  <si>
    <t>牟景连</t>
  </si>
  <si>
    <t>刘淑芝</t>
  </si>
  <si>
    <t>15232619611002046X</t>
  </si>
  <si>
    <t>赵继仁</t>
  </si>
  <si>
    <t>马艳苓</t>
  </si>
  <si>
    <t>辛凤国</t>
  </si>
  <si>
    <t>于凤珍</t>
  </si>
  <si>
    <t>15232619520516332X</t>
  </si>
  <si>
    <t>王苹</t>
  </si>
  <si>
    <t>杨淑兰</t>
  </si>
  <si>
    <t>朱兰珍</t>
  </si>
  <si>
    <t>徐淑娥</t>
  </si>
  <si>
    <t>孙继峰</t>
  </si>
  <si>
    <t>朱翠霞</t>
  </si>
  <si>
    <t>孙洪艳</t>
  </si>
  <si>
    <t>田金小</t>
  </si>
  <si>
    <t>王艾华</t>
  </si>
  <si>
    <t>耿亚文</t>
  </si>
  <si>
    <t>郑有</t>
  </si>
  <si>
    <t>武凤云</t>
  </si>
  <si>
    <t>王俊</t>
  </si>
  <si>
    <t>姚铁牛</t>
  </si>
  <si>
    <t>苏玉新</t>
  </si>
  <si>
    <t>周汉義</t>
  </si>
  <si>
    <t>吴常毛</t>
  </si>
  <si>
    <t>李额尔敦道布</t>
  </si>
  <si>
    <t>15232619460310091X</t>
  </si>
  <si>
    <t>潭风林</t>
  </si>
  <si>
    <t>车占英</t>
  </si>
  <si>
    <t>安凤云</t>
  </si>
  <si>
    <t>张月芝</t>
  </si>
  <si>
    <t>周玉贵</t>
  </si>
  <si>
    <t>席老小</t>
  </si>
  <si>
    <t>王旺哈拉</t>
  </si>
  <si>
    <t>姜永山</t>
  </si>
  <si>
    <t>席秀霞</t>
  </si>
  <si>
    <t>李阿力根扎</t>
  </si>
  <si>
    <t>席宝力高</t>
  </si>
  <si>
    <t>赵奎</t>
  </si>
  <si>
    <t>赵桂芬</t>
  </si>
  <si>
    <t>15232619490513041X</t>
  </si>
  <si>
    <t>岳瑞才</t>
  </si>
  <si>
    <t>祁要民</t>
  </si>
  <si>
    <t>郝玉琴</t>
  </si>
  <si>
    <t>隋凤珍</t>
  </si>
  <si>
    <t>赵继东</t>
  </si>
  <si>
    <t>刘凤芹</t>
  </si>
  <si>
    <t>王殿生</t>
  </si>
  <si>
    <t>15232619520209041X</t>
  </si>
  <si>
    <t>杜凤林</t>
  </si>
  <si>
    <t>李成山</t>
  </si>
  <si>
    <t>孙富</t>
  </si>
  <si>
    <t>贺文</t>
  </si>
  <si>
    <t>张树军</t>
  </si>
  <si>
    <t>赵津</t>
  </si>
  <si>
    <t>王利芬</t>
  </si>
  <si>
    <t>宝松山</t>
  </si>
  <si>
    <t>安学顺</t>
  </si>
  <si>
    <t>安学峰</t>
  </si>
  <si>
    <t>15232619480319042X</t>
  </si>
  <si>
    <t>周金荣</t>
  </si>
  <si>
    <t>杨桂云</t>
  </si>
  <si>
    <t>梁散丹</t>
  </si>
  <si>
    <t>席萨其玛</t>
  </si>
  <si>
    <t>敖春香</t>
  </si>
  <si>
    <t>马翠花</t>
  </si>
  <si>
    <t>齐恩清</t>
  </si>
  <si>
    <t>马翠芝</t>
  </si>
  <si>
    <t>王阿力玛</t>
  </si>
  <si>
    <t>陈萨木嘎</t>
  </si>
  <si>
    <t>程轩</t>
  </si>
  <si>
    <t>崔淑芝</t>
  </si>
  <si>
    <t>孟广贤</t>
  </si>
  <si>
    <t>董广友</t>
  </si>
  <si>
    <t>邢子琴</t>
  </si>
  <si>
    <t>宝月亮</t>
  </si>
  <si>
    <t>鲁玉荣</t>
  </si>
  <si>
    <t>许桂英</t>
  </si>
  <si>
    <t>隋玉侠</t>
  </si>
  <si>
    <t>董欣丽</t>
  </si>
  <si>
    <t>齐跃霞</t>
  </si>
  <si>
    <t>杨秀英</t>
  </si>
  <si>
    <t>金翠荣</t>
  </si>
  <si>
    <t>王化冬</t>
  </si>
  <si>
    <t>盖明坡</t>
  </si>
  <si>
    <t>刘义会</t>
  </si>
  <si>
    <t>梁凤兰</t>
  </si>
  <si>
    <t>梁海棠</t>
  </si>
  <si>
    <t>蔡阿力坦宝力高</t>
  </si>
  <si>
    <t>刘元奎</t>
  </si>
  <si>
    <t>刘素兰</t>
  </si>
  <si>
    <t>马桂兰</t>
  </si>
  <si>
    <t>王国芬</t>
  </si>
  <si>
    <t>葛云祥</t>
  </si>
  <si>
    <t>何玉侠</t>
  </si>
  <si>
    <t>刘贵英</t>
  </si>
  <si>
    <t>潘井河</t>
  </si>
  <si>
    <t>刘德花</t>
  </si>
  <si>
    <t>15232619430609308X</t>
  </si>
  <si>
    <t>李木兰</t>
  </si>
  <si>
    <t>15232619490511310X</t>
  </si>
  <si>
    <t>赵桂杰</t>
  </si>
  <si>
    <t>李金良</t>
  </si>
  <si>
    <t>温秀英</t>
  </si>
  <si>
    <t>吴毛义很</t>
  </si>
  <si>
    <t>杭楚古拉</t>
  </si>
  <si>
    <t>张月珍</t>
  </si>
  <si>
    <t>张翠英</t>
  </si>
  <si>
    <t>张凤娥</t>
  </si>
  <si>
    <t>佟玉梅</t>
  </si>
  <si>
    <t>15232619460502042X</t>
  </si>
  <si>
    <t>卫丽珍</t>
  </si>
  <si>
    <t>郭庆香</t>
  </si>
  <si>
    <t>15232619430103331X</t>
  </si>
  <si>
    <t>贾凤林</t>
  </si>
  <si>
    <t>陈瑞</t>
  </si>
  <si>
    <t>谷益富</t>
  </si>
  <si>
    <t>张树江</t>
  </si>
  <si>
    <t>郭井玉</t>
  </si>
  <si>
    <t>15232619451218066X</t>
  </si>
  <si>
    <t>吴香梅</t>
  </si>
  <si>
    <t>王树云</t>
  </si>
  <si>
    <t>甄凤荣</t>
  </si>
  <si>
    <t>赵淑琴</t>
  </si>
  <si>
    <t>郑文秀</t>
  </si>
  <si>
    <t>赵淑芝</t>
  </si>
  <si>
    <t>辛秀梅</t>
  </si>
  <si>
    <t>胡有</t>
  </si>
  <si>
    <t>15232619550907043X</t>
  </si>
  <si>
    <t>李景信</t>
  </si>
  <si>
    <t>赵聪</t>
  </si>
  <si>
    <t>罗领小</t>
  </si>
  <si>
    <t>于秀莲</t>
  </si>
  <si>
    <t>陈章彩图</t>
  </si>
  <si>
    <t>15232619410405092X</t>
  </si>
  <si>
    <t>梁景叶玛</t>
  </si>
  <si>
    <t>李景荣</t>
  </si>
  <si>
    <t>朱德臣</t>
  </si>
  <si>
    <t>朱德有</t>
  </si>
  <si>
    <t>甄海英</t>
  </si>
  <si>
    <t>张俊荣</t>
  </si>
  <si>
    <t>吴振德</t>
  </si>
  <si>
    <t>鲁玉贞</t>
  </si>
  <si>
    <t>15232619510708381X</t>
  </si>
  <si>
    <t>李国江</t>
  </si>
  <si>
    <t>徐作花</t>
  </si>
  <si>
    <t>崔桂霞</t>
  </si>
  <si>
    <t>刘选</t>
  </si>
  <si>
    <t>杨翠侠</t>
  </si>
  <si>
    <t>温桂侠</t>
  </si>
  <si>
    <t>于少贤</t>
  </si>
  <si>
    <t>王福财</t>
  </si>
  <si>
    <t>15232619480112041X</t>
  </si>
  <si>
    <t>王维有</t>
  </si>
  <si>
    <t>杨晓明</t>
  </si>
  <si>
    <t>15232619511022066X</t>
  </si>
  <si>
    <t>武玉荣</t>
  </si>
  <si>
    <t>陈勿林铁都</t>
  </si>
  <si>
    <t>张跃芬</t>
  </si>
  <si>
    <t>赵议</t>
  </si>
  <si>
    <t>宝长岁</t>
  </si>
  <si>
    <t>张克</t>
  </si>
  <si>
    <t>徐连祥</t>
  </si>
  <si>
    <t>金宝</t>
  </si>
  <si>
    <t>乔淑华</t>
  </si>
  <si>
    <t>刘翠萍</t>
  </si>
  <si>
    <t>孙贵</t>
  </si>
  <si>
    <t>王作亭</t>
  </si>
  <si>
    <t>吴尔等朝老</t>
  </si>
  <si>
    <t>陈图古苏白音</t>
  </si>
  <si>
    <t>齐秀荣</t>
  </si>
  <si>
    <t>邹井深</t>
  </si>
  <si>
    <t>吴好斯白音</t>
  </si>
  <si>
    <t>贾桂琴</t>
  </si>
  <si>
    <t>白凤银</t>
  </si>
  <si>
    <t>袁喜霞</t>
  </si>
  <si>
    <t>15232619581220332X</t>
  </si>
  <si>
    <t>张富命</t>
  </si>
  <si>
    <t>15232619600225332X</t>
  </si>
  <si>
    <t>宝金莲</t>
  </si>
  <si>
    <t>徐贺民</t>
  </si>
  <si>
    <t>佟勿力嘎</t>
  </si>
  <si>
    <t>张山</t>
  </si>
  <si>
    <t>刘宝音勿力吉</t>
  </si>
  <si>
    <t>刘广芬</t>
  </si>
  <si>
    <t>贾凤楼</t>
  </si>
  <si>
    <t>姚立章</t>
  </si>
  <si>
    <t>孙士琴</t>
  </si>
  <si>
    <t>15232619600228066X</t>
  </si>
  <si>
    <t>孙志苹</t>
  </si>
  <si>
    <t>孙海</t>
  </si>
  <si>
    <t>王秀枝</t>
  </si>
  <si>
    <t>宝散布拉</t>
  </si>
  <si>
    <t>宝其木格</t>
  </si>
  <si>
    <t>白财音巴雅尔</t>
  </si>
  <si>
    <t>马巴特尔</t>
  </si>
  <si>
    <t>15232619621026092X</t>
  </si>
  <si>
    <t>陈宝山</t>
  </si>
  <si>
    <t>王凤平</t>
  </si>
  <si>
    <t>朱云苍</t>
  </si>
  <si>
    <t>朱永锋</t>
  </si>
  <si>
    <t>朱云顺</t>
  </si>
  <si>
    <t>冯国珍</t>
  </si>
  <si>
    <t>郭玉华</t>
  </si>
  <si>
    <t>15232619580515382X</t>
  </si>
  <si>
    <t>石华</t>
  </si>
  <si>
    <t>15232619590609307X</t>
  </si>
  <si>
    <t>李文军</t>
  </si>
  <si>
    <t>刘发</t>
  </si>
  <si>
    <t>李金玛</t>
  </si>
  <si>
    <t>盛志花</t>
  </si>
  <si>
    <t>朱秀珍</t>
  </si>
  <si>
    <t>李瑞平</t>
  </si>
  <si>
    <t>15232619590506332X</t>
  </si>
  <si>
    <t>张秀霞</t>
  </si>
  <si>
    <t>李金山</t>
  </si>
  <si>
    <t>吴常胜</t>
  </si>
  <si>
    <t>杨兴文</t>
  </si>
  <si>
    <t>吕秀华</t>
  </si>
  <si>
    <t>胡图布信</t>
  </si>
  <si>
    <t>宝音代来</t>
  </si>
  <si>
    <t>王丙华</t>
  </si>
  <si>
    <t>吕凤英</t>
  </si>
  <si>
    <t>杜彩云</t>
  </si>
  <si>
    <t>于凤琴</t>
  </si>
  <si>
    <t>鲁振林</t>
  </si>
  <si>
    <t>樊玉荣</t>
  </si>
  <si>
    <t>于秀云</t>
  </si>
  <si>
    <t>15232619580216382X</t>
  </si>
  <si>
    <t>赵芝</t>
  </si>
  <si>
    <t>张俊江</t>
  </si>
  <si>
    <t>刘井会</t>
  </si>
  <si>
    <t>田桂花</t>
  </si>
  <si>
    <t>马保江</t>
  </si>
  <si>
    <t>芙蓉</t>
  </si>
  <si>
    <t>王作荣</t>
  </si>
  <si>
    <t>孙凤英</t>
  </si>
  <si>
    <t>胡永全</t>
  </si>
  <si>
    <t>冯庆林</t>
  </si>
  <si>
    <t>张翠华</t>
  </si>
  <si>
    <t>田玉霞</t>
  </si>
  <si>
    <t>王昂斯根</t>
  </si>
  <si>
    <t>林全</t>
  </si>
  <si>
    <t>王道义</t>
  </si>
  <si>
    <t>陈孝</t>
  </si>
  <si>
    <t>15232619630201067X</t>
  </si>
  <si>
    <t>樊志</t>
  </si>
  <si>
    <t>侯云昌</t>
  </si>
  <si>
    <t>姚春才</t>
  </si>
  <si>
    <t>王凤山</t>
  </si>
  <si>
    <t>张福琴</t>
  </si>
  <si>
    <t>霍明强</t>
  </si>
  <si>
    <t>李爱琴</t>
  </si>
  <si>
    <t>吴翠玲</t>
  </si>
  <si>
    <t>刘怀</t>
  </si>
  <si>
    <t>王素枝</t>
  </si>
  <si>
    <t>张素侠</t>
  </si>
  <si>
    <t>贾占军</t>
  </si>
  <si>
    <t>吴翠侠</t>
  </si>
  <si>
    <t>张凤侠</t>
  </si>
  <si>
    <t>张翠侠</t>
  </si>
  <si>
    <t>15232619521110043X</t>
  </si>
  <si>
    <t>杨玉山</t>
  </si>
  <si>
    <t>袁凤香</t>
  </si>
  <si>
    <t>刘素芝</t>
  </si>
  <si>
    <t>林卫东</t>
  </si>
  <si>
    <t>刘文江</t>
  </si>
  <si>
    <t>丁继琴</t>
  </si>
  <si>
    <t>王永生</t>
  </si>
  <si>
    <t>郭秀</t>
  </si>
  <si>
    <t>张志良</t>
  </si>
  <si>
    <t>代桂花</t>
  </si>
  <si>
    <t>范振芝</t>
  </si>
  <si>
    <t>15232619581224384X</t>
  </si>
  <si>
    <t>吴玉格</t>
  </si>
  <si>
    <t>孙占民</t>
  </si>
  <si>
    <t>高淑云</t>
  </si>
  <si>
    <t>卢桂兰</t>
  </si>
  <si>
    <t>王景学</t>
  </si>
  <si>
    <t>胡秀英</t>
  </si>
  <si>
    <t>季步林</t>
  </si>
  <si>
    <t>15232619550126001X</t>
  </si>
  <si>
    <t>霍明志</t>
  </si>
  <si>
    <t>15232619550318003X</t>
  </si>
  <si>
    <t>李明军</t>
  </si>
  <si>
    <t>刘树春</t>
  </si>
  <si>
    <t>张慧贤</t>
  </si>
  <si>
    <t>张俊</t>
  </si>
  <si>
    <t>白音河</t>
  </si>
  <si>
    <t>孙国奎</t>
  </si>
  <si>
    <t>吕桂珍</t>
  </si>
  <si>
    <t>刘凤义</t>
  </si>
  <si>
    <t>杨长彦</t>
  </si>
  <si>
    <t>孟庆和</t>
  </si>
  <si>
    <t>李桂苹</t>
  </si>
  <si>
    <t>15232619620824041X</t>
  </si>
  <si>
    <t>盛海军</t>
  </si>
  <si>
    <t>15232619550301068X</t>
  </si>
  <si>
    <t>郑桂荣</t>
  </si>
  <si>
    <t>宝金锁</t>
  </si>
  <si>
    <t>高凤学</t>
  </si>
  <si>
    <t>15232619580109384X</t>
  </si>
  <si>
    <t>佟娜日娜</t>
  </si>
  <si>
    <t>高永臣</t>
  </si>
  <si>
    <t>齐振民</t>
  </si>
  <si>
    <t>孙秀琴</t>
  </si>
  <si>
    <t>康国芝</t>
  </si>
  <si>
    <t>樊国珍</t>
  </si>
  <si>
    <t>王会国</t>
  </si>
  <si>
    <t>张树玉</t>
  </si>
  <si>
    <t>刘玉莉</t>
  </si>
  <si>
    <t>张桂莲</t>
  </si>
  <si>
    <t>厚化坤</t>
  </si>
  <si>
    <t>景秀青</t>
  </si>
  <si>
    <t>桑树成</t>
  </si>
  <si>
    <t>丛秀玲</t>
  </si>
  <si>
    <t>孙玉琴</t>
  </si>
  <si>
    <t>王永花</t>
  </si>
  <si>
    <t>霍凤芹</t>
  </si>
  <si>
    <t>宋桂荣</t>
  </si>
  <si>
    <t>李彩军</t>
  </si>
  <si>
    <t>15232619501227092X</t>
  </si>
  <si>
    <t>王刘英</t>
  </si>
  <si>
    <t>席万花</t>
  </si>
  <si>
    <t>王阿力坦其其格</t>
  </si>
  <si>
    <t>韩舍布力玛</t>
  </si>
  <si>
    <t>陈国廷</t>
  </si>
  <si>
    <t>刘树文</t>
  </si>
  <si>
    <t>徐国明</t>
  </si>
  <si>
    <t>15232619510828332X</t>
  </si>
  <si>
    <t>刘桂玲</t>
  </si>
  <si>
    <t>贾桂兰</t>
  </si>
  <si>
    <t>徐国林</t>
  </si>
  <si>
    <t>王国喜</t>
  </si>
  <si>
    <t>金翠屏</t>
  </si>
  <si>
    <t>15232619570605042X</t>
  </si>
  <si>
    <t>李凤香</t>
  </si>
  <si>
    <t>原树民</t>
  </si>
  <si>
    <t>15232619451015066X</t>
  </si>
  <si>
    <t>姜玉荣</t>
  </si>
  <si>
    <t>付凤荣</t>
  </si>
  <si>
    <t>李宁卜</t>
  </si>
  <si>
    <t>宋淑香</t>
  </si>
  <si>
    <t>李翠</t>
  </si>
  <si>
    <t>高振荣</t>
  </si>
  <si>
    <t>高振生</t>
  </si>
  <si>
    <t>盛瑞霞</t>
  </si>
  <si>
    <t>唐树芹</t>
  </si>
  <si>
    <t>刘向英</t>
  </si>
  <si>
    <t>杨富</t>
  </si>
  <si>
    <t>侯桂兰</t>
  </si>
  <si>
    <t>蒋秀荣</t>
  </si>
  <si>
    <t>田金美</t>
  </si>
  <si>
    <t>姜彦芝</t>
  </si>
  <si>
    <t>金瑞秀</t>
  </si>
  <si>
    <t>韩玉芬</t>
  </si>
  <si>
    <t>15232619511106067X</t>
  </si>
  <si>
    <t>桑树林</t>
  </si>
  <si>
    <t>赵桂香</t>
  </si>
  <si>
    <t>鲁坤芬</t>
  </si>
  <si>
    <t>张国显</t>
  </si>
  <si>
    <t>15232619420606381X</t>
  </si>
  <si>
    <t>高怀林</t>
  </si>
  <si>
    <t>颜成信</t>
  </si>
  <si>
    <t>席文林</t>
  </si>
  <si>
    <t>郝彩霞</t>
  </si>
  <si>
    <t>李翠萍</t>
  </si>
  <si>
    <t>苏秀珍</t>
  </si>
  <si>
    <t>席迎春</t>
  </si>
  <si>
    <t>15232619360923042X</t>
  </si>
  <si>
    <t>邵桂兰</t>
  </si>
  <si>
    <t>潘玉兰</t>
  </si>
  <si>
    <t>吴巴图</t>
  </si>
  <si>
    <t>穆秀英</t>
  </si>
  <si>
    <t>陈凤勤</t>
  </si>
  <si>
    <t>林凤兰</t>
  </si>
  <si>
    <t>秦桂华</t>
  </si>
  <si>
    <t>贾凤琴</t>
  </si>
  <si>
    <t>路桂花</t>
  </si>
  <si>
    <t>卫子芳</t>
  </si>
  <si>
    <t>孟昭良</t>
  </si>
  <si>
    <t>15232619621130041X</t>
  </si>
  <si>
    <t>宋文江</t>
  </si>
  <si>
    <t>齐占华</t>
  </si>
  <si>
    <t>尚凤霞</t>
  </si>
  <si>
    <t>王丽琢</t>
  </si>
  <si>
    <t>15232619570402042X</t>
  </si>
  <si>
    <t>宝玉兰</t>
  </si>
  <si>
    <t>程桂珍</t>
  </si>
  <si>
    <t>15232619570510094X</t>
  </si>
  <si>
    <t>赵老丫图</t>
  </si>
  <si>
    <t>刘翠娥</t>
  </si>
  <si>
    <t>宝仓</t>
  </si>
  <si>
    <t>宋祥</t>
  </si>
  <si>
    <t>张国彬</t>
  </si>
  <si>
    <t>赵淑珍</t>
  </si>
  <si>
    <t>朱桂琴</t>
  </si>
  <si>
    <t>王永凤</t>
  </si>
  <si>
    <t>桑树杰</t>
  </si>
  <si>
    <t>吴图古苏</t>
  </si>
  <si>
    <t>姜国有</t>
  </si>
  <si>
    <t>徐连英</t>
  </si>
  <si>
    <t>王庆财</t>
  </si>
  <si>
    <t>李俊平</t>
  </si>
  <si>
    <t>15232619601202001X</t>
  </si>
  <si>
    <t>刘树奇</t>
  </si>
  <si>
    <t>15232619600308066X</t>
  </si>
  <si>
    <t>邓玉霞</t>
  </si>
  <si>
    <t>丁玉春</t>
  </si>
  <si>
    <t>丁玉民</t>
  </si>
  <si>
    <t>张玉萍</t>
  </si>
  <si>
    <t>周新福</t>
  </si>
  <si>
    <t>高桂花</t>
  </si>
  <si>
    <t>门桂芬</t>
  </si>
  <si>
    <t>李向生</t>
  </si>
  <si>
    <t>刘申</t>
  </si>
  <si>
    <t>隋井江</t>
  </si>
  <si>
    <t>陈国侠</t>
  </si>
  <si>
    <t>孙勋忠</t>
  </si>
  <si>
    <t>隋换云</t>
  </si>
  <si>
    <t>15232619580822307X</t>
  </si>
  <si>
    <t>王配生</t>
  </si>
  <si>
    <t>王风启</t>
  </si>
  <si>
    <t>孔范娥</t>
  </si>
  <si>
    <t>15232619581012381X</t>
  </si>
  <si>
    <t>高风山</t>
  </si>
  <si>
    <t>李自东</t>
  </si>
  <si>
    <t>牛海林</t>
  </si>
  <si>
    <t>王珍</t>
  </si>
  <si>
    <t>吴贵</t>
  </si>
  <si>
    <t>15232619531123307X</t>
  </si>
  <si>
    <t>15232619620206307X</t>
  </si>
  <si>
    <t>张永江</t>
  </si>
  <si>
    <t>包玉全</t>
  </si>
  <si>
    <t>李宝风</t>
  </si>
  <si>
    <t>席白义拉</t>
  </si>
  <si>
    <t>林志珍</t>
  </si>
  <si>
    <t>冯全</t>
  </si>
  <si>
    <t>陈凤花</t>
  </si>
  <si>
    <t>张越琴</t>
  </si>
  <si>
    <t>范振生</t>
  </si>
  <si>
    <t>隋强</t>
  </si>
  <si>
    <t>吕秀平</t>
  </si>
  <si>
    <t>宝翠霞</t>
  </si>
  <si>
    <t>安淑学</t>
  </si>
  <si>
    <t>杨智荣</t>
  </si>
  <si>
    <t>徐万廷</t>
  </si>
  <si>
    <t>欧喜侠</t>
  </si>
  <si>
    <t>孙吉良</t>
  </si>
  <si>
    <t>王忠学</t>
  </si>
  <si>
    <t>冯翠英</t>
  </si>
  <si>
    <t>卫子华</t>
  </si>
  <si>
    <t>梁斯其格</t>
  </si>
  <si>
    <t>刘桂凤</t>
  </si>
  <si>
    <t>侯景山</t>
  </si>
  <si>
    <t>许广金</t>
  </si>
  <si>
    <t>宋淑芝</t>
  </si>
  <si>
    <t>窦桂英</t>
  </si>
  <si>
    <t>张万山</t>
  </si>
  <si>
    <t>许山</t>
  </si>
  <si>
    <t>王云廷</t>
  </si>
  <si>
    <t>15232619571014383X</t>
  </si>
  <si>
    <t>李树贤</t>
  </si>
  <si>
    <t>贾玉霞</t>
  </si>
  <si>
    <t>15232619531111381X</t>
  </si>
  <si>
    <t>梁哈达朝老</t>
  </si>
  <si>
    <t>吴胡宝力高</t>
  </si>
  <si>
    <t>李殿花</t>
  </si>
  <si>
    <t>贺翠云</t>
  </si>
  <si>
    <t>15232619631201042X</t>
  </si>
  <si>
    <t>梁爱琴</t>
  </si>
  <si>
    <t>赵民</t>
  </si>
  <si>
    <t>肖凤芝</t>
  </si>
  <si>
    <t>郑丙萍</t>
  </si>
  <si>
    <t>刘亚辉</t>
  </si>
  <si>
    <t>董立和</t>
  </si>
  <si>
    <t>赵仪</t>
  </si>
  <si>
    <t>于香海</t>
  </si>
  <si>
    <t>腾素云</t>
  </si>
  <si>
    <t>吴巴根那</t>
  </si>
  <si>
    <t>盛海花</t>
  </si>
  <si>
    <t>15232619570804041X</t>
  </si>
  <si>
    <t>孙彦有</t>
  </si>
  <si>
    <t>程凤英</t>
  </si>
  <si>
    <t>王瑞芝</t>
  </si>
  <si>
    <t>王振学</t>
  </si>
  <si>
    <t>15232619630305042X</t>
  </si>
  <si>
    <t>孙玉娥</t>
  </si>
  <si>
    <t>王立琴</t>
  </si>
  <si>
    <t>郑丙霞</t>
  </si>
  <si>
    <t>刘树平</t>
  </si>
  <si>
    <t>15232619540613041X</t>
  </si>
  <si>
    <t>高振山</t>
  </si>
  <si>
    <t>15232619541012045X</t>
  </si>
  <si>
    <t>罗延楼</t>
  </si>
  <si>
    <t>刘秀花</t>
  </si>
  <si>
    <t>15232619590710042X</t>
  </si>
  <si>
    <t>陈秀梅</t>
  </si>
  <si>
    <t>朱立明</t>
  </si>
  <si>
    <t>葛树军</t>
  </si>
  <si>
    <t>东志林</t>
  </si>
  <si>
    <t>梁宪花</t>
  </si>
  <si>
    <t>姜秀春</t>
  </si>
  <si>
    <t>李秀琴</t>
  </si>
  <si>
    <t>陈铁桩子</t>
  </si>
  <si>
    <t>白丫头</t>
  </si>
  <si>
    <t>吴金良</t>
  </si>
  <si>
    <t>赵玉贤</t>
  </si>
  <si>
    <t>15232619550215004X</t>
  </si>
  <si>
    <t>解翠荣</t>
  </si>
  <si>
    <t>敖建民</t>
  </si>
  <si>
    <t>刘恩荣</t>
  </si>
  <si>
    <t>李宝云</t>
  </si>
  <si>
    <t>张文义</t>
  </si>
  <si>
    <t>宋海云</t>
  </si>
  <si>
    <t>金翠玲</t>
  </si>
  <si>
    <t>仁桂荣</t>
  </si>
  <si>
    <t>宋文起</t>
  </si>
  <si>
    <t>付纪坤</t>
  </si>
  <si>
    <t>安素花</t>
  </si>
  <si>
    <t>吕淑英</t>
  </si>
  <si>
    <t>刘香芝</t>
  </si>
  <si>
    <t>张文清</t>
  </si>
  <si>
    <t>葛玉芬</t>
  </si>
  <si>
    <t>15232619550525002X</t>
  </si>
  <si>
    <t>于致忠</t>
  </si>
  <si>
    <t>胡嘎达</t>
  </si>
  <si>
    <t>高会</t>
  </si>
  <si>
    <t>邵秀珍</t>
  </si>
  <si>
    <t>白海龙</t>
  </si>
  <si>
    <t>刘玉环</t>
  </si>
  <si>
    <t>李敏杰</t>
  </si>
  <si>
    <t>张文生</t>
  </si>
  <si>
    <t>陈景琴</t>
  </si>
  <si>
    <t>王彦</t>
  </si>
  <si>
    <t>杨彩瑞</t>
  </si>
  <si>
    <t>宋殿华</t>
  </si>
  <si>
    <t>孙中信</t>
  </si>
  <si>
    <t>15232619630208381X</t>
  </si>
  <si>
    <t>龚布和哈达</t>
  </si>
  <si>
    <t>曹凤侠</t>
  </si>
  <si>
    <t>栾素侠</t>
  </si>
  <si>
    <t>孙玉海</t>
  </si>
  <si>
    <t>15232619630911042X</t>
  </si>
  <si>
    <t>王景平</t>
  </si>
  <si>
    <t>岳彩荣</t>
  </si>
  <si>
    <t>李学花</t>
  </si>
  <si>
    <t>池德才</t>
  </si>
  <si>
    <t>范国玲</t>
  </si>
  <si>
    <t>李志山</t>
  </si>
  <si>
    <t>王晓琴</t>
  </si>
  <si>
    <t>高福全</t>
  </si>
  <si>
    <t>杜青芝</t>
  </si>
  <si>
    <t>王素英</t>
  </si>
  <si>
    <t>陈桂华</t>
  </si>
  <si>
    <t>15232619551025042X</t>
  </si>
  <si>
    <t>盛海云</t>
  </si>
  <si>
    <t>邓淑侠</t>
  </si>
  <si>
    <t>李赛凤</t>
  </si>
  <si>
    <t>胡玉英</t>
  </si>
  <si>
    <t>马宝森</t>
  </si>
  <si>
    <t>宝银财</t>
  </si>
  <si>
    <t>王振民</t>
  </si>
  <si>
    <t>陈班达</t>
  </si>
  <si>
    <t>15232619531223383X</t>
  </si>
  <si>
    <t>梁增格</t>
  </si>
  <si>
    <t>张悦新</t>
  </si>
  <si>
    <t>田凤芝</t>
  </si>
  <si>
    <t>15232619531120309X</t>
  </si>
  <si>
    <t>王国富</t>
  </si>
  <si>
    <t>胥桂荣</t>
  </si>
  <si>
    <t>李淑君</t>
  </si>
  <si>
    <t>陈金泉</t>
  </si>
  <si>
    <t>刘喜苓</t>
  </si>
  <si>
    <t>郭凤贤</t>
  </si>
  <si>
    <t>白俊</t>
  </si>
  <si>
    <t>曹喜凤</t>
  </si>
  <si>
    <t>杨清海</t>
  </si>
  <si>
    <t>栾玉荣</t>
  </si>
  <si>
    <t>陈井刚</t>
  </si>
  <si>
    <t>金巴塔</t>
  </si>
  <si>
    <t>15232619560207067X</t>
  </si>
  <si>
    <t>15232619550416092X</t>
  </si>
  <si>
    <t>敖德胡</t>
  </si>
  <si>
    <t>白舍力合</t>
  </si>
  <si>
    <t>15232619610327092X</t>
  </si>
  <si>
    <t>吴敖其尔</t>
  </si>
  <si>
    <t>郭淑方</t>
  </si>
  <si>
    <t>15232619551006044X</t>
  </si>
  <si>
    <t>贾配环</t>
  </si>
  <si>
    <t>李艳君</t>
  </si>
  <si>
    <t>15232619601220066X</t>
  </si>
  <si>
    <t>应文明</t>
  </si>
  <si>
    <t>盖保莲</t>
  </si>
  <si>
    <t>韩淑玲</t>
  </si>
  <si>
    <t>白梨平</t>
  </si>
  <si>
    <t>图古苏</t>
  </si>
  <si>
    <t>王淑芳</t>
  </si>
  <si>
    <t>李春梅</t>
  </si>
  <si>
    <t>梁学文</t>
  </si>
  <si>
    <t>15232619611020308X</t>
  </si>
  <si>
    <t>刘翠芝</t>
  </si>
  <si>
    <t>时晓梅</t>
  </si>
  <si>
    <t>宋国民</t>
  </si>
  <si>
    <t>轩德强</t>
  </si>
  <si>
    <t>刘万军</t>
  </si>
  <si>
    <t>白云芝</t>
  </si>
  <si>
    <t>时登悦</t>
  </si>
  <si>
    <t>苏玉芹</t>
  </si>
  <si>
    <t>席玉玲</t>
  </si>
  <si>
    <t>刘向杰</t>
  </si>
  <si>
    <t>蒋凤荣</t>
  </si>
  <si>
    <t>董连友</t>
  </si>
  <si>
    <t>刘国</t>
  </si>
  <si>
    <t>15232619571011043X</t>
  </si>
  <si>
    <t>任学俊</t>
  </si>
  <si>
    <t>王喜珍</t>
  </si>
  <si>
    <t>刘玉新</t>
  </si>
  <si>
    <t>于国枝</t>
  </si>
  <si>
    <t>赵荣</t>
  </si>
  <si>
    <t>袁学</t>
  </si>
  <si>
    <t>15232619580320067X</t>
  </si>
  <si>
    <t>张树廷</t>
  </si>
  <si>
    <t>岳玉华</t>
  </si>
  <si>
    <t>张翠芬</t>
  </si>
  <si>
    <t>李显和</t>
  </si>
  <si>
    <t>周恩苹</t>
  </si>
  <si>
    <t>陈玉海</t>
  </si>
  <si>
    <t>15232619610212332X</t>
  </si>
  <si>
    <t>崔明文</t>
  </si>
  <si>
    <t>段玉江</t>
  </si>
  <si>
    <t>贾国范</t>
  </si>
  <si>
    <t>雷凤枝</t>
  </si>
  <si>
    <t>陈斯琴图雅</t>
  </si>
  <si>
    <t>陈秀琴</t>
  </si>
  <si>
    <t>崔智</t>
  </si>
  <si>
    <t>达拉胡</t>
  </si>
  <si>
    <t>白银琢</t>
  </si>
  <si>
    <t>安淑兰</t>
  </si>
  <si>
    <t>白国军</t>
  </si>
  <si>
    <t>厚化勤</t>
  </si>
  <si>
    <t>苏秀英</t>
  </si>
  <si>
    <t>王兴中</t>
  </si>
  <si>
    <t>赵淑芬</t>
  </si>
  <si>
    <t>郑亚琴</t>
  </si>
  <si>
    <t>朱玉</t>
  </si>
  <si>
    <t>宝乌日娜</t>
  </si>
  <si>
    <t>15232619571110092X</t>
  </si>
  <si>
    <t>代领小</t>
  </si>
  <si>
    <t>金乌力图那斯图</t>
  </si>
  <si>
    <t>王章才图</t>
  </si>
  <si>
    <t>吴都达古拉</t>
  </si>
  <si>
    <t>隋景娥</t>
  </si>
  <si>
    <t>张凤玲</t>
  </si>
  <si>
    <t>常志忠</t>
  </si>
  <si>
    <t>王佩荣</t>
  </si>
  <si>
    <t>陈凤荣</t>
  </si>
  <si>
    <t>杜彩文</t>
  </si>
  <si>
    <t>路占花</t>
  </si>
  <si>
    <t>席玉花</t>
  </si>
  <si>
    <t>江占福</t>
  </si>
  <si>
    <t>贾玉华</t>
  </si>
  <si>
    <t>杨金玉</t>
  </si>
  <si>
    <t>肖翠荣</t>
  </si>
  <si>
    <t>刘淑珍</t>
  </si>
  <si>
    <t>周凤花</t>
  </si>
  <si>
    <t>崔桂学</t>
  </si>
  <si>
    <t>宝国军</t>
  </si>
  <si>
    <t>代玉芬</t>
  </si>
  <si>
    <t>陈桂芹</t>
  </si>
  <si>
    <t>孟宪华</t>
  </si>
  <si>
    <t>王守奎</t>
  </si>
  <si>
    <t>于福</t>
  </si>
  <si>
    <t>15232619530803044X</t>
  </si>
  <si>
    <t>张玉苹</t>
  </si>
  <si>
    <t>宋彦</t>
  </si>
  <si>
    <t>邰国泉</t>
  </si>
  <si>
    <t>15232619630928004X</t>
  </si>
  <si>
    <t>蘧凤云</t>
  </si>
  <si>
    <t>田海东</t>
  </si>
  <si>
    <t>15232619570513041X</t>
  </si>
  <si>
    <t>姜国平</t>
  </si>
  <si>
    <t>朱林</t>
  </si>
  <si>
    <t>姜连清</t>
  </si>
  <si>
    <t>王朋仪</t>
  </si>
  <si>
    <t>尹国英</t>
  </si>
  <si>
    <t>英兰</t>
  </si>
  <si>
    <t>15232619600719332X</t>
  </si>
  <si>
    <t>李结小</t>
  </si>
  <si>
    <t>李秀珍</t>
  </si>
  <si>
    <t>白金玉</t>
  </si>
  <si>
    <t>白希日莫</t>
  </si>
  <si>
    <t>15232619621114332X</t>
  </si>
  <si>
    <t>代玉琢</t>
  </si>
  <si>
    <t>顾常春</t>
  </si>
  <si>
    <t>陈明</t>
  </si>
  <si>
    <t>刘俊龙</t>
  </si>
  <si>
    <t>孙永华</t>
  </si>
  <si>
    <t>于建文</t>
  </si>
  <si>
    <t>王立华</t>
  </si>
  <si>
    <t>朱彩芹</t>
  </si>
  <si>
    <t>王月兰</t>
  </si>
  <si>
    <t>15232619470215688X</t>
  </si>
  <si>
    <t>李文学</t>
  </si>
  <si>
    <t>杨秋霞</t>
  </si>
  <si>
    <t>由尚玉</t>
  </si>
  <si>
    <t>陈瑞复</t>
  </si>
  <si>
    <t>付国贤</t>
  </si>
  <si>
    <t>15232619470220428X</t>
  </si>
  <si>
    <t>徐淑枝</t>
  </si>
  <si>
    <t>陈斯琴玛</t>
  </si>
  <si>
    <t>李双喜</t>
  </si>
  <si>
    <t>15232619640226612X</t>
  </si>
  <si>
    <t>姚秀霞</t>
  </si>
  <si>
    <t>白金妞</t>
  </si>
  <si>
    <t>曹玉梅</t>
  </si>
  <si>
    <t>周淑芬</t>
  </si>
  <si>
    <t>欧瑞兰</t>
  </si>
  <si>
    <t>15232619511220003X</t>
  </si>
  <si>
    <t>周惠义</t>
  </si>
  <si>
    <t>刘占福</t>
  </si>
  <si>
    <t>杜广林</t>
  </si>
  <si>
    <t>李凤春</t>
  </si>
  <si>
    <t>刘亚杰</t>
  </si>
  <si>
    <t>赵萍</t>
  </si>
  <si>
    <t>邓玉祥</t>
  </si>
  <si>
    <t>刘国山</t>
  </si>
  <si>
    <t>岳桂荣</t>
  </si>
  <si>
    <t>甄霞</t>
  </si>
  <si>
    <t>张景阳</t>
  </si>
  <si>
    <t>张明荣</t>
  </si>
  <si>
    <t>侯珍</t>
  </si>
  <si>
    <t>四月</t>
  </si>
  <si>
    <t>敖凤兰</t>
  </si>
  <si>
    <t>黄金呼</t>
  </si>
  <si>
    <t>15232619590813308X</t>
  </si>
  <si>
    <t>徐立华</t>
  </si>
  <si>
    <t>桑树学</t>
  </si>
  <si>
    <t>刘瑞环</t>
  </si>
  <si>
    <t>刘瑞霞</t>
  </si>
  <si>
    <t>齐亚辉</t>
  </si>
  <si>
    <t>苏廷财</t>
  </si>
  <si>
    <t>董淑贤</t>
  </si>
  <si>
    <t>夏常山</t>
  </si>
  <si>
    <t>王亚杰</t>
  </si>
  <si>
    <t>赵利新</t>
  </si>
  <si>
    <t>周凤贤</t>
  </si>
  <si>
    <t>15232619590828067X</t>
  </si>
  <si>
    <t>周树平</t>
  </si>
  <si>
    <t>刘凤新</t>
  </si>
  <si>
    <t>侯占清</t>
  </si>
  <si>
    <t>钟淑兰</t>
  </si>
  <si>
    <t>周恩梅</t>
  </si>
  <si>
    <t>15232619610221001X</t>
  </si>
  <si>
    <t>王坤</t>
  </si>
  <si>
    <t>生淑华</t>
  </si>
  <si>
    <t>孟昭荣</t>
  </si>
  <si>
    <t>吕金友</t>
  </si>
  <si>
    <t>周振芬</t>
  </si>
  <si>
    <t>崔风玲</t>
  </si>
  <si>
    <t>侯格日乐</t>
  </si>
  <si>
    <t>闫秀霞</t>
  </si>
  <si>
    <t>文凤苓</t>
  </si>
  <si>
    <t>吕占新</t>
  </si>
  <si>
    <t>吴白如代</t>
  </si>
  <si>
    <t>张彩芬</t>
  </si>
  <si>
    <t>孟庆环</t>
  </si>
  <si>
    <t>陈光典</t>
  </si>
  <si>
    <t>赵贵</t>
  </si>
  <si>
    <t>陈广信</t>
  </si>
  <si>
    <t>马秀贤</t>
  </si>
  <si>
    <t>15232619631227381X</t>
  </si>
  <si>
    <t>张令玉</t>
  </si>
  <si>
    <t>齐振生</t>
  </si>
  <si>
    <t>宋晓华</t>
  </si>
  <si>
    <t>张敏雄</t>
  </si>
  <si>
    <t>张庆侠</t>
  </si>
  <si>
    <t>15232619591026381X</t>
  </si>
  <si>
    <t>李国刚</t>
  </si>
  <si>
    <t>温占江</t>
  </si>
  <si>
    <t>15232619560924381X</t>
  </si>
  <si>
    <t>张相忠</t>
  </si>
  <si>
    <t>宝白乙拉</t>
  </si>
  <si>
    <t>龙梅</t>
  </si>
  <si>
    <t>郑树有</t>
  </si>
  <si>
    <t>梁撒木嘎</t>
  </si>
  <si>
    <t>陈继龙</t>
  </si>
  <si>
    <t>15232619600222043X</t>
  </si>
  <si>
    <t>李向明</t>
  </si>
  <si>
    <t>白马连</t>
  </si>
  <si>
    <t>许双</t>
  </si>
  <si>
    <t>李永芳</t>
  </si>
  <si>
    <t>金凤祥</t>
  </si>
  <si>
    <t>厚桂洁</t>
  </si>
  <si>
    <t>崔福君</t>
  </si>
  <si>
    <t>崔国军</t>
  </si>
  <si>
    <t>蒋树权</t>
  </si>
  <si>
    <t>15232619630504068X</t>
  </si>
  <si>
    <t>吴哈斯花</t>
  </si>
  <si>
    <t>吴阿力坦巴根</t>
  </si>
  <si>
    <t>赵扎木斯冷</t>
  </si>
  <si>
    <t>宝德力根仓</t>
  </si>
  <si>
    <t>陈秀芝</t>
  </si>
  <si>
    <t>黄凤玉</t>
  </si>
  <si>
    <t>秦桂英</t>
  </si>
  <si>
    <t>金电有</t>
  </si>
  <si>
    <t>15232619620712381X</t>
  </si>
  <si>
    <t>谢文忠</t>
  </si>
  <si>
    <t>潘素芝</t>
  </si>
  <si>
    <t>张庆刚</t>
  </si>
  <si>
    <t>孟照英</t>
  </si>
  <si>
    <t>15232619610614331X</t>
  </si>
  <si>
    <t>刘元志</t>
  </si>
  <si>
    <t>丁继华</t>
  </si>
  <si>
    <t>田永祥</t>
  </si>
  <si>
    <t>李凤艳</t>
  </si>
  <si>
    <t>孟庆芹</t>
  </si>
  <si>
    <t>任玉芬</t>
  </si>
  <si>
    <t>申德林</t>
  </si>
  <si>
    <t>宋国芳</t>
  </si>
  <si>
    <t>吴凤学</t>
  </si>
  <si>
    <t>王吉军</t>
  </si>
  <si>
    <t>石兆富</t>
  </si>
  <si>
    <t>15232619620927008X</t>
  </si>
  <si>
    <t>姚淑明</t>
  </si>
  <si>
    <t>魏军</t>
  </si>
  <si>
    <t>程财</t>
  </si>
  <si>
    <t>姜有军</t>
  </si>
  <si>
    <t>刘树友</t>
  </si>
  <si>
    <t>沈少荣</t>
  </si>
  <si>
    <t>侯斯其格</t>
  </si>
  <si>
    <t>谭桂仁</t>
  </si>
  <si>
    <t>于建国</t>
  </si>
  <si>
    <t>15232619630911333X</t>
  </si>
  <si>
    <t>白金山</t>
  </si>
  <si>
    <t>刘春华</t>
  </si>
  <si>
    <t>李继富</t>
  </si>
  <si>
    <t>王海波</t>
  </si>
  <si>
    <t>张桂春</t>
  </si>
  <si>
    <t>王庆成</t>
  </si>
  <si>
    <t>侯桂芹</t>
  </si>
  <si>
    <t>宝仁亲宁布</t>
  </si>
  <si>
    <t>15232619630507381X</t>
  </si>
  <si>
    <t>周恩有</t>
  </si>
  <si>
    <t xml:space="preserve">发放人数：8410   发放金额合计：1671934.20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</si>
</sst>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8412"/>
  <sheetViews>
    <sheetView tabSelected="1" workbookViewId="0">
      <selection activeCell="M13" sqref="M13"/>
    </sheetView>
  </sheetViews>
  <sheetFormatPr defaultColWidth="9" defaultRowHeight="13.5"/>
  <cols>
    <col min="1" max="16384" width="9" style="1"/>
  </cols>
  <sheetData>
    <row r="1" s="1" customForma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="1" customFormat="1" spans="1:15">
      <c r="A2" s="1" t="str">
        <f t="shared" ref="A2:A65" si="0">"202406"</f>
        <v>202406</v>
      </c>
      <c r="B2" s="1" t="str">
        <f t="shared" ref="B2:B65" si="1">"150525100"</f>
        <v>150525100</v>
      </c>
      <c r="C2" s="1" t="str">
        <f>"1040651107"</f>
        <v>1040651107</v>
      </c>
      <c r="D2" s="1" t="str">
        <f>"152326195701200660"</f>
        <v>152326195701200660</v>
      </c>
      <c r="E2" s="1" t="s">
        <v>15</v>
      </c>
      <c r="F2" s="1" t="s">
        <v>16</v>
      </c>
      <c r="G2" s="1" t="s">
        <v>17</v>
      </c>
      <c r="H2" s="1" t="str">
        <f>"67"</f>
        <v>67</v>
      </c>
      <c r="I2" s="1" t="str">
        <f>"155.44"</f>
        <v>155.44</v>
      </c>
      <c r="J2" s="1" t="str">
        <f t="shared" ref="J2:N2" si="2">"0"</f>
        <v>0</v>
      </c>
      <c r="K2" s="1" t="str">
        <f t="shared" ref="K2:K35" si="3">"103"</f>
        <v>103</v>
      </c>
      <c r="L2" s="1" t="str">
        <f t="shared" ref="L2:L35" si="4">"47"</f>
        <v>47</v>
      </c>
      <c r="M2" s="1" t="str">
        <f t="shared" si="2"/>
        <v>0</v>
      </c>
      <c r="N2" s="1" t="str">
        <f t="shared" si="2"/>
        <v>0</v>
      </c>
      <c r="O2" s="1" t="str">
        <f>"5.44"</f>
        <v>5.44</v>
      </c>
    </row>
    <row r="3" s="1" customFormat="1" spans="1:15">
      <c r="A3" s="1" t="str">
        <f t="shared" si="0"/>
        <v>202406</v>
      </c>
      <c r="B3" s="1" t="str">
        <f t="shared" si="1"/>
        <v>150525100</v>
      </c>
      <c r="C3" s="1" t="str">
        <f>"1040651115"</f>
        <v>1040651115</v>
      </c>
      <c r="D3" s="1" t="str">
        <f>"152326196207170667"</f>
        <v>152326196207170667</v>
      </c>
      <c r="E3" s="1" t="s">
        <v>18</v>
      </c>
      <c r="F3" s="1" t="s">
        <v>16</v>
      </c>
      <c r="G3" s="1" t="s">
        <v>19</v>
      </c>
      <c r="H3" s="1" t="str">
        <f>"62"</f>
        <v>62</v>
      </c>
      <c r="I3" s="1" t="str">
        <f>"163.79"</f>
        <v>163.79</v>
      </c>
      <c r="J3" s="1" t="str">
        <f t="shared" ref="J3:N3" si="5">"0"</f>
        <v>0</v>
      </c>
      <c r="K3" s="1" t="str">
        <f t="shared" si="3"/>
        <v>103</v>
      </c>
      <c r="L3" s="1" t="str">
        <f t="shared" si="4"/>
        <v>47</v>
      </c>
      <c r="M3" s="1" t="str">
        <f t="shared" si="5"/>
        <v>0</v>
      </c>
      <c r="N3" s="1" t="str">
        <f t="shared" si="5"/>
        <v>0</v>
      </c>
      <c r="O3" s="1" t="str">
        <f>"13.79"</f>
        <v>13.79</v>
      </c>
    </row>
    <row r="4" s="1" customFormat="1" spans="1:15">
      <c r="A4" s="1" t="str">
        <f t="shared" si="0"/>
        <v>202406</v>
      </c>
      <c r="B4" s="1" t="str">
        <f t="shared" si="1"/>
        <v>150525100</v>
      </c>
      <c r="C4" s="1" t="str">
        <f>"1040651123"</f>
        <v>1040651123</v>
      </c>
      <c r="D4" s="1" t="str">
        <f>"152326196101150668"</f>
        <v>152326196101150668</v>
      </c>
      <c r="E4" s="1" t="s">
        <v>20</v>
      </c>
      <c r="F4" s="1" t="s">
        <v>16</v>
      </c>
      <c r="G4" s="1" t="s">
        <v>17</v>
      </c>
      <c r="H4" s="1" t="str">
        <f>"63"</f>
        <v>63</v>
      </c>
      <c r="I4" s="1" t="str">
        <f>"966.84"</f>
        <v>966.84</v>
      </c>
      <c r="J4" s="1" t="str">
        <f>"805.7"</f>
        <v>805.7</v>
      </c>
      <c r="K4" s="1" t="str">
        <f>"618"</f>
        <v>618</v>
      </c>
      <c r="L4" s="1" t="str">
        <f>"282"</f>
        <v>282</v>
      </c>
      <c r="M4" s="1" t="str">
        <f>"0"</f>
        <v>0</v>
      </c>
      <c r="N4" s="1" t="str">
        <f>"0"</f>
        <v>0</v>
      </c>
      <c r="O4" s="1" t="str">
        <f>"66.84"</f>
        <v>66.84</v>
      </c>
    </row>
    <row r="5" s="1" customFormat="1" spans="1:15">
      <c r="A5" s="1" t="str">
        <f t="shared" si="0"/>
        <v>202406</v>
      </c>
      <c r="B5" s="1" t="str">
        <f t="shared" si="1"/>
        <v>150525100</v>
      </c>
      <c r="C5" s="1" t="str">
        <f>"1040651130"</f>
        <v>1040651130</v>
      </c>
      <c r="D5" s="1" t="str">
        <f>"152326196005040661"</f>
        <v>152326196005040661</v>
      </c>
      <c r="E5" s="1" t="s">
        <v>21</v>
      </c>
      <c r="F5" s="1" t="s">
        <v>16</v>
      </c>
      <c r="G5" s="1" t="s">
        <v>17</v>
      </c>
      <c r="H5" s="1" t="str">
        <f>"64"</f>
        <v>64</v>
      </c>
      <c r="I5" s="1" t="str">
        <f>"158.59"</f>
        <v>158.59</v>
      </c>
      <c r="J5" s="1" t="str">
        <f t="shared" ref="J5:N5" si="6">"0"</f>
        <v>0</v>
      </c>
      <c r="K5" s="1" t="str">
        <f t="shared" si="3"/>
        <v>103</v>
      </c>
      <c r="L5" s="1" t="str">
        <f t="shared" si="4"/>
        <v>47</v>
      </c>
      <c r="M5" s="1" t="str">
        <f t="shared" si="6"/>
        <v>0</v>
      </c>
      <c r="N5" s="1" t="str">
        <f t="shared" si="6"/>
        <v>0</v>
      </c>
      <c r="O5" s="1" t="str">
        <f>"8.59"</f>
        <v>8.59</v>
      </c>
    </row>
    <row r="6" s="1" customFormat="1" spans="1:15">
      <c r="A6" s="1" t="str">
        <f t="shared" si="0"/>
        <v>202406</v>
      </c>
      <c r="B6" s="1" t="str">
        <f t="shared" si="1"/>
        <v>150525100</v>
      </c>
      <c r="C6" s="1" t="str">
        <f>"1040642080"</f>
        <v>1040642080</v>
      </c>
      <c r="D6" s="1" t="str">
        <f>"152326195902123825"</f>
        <v>152326195902123825</v>
      </c>
      <c r="E6" s="1" t="s">
        <v>22</v>
      </c>
      <c r="F6" s="1" t="s">
        <v>16</v>
      </c>
      <c r="G6" s="1" t="s">
        <v>17</v>
      </c>
      <c r="H6" s="1" t="str">
        <f>"65"</f>
        <v>65</v>
      </c>
      <c r="I6" s="1" t="str">
        <f>"157.27"</f>
        <v>157.27</v>
      </c>
      <c r="J6" s="1" t="str">
        <f t="shared" ref="J6:N6" si="7">"0"</f>
        <v>0</v>
      </c>
      <c r="K6" s="1" t="str">
        <f t="shared" si="3"/>
        <v>103</v>
      </c>
      <c r="L6" s="1" t="str">
        <f t="shared" si="4"/>
        <v>47</v>
      </c>
      <c r="M6" s="1" t="str">
        <f t="shared" si="7"/>
        <v>0</v>
      </c>
      <c r="N6" s="1" t="str">
        <f t="shared" si="7"/>
        <v>0</v>
      </c>
      <c r="O6" s="1" t="str">
        <f>"7.27"</f>
        <v>7.27</v>
      </c>
    </row>
    <row r="7" s="1" customFormat="1" spans="1:15">
      <c r="A7" s="1" t="str">
        <f t="shared" si="0"/>
        <v>202406</v>
      </c>
      <c r="B7" s="1" t="str">
        <f t="shared" si="1"/>
        <v>150525100</v>
      </c>
      <c r="C7" s="1" t="str">
        <f>"1040642824"</f>
        <v>1040642824</v>
      </c>
      <c r="D7" s="1" t="str">
        <f>"152326196002150929"</f>
        <v>152326196002150929</v>
      </c>
      <c r="E7" s="1" t="s">
        <v>23</v>
      </c>
      <c r="F7" s="1" t="s">
        <v>16</v>
      </c>
      <c r="G7" s="1" t="s">
        <v>19</v>
      </c>
      <c r="H7" s="1" t="str">
        <f>"64"</f>
        <v>64</v>
      </c>
      <c r="I7" s="1" t="str">
        <f>"158.56"</f>
        <v>158.56</v>
      </c>
      <c r="J7" s="1" t="str">
        <f t="shared" ref="J7:N7" si="8">"0"</f>
        <v>0</v>
      </c>
      <c r="K7" s="1" t="str">
        <f t="shared" si="3"/>
        <v>103</v>
      </c>
      <c r="L7" s="1" t="str">
        <f t="shared" si="4"/>
        <v>47</v>
      </c>
      <c r="M7" s="1" t="str">
        <f t="shared" si="8"/>
        <v>0</v>
      </c>
      <c r="N7" s="1" t="str">
        <f t="shared" si="8"/>
        <v>0</v>
      </c>
      <c r="O7" s="1" t="str">
        <f>"8.56"</f>
        <v>8.56</v>
      </c>
    </row>
    <row r="8" s="1" customFormat="1" spans="1:15">
      <c r="A8" s="1" t="str">
        <f t="shared" si="0"/>
        <v>202406</v>
      </c>
      <c r="B8" s="1" t="str">
        <f t="shared" si="1"/>
        <v>150525100</v>
      </c>
      <c r="C8" s="1" t="str">
        <f>"1014561298"</f>
        <v>1014561298</v>
      </c>
      <c r="D8" s="1" t="str">
        <f>"152326196210290416"</f>
        <v>152326196210290416</v>
      </c>
      <c r="E8" s="1" t="s">
        <v>24</v>
      </c>
      <c r="F8" s="1" t="s">
        <v>25</v>
      </c>
      <c r="G8" s="1" t="s">
        <v>17</v>
      </c>
      <c r="H8" s="1" t="str">
        <f>"62"</f>
        <v>62</v>
      </c>
      <c r="I8" s="1" t="str">
        <f>"163.14"</f>
        <v>163.14</v>
      </c>
      <c r="J8" s="1" t="str">
        <f t="shared" ref="J8:N8" si="9">"0"</f>
        <v>0</v>
      </c>
      <c r="K8" s="1" t="str">
        <f t="shared" si="3"/>
        <v>103</v>
      </c>
      <c r="L8" s="1" t="str">
        <f t="shared" si="4"/>
        <v>47</v>
      </c>
      <c r="M8" s="1" t="str">
        <f t="shared" si="9"/>
        <v>0</v>
      </c>
      <c r="N8" s="1" t="str">
        <f t="shared" si="9"/>
        <v>0</v>
      </c>
      <c r="O8" s="1" t="str">
        <f>"13.14"</f>
        <v>13.14</v>
      </c>
    </row>
    <row r="9" s="1" customFormat="1" spans="1:15">
      <c r="A9" s="1" t="str">
        <f t="shared" si="0"/>
        <v>202406</v>
      </c>
      <c r="B9" s="1" t="str">
        <f t="shared" si="1"/>
        <v>150525100</v>
      </c>
      <c r="C9" s="1" t="str">
        <f>"1014561301"</f>
        <v>1014561301</v>
      </c>
      <c r="D9" s="1" t="str">
        <f>"152326196301110441"</f>
        <v>152326196301110441</v>
      </c>
      <c r="E9" s="1" t="s">
        <v>26</v>
      </c>
      <c r="F9" s="1" t="s">
        <v>16</v>
      </c>
      <c r="G9" s="1" t="s">
        <v>17</v>
      </c>
      <c r="H9" s="1" t="str">
        <f>"61"</f>
        <v>61</v>
      </c>
      <c r="I9" s="1" t="str">
        <f>"164.64"</f>
        <v>164.64</v>
      </c>
      <c r="J9" s="1" t="str">
        <f t="shared" ref="J9:N9" si="10">"0"</f>
        <v>0</v>
      </c>
      <c r="K9" s="1" t="str">
        <f t="shared" si="3"/>
        <v>103</v>
      </c>
      <c r="L9" s="1" t="str">
        <f t="shared" si="4"/>
        <v>47</v>
      </c>
      <c r="M9" s="1" t="str">
        <f t="shared" si="10"/>
        <v>0</v>
      </c>
      <c r="N9" s="1" t="str">
        <f t="shared" si="10"/>
        <v>0</v>
      </c>
      <c r="O9" s="1" t="str">
        <f>"14.64"</f>
        <v>14.64</v>
      </c>
    </row>
    <row r="10" s="1" customFormat="1" spans="1:15">
      <c r="A10" s="1" t="str">
        <f t="shared" si="0"/>
        <v>202406</v>
      </c>
      <c r="B10" s="1" t="str">
        <f t="shared" si="1"/>
        <v>150525100</v>
      </c>
      <c r="C10" s="1" t="str">
        <f>"1014562561"</f>
        <v>1014562561</v>
      </c>
      <c r="D10" s="1" t="str">
        <f>"152326195610080413"</f>
        <v>152326195610080413</v>
      </c>
      <c r="E10" s="1" t="s">
        <v>27</v>
      </c>
      <c r="F10" s="1" t="s">
        <v>25</v>
      </c>
      <c r="G10" s="1" t="s">
        <v>17</v>
      </c>
      <c r="H10" s="1" t="str">
        <f>"68"</f>
        <v>68</v>
      </c>
      <c r="I10" s="1" t="str">
        <f>"156.03"</f>
        <v>156.03</v>
      </c>
      <c r="J10" s="1" t="str">
        <f t="shared" ref="J10:N10" si="11">"0"</f>
        <v>0</v>
      </c>
      <c r="K10" s="1" t="str">
        <f t="shared" si="3"/>
        <v>103</v>
      </c>
      <c r="L10" s="1" t="str">
        <f t="shared" si="4"/>
        <v>47</v>
      </c>
      <c r="M10" s="1" t="str">
        <f t="shared" si="11"/>
        <v>0</v>
      </c>
      <c r="N10" s="1" t="str">
        <f t="shared" si="11"/>
        <v>0</v>
      </c>
      <c r="O10" s="1" t="str">
        <f>"6.03"</f>
        <v>6.03</v>
      </c>
    </row>
    <row r="11" s="1" customFormat="1" spans="1:15">
      <c r="A11" s="1" t="str">
        <f t="shared" si="0"/>
        <v>202406</v>
      </c>
      <c r="B11" s="1" t="str">
        <f t="shared" si="1"/>
        <v>150525100</v>
      </c>
      <c r="C11" s="1" t="str">
        <f>"1014563066"</f>
        <v>1014563066</v>
      </c>
      <c r="D11" s="1" t="str">
        <f>"152326195508300424"</f>
        <v>152326195508300424</v>
      </c>
      <c r="E11" s="1" t="s">
        <v>28</v>
      </c>
      <c r="F11" s="1" t="s">
        <v>16</v>
      </c>
      <c r="G11" s="1" t="s">
        <v>17</v>
      </c>
      <c r="H11" s="1" t="str">
        <f>"69"</f>
        <v>69</v>
      </c>
      <c r="I11" s="1" t="str">
        <f>"155.12"</f>
        <v>155.12</v>
      </c>
      <c r="J11" s="1" t="str">
        <f t="shared" ref="J11:N11" si="12">"0"</f>
        <v>0</v>
      </c>
      <c r="K11" s="1" t="str">
        <f t="shared" si="3"/>
        <v>103</v>
      </c>
      <c r="L11" s="1" t="str">
        <f t="shared" si="4"/>
        <v>47</v>
      </c>
      <c r="M11" s="1" t="str">
        <f t="shared" si="12"/>
        <v>0</v>
      </c>
      <c r="N11" s="1" t="str">
        <f t="shared" si="12"/>
        <v>0</v>
      </c>
      <c r="O11" s="1" t="str">
        <f>"5.12"</f>
        <v>5.12</v>
      </c>
    </row>
    <row r="12" s="1" customFormat="1" spans="1:15">
      <c r="A12" s="1" t="str">
        <f t="shared" si="0"/>
        <v>202406</v>
      </c>
      <c r="B12" s="1" t="str">
        <f t="shared" si="1"/>
        <v>150525100</v>
      </c>
      <c r="C12" s="1" t="str">
        <f>"1014563077"</f>
        <v>1014563077</v>
      </c>
      <c r="D12" s="1" t="str">
        <f>"152326196103160448"</f>
        <v>152326196103160448</v>
      </c>
      <c r="E12" s="1" t="s">
        <v>29</v>
      </c>
      <c r="F12" s="1" t="s">
        <v>16</v>
      </c>
      <c r="G12" s="1" t="s">
        <v>17</v>
      </c>
      <c r="H12" s="1" t="str">
        <f>"63"</f>
        <v>63</v>
      </c>
      <c r="I12" s="1" t="str">
        <f>"161.05"</f>
        <v>161.05</v>
      </c>
      <c r="J12" s="1" t="str">
        <f t="shared" ref="J12:N12" si="13">"0"</f>
        <v>0</v>
      </c>
      <c r="K12" s="1" t="str">
        <f t="shared" si="3"/>
        <v>103</v>
      </c>
      <c r="L12" s="1" t="str">
        <f t="shared" si="4"/>
        <v>47</v>
      </c>
      <c r="M12" s="1" t="str">
        <f t="shared" si="13"/>
        <v>0</v>
      </c>
      <c r="N12" s="1" t="str">
        <f t="shared" si="13"/>
        <v>0</v>
      </c>
      <c r="O12" s="1" t="str">
        <f>"11.05"</f>
        <v>11.05</v>
      </c>
    </row>
    <row r="13" s="1" customFormat="1" spans="1:15">
      <c r="A13" s="1" t="str">
        <f t="shared" si="0"/>
        <v>202406</v>
      </c>
      <c r="B13" s="1" t="str">
        <f t="shared" si="1"/>
        <v>150525100</v>
      </c>
      <c r="C13" s="1" t="str">
        <f>"1014563439"</f>
        <v>1014563439</v>
      </c>
      <c r="D13" s="1" t="str">
        <f>"152326195807270413"</f>
        <v>152326195807270413</v>
      </c>
      <c r="E13" s="1" t="s">
        <v>30</v>
      </c>
      <c r="F13" s="1" t="s">
        <v>25</v>
      </c>
      <c r="G13" s="1" t="s">
        <v>17</v>
      </c>
      <c r="H13" s="1" t="str">
        <f>"66"</f>
        <v>66</v>
      </c>
      <c r="I13" s="1" t="str">
        <f>"158.07"</f>
        <v>158.07</v>
      </c>
      <c r="J13" s="1" t="str">
        <f t="shared" ref="J13:N13" si="14">"0"</f>
        <v>0</v>
      </c>
      <c r="K13" s="1" t="str">
        <f t="shared" si="3"/>
        <v>103</v>
      </c>
      <c r="L13" s="1" t="str">
        <f t="shared" si="4"/>
        <v>47</v>
      </c>
      <c r="M13" s="1" t="str">
        <f t="shared" si="14"/>
        <v>0</v>
      </c>
      <c r="N13" s="1" t="str">
        <f t="shared" si="14"/>
        <v>0</v>
      </c>
      <c r="O13" s="1" t="str">
        <f>"8.07"</f>
        <v>8.07</v>
      </c>
    </row>
    <row r="14" s="1" customFormat="1" spans="1:15">
      <c r="A14" s="1" t="str">
        <f t="shared" si="0"/>
        <v>202406</v>
      </c>
      <c r="B14" s="1" t="str">
        <f t="shared" si="1"/>
        <v>150525100</v>
      </c>
      <c r="C14" s="1" t="str">
        <f>"1014563441"</f>
        <v>1014563441</v>
      </c>
      <c r="D14" s="1" t="str">
        <f>"152326196209240411"</f>
        <v>152326196209240411</v>
      </c>
      <c r="E14" s="1" t="s">
        <v>31</v>
      </c>
      <c r="F14" s="1" t="s">
        <v>25</v>
      </c>
      <c r="G14" s="1" t="s">
        <v>17</v>
      </c>
      <c r="H14" s="1" t="str">
        <f>"62"</f>
        <v>62</v>
      </c>
      <c r="I14" s="1" t="str">
        <f>"162.9"</f>
        <v>162.9</v>
      </c>
      <c r="J14" s="1" t="str">
        <f t="shared" ref="J14:N14" si="15">"0"</f>
        <v>0</v>
      </c>
      <c r="K14" s="1" t="str">
        <f t="shared" si="3"/>
        <v>103</v>
      </c>
      <c r="L14" s="1" t="str">
        <f t="shared" si="4"/>
        <v>47</v>
      </c>
      <c r="M14" s="1" t="str">
        <f t="shared" si="15"/>
        <v>0</v>
      </c>
      <c r="N14" s="1" t="str">
        <f t="shared" si="15"/>
        <v>0</v>
      </c>
      <c r="O14" s="1" t="str">
        <f>"12.9"</f>
        <v>12.9</v>
      </c>
    </row>
    <row r="15" s="1" customFormat="1" spans="1:15">
      <c r="A15" s="1" t="str">
        <f t="shared" si="0"/>
        <v>202406</v>
      </c>
      <c r="B15" s="1" t="str">
        <f t="shared" si="1"/>
        <v>150525100</v>
      </c>
      <c r="C15" s="1" t="str">
        <f>"1014563452"</f>
        <v>1014563452</v>
      </c>
      <c r="D15" s="1" t="str">
        <f>"152326195605030446"</f>
        <v>152326195605030446</v>
      </c>
      <c r="E15" s="1" t="s">
        <v>32</v>
      </c>
      <c r="F15" s="1" t="s">
        <v>16</v>
      </c>
      <c r="G15" s="1" t="s">
        <v>17</v>
      </c>
      <c r="H15" s="1" t="str">
        <f>"68"</f>
        <v>68</v>
      </c>
      <c r="I15" s="1" t="str">
        <f>"156.02"</f>
        <v>156.02</v>
      </c>
      <c r="J15" s="1" t="str">
        <f t="shared" ref="J15:N15" si="16">"0"</f>
        <v>0</v>
      </c>
      <c r="K15" s="1" t="str">
        <f t="shared" si="3"/>
        <v>103</v>
      </c>
      <c r="L15" s="1" t="str">
        <f t="shared" si="4"/>
        <v>47</v>
      </c>
      <c r="M15" s="1" t="str">
        <f t="shared" si="16"/>
        <v>0</v>
      </c>
      <c r="N15" s="1" t="str">
        <f t="shared" si="16"/>
        <v>0</v>
      </c>
      <c r="O15" s="1" t="str">
        <f>"6.02"</f>
        <v>6.02</v>
      </c>
    </row>
    <row r="16" s="1" customFormat="1" spans="1:15">
      <c r="A16" s="1" t="str">
        <f t="shared" si="0"/>
        <v>202406</v>
      </c>
      <c r="B16" s="1" t="str">
        <f t="shared" si="1"/>
        <v>150525100</v>
      </c>
      <c r="C16" s="1" t="str">
        <f>"1014569853"</f>
        <v>1014569853</v>
      </c>
      <c r="D16" s="1" t="s">
        <v>33</v>
      </c>
      <c r="E16" s="1" t="s">
        <v>34</v>
      </c>
      <c r="F16" s="1" t="s">
        <v>25</v>
      </c>
      <c r="G16" s="1" t="s">
        <v>17</v>
      </c>
      <c r="H16" s="1" t="str">
        <f>"67"</f>
        <v>67</v>
      </c>
      <c r="I16" s="1" t="str">
        <f>"156.05"</f>
        <v>156.05</v>
      </c>
      <c r="J16" s="1" t="str">
        <f t="shared" ref="J16:N16" si="17">"0"</f>
        <v>0</v>
      </c>
      <c r="K16" s="1" t="str">
        <f t="shared" si="3"/>
        <v>103</v>
      </c>
      <c r="L16" s="1" t="str">
        <f t="shared" si="4"/>
        <v>47</v>
      </c>
      <c r="M16" s="1" t="str">
        <f t="shared" si="17"/>
        <v>0</v>
      </c>
      <c r="N16" s="1" t="str">
        <f t="shared" si="17"/>
        <v>0</v>
      </c>
      <c r="O16" s="1" t="str">
        <f>"6.05"</f>
        <v>6.05</v>
      </c>
    </row>
    <row r="17" s="1" customFormat="1" spans="1:15">
      <c r="A17" s="1" t="str">
        <f t="shared" si="0"/>
        <v>202406</v>
      </c>
      <c r="B17" s="1" t="str">
        <f t="shared" si="1"/>
        <v>150525100</v>
      </c>
      <c r="C17" s="1" t="str">
        <f>"1014569856"</f>
        <v>1014569856</v>
      </c>
      <c r="D17" s="1" t="s">
        <v>35</v>
      </c>
      <c r="E17" s="1" t="s">
        <v>36</v>
      </c>
      <c r="F17" s="1" t="s">
        <v>16</v>
      </c>
      <c r="G17" s="1" t="s">
        <v>17</v>
      </c>
      <c r="H17" s="1" t="str">
        <f>"66"</f>
        <v>66</v>
      </c>
      <c r="I17" s="1" t="str">
        <f>"157.08"</f>
        <v>157.08</v>
      </c>
      <c r="J17" s="1" t="str">
        <f t="shared" ref="J17:N17" si="18">"0"</f>
        <v>0</v>
      </c>
      <c r="K17" s="1" t="str">
        <f t="shared" si="3"/>
        <v>103</v>
      </c>
      <c r="L17" s="1" t="str">
        <f t="shared" si="4"/>
        <v>47</v>
      </c>
      <c r="M17" s="1" t="str">
        <f t="shared" si="18"/>
        <v>0</v>
      </c>
      <c r="N17" s="1" t="str">
        <f t="shared" si="18"/>
        <v>0</v>
      </c>
      <c r="O17" s="1" t="str">
        <f>"7.08"</f>
        <v>7.08</v>
      </c>
    </row>
    <row r="18" s="1" customFormat="1" spans="1:15">
      <c r="A18" s="1" t="str">
        <f t="shared" si="0"/>
        <v>202406</v>
      </c>
      <c r="B18" s="1" t="str">
        <f t="shared" si="1"/>
        <v>150525100</v>
      </c>
      <c r="C18" s="1" t="str">
        <f>"1014583770"</f>
        <v>1014583770</v>
      </c>
      <c r="D18" s="1" t="str">
        <f>"152326195509140426"</f>
        <v>152326195509140426</v>
      </c>
      <c r="E18" s="1" t="s">
        <v>37</v>
      </c>
      <c r="F18" s="1" t="s">
        <v>16</v>
      </c>
      <c r="G18" s="1" t="s">
        <v>19</v>
      </c>
      <c r="H18" s="1" t="str">
        <f>"69"</f>
        <v>69</v>
      </c>
      <c r="I18" s="1" t="str">
        <f>"155.09"</f>
        <v>155.09</v>
      </c>
      <c r="J18" s="1" t="str">
        <f t="shared" ref="J18:N18" si="19">"0"</f>
        <v>0</v>
      </c>
      <c r="K18" s="1" t="str">
        <f t="shared" si="3"/>
        <v>103</v>
      </c>
      <c r="L18" s="1" t="str">
        <f t="shared" si="4"/>
        <v>47</v>
      </c>
      <c r="M18" s="1" t="str">
        <f t="shared" si="19"/>
        <v>0</v>
      </c>
      <c r="N18" s="1" t="str">
        <f t="shared" si="19"/>
        <v>0</v>
      </c>
      <c r="O18" s="1" t="str">
        <f>"5.09"</f>
        <v>5.09</v>
      </c>
    </row>
    <row r="19" s="1" customFormat="1" spans="1:15">
      <c r="A19" s="1" t="str">
        <f t="shared" si="0"/>
        <v>202406</v>
      </c>
      <c r="B19" s="1" t="str">
        <f t="shared" si="1"/>
        <v>150525100</v>
      </c>
      <c r="C19" s="1" t="str">
        <f>"1014583773"</f>
        <v>1014583773</v>
      </c>
      <c r="D19" s="1" t="str">
        <f>"152326195606120419"</f>
        <v>152326195606120419</v>
      </c>
      <c r="E19" s="1" t="s">
        <v>38</v>
      </c>
      <c r="F19" s="1" t="s">
        <v>25</v>
      </c>
      <c r="G19" s="1" t="s">
        <v>19</v>
      </c>
      <c r="H19" s="1" t="str">
        <f>"68"</f>
        <v>68</v>
      </c>
      <c r="I19" s="1" t="str">
        <f>"156.01"</f>
        <v>156.01</v>
      </c>
      <c r="J19" s="1" t="str">
        <f t="shared" ref="J19:N19" si="20">"0"</f>
        <v>0</v>
      </c>
      <c r="K19" s="1" t="str">
        <f t="shared" si="3"/>
        <v>103</v>
      </c>
      <c r="L19" s="1" t="str">
        <f t="shared" si="4"/>
        <v>47</v>
      </c>
      <c r="M19" s="1" t="str">
        <f t="shared" si="20"/>
        <v>0</v>
      </c>
      <c r="N19" s="1" t="str">
        <f t="shared" si="20"/>
        <v>0</v>
      </c>
      <c r="O19" s="1" t="str">
        <f>"6.01"</f>
        <v>6.01</v>
      </c>
    </row>
    <row r="20" s="1" customFormat="1" spans="1:15">
      <c r="A20" s="1" t="str">
        <f t="shared" si="0"/>
        <v>202406</v>
      </c>
      <c r="B20" s="1" t="str">
        <f t="shared" si="1"/>
        <v>150525100</v>
      </c>
      <c r="C20" s="1" t="str">
        <f>"1014550152"</f>
        <v>1014550152</v>
      </c>
      <c r="D20" s="1" t="str">
        <f>"152326196107110667"</f>
        <v>152326196107110667</v>
      </c>
      <c r="E20" s="1" t="s">
        <v>39</v>
      </c>
      <c r="F20" s="1" t="s">
        <v>16</v>
      </c>
      <c r="G20" s="1" t="s">
        <v>17</v>
      </c>
      <c r="H20" s="1" t="str">
        <f>"63"</f>
        <v>63</v>
      </c>
      <c r="I20" s="1" t="str">
        <f>"194.22"</f>
        <v>194.22</v>
      </c>
      <c r="J20" s="1" t="str">
        <f t="shared" ref="J20:N20" si="21">"0"</f>
        <v>0</v>
      </c>
      <c r="K20" s="1" t="str">
        <f t="shared" si="3"/>
        <v>103</v>
      </c>
      <c r="L20" s="1" t="str">
        <f t="shared" si="4"/>
        <v>47</v>
      </c>
      <c r="M20" s="1" t="str">
        <f t="shared" si="21"/>
        <v>0</v>
      </c>
      <c r="N20" s="1" t="str">
        <f t="shared" si="21"/>
        <v>0</v>
      </c>
      <c r="O20" s="1" t="str">
        <f>"44.22"</f>
        <v>44.22</v>
      </c>
    </row>
    <row r="21" s="1" customFormat="1" spans="1:15">
      <c r="A21" s="1" t="str">
        <f t="shared" si="0"/>
        <v>202406</v>
      </c>
      <c r="B21" s="1" t="str">
        <f t="shared" si="1"/>
        <v>150525100</v>
      </c>
      <c r="C21" s="1" t="str">
        <f>"1014585197"</f>
        <v>1014585197</v>
      </c>
      <c r="D21" s="1" t="str">
        <f>"152326196111160421"</f>
        <v>152326196111160421</v>
      </c>
      <c r="E21" s="1" t="s">
        <v>40</v>
      </c>
      <c r="F21" s="1" t="s">
        <v>16</v>
      </c>
      <c r="G21" s="1" t="s">
        <v>17</v>
      </c>
      <c r="H21" s="1" t="str">
        <f>"63"</f>
        <v>63</v>
      </c>
      <c r="I21" s="1" t="str">
        <f>"161.13"</f>
        <v>161.13</v>
      </c>
      <c r="J21" s="1" t="str">
        <f t="shared" ref="J21:N21" si="22">"0"</f>
        <v>0</v>
      </c>
      <c r="K21" s="1" t="str">
        <f t="shared" si="3"/>
        <v>103</v>
      </c>
      <c r="L21" s="1" t="str">
        <f t="shared" si="4"/>
        <v>47</v>
      </c>
      <c r="M21" s="1" t="str">
        <f t="shared" si="22"/>
        <v>0</v>
      </c>
      <c r="N21" s="1" t="str">
        <f t="shared" si="22"/>
        <v>0</v>
      </c>
      <c r="O21" s="1" t="str">
        <f>"11.13"</f>
        <v>11.13</v>
      </c>
    </row>
    <row r="22" s="1" customFormat="1" spans="1:15">
      <c r="A22" s="1" t="str">
        <f t="shared" si="0"/>
        <v>202406</v>
      </c>
      <c r="B22" s="1" t="str">
        <f t="shared" si="1"/>
        <v>150525100</v>
      </c>
      <c r="C22" s="1" t="str">
        <f>"1014563095"</f>
        <v>1014563095</v>
      </c>
      <c r="D22" s="1" t="str">
        <f>"152326195801010426"</f>
        <v>152326195801010426</v>
      </c>
      <c r="E22" s="1" t="s">
        <v>41</v>
      </c>
      <c r="F22" s="1" t="s">
        <v>16</v>
      </c>
      <c r="G22" s="1" t="s">
        <v>17</v>
      </c>
      <c r="H22" s="1" t="str">
        <f>"67"</f>
        <v>67</v>
      </c>
      <c r="I22" s="1" t="str">
        <f>"157.08"</f>
        <v>157.08</v>
      </c>
      <c r="J22" s="1" t="str">
        <f t="shared" ref="J22:N22" si="23">"0"</f>
        <v>0</v>
      </c>
      <c r="K22" s="1" t="str">
        <f t="shared" si="3"/>
        <v>103</v>
      </c>
      <c r="L22" s="1" t="str">
        <f t="shared" si="4"/>
        <v>47</v>
      </c>
      <c r="M22" s="1" t="str">
        <f t="shared" si="23"/>
        <v>0</v>
      </c>
      <c r="N22" s="1" t="str">
        <f t="shared" si="23"/>
        <v>0</v>
      </c>
      <c r="O22" s="1" t="str">
        <f>"7.08"</f>
        <v>7.08</v>
      </c>
    </row>
    <row r="23" s="1" customFormat="1" spans="1:15">
      <c r="A23" s="1" t="str">
        <f t="shared" si="0"/>
        <v>202406</v>
      </c>
      <c r="B23" s="1" t="str">
        <f t="shared" si="1"/>
        <v>150525100</v>
      </c>
      <c r="C23" s="1" t="str">
        <f>"1014583786"</f>
        <v>1014583786</v>
      </c>
      <c r="D23" s="1" t="str">
        <f>"152326195802170667"</f>
        <v>152326195802170667</v>
      </c>
      <c r="E23" s="1" t="s">
        <v>42</v>
      </c>
      <c r="F23" s="1" t="s">
        <v>16</v>
      </c>
      <c r="G23" s="1" t="s">
        <v>19</v>
      </c>
      <c r="H23" s="1" t="str">
        <f t="shared" ref="H23:H26" si="24">"66"</f>
        <v>66</v>
      </c>
      <c r="I23" s="1" t="str">
        <f>"157.6"</f>
        <v>157.6</v>
      </c>
      <c r="J23" s="1" t="str">
        <f t="shared" ref="J23:N23" si="25">"0"</f>
        <v>0</v>
      </c>
      <c r="K23" s="1" t="str">
        <f t="shared" si="3"/>
        <v>103</v>
      </c>
      <c r="L23" s="1" t="str">
        <f t="shared" si="4"/>
        <v>47</v>
      </c>
      <c r="M23" s="1" t="str">
        <f t="shared" si="25"/>
        <v>0</v>
      </c>
      <c r="N23" s="1" t="str">
        <f t="shared" si="25"/>
        <v>0</v>
      </c>
      <c r="O23" s="1" t="str">
        <f>"7.6"</f>
        <v>7.6</v>
      </c>
    </row>
    <row r="24" s="1" customFormat="1" spans="1:15">
      <c r="A24" s="1" t="str">
        <f t="shared" si="0"/>
        <v>202406</v>
      </c>
      <c r="B24" s="1" t="str">
        <f t="shared" si="1"/>
        <v>150525100</v>
      </c>
      <c r="C24" s="1" t="str">
        <f>"1014584099"</f>
        <v>1014584099</v>
      </c>
      <c r="D24" s="1" t="str">
        <f>"152326195804250417"</f>
        <v>152326195804250417</v>
      </c>
      <c r="E24" s="1" t="s">
        <v>43</v>
      </c>
      <c r="F24" s="1" t="s">
        <v>25</v>
      </c>
      <c r="G24" s="1" t="s">
        <v>17</v>
      </c>
      <c r="H24" s="1" t="str">
        <f t="shared" si="24"/>
        <v>66</v>
      </c>
      <c r="I24" s="1" t="str">
        <f>"158.78"</f>
        <v>158.78</v>
      </c>
      <c r="J24" s="1" t="str">
        <f t="shared" ref="J24:N24" si="26">"0"</f>
        <v>0</v>
      </c>
      <c r="K24" s="1" t="str">
        <f t="shared" si="3"/>
        <v>103</v>
      </c>
      <c r="L24" s="1" t="str">
        <f t="shared" si="4"/>
        <v>47</v>
      </c>
      <c r="M24" s="1" t="str">
        <f t="shared" si="26"/>
        <v>0</v>
      </c>
      <c r="N24" s="1" t="str">
        <f t="shared" si="26"/>
        <v>0</v>
      </c>
      <c r="O24" s="1" t="str">
        <f>"8.78"</f>
        <v>8.78</v>
      </c>
    </row>
    <row r="25" s="1" customFormat="1" spans="1:15">
      <c r="A25" s="1" t="str">
        <f t="shared" si="0"/>
        <v>202406</v>
      </c>
      <c r="B25" s="1" t="str">
        <f t="shared" si="1"/>
        <v>150525100</v>
      </c>
      <c r="C25" s="1" t="str">
        <f>"1014584109"</f>
        <v>1014584109</v>
      </c>
      <c r="D25" s="1" t="str">
        <f>"152326195807060424"</f>
        <v>152326195807060424</v>
      </c>
      <c r="E25" s="1" t="s">
        <v>44</v>
      </c>
      <c r="F25" s="1" t="s">
        <v>16</v>
      </c>
      <c r="G25" s="1" t="s">
        <v>17</v>
      </c>
      <c r="H25" s="1" t="str">
        <f t="shared" si="24"/>
        <v>66</v>
      </c>
      <c r="I25" s="1" t="str">
        <f>"157.11"</f>
        <v>157.11</v>
      </c>
      <c r="J25" s="1" t="str">
        <f t="shared" ref="J25:N25" si="27">"0"</f>
        <v>0</v>
      </c>
      <c r="K25" s="1" t="str">
        <f t="shared" si="3"/>
        <v>103</v>
      </c>
      <c r="L25" s="1" t="str">
        <f t="shared" si="4"/>
        <v>47</v>
      </c>
      <c r="M25" s="1" t="str">
        <f t="shared" si="27"/>
        <v>0</v>
      </c>
      <c r="N25" s="1" t="str">
        <f t="shared" si="27"/>
        <v>0</v>
      </c>
      <c r="O25" s="1" t="str">
        <f>"7.11"</f>
        <v>7.11</v>
      </c>
    </row>
    <row r="26" s="1" customFormat="1" spans="1:15">
      <c r="A26" s="1" t="str">
        <f t="shared" si="0"/>
        <v>202406</v>
      </c>
      <c r="B26" s="1" t="str">
        <f t="shared" si="1"/>
        <v>150525100</v>
      </c>
      <c r="C26" s="1" t="str">
        <f>"1014549658"</f>
        <v>1014549658</v>
      </c>
      <c r="D26" s="1" t="s">
        <v>45</v>
      </c>
      <c r="E26" s="1" t="s">
        <v>46</v>
      </c>
      <c r="F26" s="1" t="s">
        <v>16</v>
      </c>
      <c r="G26" s="1" t="s">
        <v>17</v>
      </c>
      <c r="H26" s="1" t="str">
        <f t="shared" si="24"/>
        <v>66</v>
      </c>
      <c r="I26" s="1" t="str">
        <f>"157.07"</f>
        <v>157.07</v>
      </c>
      <c r="J26" s="1" t="str">
        <f t="shared" ref="J26:N26" si="28">"0"</f>
        <v>0</v>
      </c>
      <c r="K26" s="1" t="str">
        <f t="shared" si="3"/>
        <v>103</v>
      </c>
      <c r="L26" s="1" t="str">
        <f t="shared" si="4"/>
        <v>47</v>
      </c>
      <c r="M26" s="1" t="str">
        <f t="shared" si="28"/>
        <v>0</v>
      </c>
      <c r="N26" s="1" t="str">
        <f t="shared" si="28"/>
        <v>0</v>
      </c>
      <c r="O26" s="1" t="str">
        <f>"7.07"</f>
        <v>7.07</v>
      </c>
    </row>
    <row r="27" s="1" customFormat="1" spans="1:15">
      <c r="A27" s="1" t="str">
        <f t="shared" si="0"/>
        <v>202406</v>
      </c>
      <c r="B27" s="1" t="str">
        <f t="shared" si="1"/>
        <v>150525100</v>
      </c>
      <c r="C27" s="1" t="str">
        <f>"1014549666"</f>
        <v>1014549666</v>
      </c>
      <c r="D27" s="1" t="s">
        <v>47</v>
      </c>
      <c r="E27" s="1" t="s">
        <v>48</v>
      </c>
      <c r="F27" s="1" t="s">
        <v>25</v>
      </c>
      <c r="G27" s="1" t="s">
        <v>17</v>
      </c>
      <c r="H27" s="1" t="str">
        <f>"65"</f>
        <v>65</v>
      </c>
      <c r="I27" s="1" t="str">
        <f>"158.15"</f>
        <v>158.15</v>
      </c>
      <c r="J27" s="1" t="str">
        <f t="shared" ref="J27:N27" si="29">"0"</f>
        <v>0</v>
      </c>
      <c r="K27" s="1" t="str">
        <f t="shared" si="3"/>
        <v>103</v>
      </c>
      <c r="L27" s="1" t="str">
        <f t="shared" si="4"/>
        <v>47</v>
      </c>
      <c r="M27" s="1" t="str">
        <f t="shared" si="29"/>
        <v>0</v>
      </c>
      <c r="N27" s="1" t="str">
        <f t="shared" si="29"/>
        <v>0</v>
      </c>
      <c r="O27" s="1" t="str">
        <f>"8.15"</f>
        <v>8.15</v>
      </c>
    </row>
    <row r="28" s="1" customFormat="1" spans="1:15">
      <c r="A28" s="1" t="str">
        <f t="shared" si="0"/>
        <v>202406</v>
      </c>
      <c r="B28" s="1" t="str">
        <f t="shared" si="1"/>
        <v>150525100</v>
      </c>
      <c r="C28" s="1" t="str">
        <f>"1014550184"</f>
        <v>1014550184</v>
      </c>
      <c r="D28" s="1" t="str">
        <f>"152326195708280667"</f>
        <v>152326195708280667</v>
      </c>
      <c r="E28" s="1" t="s">
        <v>49</v>
      </c>
      <c r="F28" s="1" t="s">
        <v>16</v>
      </c>
      <c r="G28" s="1" t="s">
        <v>17</v>
      </c>
      <c r="H28" s="1" t="str">
        <f>"67"</f>
        <v>67</v>
      </c>
      <c r="I28" s="1" t="str">
        <f>"156.09"</f>
        <v>156.09</v>
      </c>
      <c r="J28" s="1" t="str">
        <f t="shared" ref="J28:N28" si="30">"0"</f>
        <v>0</v>
      </c>
      <c r="K28" s="1" t="str">
        <f t="shared" si="3"/>
        <v>103</v>
      </c>
      <c r="L28" s="1" t="str">
        <f t="shared" si="4"/>
        <v>47</v>
      </c>
      <c r="M28" s="1" t="str">
        <f t="shared" si="30"/>
        <v>0</v>
      </c>
      <c r="N28" s="1" t="str">
        <f t="shared" si="30"/>
        <v>0</v>
      </c>
      <c r="O28" s="1" t="str">
        <f>"6.09"</f>
        <v>6.09</v>
      </c>
    </row>
    <row r="29" s="1" customFormat="1" spans="1:15">
      <c r="A29" s="1" t="str">
        <f t="shared" si="0"/>
        <v>202406</v>
      </c>
      <c r="B29" s="1" t="str">
        <f t="shared" si="1"/>
        <v>150525100</v>
      </c>
      <c r="C29" s="1" t="str">
        <f>"1014550189"</f>
        <v>1014550189</v>
      </c>
      <c r="D29" s="1" t="str">
        <f>"152326195710103328"</f>
        <v>152326195710103328</v>
      </c>
      <c r="E29" s="1" t="s">
        <v>50</v>
      </c>
      <c r="F29" s="1" t="s">
        <v>16</v>
      </c>
      <c r="G29" s="1" t="s">
        <v>19</v>
      </c>
      <c r="H29" s="1" t="str">
        <f>"67"</f>
        <v>67</v>
      </c>
      <c r="I29" s="1" t="str">
        <f>"155.87"</f>
        <v>155.87</v>
      </c>
      <c r="J29" s="1" t="str">
        <f t="shared" ref="J29:N29" si="31">"0"</f>
        <v>0</v>
      </c>
      <c r="K29" s="1" t="str">
        <f t="shared" si="3"/>
        <v>103</v>
      </c>
      <c r="L29" s="1" t="str">
        <f t="shared" si="4"/>
        <v>47</v>
      </c>
      <c r="M29" s="1" t="str">
        <f t="shared" si="31"/>
        <v>0</v>
      </c>
      <c r="N29" s="1" t="str">
        <f t="shared" si="31"/>
        <v>0</v>
      </c>
      <c r="O29" s="1" t="str">
        <f>"5.87"</f>
        <v>5.87</v>
      </c>
    </row>
    <row r="30" s="1" customFormat="1" spans="1:15">
      <c r="A30" s="1" t="str">
        <f t="shared" si="0"/>
        <v>202406</v>
      </c>
      <c r="B30" s="1" t="str">
        <f t="shared" si="1"/>
        <v>150525100</v>
      </c>
      <c r="C30" s="1" t="str">
        <f>"1014550205"</f>
        <v>1014550205</v>
      </c>
      <c r="D30" s="1" t="str">
        <f>"152326195802220660"</f>
        <v>152326195802220660</v>
      </c>
      <c r="E30" s="1" t="s">
        <v>51</v>
      </c>
      <c r="F30" s="1" t="s">
        <v>16</v>
      </c>
      <c r="G30" s="1" t="s">
        <v>17</v>
      </c>
      <c r="H30" s="1" t="str">
        <f>"66"</f>
        <v>66</v>
      </c>
      <c r="I30" s="1" t="str">
        <f>"157.08"</f>
        <v>157.08</v>
      </c>
      <c r="J30" s="1" t="str">
        <f t="shared" ref="J30:N30" si="32">"0"</f>
        <v>0</v>
      </c>
      <c r="K30" s="1" t="str">
        <f t="shared" si="3"/>
        <v>103</v>
      </c>
      <c r="L30" s="1" t="str">
        <f t="shared" si="4"/>
        <v>47</v>
      </c>
      <c r="M30" s="1" t="str">
        <f t="shared" si="32"/>
        <v>0</v>
      </c>
      <c r="N30" s="1" t="str">
        <f t="shared" si="32"/>
        <v>0</v>
      </c>
      <c r="O30" s="1" t="str">
        <f>"7.08"</f>
        <v>7.08</v>
      </c>
    </row>
    <row r="31" s="1" customFormat="1" spans="1:15">
      <c r="A31" s="1" t="str">
        <f t="shared" si="0"/>
        <v>202406</v>
      </c>
      <c r="B31" s="1" t="str">
        <f t="shared" si="1"/>
        <v>150525100</v>
      </c>
      <c r="C31" s="1" t="str">
        <f>"1014550670"</f>
        <v>1014550670</v>
      </c>
      <c r="D31" s="1" t="str">
        <f>"152326195303183316"</f>
        <v>152326195303183316</v>
      </c>
      <c r="E31" s="1" t="s">
        <v>52</v>
      </c>
      <c r="F31" s="1" t="s">
        <v>25</v>
      </c>
      <c r="G31" s="1" t="s">
        <v>17</v>
      </c>
      <c r="H31" s="1" t="str">
        <f>"71"</f>
        <v>71</v>
      </c>
      <c r="I31" s="1" t="str">
        <f>"163.16"</f>
        <v>163.16</v>
      </c>
      <c r="J31" s="1" t="str">
        <f t="shared" ref="J31:N31" si="33">"0"</f>
        <v>0</v>
      </c>
      <c r="K31" s="1" t="str">
        <f t="shared" si="3"/>
        <v>103</v>
      </c>
      <c r="L31" s="1" t="str">
        <f t="shared" si="4"/>
        <v>47</v>
      </c>
      <c r="M31" s="1" t="str">
        <f t="shared" si="33"/>
        <v>0</v>
      </c>
      <c r="N31" s="1" t="str">
        <f t="shared" si="33"/>
        <v>0</v>
      </c>
      <c r="O31" s="1" t="str">
        <f>"3.16"</f>
        <v>3.16</v>
      </c>
    </row>
    <row r="32" s="1" customFormat="1" spans="1:15">
      <c r="A32" s="1" t="str">
        <f t="shared" si="0"/>
        <v>202406</v>
      </c>
      <c r="B32" s="1" t="str">
        <f t="shared" si="1"/>
        <v>150525100</v>
      </c>
      <c r="C32" s="1" t="str">
        <f>"1014550682"</f>
        <v>1014550682</v>
      </c>
      <c r="D32" s="1" t="str">
        <f>"152326195307123310"</f>
        <v>152326195307123310</v>
      </c>
      <c r="E32" s="1" t="s">
        <v>53</v>
      </c>
      <c r="F32" s="1" t="s">
        <v>25</v>
      </c>
      <c r="G32" s="1" t="s">
        <v>17</v>
      </c>
      <c r="H32" s="1" t="str">
        <f>"71"</f>
        <v>71</v>
      </c>
      <c r="I32" s="1" t="str">
        <f>"163.16"</f>
        <v>163.16</v>
      </c>
      <c r="J32" s="1" t="str">
        <f t="shared" ref="J32:N32" si="34">"0"</f>
        <v>0</v>
      </c>
      <c r="K32" s="1" t="str">
        <f t="shared" si="3"/>
        <v>103</v>
      </c>
      <c r="L32" s="1" t="str">
        <f t="shared" si="4"/>
        <v>47</v>
      </c>
      <c r="M32" s="1" t="str">
        <f t="shared" si="34"/>
        <v>0</v>
      </c>
      <c r="N32" s="1" t="str">
        <f t="shared" si="34"/>
        <v>0</v>
      </c>
      <c r="O32" s="1" t="str">
        <f>"3.16"</f>
        <v>3.16</v>
      </c>
    </row>
    <row r="33" s="1" customFormat="1" spans="1:15">
      <c r="A33" s="1" t="str">
        <f t="shared" si="0"/>
        <v>202406</v>
      </c>
      <c r="B33" s="1" t="str">
        <f t="shared" si="1"/>
        <v>150525100</v>
      </c>
      <c r="C33" s="1" t="str">
        <f>"1040642174"</f>
        <v>1040642174</v>
      </c>
      <c r="D33" s="1" t="str">
        <f>"152326196003273322"</f>
        <v>152326196003273322</v>
      </c>
      <c r="E33" s="1" t="s">
        <v>54</v>
      </c>
      <c r="F33" s="1" t="s">
        <v>16</v>
      </c>
      <c r="G33" s="1" t="s">
        <v>19</v>
      </c>
      <c r="H33" s="1" t="str">
        <f>"64"</f>
        <v>64</v>
      </c>
      <c r="I33" s="1" t="str">
        <f>"158.58"</f>
        <v>158.58</v>
      </c>
      <c r="J33" s="1" t="str">
        <f t="shared" ref="J33:N33" si="35">"0"</f>
        <v>0</v>
      </c>
      <c r="K33" s="1" t="str">
        <f t="shared" si="3"/>
        <v>103</v>
      </c>
      <c r="L33" s="1" t="str">
        <f t="shared" si="4"/>
        <v>47</v>
      </c>
      <c r="M33" s="1" t="str">
        <f t="shared" si="35"/>
        <v>0</v>
      </c>
      <c r="N33" s="1" t="str">
        <f t="shared" si="35"/>
        <v>0</v>
      </c>
      <c r="O33" s="1" t="str">
        <f>"8.58"</f>
        <v>8.58</v>
      </c>
    </row>
    <row r="34" s="1" customFormat="1" spans="1:15">
      <c r="A34" s="1" t="str">
        <f t="shared" si="0"/>
        <v>202406</v>
      </c>
      <c r="B34" s="1" t="str">
        <f t="shared" si="1"/>
        <v>150525100</v>
      </c>
      <c r="C34" s="1" t="str">
        <f>"1040642201"</f>
        <v>1040642201</v>
      </c>
      <c r="D34" s="1" t="str">
        <f>"152326195811053323"</f>
        <v>152326195811053323</v>
      </c>
      <c r="E34" s="1" t="s">
        <v>55</v>
      </c>
      <c r="F34" s="1" t="s">
        <v>16</v>
      </c>
      <c r="G34" s="1" t="s">
        <v>19</v>
      </c>
      <c r="H34" s="1" t="str">
        <f>"66"</f>
        <v>66</v>
      </c>
      <c r="I34" s="1" t="str">
        <f>"156.57"</f>
        <v>156.57</v>
      </c>
      <c r="J34" s="1" t="str">
        <f t="shared" ref="J34:N34" si="36">"0"</f>
        <v>0</v>
      </c>
      <c r="K34" s="1" t="str">
        <f t="shared" si="3"/>
        <v>103</v>
      </c>
      <c r="L34" s="1" t="str">
        <f t="shared" si="4"/>
        <v>47</v>
      </c>
      <c r="M34" s="1" t="str">
        <f t="shared" si="36"/>
        <v>0</v>
      </c>
      <c r="N34" s="1" t="str">
        <f t="shared" si="36"/>
        <v>0</v>
      </c>
      <c r="O34" s="1" t="str">
        <f>"6.57"</f>
        <v>6.57</v>
      </c>
    </row>
    <row r="35" s="1" customFormat="1" spans="1:15">
      <c r="A35" s="1" t="str">
        <f t="shared" si="0"/>
        <v>202406</v>
      </c>
      <c r="B35" s="1" t="str">
        <f t="shared" si="1"/>
        <v>150525100</v>
      </c>
      <c r="C35" s="1" t="str">
        <f>"1040642151"</f>
        <v>1040642151</v>
      </c>
      <c r="D35" s="1" t="str">
        <f>"152326195410013320"</f>
        <v>152326195410013320</v>
      </c>
      <c r="E35" s="1" t="s">
        <v>56</v>
      </c>
      <c r="F35" s="1" t="s">
        <v>16</v>
      </c>
      <c r="G35" s="1" t="s">
        <v>17</v>
      </c>
      <c r="H35" s="1" t="str">
        <f>"70"</f>
        <v>70</v>
      </c>
      <c r="I35" s="1" t="str">
        <f>"153.56"</f>
        <v>153.56</v>
      </c>
      <c r="J35" s="1" t="str">
        <f t="shared" ref="J35:N35" si="37">"0"</f>
        <v>0</v>
      </c>
      <c r="K35" s="1" t="str">
        <f t="shared" si="3"/>
        <v>103</v>
      </c>
      <c r="L35" s="1" t="str">
        <f t="shared" si="4"/>
        <v>47</v>
      </c>
      <c r="M35" s="1" t="str">
        <f t="shared" si="37"/>
        <v>0</v>
      </c>
      <c r="N35" s="1" t="str">
        <f t="shared" si="37"/>
        <v>0</v>
      </c>
      <c r="O35" s="1" t="str">
        <f>"3.56"</f>
        <v>3.56</v>
      </c>
    </row>
    <row r="36" s="1" customFormat="1" spans="1:15">
      <c r="A36" s="1" t="str">
        <f t="shared" si="0"/>
        <v>202406</v>
      </c>
      <c r="B36" s="1" t="str">
        <f t="shared" si="1"/>
        <v>150525100</v>
      </c>
      <c r="C36" s="1" t="str">
        <f>"1040641600"</f>
        <v>1040641600</v>
      </c>
      <c r="D36" s="1" t="str">
        <f>"152326196208130915"</f>
        <v>152326196208130915</v>
      </c>
      <c r="E36" s="1" t="s">
        <v>57</v>
      </c>
      <c r="F36" s="1" t="s">
        <v>25</v>
      </c>
      <c r="G36" s="1" t="s">
        <v>19</v>
      </c>
      <c r="H36" s="1" t="str">
        <f>"62"</f>
        <v>62</v>
      </c>
      <c r="I36" s="1" t="str">
        <f>"816"</f>
        <v>816</v>
      </c>
      <c r="J36" s="1" t="str">
        <f>"652.8"</f>
        <v>652.8</v>
      </c>
      <c r="K36" s="1" t="str">
        <f>"515"</f>
        <v>515</v>
      </c>
      <c r="L36" s="1" t="str">
        <f>"235"</f>
        <v>235</v>
      </c>
      <c r="M36" s="1" t="str">
        <f>"0"</f>
        <v>0</v>
      </c>
      <c r="N36" s="1" t="str">
        <f>"0"</f>
        <v>0</v>
      </c>
      <c r="O36" s="1" t="str">
        <f>"66"</f>
        <v>66</v>
      </c>
    </row>
    <row r="37" s="1" customFormat="1" spans="1:15">
      <c r="A37" s="1" t="str">
        <f t="shared" si="0"/>
        <v>202406</v>
      </c>
      <c r="B37" s="1" t="str">
        <f t="shared" si="1"/>
        <v>150525100</v>
      </c>
      <c r="C37" s="1" t="str">
        <f>"1040641608"</f>
        <v>1040641608</v>
      </c>
      <c r="D37" s="1" t="str">
        <f>"152326196207120926"</f>
        <v>152326196207120926</v>
      </c>
      <c r="E37" s="1" t="s">
        <v>58</v>
      </c>
      <c r="F37" s="1" t="s">
        <v>16</v>
      </c>
      <c r="G37" s="1" t="s">
        <v>19</v>
      </c>
      <c r="H37" s="1" t="str">
        <f>"62"</f>
        <v>62</v>
      </c>
      <c r="I37" s="1" t="str">
        <f>"162.17"</f>
        <v>162.17</v>
      </c>
      <c r="J37" s="1" t="str">
        <f t="shared" ref="J37:N37" si="38">"0"</f>
        <v>0</v>
      </c>
      <c r="K37" s="1" t="str">
        <f t="shared" ref="K37:K80" si="39">"103"</f>
        <v>103</v>
      </c>
      <c r="L37" s="1" t="str">
        <f t="shared" ref="L37:L80" si="40">"47"</f>
        <v>47</v>
      </c>
      <c r="M37" s="1" t="str">
        <f t="shared" si="38"/>
        <v>0</v>
      </c>
      <c r="N37" s="1" t="str">
        <f t="shared" si="38"/>
        <v>0</v>
      </c>
      <c r="O37" s="1" t="str">
        <f>"12.17"</f>
        <v>12.17</v>
      </c>
    </row>
    <row r="38" s="1" customFormat="1" spans="1:15">
      <c r="A38" s="1" t="str">
        <f t="shared" si="0"/>
        <v>202406</v>
      </c>
      <c r="B38" s="1" t="str">
        <f t="shared" si="1"/>
        <v>150525100</v>
      </c>
      <c r="C38" s="1" t="str">
        <f>"1040641612"</f>
        <v>1040641612</v>
      </c>
      <c r="D38" s="1" t="str">
        <f>"152326195907100921"</f>
        <v>152326195907100921</v>
      </c>
      <c r="E38" s="1" t="s">
        <v>59</v>
      </c>
      <c r="F38" s="1" t="s">
        <v>16</v>
      </c>
      <c r="G38" s="1" t="s">
        <v>19</v>
      </c>
      <c r="H38" s="1" t="str">
        <f>"65"</f>
        <v>65</v>
      </c>
      <c r="I38" s="1" t="str">
        <f>"157"</f>
        <v>157</v>
      </c>
      <c r="J38" s="1" t="str">
        <f t="shared" ref="J38:N38" si="41">"0"</f>
        <v>0</v>
      </c>
      <c r="K38" s="1" t="str">
        <f t="shared" si="39"/>
        <v>103</v>
      </c>
      <c r="L38" s="1" t="str">
        <f t="shared" si="40"/>
        <v>47</v>
      </c>
      <c r="M38" s="1" t="str">
        <f t="shared" si="41"/>
        <v>0</v>
      </c>
      <c r="N38" s="1" t="str">
        <f t="shared" si="41"/>
        <v>0</v>
      </c>
      <c r="O38" s="1" t="str">
        <f>"7"</f>
        <v>7</v>
      </c>
    </row>
    <row r="39" s="1" customFormat="1" spans="1:15">
      <c r="A39" s="1" t="str">
        <f t="shared" si="0"/>
        <v>202406</v>
      </c>
      <c r="B39" s="1" t="str">
        <f t="shared" si="1"/>
        <v>150525100</v>
      </c>
      <c r="C39" s="1" t="str">
        <f>"1014562623"</f>
        <v>1014562623</v>
      </c>
      <c r="D39" s="1" t="str">
        <f>"152326195403160429"</f>
        <v>152326195403160429</v>
      </c>
      <c r="E39" s="1" t="s">
        <v>60</v>
      </c>
      <c r="F39" s="1" t="s">
        <v>16</v>
      </c>
      <c r="G39" s="1" t="s">
        <v>19</v>
      </c>
      <c r="H39" s="1" t="str">
        <f>"70"</f>
        <v>70</v>
      </c>
      <c r="I39" s="1" t="str">
        <f>"164.65"</f>
        <v>164.65</v>
      </c>
      <c r="J39" s="1" t="str">
        <f t="shared" ref="J39:N39" si="42">"0"</f>
        <v>0</v>
      </c>
      <c r="K39" s="1" t="str">
        <f t="shared" si="39"/>
        <v>103</v>
      </c>
      <c r="L39" s="1" t="str">
        <f t="shared" si="40"/>
        <v>47</v>
      </c>
      <c r="M39" s="1" t="str">
        <f t="shared" si="42"/>
        <v>0</v>
      </c>
      <c r="N39" s="1" t="str">
        <f t="shared" si="42"/>
        <v>0</v>
      </c>
      <c r="O39" s="1" t="str">
        <f>"4.65"</f>
        <v>4.65</v>
      </c>
    </row>
    <row r="40" s="1" customFormat="1" spans="1:15">
      <c r="A40" s="1" t="str">
        <f t="shared" si="0"/>
        <v>202406</v>
      </c>
      <c r="B40" s="1" t="str">
        <f t="shared" si="1"/>
        <v>150525100</v>
      </c>
      <c r="C40" s="1" t="str">
        <f>"1014583843"</f>
        <v>1014583843</v>
      </c>
      <c r="D40" s="1" t="str">
        <f>"152326195810163811"</f>
        <v>152326195810163811</v>
      </c>
      <c r="E40" s="1" t="s">
        <v>61</v>
      </c>
      <c r="F40" s="1" t="s">
        <v>25</v>
      </c>
      <c r="G40" s="1" t="s">
        <v>19</v>
      </c>
      <c r="H40" s="1" t="str">
        <f>"66"</f>
        <v>66</v>
      </c>
      <c r="I40" s="1" t="str">
        <f>"157.13"</f>
        <v>157.13</v>
      </c>
      <c r="J40" s="1" t="str">
        <f t="shared" ref="J40:N40" si="43">"0"</f>
        <v>0</v>
      </c>
      <c r="K40" s="1" t="str">
        <f t="shared" si="39"/>
        <v>103</v>
      </c>
      <c r="L40" s="1" t="str">
        <f t="shared" si="40"/>
        <v>47</v>
      </c>
      <c r="M40" s="1" t="str">
        <f t="shared" si="43"/>
        <v>0</v>
      </c>
      <c r="N40" s="1" t="str">
        <f t="shared" si="43"/>
        <v>0</v>
      </c>
      <c r="O40" s="1" t="str">
        <f>"7.13"</f>
        <v>7.13</v>
      </c>
    </row>
    <row r="41" s="1" customFormat="1" spans="1:15">
      <c r="A41" s="1" t="str">
        <f t="shared" si="0"/>
        <v>202406</v>
      </c>
      <c r="B41" s="1" t="str">
        <f t="shared" si="1"/>
        <v>150525100</v>
      </c>
      <c r="C41" s="1" t="str">
        <f>"1014550696"</f>
        <v>1014550696</v>
      </c>
      <c r="D41" s="1" t="str">
        <f>"152326195310290662"</f>
        <v>152326195310290662</v>
      </c>
      <c r="E41" s="1" t="s">
        <v>62</v>
      </c>
      <c r="F41" s="1" t="s">
        <v>16</v>
      </c>
      <c r="G41" s="1" t="s">
        <v>17</v>
      </c>
      <c r="H41" s="1" t="str">
        <f>"71"</f>
        <v>71</v>
      </c>
      <c r="I41" s="1" t="str">
        <f>"163.16"</f>
        <v>163.16</v>
      </c>
      <c r="J41" s="1" t="str">
        <f t="shared" ref="J41:N41" si="44">"0"</f>
        <v>0</v>
      </c>
      <c r="K41" s="1" t="str">
        <f t="shared" si="39"/>
        <v>103</v>
      </c>
      <c r="L41" s="1" t="str">
        <f t="shared" si="40"/>
        <v>47</v>
      </c>
      <c r="M41" s="1" t="str">
        <f t="shared" si="44"/>
        <v>0</v>
      </c>
      <c r="N41" s="1" t="str">
        <f t="shared" si="44"/>
        <v>0</v>
      </c>
      <c r="O41" s="1" t="str">
        <f>"3.16"</f>
        <v>3.16</v>
      </c>
    </row>
    <row r="42" s="1" customFormat="1" spans="1:15">
      <c r="A42" s="1" t="str">
        <f t="shared" si="0"/>
        <v>202406</v>
      </c>
      <c r="B42" s="1" t="str">
        <f t="shared" si="1"/>
        <v>150525100</v>
      </c>
      <c r="C42" s="1" t="str">
        <f>"1014585265"</f>
        <v>1014585265</v>
      </c>
      <c r="D42" s="1" t="str">
        <f>"152326196302070429"</f>
        <v>152326196302070429</v>
      </c>
      <c r="E42" s="1" t="s">
        <v>63</v>
      </c>
      <c r="F42" s="1" t="s">
        <v>16</v>
      </c>
      <c r="G42" s="1" t="s">
        <v>17</v>
      </c>
      <c r="H42" s="1" t="str">
        <f t="shared" ref="H42:H44" si="45">"61"</f>
        <v>61</v>
      </c>
      <c r="I42" s="1" t="str">
        <f>"172.17"</f>
        <v>172.17</v>
      </c>
      <c r="J42" s="1" t="str">
        <f t="shared" ref="J42:N42" si="46">"0"</f>
        <v>0</v>
      </c>
      <c r="K42" s="1" t="str">
        <f t="shared" si="39"/>
        <v>103</v>
      </c>
      <c r="L42" s="1" t="str">
        <f t="shared" si="40"/>
        <v>47</v>
      </c>
      <c r="M42" s="1" t="str">
        <f t="shared" si="46"/>
        <v>0</v>
      </c>
      <c r="N42" s="1" t="str">
        <f t="shared" si="46"/>
        <v>0</v>
      </c>
      <c r="O42" s="1" t="str">
        <f>"22.17"</f>
        <v>22.17</v>
      </c>
    </row>
    <row r="43" s="1" customFormat="1" spans="1:15">
      <c r="A43" s="1" t="str">
        <f t="shared" si="0"/>
        <v>202406</v>
      </c>
      <c r="B43" s="1" t="str">
        <f t="shared" si="1"/>
        <v>150525100</v>
      </c>
      <c r="C43" s="1" t="str">
        <f>"1014583866"</f>
        <v>1014583866</v>
      </c>
      <c r="D43" s="1" t="str">
        <f>"152326196301213811"</f>
        <v>152326196301213811</v>
      </c>
      <c r="E43" s="1" t="s">
        <v>64</v>
      </c>
      <c r="F43" s="1" t="s">
        <v>25</v>
      </c>
      <c r="G43" s="1" t="s">
        <v>19</v>
      </c>
      <c r="H43" s="1" t="str">
        <f t="shared" si="45"/>
        <v>61</v>
      </c>
      <c r="I43" s="1" t="str">
        <f>"164.92"</f>
        <v>164.92</v>
      </c>
      <c r="J43" s="1" t="str">
        <f t="shared" ref="J43:N43" si="47">"0"</f>
        <v>0</v>
      </c>
      <c r="K43" s="1" t="str">
        <f t="shared" si="39"/>
        <v>103</v>
      </c>
      <c r="L43" s="1" t="str">
        <f t="shared" si="40"/>
        <v>47</v>
      </c>
      <c r="M43" s="1" t="str">
        <f t="shared" si="47"/>
        <v>0</v>
      </c>
      <c r="N43" s="1" t="str">
        <f t="shared" si="47"/>
        <v>0</v>
      </c>
      <c r="O43" s="1" t="str">
        <f>"14.92"</f>
        <v>14.92</v>
      </c>
    </row>
    <row r="44" s="1" customFormat="1" spans="1:15">
      <c r="A44" s="1" t="str">
        <f t="shared" si="0"/>
        <v>202406</v>
      </c>
      <c r="B44" s="1" t="str">
        <f t="shared" si="1"/>
        <v>150525100</v>
      </c>
      <c r="C44" s="1" t="str">
        <f>"1014583868"</f>
        <v>1014583868</v>
      </c>
      <c r="D44" s="1" t="str">
        <f>"152326196305130669"</f>
        <v>152326196305130669</v>
      </c>
      <c r="E44" s="1" t="s">
        <v>65</v>
      </c>
      <c r="F44" s="1" t="s">
        <v>16</v>
      </c>
      <c r="G44" s="1" t="s">
        <v>19</v>
      </c>
      <c r="H44" s="1" t="str">
        <f t="shared" si="45"/>
        <v>61</v>
      </c>
      <c r="I44" s="1" t="str">
        <f>"164.99"</f>
        <v>164.99</v>
      </c>
      <c r="J44" s="1" t="str">
        <f t="shared" ref="J44:N44" si="48">"0"</f>
        <v>0</v>
      </c>
      <c r="K44" s="1" t="str">
        <f t="shared" si="39"/>
        <v>103</v>
      </c>
      <c r="L44" s="1" t="str">
        <f t="shared" si="40"/>
        <v>47</v>
      </c>
      <c r="M44" s="1" t="str">
        <f t="shared" si="48"/>
        <v>0</v>
      </c>
      <c r="N44" s="1" t="str">
        <f t="shared" si="48"/>
        <v>0</v>
      </c>
      <c r="O44" s="1" t="str">
        <f>"14.99"</f>
        <v>14.99</v>
      </c>
    </row>
    <row r="45" s="1" customFormat="1" spans="1:15">
      <c r="A45" s="1" t="str">
        <f t="shared" si="0"/>
        <v>202406</v>
      </c>
      <c r="B45" s="1" t="str">
        <f t="shared" si="1"/>
        <v>150525100</v>
      </c>
      <c r="C45" s="1" t="str">
        <f>"1014584176"</f>
        <v>1014584176</v>
      </c>
      <c r="D45" s="1" t="str">
        <f>"152326195907110425"</f>
        <v>152326195907110425</v>
      </c>
      <c r="E45" s="1" t="s">
        <v>66</v>
      </c>
      <c r="F45" s="1" t="s">
        <v>16</v>
      </c>
      <c r="G45" s="1" t="s">
        <v>17</v>
      </c>
      <c r="H45" s="1" t="str">
        <f>"65"</f>
        <v>65</v>
      </c>
      <c r="I45" s="1" t="str">
        <f>"159.88"</f>
        <v>159.88</v>
      </c>
      <c r="J45" s="1" t="str">
        <f t="shared" ref="J45:N45" si="49">"0"</f>
        <v>0</v>
      </c>
      <c r="K45" s="1" t="str">
        <f t="shared" si="39"/>
        <v>103</v>
      </c>
      <c r="L45" s="1" t="str">
        <f t="shared" si="40"/>
        <v>47</v>
      </c>
      <c r="M45" s="1" t="str">
        <f t="shared" si="49"/>
        <v>0</v>
      </c>
      <c r="N45" s="1" t="str">
        <f t="shared" si="49"/>
        <v>0</v>
      </c>
      <c r="O45" s="1" t="str">
        <f>"9.88"</f>
        <v>9.88</v>
      </c>
    </row>
    <row r="46" s="1" customFormat="1" spans="1:15">
      <c r="A46" s="1" t="str">
        <f t="shared" si="0"/>
        <v>202406</v>
      </c>
      <c r="B46" s="1" t="str">
        <f t="shared" si="1"/>
        <v>150525100</v>
      </c>
      <c r="C46" s="1" t="str">
        <f>"1014549722"</f>
        <v>1014549722</v>
      </c>
      <c r="D46" s="1" t="s">
        <v>67</v>
      </c>
      <c r="E46" s="1" t="s">
        <v>68</v>
      </c>
      <c r="F46" s="1" t="s">
        <v>25</v>
      </c>
      <c r="G46" s="1" t="s">
        <v>17</v>
      </c>
      <c r="H46" s="1" t="str">
        <f>"64"</f>
        <v>64</v>
      </c>
      <c r="I46" s="1" t="str">
        <f>"159.25"</f>
        <v>159.25</v>
      </c>
      <c r="J46" s="1" t="str">
        <f t="shared" ref="J46:N46" si="50">"0"</f>
        <v>0</v>
      </c>
      <c r="K46" s="1" t="str">
        <f t="shared" si="39"/>
        <v>103</v>
      </c>
      <c r="L46" s="1" t="str">
        <f t="shared" si="40"/>
        <v>47</v>
      </c>
      <c r="M46" s="1" t="str">
        <f t="shared" si="50"/>
        <v>0</v>
      </c>
      <c r="N46" s="1" t="str">
        <f t="shared" si="50"/>
        <v>0</v>
      </c>
      <c r="O46" s="1" t="str">
        <f>"9.25"</f>
        <v>9.25</v>
      </c>
    </row>
    <row r="47" s="1" customFormat="1" spans="1:15">
      <c r="A47" s="1" t="str">
        <f t="shared" si="0"/>
        <v>202406</v>
      </c>
      <c r="B47" s="1" t="str">
        <f t="shared" si="1"/>
        <v>150525100</v>
      </c>
      <c r="C47" s="1" t="str">
        <f>"1014549737"</f>
        <v>1014549737</v>
      </c>
      <c r="D47" s="1" t="str">
        <f>"152326195909090667"</f>
        <v>152326195909090667</v>
      </c>
      <c r="E47" s="1" t="s">
        <v>69</v>
      </c>
      <c r="F47" s="1" t="s">
        <v>16</v>
      </c>
      <c r="G47" s="1" t="s">
        <v>19</v>
      </c>
      <c r="H47" s="1" t="str">
        <f>"65"</f>
        <v>65</v>
      </c>
      <c r="I47" s="1" t="str">
        <f>"158.19"</f>
        <v>158.19</v>
      </c>
      <c r="J47" s="1" t="str">
        <f t="shared" ref="J47:N47" si="51">"0"</f>
        <v>0</v>
      </c>
      <c r="K47" s="1" t="str">
        <f t="shared" si="39"/>
        <v>103</v>
      </c>
      <c r="L47" s="1" t="str">
        <f t="shared" si="40"/>
        <v>47</v>
      </c>
      <c r="M47" s="1" t="str">
        <f t="shared" si="51"/>
        <v>0</v>
      </c>
      <c r="N47" s="1" t="str">
        <f t="shared" si="51"/>
        <v>0</v>
      </c>
      <c r="O47" s="1" t="str">
        <f>"8.19"</f>
        <v>8.19</v>
      </c>
    </row>
    <row r="48" s="1" customFormat="1" spans="1:15">
      <c r="A48" s="1" t="str">
        <f t="shared" si="0"/>
        <v>202406</v>
      </c>
      <c r="B48" s="1" t="str">
        <f t="shared" si="1"/>
        <v>150525100</v>
      </c>
      <c r="C48" s="1" t="str">
        <f>"1014550268"</f>
        <v>1014550268</v>
      </c>
      <c r="D48" s="1" t="str">
        <f>"152326195809260665"</f>
        <v>152326195809260665</v>
      </c>
      <c r="E48" s="1" t="s">
        <v>70</v>
      </c>
      <c r="F48" s="1" t="s">
        <v>16</v>
      </c>
      <c r="G48" s="1" t="s">
        <v>17</v>
      </c>
      <c r="H48" s="1" t="str">
        <f>"66"</f>
        <v>66</v>
      </c>
      <c r="I48" s="1" t="str">
        <f>"157.14"</f>
        <v>157.14</v>
      </c>
      <c r="J48" s="1" t="str">
        <f t="shared" ref="J48:N48" si="52">"0"</f>
        <v>0</v>
      </c>
      <c r="K48" s="1" t="str">
        <f t="shared" si="39"/>
        <v>103</v>
      </c>
      <c r="L48" s="1" t="str">
        <f t="shared" si="40"/>
        <v>47</v>
      </c>
      <c r="M48" s="1" t="str">
        <f t="shared" si="52"/>
        <v>0</v>
      </c>
      <c r="N48" s="1" t="str">
        <f t="shared" si="52"/>
        <v>0</v>
      </c>
      <c r="O48" s="1" t="str">
        <f>"7.14"</f>
        <v>7.14</v>
      </c>
    </row>
    <row r="49" s="1" customFormat="1" spans="1:15">
      <c r="A49" s="1" t="str">
        <f t="shared" si="0"/>
        <v>202406</v>
      </c>
      <c r="B49" s="1" t="str">
        <f t="shared" si="1"/>
        <v>150525100</v>
      </c>
      <c r="C49" s="1" t="str">
        <f>"1014584800"</f>
        <v>1014584800</v>
      </c>
      <c r="D49" s="1" t="str">
        <f>"152326195811250415"</f>
        <v>152326195811250415</v>
      </c>
      <c r="E49" s="1" t="s">
        <v>71</v>
      </c>
      <c r="F49" s="1" t="s">
        <v>25</v>
      </c>
      <c r="G49" s="1" t="s">
        <v>17</v>
      </c>
      <c r="H49" s="1" t="str">
        <f>"66"</f>
        <v>66</v>
      </c>
      <c r="I49" s="1" t="str">
        <f>"163.53"</f>
        <v>163.53</v>
      </c>
      <c r="J49" s="1" t="str">
        <f t="shared" ref="J49:N49" si="53">"0"</f>
        <v>0</v>
      </c>
      <c r="K49" s="1" t="str">
        <f t="shared" si="39"/>
        <v>103</v>
      </c>
      <c r="L49" s="1" t="str">
        <f t="shared" si="40"/>
        <v>47</v>
      </c>
      <c r="M49" s="1" t="str">
        <f t="shared" si="53"/>
        <v>0</v>
      </c>
      <c r="N49" s="1" t="str">
        <f t="shared" si="53"/>
        <v>0</v>
      </c>
      <c r="O49" s="1" t="str">
        <f>"13.53"</f>
        <v>13.53</v>
      </c>
    </row>
    <row r="50" s="1" customFormat="1" spans="1:15">
      <c r="A50" s="1" t="str">
        <f t="shared" si="0"/>
        <v>202406</v>
      </c>
      <c r="B50" s="1" t="str">
        <f t="shared" si="1"/>
        <v>150525100</v>
      </c>
      <c r="C50" s="1" t="str">
        <f>"1014585274"</f>
        <v>1014585274</v>
      </c>
      <c r="D50" s="1" t="str">
        <f>"152326196303170413"</f>
        <v>152326196303170413</v>
      </c>
      <c r="E50" s="1" t="s">
        <v>72</v>
      </c>
      <c r="F50" s="1" t="s">
        <v>25</v>
      </c>
      <c r="G50" s="1" t="s">
        <v>17</v>
      </c>
      <c r="H50" s="1" t="str">
        <f>"61"</f>
        <v>61</v>
      </c>
      <c r="I50" s="1" t="str">
        <f>"164.95"</f>
        <v>164.95</v>
      </c>
      <c r="J50" s="1" t="str">
        <f t="shared" ref="J50:N50" si="54">"0"</f>
        <v>0</v>
      </c>
      <c r="K50" s="1" t="str">
        <f t="shared" si="39"/>
        <v>103</v>
      </c>
      <c r="L50" s="1" t="str">
        <f t="shared" si="40"/>
        <v>47</v>
      </c>
      <c r="M50" s="1" t="str">
        <f t="shared" si="54"/>
        <v>0</v>
      </c>
      <c r="N50" s="1" t="str">
        <f t="shared" si="54"/>
        <v>0</v>
      </c>
      <c r="O50" s="1" t="str">
        <f>"14.95"</f>
        <v>14.95</v>
      </c>
    </row>
    <row r="51" s="1" customFormat="1" spans="1:15">
      <c r="A51" s="1" t="str">
        <f t="shared" si="0"/>
        <v>202406</v>
      </c>
      <c r="B51" s="1" t="str">
        <f t="shared" si="1"/>
        <v>150525100</v>
      </c>
      <c r="C51" s="1" t="str">
        <f>"1014585296"</f>
        <v>1014585296</v>
      </c>
      <c r="D51" s="1" t="str">
        <f>"152326196310170673"</f>
        <v>152326196310170673</v>
      </c>
      <c r="E51" s="1" t="s">
        <v>73</v>
      </c>
      <c r="F51" s="1" t="s">
        <v>25</v>
      </c>
      <c r="G51" s="1" t="s">
        <v>17</v>
      </c>
      <c r="H51" s="1" t="str">
        <f>"61"</f>
        <v>61</v>
      </c>
      <c r="I51" s="1" t="str">
        <f>"166.3"</f>
        <v>166.3</v>
      </c>
      <c r="J51" s="1" t="str">
        <f t="shared" ref="J51:N51" si="55">"0"</f>
        <v>0</v>
      </c>
      <c r="K51" s="1" t="str">
        <f t="shared" si="39"/>
        <v>103</v>
      </c>
      <c r="L51" s="1" t="str">
        <f t="shared" si="40"/>
        <v>47</v>
      </c>
      <c r="M51" s="1" t="str">
        <f t="shared" si="55"/>
        <v>0</v>
      </c>
      <c r="N51" s="1" t="str">
        <f t="shared" si="55"/>
        <v>0</v>
      </c>
      <c r="O51" s="1" t="str">
        <f>"16.3"</f>
        <v>16.3</v>
      </c>
    </row>
    <row r="52" s="1" customFormat="1" spans="1:15">
      <c r="A52" s="1" t="str">
        <f t="shared" si="0"/>
        <v>202406</v>
      </c>
      <c r="B52" s="1" t="str">
        <f t="shared" si="1"/>
        <v>150525100</v>
      </c>
      <c r="C52" s="1" t="str">
        <f>"1040641700"</f>
        <v>1040641700</v>
      </c>
      <c r="D52" s="1" t="str">
        <f>"152326195612243087"</f>
        <v>152326195612243087</v>
      </c>
      <c r="E52" s="1" t="s">
        <v>74</v>
      </c>
      <c r="F52" s="1" t="s">
        <v>16</v>
      </c>
      <c r="G52" s="1" t="s">
        <v>17</v>
      </c>
      <c r="H52" s="1" t="str">
        <f>"68"</f>
        <v>68</v>
      </c>
      <c r="I52" s="1" t="str">
        <f>"154.95"</f>
        <v>154.95</v>
      </c>
      <c r="J52" s="1" t="str">
        <f t="shared" ref="J52:N52" si="56">"0"</f>
        <v>0</v>
      </c>
      <c r="K52" s="1" t="str">
        <f t="shared" si="39"/>
        <v>103</v>
      </c>
      <c r="L52" s="1" t="str">
        <f t="shared" si="40"/>
        <v>47</v>
      </c>
      <c r="M52" s="1" t="str">
        <f t="shared" si="56"/>
        <v>0</v>
      </c>
      <c r="N52" s="1" t="str">
        <f t="shared" si="56"/>
        <v>0</v>
      </c>
      <c r="O52" s="1" t="str">
        <f>"4.95"</f>
        <v>4.95</v>
      </c>
    </row>
    <row r="53" s="1" customFormat="1" spans="1:15">
      <c r="A53" s="1" t="str">
        <f t="shared" si="0"/>
        <v>202406</v>
      </c>
      <c r="B53" s="1" t="str">
        <f t="shared" si="1"/>
        <v>150525100</v>
      </c>
      <c r="C53" s="1" t="str">
        <f>"1040641630"</f>
        <v>1040641630</v>
      </c>
      <c r="D53" s="1" t="str">
        <f>"152326195411120910"</f>
        <v>152326195411120910</v>
      </c>
      <c r="E53" s="1" t="s">
        <v>75</v>
      </c>
      <c r="F53" s="1" t="s">
        <v>25</v>
      </c>
      <c r="G53" s="1" t="s">
        <v>19</v>
      </c>
      <c r="H53" s="1" t="str">
        <f>"70"</f>
        <v>70</v>
      </c>
      <c r="I53" s="1" t="str">
        <f>"153.55"</f>
        <v>153.55</v>
      </c>
      <c r="J53" s="1" t="str">
        <f t="shared" ref="J53:N53" si="57">"0"</f>
        <v>0</v>
      </c>
      <c r="K53" s="1" t="str">
        <f t="shared" si="39"/>
        <v>103</v>
      </c>
      <c r="L53" s="1" t="str">
        <f t="shared" si="40"/>
        <v>47</v>
      </c>
      <c r="M53" s="1" t="str">
        <f t="shared" si="57"/>
        <v>0</v>
      </c>
      <c r="N53" s="1" t="str">
        <f t="shared" si="57"/>
        <v>0</v>
      </c>
      <c r="O53" s="1" t="str">
        <f>"3.55"</f>
        <v>3.55</v>
      </c>
    </row>
    <row r="54" s="1" customFormat="1" spans="1:15">
      <c r="A54" s="1" t="str">
        <f t="shared" si="0"/>
        <v>202406</v>
      </c>
      <c r="B54" s="1" t="str">
        <f t="shared" si="1"/>
        <v>150525100</v>
      </c>
      <c r="C54" s="1" t="str">
        <f>"1040641639"</f>
        <v>1040641639</v>
      </c>
      <c r="D54" s="1" t="str">
        <f>"152326196102140920"</f>
        <v>152326196102140920</v>
      </c>
      <c r="E54" s="1" t="s">
        <v>76</v>
      </c>
      <c r="F54" s="1" t="s">
        <v>16</v>
      </c>
      <c r="G54" s="1" t="s">
        <v>19</v>
      </c>
      <c r="H54" s="1" t="str">
        <f>"63"</f>
        <v>63</v>
      </c>
      <c r="I54" s="1" t="str">
        <f>"161.9"</f>
        <v>161.9</v>
      </c>
      <c r="J54" s="1" t="str">
        <f t="shared" ref="J54:N54" si="58">"0"</f>
        <v>0</v>
      </c>
      <c r="K54" s="1" t="str">
        <f t="shared" si="39"/>
        <v>103</v>
      </c>
      <c r="L54" s="1" t="str">
        <f t="shared" si="40"/>
        <v>47</v>
      </c>
      <c r="M54" s="1" t="str">
        <f t="shared" si="58"/>
        <v>0</v>
      </c>
      <c r="N54" s="1" t="str">
        <f t="shared" si="58"/>
        <v>0</v>
      </c>
      <c r="O54" s="1" t="str">
        <f>"11.9"</f>
        <v>11.9</v>
      </c>
    </row>
    <row r="55" s="1" customFormat="1" spans="1:15">
      <c r="A55" s="1" t="str">
        <f t="shared" si="0"/>
        <v>202406</v>
      </c>
      <c r="B55" s="1" t="str">
        <f t="shared" si="1"/>
        <v>150525100</v>
      </c>
      <c r="C55" s="1" t="str">
        <f>"1040641644"</f>
        <v>1040641644</v>
      </c>
      <c r="D55" s="1" t="str">
        <f>"152326195603130929"</f>
        <v>152326195603130929</v>
      </c>
      <c r="E55" s="1" t="s">
        <v>77</v>
      </c>
      <c r="F55" s="1" t="s">
        <v>16</v>
      </c>
      <c r="G55" s="1" t="s">
        <v>19</v>
      </c>
      <c r="H55" s="1" t="str">
        <f>"68"</f>
        <v>68</v>
      </c>
      <c r="I55" s="1" t="str">
        <f>"155.27"</f>
        <v>155.27</v>
      </c>
      <c r="J55" s="1" t="str">
        <f t="shared" ref="J55:N55" si="59">"0"</f>
        <v>0</v>
      </c>
      <c r="K55" s="1" t="str">
        <f t="shared" si="39"/>
        <v>103</v>
      </c>
      <c r="L55" s="1" t="str">
        <f t="shared" si="40"/>
        <v>47</v>
      </c>
      <c r="M55" s="1" t="str">
        <f t="shared" si="59"/>
        <v>0</v>
      </c>
      <c r="N55" s="1" t="str">
        <f t="shared" si="59"/>
        <v>0</v>
      </c>
      <c r="O55" s="1" t="str">
        <f>"5.27"</f>
        <v>5.27</v>
      </c>
    </row>
    <row r="56" s="1" customFormat="1" spans="1:15">
      <c r="A56" s="1" t="str">
        <f t="shared" si="0"/>
        <v>202406</v>
      </c>
      <c r="B56" s="1" t="str">
        <f t="shared" si="1"/>
        <v>150525100</v>
      </c>
      <c r="C56" s="1" t="str">
        <f>"1040641657"</f>
        <v>1040641657</v>
      </c>
      <c r="D56" s="1" t="str">
        <f>"152326195712240668"</f>
        <v>152326195712240668</v>
      </c>
      <c r="E56" s="1" t="s">
        <v>78</v>
      </c>
      <c r="F56" s="1" t="s">
        <v>16</v>
      </c>
      <c r="G56" s="1" t="s">
        <v>17</v>
      </c>
      <c r="H56" s="1" t="str">
        <f>"67"</f>
        <v>67</v>
      </c>
      <c r="I56" s="1" t="str">
        <f>"155.27"</f>
        <v>155.27</v>
      </c>
      <c r="J56" s="1" t="str">
        <f t="shared" ref="J56:N56" si="60">"0"</f>
        <v>0</v>
      </c>
      <c r="K56" s="1" t="str">
        <f t="shared" si="39"/>
        <v>103</v>
      </c>
      <c r="L56" s="1" t="str">
        <f t="shared" si="40"/>
        <v>47</v>
      </c>
      <c r="M56" s="1" t="str">
        <f t="shared" si="60"/>
        <v>0</v>
      </c>
      <c r="N56" s="1" t="str">
        <f t="shared" si="60"/>
        <v>0</v>
      </c>
      <c r="O56" s="1" t="str">
        <f>"5.27"</f>
        <v>5.27</v>
      </c>
    </row>
    <row r="57" s="1" customFormat="1" spans="1:15">
      <c r="A57" s="1" t="str">
        <f t="shared" si="0"/>
        <v>202406</v>
      </c>
      <c r="B57" s="1" t="str">
        <f t="shared" si="1"/>
        <v>150525100</v>
      </c>
      <c r="C57" s="1" t="str">
        <f>"1040641660"</f>
        <v>1040641660</v>
      </c>
      <c r="D57" s="1" t="str">
        <f>"152326195408160671"</f>
        <v>152326195408160671</v>
      </c>
      <c r="E57" s="1" t="s">
        <v>79</v>
      </c>
      <c r="F57" s="1" t="s">
        <v>25</v>
      </c>
      <c r="G57" s="1" t="s">
        <v>19</v>
      </c>
      <c r="H57" s="1" t="str">
        <f>"70"</f>
        <v>70</v>
      </c>
      <c r="I57" s="1" t="str">
        <f>"153.55"</f>
        <v>153.55</v>
      </c>
      <c r="J57" s="1" t="str">
        <f t="shared" ref="J57:N57" si="61">"0"</f>
        <v>0</v>
      </c>
      <c r="K57" s="1" t="str">
        <f t="shared" si="39"/>
        <v>103</v>
      </c>
      <c r="L57" s="1" t="str">
        <f t="shared" si="40"/>
        <v>47</v>
      </c>
      <c r="M57" s="1" t="str">
        <f t="shared" si="61"/>
        <v>0</v>
      </c>
      <c r="N57" s="1" t="str">
        <f t="shared" si="61"/>
        <v>0</v>
      </c>
      <c r="O57" s="1" t="str">
        <f>"3.55"</f>
        <v>3.55</v>
      </c>
    </row>
    <row r="58" s="1" customFormat="1" spans="1:15">
      <c r="A58" s="1" t="str">
        <f t="shared" si="0"/>
        <v>202406</v>
      </c>
      <c r="B58" s="1" t="str">
        <f t="shared" si="1"/>
        <v>150525100</v>
      </c>
      <c r="C58" s="1" t="str">
        <f>"1040641676"</f>
        <v>1040641676</v>
      </c>
      <c r="D58" s="1" t="str">
        <f>"152326196201057620"</f>
        <v>152326196201057620</v>
      </c>
      <c r="E58" s="1" t="s">
        <v>80</v>
      </c>
      <c r="F58" s="1" t="s">
        <v>16</v>
      </c>
      <c r="G58" s="1" t="s">
        <v>17</v>
      </c>
      <c r="H58" s="1" t="str">
        <f>"63"</f>
        <v>63</v>
      </c>
      <c r="I58" s="1" t="str">
        <f>"161.02"</f>
        <v>161.02</v>
      </c>
      <c r="J58" s="1" t="str">
        <f t="shared" ref="J58:N58" si="62">"0"</f>
        <v>0</v>
      </c>
      <c r="K58" s="1" t="str">
        <f t="shared" si="39"/>
        <v>103</v>
      </c>
      <c r="L58" s="1" t="str">
        <f t="shared" si="40"/>
        <v>47</v>
      </c>
      <c r="M58" s="1" t="str">
        <f t="shared" si="62"/>
        <v>0</v>
      </c>
      <c r="N58" s="1" t="str">
        <f t="shared" si="62"/>
        <v>0</v>
      </c>
      <c r="O58" s="1" t="str">
        <f>"11.02"</f>
        <v>11.02</v>
      </c>
    </row>
    <row r="59" s="1" customFormat="1" spans="1:15">
      <c r="A59" s="1" t="str">
        <f t="shared" si="0"/>
        <v>202406</v>
      </c>
      <c r="B59" s="1" t="str">
        <f t="shared" si="1"/>
        <v>150525100</v>
      </c>
      <c r="C59" s="1" t="str">
        <f>"1040641684"</f>
        <v>1040641684</v>
      </c>
      <c r="D59" s="1" t="str">
        <f>"152326196101020660"</f>
        <v>152326196101020660</v>
      </c>
      <c r="E59" s="1" t="s">
        <v>81</v>
      </c>
      <c r="F59" s="1" t="s">
        <v>16</v>
      </c>
      <c r="G59" s="1" t="s">
        <v>17</v>
      </c>
      <c r="H59" s="1" t="str">
        <f>"64"</f>
        <v>64</v>
      </c>
      <c r="I59" s="1" t="str">
        <f>"159.31"</f>
        <v>159.31</v>
      </c>
      <c r="J59" s="1" t="str">
        <f t="shared" ref="J59:N59" si="63">"0"</f>
        <v>0</v>
      </c>
      <c r="K59" s="1" t="str">
        <f t="shared" si="39"/>
        <v>103</v>
      </c>
      <c r="L59" s="1" t="str">
        <f t="shared" si="40"/>
        <v>47</v>
      </c>
      <c r="M59" s="1" t="str">
        <f t="shared" si="63"/>
        <v>0</v>
      </c>
      <c r="N59" s="1" t="str">
        <f t="shared" si="63"/>
        <v>0</v>
      </c>
      <c r="O59" s="1" t="str">
        <f>"9.31"</f>
        <v>9.31</v>
      </c>
    </row>
    <row r="60" s="1" customFormat="1" spans="1:15">
      <c r="A60" s="1" t="str">
        <f t="shared" si="0"/>
        <v>202406</v>
      </c>
      <c r="B60" s="1" t="str">
        <f t="shared" si="1"/>
        <v>150525100</v>
      </c>
      <c r="C60" s="1" t="str">
        <f>"1040641685"</f>
        <v>1040641685</v>
      </c>
      <c r="D60" s="1" t="str">
        <f>"152326195812060672"</f>
        <v>152326195812060672</v>
      </c>
      <c r="E60" s="1" t="s">
        <v>82</v>
      </c>
      <c r="F60" s="1" t="s">
        <v>25</v>
      </c>
      <c r="G60" s="1" t="s">
        <v>17</v>
      </c>
      <c r="H60" s="1" t="str">
        <f>"66"</f>
        <v>66</v>
      </c>
      <c r="I60" s="1" t="str">
        <f>"157.24"</f>
        <v>157.24</v>
      </c>
      <c r="J60" s="1" t="str">
        <f t="shared" ref="J60:N60" si="64">"0"</f>
        <v>0</v>
      </c>
      <c r="K60" s="1" t="str">
        <f t="shared" si="39"/>
        <v>103</v>
      </c>
      <c r="L60" s="1" t="str">
        <f t="shared" si="40"/>
        <v>47</v>
      </c>
      <c r="M60" s="1" t="str">
        <f t="shared" si="64"/>
        <v>0</v>
      </c>
      <c r="N60" s="1" t="str">
        <f t="shared" si="64"/>
        <v>0</v>
      </c>
      <c r="O60" s="1" t="str">
        <f>"7.24"</f>
        <v>7.24</v>
      </c>
    </row>
    <row r="61" s="1" customFormat="1" spans="1:15">
      <c r="A61" s="1" t="str">
        <f t="shared" si="0"/>
        <v>202406</v>
      </c>
      <c r="B61" s="1" t="str">
        <f t="shared" si="1"/>
        <v>150525100</v>
      </c>
      <c r="C61" s="1" t="str">
        <f>"1040641689"</f>
        <v>1040641689</v>
      </c>
      <c r="D61" s="1" t="str">
        <f>"152326195706130665"</f>
        <v>152326195706130665</v>
      </c>
      <c r="E61" s="1" t="s">
        <v>83</v>
      </c>
      <c r="F61" s="1" t="s">
        <v>16</v>
      </c>
      <c r="G61" s="1" t="s">
        <v>17</v>
      </c>
      <c r="H61" s="1" t="str">
        <f>"67"</f>
        <v>67</v>
      </c>
      <c r="I61" s="1" t="str">
        <f>"155.02"</f>
        <v>155.02</v>
      </c>
      <c r="J61" s="1" t="str">
        <f t="shared" ref="J61:N61" si="65">"0"</f>
        <v>0</v>
      </c>
      <c r="K61" s="1" t="str">
        <f t="shared" si="39"/>
        <v>103</v>
      </c>
      <c r="L61" s="1" t="str">
        <f t="shared" si="40"/>
        <v>47</v>
      </c>
      <c r="M61" s="1" t="str">
        <f t="shared" si="65"/>
        <v>0</v>
      </c>
      <c r="N61" s="1" t="str">
        <f t="shared" si="65"/>
        <v>0</v>
      </c>
      <c r="O61" s="1" t="str">
        <f>"5.02"</f>
        <v>5.02</v>
      </c>
    </row>
    <row r="62" s="1" customFormat="1" spans="1:15">
      <c r="A62" s="1" t="str">
        <f t="shared" si="0"/>
        <v>202406</v>
      </c>
      <c r="B62" s="1" t="str">
        <f t="shared" si="1"/>
        <v>150525100</v>
      </c>
      <c r="C62" s="1" t="str">
        <f>"1014561437"</f>
        <v>1014561437</v>
      </c>
      <c r="D62" s="1" t="str">
        <f>"152326195301150414"</f>
        <v>152326195301150414</v>
      </c>
      <c r="E62" s="1" t="s">
        <v>84</v>
      </c>
      <c r="F62" s="1" t="s">
        <v>25</v>
      </c>
      <c r="G62" s="1" t="s">
        <v>17</v>
      </c>
      <c r="H62" s="1" t="str">
        <f>"71"</f>
        <v>71</v>
      </c>
      <c r="I62" s="1" t="str">
        <f>"163.16"</f>
        <v>163.16</v>
      </c>
      <c r="J62" s="1" t="str">
        <f t="shared" ref="J62:N62" si="66">"0"</f>
        <v>0</v>
      </c>
      <c r="K62" s="1" t="str">
        <f t="shared" si="39"/>
        <v>103</v>
      </c>
      <c r="L62" s="1" t="str">
        <f t="shared" si="40"/>
        <v>47</v>
      </c>
      <c r="M62" s="1" t="str">
        <f t="shared" si="66"/>
        <v>0</v>
      </c>
      <c r="N62" s="1" t="str">
        <f t="shared" si="66"/>
        <v>0</v>
      </c>
      <c r="O62" s="1" t="str">
        <f>"3.16"</f>
        <v>3.16</v>
      </c>
    </row>
    <row r="63" s="1" customFormat="1" spans="1:15">
      <c r="A63" s="1" t="str">
        <f t="shared" si="0"/>
        <v>202406</v>
      </c>
      <c r="B63" s="1" t="str">
        <f t="shared" si="1"/>
        <v>150525100</v>
      </c>
      <c r="C63" s="1" t="str">
        <f>"1014561448"</f>
        <v>1014561448</v>
      </c>
      <c r="D63" s="1" t="str">
        <f>"152326195309260423"</f>
        <v>152326195309260423</v>
      </c>
      <c r="E63" s="1" t="s">
        <v>85</v>
      </c>
      <c r="F63" s="1" t="s">
        <v>16</v>
      </c>
      <c r="G63" s="1" t="s">
        <v>17</v>
      </c>
      <c r="H63" s="1" t="str">
        <f>"71"</f>
        <v>71</v>
      </c>
      <c r="I63" s="1" t="str">
        <f>"163.16"</f>
        <v>163.16</v>
      </c>
      <c r="J63" s="1" t="str">
        <f t="shared" ref="J63:N63" si="67">"0"</f>
        <v>0</v>
      </c>
      <c r="K63" s="1" t="str">
        <f t="shared" si="39"/>
        <v>103</v>
      </c>
      <c r="L63" s="1" t="str">
        <f t="shared" si="40"/>
        <v>47</v>
      </c>
      <c r="M63" s="1" t="str">
        <f t="shared" si="67"/>
        <v>0</v>
      </c>
      <c r="N63" s="1" t="str">
        <f t="shared" si="67"/>
        <v>0</v>
      </c>
      <c r="O63" s="1" t="str">
        <f>"3.16"</f>
        <v>3.16</v>
      </c>
    </row>
    <row r="64" s="1" customFormat="1" spans="1:15">
      <c r="A64" s="1" t="str">
        <f t="shared" si="0"/>
        <v>202406</v>
      </c>
      <c r="B64" s="1" t="str">
        <f t="shared" si="1"/>
        <v>150525100</v>
      </c>
      <c r="C64" s="1" t="str">
        <f>"1014562682"</f>
        <v>1014562682</v>
      </c>
      <c r="D64" s="1" t="str">
        <f>"152326195503160442"</f>
        <v>152326195503160442</v>
      </c>
      <c r="E64" s="1" t="s">
        <v>86</v>
      </c>
      <c r="F64" s="1" t="s">
        <v>16</v>
      </c>
      <c r="G64" s="1" t="s">
        <v>17</v>
      </c>
      <c r="H64" s="1" t="str">
        <f t="shared" ref="H64:H67" si="68">"69"</f>
        <v>69</v>
      </c>
      <c r="I64" s="1" t="str">
        <f>"155.12"</f>
        <v>155.12</v>
      </c>
      <c r="J64" s="1" t="str">
        <f t="shared" ref="J64:N64" si="69">"0"</f>
        <v>0</v>
      </c>
      <c r="K64" s="1" t="str">
        <f t="shared" si="39"/>
        <v>103</v>
      </c>
      <c r="L64" s="1" t="str">
        <f t="shared" si="40"/>
        <v>47</v>
      </c>
      <c r="M64" s="1" t="str">
        <f t="shared" si="69"/>
        <v>0</v>
      </c>
      <c r="N64" s="1" t="str">
        <f t="shared" si="69"/>
        <v>0</v>
      </c>
      <c r="O64" s="1" t="str">
        <f>"5.12"</f>
        <v>5.12</v>
      </c>
    </row>
    <row r="65" s="1" customFormat="1" spans="1:15">
      <c r="A65" s="1" t="str">
        <f t="shared" si="0"/>
        <v>202406</v>
      </c>
      <c r="B65" s="1" t="str">
        <f t="shared" si="1"/>
        <v>150525100</v>
      </c>
      <c r="C65" s="1" t="str">
        <f>"1014583896"</f>
        <v>1014583896</v>
      </c>
      <c r="D65" s="1" t="str">
        <f>"152326195506190671"</f>
        <v>152326195506190671</v>
      </c>
      <c r="E65" s="1" t="s">
        <v>87</v>
      </c>
      <c r="F65" s="1" t="s">
        <v>25</v>
      </c>
      <c r="G65" s="1" t="s">
        <v>17</v>
      </c>
      <c r="H65" s="1" t="str">
        <f t="shared" si="68"/>
        <v>69</v>
      </c>
      <c r="I65" s="1" t="str">
        <f>"155.09"</f>
        <v>155.09</v>
      </c>
      <c r="J65" s="1" t="str">
        <f t="shared" ref="J65:N65" si="70">"0"</f>
        <v>0</v>
      </c>
      <c r="K65" s="1" t="str">
        <f t="shared" si="39"/>
        <v>103</v>
      </c>
      <c r="L65" s="1" t="str">
        <f t="shared" si="40"/>
        <v>47</v>
      </c>
      <c r="M65" s="1" t="str">
        <f t="shared" si="70"/>
        <v>0</v>
      </c>
      <c r="N65" s="1" t="str">
        <f t="shared" si="70"/>
        <v>0</v>
      </c>
      <c r="O65" s="1" t="str">
        <f>"5.09"</f>
        <v>5.09</v>
      </c>
    </row>
    <row r="66" s="1" customFormat="1" spans="1:15">
      <c r="A66" s="1" t="str">
        <f t="shared" ref="A66:A129" si="71">"202406"</f>
        <v>202406</v>
      </c>
      <c r="B66" s="1" t="str">
        <f t="shared" ref="B66:B129" si="72">"150525100"</f>
        <v>150525100</v>
      </c>
      <c r="C66" s="1" t="str">
        <f>"1014583899"</f>
        <v>1014583899</v>
      </c>
      <c r="D66" s="1" t="str">
        <f>"152326195508140678"</f>
        <v>152326195508140678</v>
      </c>
      <c r="E66" s="1" t="s">
        <v>88</v>
      </c>
      <c r="F66" s="1" t="s">
        <v>25</v>
      </c>
      <c r="G66" s="1" t="s">
        <v>17</v>
      </c>
      <c r="H66" s="1" t="str">
        <f t="shared" si="68"/>
        <v>69</v>
      </c>
      <c r="I66" s="1" t="str">
        <f>"154.94"</f>
        <v>154.94</v>
      </c>
      <c r="J66" s="1" t="str">
        <f t="shared" ref="J66:N66" si="73">"0"</f>
        <v>0</v>
      </c>
      <c r="K66" s="1" t="str">
        <f t="shared" si="39"/>
        <v>103</v>
      </c>
      <c r="L66" s="1" t="str">
        <f t="shared" si="40"/>
        <v>47</v>
      </c>
      <c r="M66" s="1" t="str">
        <f t="shared" si="73"/>
        <v>0</v>
      </c>
      <c r="N66" s="1" t="str">
        <f t="shared" si="73"/>
        <v>0</v>
      </c>
      <c r="O66" s="1" t="str">
        <f>"4.94"</f>
        <v>4.94</v>
      </c>
    </row>
    <row r="67" s="1" customFormat="1" spans="1:15">
      <c r="A67" s="1" t="str">
        <f t="shared" si="71"/>
        <v>202406</v>
      </c>
      <c r="B67" s="1" t="str">
        <f t="shared" si="72"/>
        <v>150525100</v>
      </c>
      <c r="C67" s="1" t="str">
        <f>"1014583908"</f>
        <v>1014583908</v>
      </c>
      <c r="D67" s="1" t="str">
        <f>"152326195511070412"</f>
        <v>152326195511070412</v>
      </c>
      <c r="E67" s="1" t="s">
        <v>89</v>
      </c>
      <c r="F67" s="1" t="s">
        <v>25</v>
      </c>
      <c r="G67" s="1" t="s">
        <v>17</v>
      </c>
      <c r="H67" s="1" t="str">
        <f t="shared" si="68"/>
        <v>69</v>
      </c>
      <c r="I67" s="1" t="str">
        <f>"155.09"</f>
        <v>155.09</v>
      </c>
      <c r="J67" s="1" t="str">
        <f t="shared" ref="J67:N67" si="74">"0"</f>
        <v>0</v>
      </c>
      <c r="K67" s="1" t="str">
        <f t="shared" si="39"/>
        <v>103</v>
      </c>
      <c r="L67" s="1" t="str">
        <f t="shared" si="40"/>
        <v>47</v>
      </c>
      <c r="M67" s="1" t="str">
        <f t="shared" si="74"/>
        <v>0</v>
      </c>
      <c r="N67" s="1" t="str">
        <f t="shared" si="74"/>
        <v>0</v>
      </c>
      <c r="O67" s="1" t="str">
        <f>"5.09"</f>
        <v>5.09</v>
      </c>
    </row>
    <row r="68" s="1" customFormat="1" spans="1:15">
      <c r="A68" s="1" t="str">
        <f t="shared" si="71"/>
        <v>202406</v>
      </c>
      <c r="B68" s="1" t="str">
        <f t="shared" si="72"/>
        <v>150525100</v>
      </c>
      <c r="C68" s="1" t="str">
        <f>"1014584188"</f>
        <v>1014584188</v>
      </c>
      <c r="D68" s="1" t="str">
        <f>"152326195911160417"</f>
        <v>152326195911160417</v>
      </c>
      <c r="E68" s="1" t="s">
        <v>90</v>
      </c>
      <c r="F68" s="1" t="s">
        <v>25</v>
      </c>
      <c r="G68" s="1" t="s">
        <v>17</v>
      </c>
      <c r="H68" s="1" t="str">
        <f>"65"</f>
        <v>65</v>
      </c>
      <c r="I68" s="1" t="str">
        <f>"158.2"</f>
        <v>158.2</v>
      </c>
      <c r="J68" s="1" t="str">
        <f t="shared" ref="J68:N68" si="75">"0"</f>
        <v>0</v>
      </c>
      <c r="K68" s="1" t="str">
        <f t="shared" si="39"/>
        <v>103</v>
      </c>
      <c r="L68" s="1" t="str">
        <f t="shared" si="40"/>
        <v>47</v>
      </c>
      <c r="M68" s="1" t="str">
        <f t="shared" si="75"/>
        <v>0</v>
      </c>
      <c r="N68" s="1" t="str">
        <f t="shared" si="75"/>
        <v>0</v>
      </c>
      <c r="O68" s="1" t="str">
        <f>"8.2"</f>
        <v>8.2</v>
      </c>
    </row>
    <row r="69" s="1" customFormat="1" spans="1:15">
      <c r="A69" s="1" t="str">
        <f t="shared" si="71"/>
        <v>202406</v>
      </c>
      <c r="B69" s="1" t="str">
        <f t="shared" si="72"/>
        <v>150525100</v>
      </c>
      <c r="C69" s="1" t="str">
        <f>"1014584191"</f>
        <v>1014584191</v>
      </c>
      <c r="D69" s="1" t="str">
        <f>"152326195912070413"</f>
        <v>152326195912070413</v>
      </c>
      <c r="E69" s="1" t="s">
        <v>91</v>
      </c>
      <c r="F69" s="1" t="s">
        <v>25</v>
      </c>
      <c r="G69" s="1" t="s">
        <v>17</v>
      </c>
      <c r="H69" s="1" t="str">
        <f>"65"</f>
        <v>65</v>
      </c>
      <c r="I69" s="1" t="str">
        <f>"158.21"</f>
        <v>158.21</v>
      </c>
      <c r="J69" s="1" t="str">
        <f t="shared" ref="J69:N69" si="76">"0"</f>
        <v>0</v>
      </c>
      <c r="K69" s="1" t="str">
        <f t="shared" si="39"/>
        <v>103</v>
      </c>
      <c r="L69" s="1" t="str">
        <f t="shared" si="40"/>
        <v>47</v>
      </c>
      <c r="M69" s="1" t="str">
        <f t="shared" si="76"/>
        <v>0</v>
      </c>
      <c r="N69" s="1" t="str">
        <f t="shared" si="76"/>
        <v>0</v>
      </c>
      <c r="O69" s="1" t="str">
        <f>"8.21"</f>
        <v>8.21</v>
      </c>
    </row>
    <row r="70" s="1" customFormat="1" spans="1:15">
      <c r="A70" s="1" t="str">
        <f t="shared" si="71"/>
        <v>202406</v>
      </c>
      <c r="B70" s="1" t="str">
        <f t="shared" si="72"/>
        <v>150525100</v>
      </c>
      <c r="C70" s="1" t="str">
        <f>"1014584208"</f>
        <v>1014584208</v>
      </c>
      <c r="D70" s="1" t="str">
        <f>"152326196010200674"</f>
        <v>152326196010200674</v>
      </c>
      <c r="E70" s="1" t="s">
        <v>92</v>
      </c>
      <c r="F70" s="1" t="s">
        <v>25</v>
      </c>
      <c r="G70" s="1" t="s">
        <v>17</v>
      </c>
      <c r="H70" s="1" t="str">
        <f t="shared" ref="H70:H74" si="77">"64"</f>
        <v>64</v>
      </c>
      <c r="I70" s="1" t="str">
        <f>"157.6"</f>
        <v>157.6</v>
      </c>
      <c r="J70" s="1" t="str">
        <f t="shared" ref="J70:N70" si="78">"0"</f>
        <v>0</v>
      </c>
      <c r="K70" s="1" t="str">
        <f t="shared" si="39"/>
        <v>103</v>
      </c>
      <c r="L70" s="1" t="str">
        <f t="shared" si="40"/>
        <v>47</v>
      </c>
      <c r="M70" s="1" t="str">
        <f t="shared" si="78"/>
        <v>0</v>
      </c>
      <c r="N70" s="1" t="str">
        <f t="shared" si="78"/>
        <v>0</v>
      </c>
      <c r="O70" s="1" t="str">
        <f>"7.6"</f>
        <v>7.6</v>
      </c>
    </row>
    <row r="71" s="1" customFormat="1" spans="1:15">
      <c r="A71" s="1" t="str">
        <f t="shared" si="71"/>
        <v>202406</v>
      </c>
      <c r="B71" s="1" t="str">
        <f t="shared" si="72"/>
        <v>150525100</v>
      </c>
      <c r="C71" s="1" t="str">
        <f>"1014549755"</f>
        <v>1014549755</v>
      </c>
      <c r="D71" s="1" t="str">
        <f>"152326196002060675"</f>
        <v>152326196002060675</v>
      </c>
      <c r="E71" s="1" t="s">
        <v>93</v>
      </c>
      <c r="F71" s="1" t="s">
        <v>25</v>
      </c>
      <c r="G71" s="1" t="s">
        <v>19</v>
      </c>
      <c r="H71" s="1" t="str">
        <f t="shared" si="77"/>
        <v>64</v>
      </c>
      <c r="I71" s="1" t="str">
        <f>"159.18"</f>
        <v>159.18</v>
      </c>
      <c r="J71" s="1" t="str">
        <f t="shared" ref="J71:N71" si="79">"0"</f>
        <v>0</v>
      </c>
      <c r="K71" s="1" t="str">
        <f t="shared" si="39"/>
        <v>103</v>
      </c>
      <c r="L71" s="1" t="str">
        <f t="shared" si="40"/>
        <v>47</v>
      </c>
      <c r="M71" s="1" t="str">
        <f t="shared" si="79"/>
        <v>0</v>
      </c>
      <c r="N71" s="1" t="str">
        <f t="shared" si="79"/>
        <v>0</v>
      </c>
      <c r="O71" s="1" t="str">
        <f>"9.18"</f>
        <v>9.18</v>
      </c>
    </row>
    <row r="72" s="1" customFormat="1" spans="1:15">
      <c r="A72" s="1" t="str">
        <f t="shared" si="71"/>
        <v>202406</v>
      </c>
      <c r="B72" s="1" t="str">
        <f t="shared" si="72"/>
        <v>150525100</v>
      </c>
      <c r="C72" s="1" t="str">
        <f>"1014549758"</f>
        <v>1014549758</v>
      </c>
      <c r="D72" s="1" t="str">
        <f>"152326196002113829"</f>
        <v>152326196002113829</v>
      </c>
      <c r="E72" s="1" t="s">
        <v>94</v>
      </c>
      <c r="F72" s="1" t="s">
        <v>16</v>
      </c>
      <c r="G72" s="1" t="s">
        <v>19</v>
      </c>
      <c r="H72" s="1" t="str">
        <f t="shared" si="77"/>
        <v>64</v>
      </c>
      <c r="I72" s="1" t="str">
        <f>"159.18"</f>
        <v>159.18</v>
      </c>
      <c r="J72" s="1" t="str">
        <f t="shared" ref="J72:N72" si="80">"0"</f>
        <v>0</v>
      </c>
      <c r="K72" s="1" t="str">
        <f t="shared" si="39"/>
        <v>103</v>
      </c>
      <c r="L72" s="1" t="str">
        <f t="shared" si="40"/>
        <v>47</v>
      </c>
      <c r="M72" s="1" t="str">
        <f t="shared" si="80"/>
        <v>0</v>
      </c>
      <c r="N72" s="1" t="str">
        <f t="shared" si="80"/>
        <v>0</v>
      </c>
      <c r="O72" s="1" t="str">
        <f>"9.18"</f>
        <v>9.18</v>
      </c>
    </row>
    <row r="73" s="1" customFormat="1" spans="1:15">
      <c r="A73" s="1" t="str">
        <f t="shared" si="71"/>
        <v>202406</v>
      </c>
      <c r="B73" s="1" t="str">
        <f t="shared" si="72"/>
        <v>150525100</v>
      </c>
      <c r="C73" s="1" t="str">
        <f>"1014549768"</f>
        <v>1014549768</v>
      </c>
      <c r="D73" s="1" t="str">
        <f>"152326196004220679"</f>
        <v>152326196004220679</v>
      </c>
      <c r="E73" s="1" t="s">
        <v>95</v>
      </c>
      <c r="F73" s="1" t="s">
        <v>25</v>
      </c>
      <c r="G73" s="1" t="s">
        <v>96</v>
      </c>
      <c r="H73" s="1" t="str">
        <f t="shared" si="77"/>
        <v>64</v>
      </c>
      <c r="I73" s="1" t="str">
        <f>"159.2"</f>
        <v>159.2</v>
      </c>
      <c r="J73" s="1" t="str">
        <f t="shared" ref="J73:N73" si="81">"0"</f>
        <v>0</v>
      </c>
      <c r="K73" s="1" t="str">
        <f t="shared" si="39"/>
        <v>103</v>
      </c>
      <c r="L73" s="1" t="str">
        <f t="shared" si="40"/>
        <v>47</v>
      </c>
      <c r="M73" s="1" t="str">
        <f t="shared" si="81"/>
        <v>0</v>
      </c>
      <c r="N73" s="1" t="str">
        <f t="shared" si="81"/>
        <v>0</v>
      </c>
      <c r="O73" s="1" t="str">
        <f>"9.2"</f>
        <v>9.2</v>
      </c>
    </row>
    <row r="74" s="1" customFormat="1" spans="1:15">
      <c r="A74" s="1" t="str">
        <f t="shared" si="71"/>
        <v>202406</v>
      </c>
      <c r="B74" s="1" t="str">
        <f t="shared" si="72"/>
        <v>150525100</v>
      </c>
      <c r="C74" s="1" t="str">
        <f>"1014549770"</f>
        <v>1014549770</v>
      </c>
      <c r="D74" s="1" t="str">
        <f>"152326196005113082"</f>
        <v>152326196005113082</v>
      </c>
      <c r="E74" s="1" t="s">
        <v>97</v>
      </c>
      <c r="F74" s="1" t="s">
        <v>16</v>
      </c>
      <c r="G74" s="1" t="s">
        <v>19</v>
      </c>
      <c r="H74" s="1" t="str">
        <f t="shared" si="77"/>
        <v>64</v>
      </c>
      <c r="I74" s="1" t="str">
        <f>"158.91"</f>
        <v>158.91</v>
      </c>
      <c r="J74" s="1" t="str">
        <f t="shared" ref="J74:N74" si="82">"0"</f>
        <v>0</v>
      </c>
      <c r="K74" s="1" t="str">
        <f t="shared" si="39"/>
        <v>103</v>
      </c>
      <c r="L74" s="1" t="str">
        <f t="shared" si="40"/>
        <v>47</v>
      </c>
      <c r="M74" s="1" t="str">
        <f t="shared" si="82"/>
        <v>0</v>
      </c>
      <c r="N74" s="1" t="str">
        <f t="shared" si="82"/>
        <v>0</v>
      </c>
      <c r="O74" s="1" t="str">
        <f>"8.91"</f>
        <v>8.91</v>
      </c>
    </row>
    <row r="75" s="1" customFormat="1" spans="1:15">
      <c r="A75" s="1" t="str">
        <f t="shared" si="71"/>
        <v>202406</v>
      </c>
      <c r="B75" s="1" t="str">
        <f t="shared" si="72"/>
        <v>150525100</v>
      </c>
      <c r="C75" s="1" t="str">
        <f>"1014550285"</f>
        <v>1014550285</v>
      </c>
      <c r="D75" s="1" t="str">
        <f>"152326195902070671"</f>
        <v>152326195902070671</v>
      </c>
      <c r="E75" s="1" t="s">
        <v>98</v>
      </c>
      <c r="F75" s="1" t="s">
        <v>25</v>
      </c>
      <c r="G75" s="1" t="s">
        <v>17</v>
      </c>
      <c r="H75" s="1" t="str">
        <f>"65"</f>
        <v>65</v>
      </c>
      <c r="I75" s="1" t="str">
        <f>"158.12"</f>
        <v>158.12</v>
      </c>
      <c r="J75" s="1" t="str">
        <f t="shared" ref="J75:N75" si="83">"0"</f>
        <v>0</v>
      </c>
      <c r="K75" s="1" t="str">
        <f t="shared" si="39"/>
        <v>103</v>
      </c>
      <c r="L75" s="1" t="str">
        <f t="shared" si="40"/>
        <v>47</v>
      </c>
      <c r="M75" s="1" t="str">
        <f t="shared" si="83"/>
        <v>0</v>
      </c>
      <c r="N75" s="1" t="str">
        <f t="shared" si="83"/>
        <v>0</v>
      </c>
      <c r="O75" s="1" t="str">
        <f>"8.12"</f>
        <v>8.12</v>
      </c>
    </row>
    <row r="76" s="1" customFormat="1" spans="1:15">
      <c r="A76" s="1" t="str">
        <f t="shared" si="71"/>
        <v>202406</v>
      </c>
      <c r="B76" s="1" t="str">
        <f t="shared" si="72"/>
        <v>150525100</v>
      </c>
      <c r="C76" s="1" t="str">
        <f>"1014584819"</f>
        <v>1014584819</v>
      </c>
      <c r="D76" s="1" t="str">
        <f>"152326195908153312"</f>
        <v>152326195908153312</v>
      </c>
      <c r="E76" s="1" t="s">
        <v>99</v>
      </c>
      <c r="F76" s="1" t="s">
        <v>25</v>
      </c>
      <c r="G76" s="1" t="s">
        <v>19</v>
      </c>
      <c r="H76" s="1" t="str">
        <f>"65"</f>
        <v>65</v>
      </c>
      <c r="I76" s="1" t="str">
        <f>"157.64"</f>
        <v>157.64</v>
      </c>
      <c r="J76" s="1" t="str">
        <f t="shared" ref="J76:N76" si="84">"0"</f>
        <v>0</v>
      </c>
      <c r="K76" s="1" t="str">
        <f t="shared" si="39"/>
        <v>103</v>
      </c>
      <c r="L76" s="1" t="str">
        <f t="shared" si="40"/>
        <v>47</v>
      </c>
      <c r="M76" s="1" t="str">
        <f t="shared" si="84"/>
        <v>0</v>
      </c>
      <c r="N76" s="1" t="str">
        <f t="shared" si="84"/>
        <v>0</v>
      </c>
      <c r="O76" s="1" t="str">
        <f>"7.64"</f>
        <v>7.64</v>
      </c>
    </row>
    <row r="77" s="1" customFormat="1" spans="1:15">
      <c r="A77" s="1" t="str">
        <f t="shared" si="71"/>
        <v>202406</v>
      </c>
      <c r="B77" s="1" t="str">
        <f t="shared" si="72"/>
        <v>150525100</v>
      </c>
      <c r="C77" s="1" t="str">
        <f>"1014585303"</f>
        <v>1014585303</v>
      </c>
      <c r="D77" s="1" t="str">
        <f>"152326196312280665"</f>
        <v>152326196312280665</v>
      </c>
      <c r="E77" s="1" t="s">
        <v>100</v>
      </c>
      <c r="F77" s="1" t="s">
        <v>16</v>
      </c>
      <c r="G77" s="1" t="s">
        <v>17</v>
      </c>
      <c r="H77" s="1" t="str">
        <f>"61"</f>
        <v>61</v>
      </c>
      <c r="I77" s="1" t="str">
        <f>"164.32"</f>
        <v>164.32</v>
      </c>
      <c r="J77" s="1" t="str">
        <f t="shared" ref="J77:N77" si="85">"0"</f>
        <v>0</v>
      </c>
      <c r="K77" s="1" t="str">
        <f t="shared" si="39"/>
        <v>103</v>
      </c>
      <c r="L77" s="1" t="str">
        <f t="shared" si="40"/>
        <v>47</v>
      </c>
      <c r="M77" s="1" t="str">
        <f t="shared" si="85"/>
        <v>0</v>
      </c>
      <c r="N77" s="1" t="str">
        <f t="shared" si="85"/>
        <v>0</v>
      </c>
      <c r="O77" s="1" t="str">
        <f>"14.32"</f>
        <v>14.32</v>
      </c>
    </row>
    <row r="78" s="1" customFormat="1" spans="1:15">
      <c r="A78" s="1" t="str">
        <f t="shared" si="71"/>
        <v>202406</v>
      </c>
      <c r="B78" s="1" t="str">
        <f t="shared" si="72"/>
        <v>150525100</v>
      </c>
      <c r="C78" s="1" t="str">
        <f>"1014585324"</f>
        <v>1014585324</v>
      </c>
      <c r="D78" s="1" t="str">
        <f>"152326195811140670"</f>
        <v>152326195811140670</v>
      </c>
      <c r="E78" s="1" t="s">
        <v>101</v>
      </c>
      <c r="F78" s="1" t="s">
        <v>25</v>
      </c>
      <c r="G78" s="1" t="s">
        <v>96</v>
      </c>
      <c r="H78" s="1" t="str">
        <f>"66"</f>
        <v>66</v>
      </c>
      <c r="I78" s="1" t="str">
        <f>"156.88"</f>
        <v>156.88</v>
      </c>
      <c r="J78" s="1" t="str">
        <f t="shared" ref="J78:N78" si="86">"0"</f>
        <v>0</v>
      </c>
      <c r="K78" s="1" t="str">
        <f t="shared" si="39"/>
        <v>103</v>
      </c>
      <c r="L78" s="1" t="str">
        <f t="shared" si="40"/>
        <v>47</v>
      </c>
      <c r="M78" s="1" t="str">
        <f t="shared" si="86"/>
        <v>0</v>
      </c>
      <c r="N78" s="1" t="str">
        <f t="shared" si="86"/>
        <v>0</v>
      </c>
      <c r="O78" s="1" t="str">
        <f>"6.88"</f>
        <v>6.88</v>
      </c>
    </row>
    <row r="79" s="1" customFormat="1" spans="1:15">
      <c r="A79" s="1" t="str">
        <f t="shared" si="71"/>
        <v>202406</v>
      </c>
      <c r="B79" s="1" t="str">
        <f t="shared" si="72"/>
        <v>150525100</v>
      </c>
      <c r="C79" s="1" t="str">
        <f>"1014550791"</f>
        <v>1014550791</v>
      </c>
      <c r="D79" s="1" t="str">
        <f>"152326195405160668"</f>
        <v>152326195405160668</v>
      </c>
      <c r="E79" s="1" t="s">
        <v>102</v>
      </c>
      <c r="F79" s="1" t="s">
        <v>16</v>
      </c>
      <c r="G79" s="1" t="s">
        <v>19</v>
      </c>
      <c r="H79" s="1" t="str">
        <f t="shared" ref="H79:H81" si="87">"70"</f>
        <v>70</v>
      </c>
      <c r="I79" s="1" t="str">
        <f>"164.15"</f>
        <v>164.15</v>
      </c>
      <c r="J79" s="1" t="str">
        <f t="shared" ref="J79:N79" si="88">"0"</f>
        <v>0</v>
      </c>
      <c r="K79" s="1" t="str">
        <f t="shared" si="39"/>
        <v>103</v>
      </c>
      <c r="L79" s="1" t="str">
        <f t="shared" si="40"/>
        <v>47</v>
      </c>
      <c r="M79" s="1" t="str">
        <f t="shared" si="88"/>
        <v>0</v>
      </c>
      <c r="N79" s="1" t="str">
        <f t="shared" si="88"/>
        <v>0</v>
      </c>
      <c r="O79" s="1" t="str">
        <f>"4.15"</f>
        <v>4.15</v>
      </c>
    </row>
    <row r="80" s="1" customFormat="1" spans="1:15">
      <c r="A80" s="1" t="str">
        <f t="shared" si="71"/>
        <v>202406</v>
      </c>
      <c r="B80" s="1" t="str">
        <f t="shared" si="72"/>
        <v>150525100</v>
      </c>
      <c r="C80" s="1" t="str">
        <f>"1014550798"</f>
        <v>1014550798</v>
      </c>
      <c r="D80" s="1" t="str">
        <f>"152326195409023855"</f>
        <v>152326195409023855</v>
      </c>
      <c r="E80" s="1" t="s">
        <v>103</v>
      </c>
      <c r="F80" s="1" t="s">
        <v>25</v>
      </c>
      <c r="G80" s="1" t="s">
        <v>19</v>
      </c>
      <c r="H80" s="1" t="str">
        <f t="shared" si="87"/>
        <v>70</v>
      </c>
      <c r="I80" s="1" t="str">
        <f>"154.15"</f>
        <v>154.15</v>
      </c>
      <c r="J80" s="1" t="str">
        <f t="shared" ref="J80:N80" si="89">"0"</f>
        <v>0</v>
      </c>
      <c r="K80" s="1" t="str">
        <f t="shared" si="39"/>
        <v>103</v>
      </c>
      <c r="L80" s="1" t="str">
        <f t="shared" si="40"/>
        <v>47</v>
      </c>
      <c r="M80" s="1" t="str">
        <f t="shared" si="89"/>
        <v>0</v>
      </c>
      <c r="N80" s="1" t="str">
        <f t="shared" si="89"/>
        <v>0</v>
      </c>
      <c r="O80" s="1" t="str">
        <f>"4.15"</f>
        <v>4.15</v>
      </c>
    </row>
    <row r="81" s="1" customFormat="1" spans="1:15">
      <c r="A81" s="1" t="str">
        <f t="shared" si="71"/>
        <v>202406</v>
      </c>
      <c r="B81" s="1" t="str">
        <f t="shared" si="72"/>
        <v>150525100</v>
      </c>
      <c r="C81" s="1" t="str">
        <f>"1014550808"</f>
        <v>1014550808</v>
      </c>
      <c r="D81" s="1" t="str">
        <f>"152326195411080672"</f>
        <v>152326195411080672</v>
      </c>
      <c r="E81" s="1" t="s">
        <v>104</v>
      </c>
      <c r="F81" s="1" t="s">
        <v>25</v>
      </c>
      <c r="G81" s="1" t="s">
        <v>17</v>
      </c>
      <c r="H81" s="1" t="str">
        <f t="shared" si="87"/>
        <v>70</v>
      </c>
      <c r="I81" s="1" t="str">
        <f>"2054.55"</f>
        <v>2054.55</v>
      </c>
      <c r="J81" s="1" t="str">
        <f t="shared" ref="J81:O81" si="90">"0"</f>
        <v>0</v>
      </c>
      <c r="K81" s="1" t="str">
        <f t="shared" si="90"/>
        <v>0</v>
      </c>
      <c r="L81" s="1" t="str">
        <f t="shared" si="90"/>
        <v>0</v>
      </c>
      <c r="M81" s="1" t="str">
        <f t="shared" si="90"/>
        <v>0</v>
      </c>
      <c r="N81" s="1" t="str">
        <f t="shared" si="90"/>
        <v>0</v>
      </c>
      <c r="O81" s="1" t="str">
        <f t="shared" si="90"/>
        <v>0</v>
      </c>
    </row>
    <row r="82" s="1" customFormat="1" spans="1:15">
      <c r="A82" s="1" t="str">
        <f t="shared" si="71"/>
        <v>202406</v>
      </c>
      <c r="B82" s="1" t="str">
        <f t="shared" si="72"/>
        <v>150525100</v>
      </c>
      <c r="C82" s="1" t="str">
        <f>"1014585351"</f>
        <v>1014585351</v>
      </c>
      <c r="D82" s="1" t="str">
        <f>"152326195301180664"</f>
        <v>152326195301180664</v>
      </c>
      <c r="E82" s="1" t="s">
        <v>105</v>
      </c>
      <c r="F82" s="1" t="s">
        <v>16</v>
      </c>
      <c r="G82" s="1" t="s">
        <v>19</v>
      </c>
      <c r="H82" s="1" t="str">
        <f>"71"</f>
        <v>71</v>
      </c>
      <c r="I82" s="1" t="str">
        <f>"162.14"</f>
        <v>162.14</v>
      </c>
      <c r="J82" s="1" t="str">
        <f t="shared" ref="J82:N82" si="91">"0"</f>
        <v>0</v>
      </c>
      <c r="K82" s="1" t="str">
        <f t="shared" ref="K82:K88" si="92">"103"</f>
        <v>103</v>
      </c>
      <c r="L82" s="1" t="str">
        <f t="shared" ref="L82:L88" si="93">"47"</f>
        <v>47</v>
      </c>
      <c r="M82" s="1" t="str">
        <f t="shared" si="91"/>
        <v>0</v>
      </c>
      <c r="N82" s="1" t="str">
        <f t="shared" si="91"/>
        <v>0</v>
      </c>
      <c r="O82" s="1" t="str">
        <f>"2.14"</f>
        <v>2.14</v>
      </c>
    </row>
    <row r="83" s="1" customFormat="1" spans="1:15">
      <c r="A83" s="1" t="str">
        <f t="shared" si="71"/>
        <v>202406</v>
      </c>
      <c r="B83" s="1" t="str">
        <f t="shared" si="72"/>
        <v>150525100</v>
      </c>
      <c r="C83" s="1" t="str">
        <f>"1014570741"</f>
        <v>1014570741</v>
      </c>
      <c r="D83" s="1" t="str">
        <f>"152326195808290029"</f>
        <v>152326195808290029</v>
      </c>
      <c r="E83" s="1" t="s">
        <v>106</v>
      </c>
      <c r="F83" s="1" t="s">
        <v>16</v>
      </c>
      <c r="G83" s="1" t="s">
        <v>17</v>
      </c>
      <c r="H83" s="1" t="str">
        <f>"66"</f>
        <v>66</v>
      </c>
      <c r="I83" s="1" t="str">
        <f>"156.86"</f>
        <v>156.86</v>
      </c>
      <c r="J83" s="1" t="str">
        <f t="shared" ref="J83:N83" si="94">"0"</f>
        <v>0</v>
      </c>
      <c r="K83" s="1" t="str">
        <f t="shared" si="92"/>
        <v>103</v>
      </c>
      <c r="L83" s="1" t="str">
        <f t="shared" si="93"/>
        <v>47</v>
      </c>
      <c r="M83" s="1" t="str">
        <f t="shared" si="94"/>
        <v>0</v>
      </c>
      <c r="N83" s="1" t="str">
        <f t="shared" si="94"/>
        <v>0</v>
      </c>
      <c r="O83" s="1" t="str">
        <f>"6.86"</f>
        <v>6.86</v>
      </c>
    </row>
    <row r="84" s="1" customFormat="1" spans="1:15">
      <c r="A84" s="1" t="str">
        <f t="shared" si="71"/>
        <v>202406</v>
      </c>
      <c r="B84" s="1" t="str">
        <f t="shared" si="72"/>
        <v>150525100</v>
      </c>
      <c r="C84" s="1" t="str">
        <f>"1014612854"</f>
        <v>1014612854</v>
      </c>
      <c r="D84" s="1" t="str">
        <f>"152326194605250428"</f>
        <v>152326194605250428</v>
      </c>
      <c r="E84" s="1" t="s">
        <v>107</v>
      </c>
      <c r="F84" s="1" t="s">
        <v>16</v>
      </c>
      <c r="G84" s="1" t="s">
        <v>17</v>
      </c>
      <c r="H84" s="1" t="str">
        <f>"78"</f>
        <v>78</v>
      </c>
      <c r="I84" s="1" t="str">
        <f t="shared" ref="I84:I87" si="95">"160"</f>
        <v>160</v>
      </c>
      <c r="J84" s="1" t="str">
        <f t="shared" ref="J84:O84" si="96">"0"</f>
        <v>0</v>
      </c>
      <c r="K84" s="1" t="str">
        <f t="shared" si="92"/>
        <v>103</v>
      </c>
      <c r="L84" s="1" t="str">
        <f t="shared" si="93"/>
        <v>47</v>
      </c>
      <c r="M84" s="1" t="str">
        <f t="shared" si="96"/>
        <v>0</v>
      </c>
      <c r="N84" s="1" t="str">
        <f t="shared" si="96"/>
        <v>0</v>
      </c>
      <c r="O84" s="1" t="str">
        <f t="shared" si="96"/>
        <v>0</v>
      </c>
    </row>
    <row r="85" s="1" customFormat="1" spans="1:15">
      <c r="A85" s="1" t="str">
        <f t="shared" si="71"/>
        <v>202406</v>
      </c>
      <c r="B85" s="1" t="str">
        <f t="shared" si="72"/>
        <v>150525100</v>
      </c>
      <c r="C85" s="1" t="str">
        <f>"1014612864"</f>
        <v>1014612864</v>
      </c>
      <c r="D85" s="1" t="s">
        <v>108</v>
      </c>
      <c r="E85" s="1" t="s">
        <v>109</v>
      </c>
      <c r="F85" s="1" t="s">
        <v>16</v>
      </c>
      <c r="G85" s="1" t="s">
        <v>17</v>
      </c>
      <c r="H85" s="1" t="str">
        <f>"79"</f>
        <v>79</v>
      </c>
      <c r="I85" s="1" t="str">
        <f t="shared" si="95"/>
        <v>160</v>
      </c>
      <c r="J85" s="1" t="str">
        <f t="shared" ref="J85:O85" si="97">"0"</f>
        <v>0</v>
      </c>
      <c r="K85" s="1" t="str">
        <f t="shared" si="92"/>
        <v>103</v>
      </c>
      <c r="L85" s="1" t="str">
        <f t="shared" si="93"/>
        <v>47</v>
      </c>
      <c r="M85" s="1" t="str">
        <f t="shared" si="97"/>
        <v>0</v>
      </c>
      <c r="N85" s="1" t="str">
        <f t="shared" si="97"/>
        <v>0</v>
      </c>
      <c r="O85" s="1" t="str">
        <f t="shared" si="97"/>
        <v>0</v>
      </c>
    </row>
    <row r="86" s="1" customFormat="1" spans="1:15">
      <c r="A86" s="1" t="str">
        <f t="shared" si="71"/>
        <v>202406</v>
      </c>
      <c r="B86" s="1" t="str">
        <f t="shared" si="72"/>
        <v>150525100</v>
      </c>
      <c r="C86" s="1" t="str">
        <f>"1014613129"</f>
        <v>1014613129</v>
      </c>
      <c r="D86" s="1" t="str">
        <f>"152326195101123315"</f>
        <v>152326195101123315</v>
      </c>
      <c r="E86" s="1" t="s">
        <v>110</v>
      </c>
      <c r="F86" s="1" t="s">
        <v>25</v>
      </c>
      <c r="G86" s="1" t="s">
        <v>17</v>
      </c>
      <c r="H86" s="1" t="str">
        <f>"73"</f>
        <v>73</v>
      </c>
      <c r="I86" s="1" t="str">
        <f t="shared" si="95"/>
        <v>160</v>
      </c>
      <c r="J86" s="1" t="str">
        <f t="shared" ref="J86:O86" si="98">"0"</f>
        <v>0</v>
      </c>
      <c r="K86" s="1" t="str">
        <f t="shared" si="92"/>
        <v>103</v>
      </c>
      <c r="L86" s="1" t="str">
        <f t="shared" si="93"/>
        <v>47</v>
      </c>
      <c r="M86" s="1" t="str">
        <f t="shared" si="98"/>
        <v>0</v>
      </c>
      <c r="N86" s="1" t="str">
        <f t="shared" si="98"/>
        <v>0</v>
      </c>
      <c r="O86" s="1" t="str">
        <f t="shared" si="98"/>
        <v>0</v>
      </c>
    </row>
    <row r="87" s="1" customFormat="1" spans="1:15">
      <c r="A87" s="1" t="str">
        <f t="shared" si="71"/>
        <v>202406</v>
      </c>
      <c r="B87" s="1" t="str">
        <f t="shared" si="72"/>
        <v>150525100</v>
      </c>
      <c r="C87" s="1" t="str">
        <f>"1014622178"</f>
        <v>1014622178</v>
      </c>
      <c r="D87" s="1" t="str">
        <f>"152326195004056114"</f>
        <v>152326195004056114</v>
      </c>
      <c r="E87" s="1" t="s">
        <v>111</v>
      </c>
      <c r="F87" s="1" t="s">
        <v>25</v>
      </c>
      <c r="G87" s="1" t="s">
        <v>17</v>
      </c>
      <c r="H87" s="1" t="str">
        <f>"74"</f>
        <v>74</v>
      </c>
      <c r="I87" s="1" t="str">
        <f t="shared" si="95"/>
        <v>160</v>
      </c>
      <c r="J87" s="1" t="str">
        <f t="shared" ref="J87:O87" si="99">"0"</f>
        <v>0</v>
      </c>
      <c r="K87" s="1" t="str">
        <f t="shared" si="92"/>
        <v>103</v>
      </c>
      <c r="L87" s="1" t="str">
        <f t="shared" si="93"/>
        <v>47</v>
      </c>
      <c r="M87" s="1" t="str">
        <f t="shared" si="99"/>
        <v>0</v>
      </c>
      <c r="N87" s="1" t="str">
        <f t="shared" si="99"/>
        <v>0</v>
      </c>
      <c r="O87" s="1" t="str">
        <f t="shared" si="99"/>
        <v>0</v>
      </c>
    </row>
    <row r="88" s="1" customFormat="1" spans="1:15">
      <c r="A88" s="1" t="str">
        <f t="shared" si="71"/>
        <v>202406</v>
      </c>
      <c r="B88" s="1" t="str">
        <f t="shared" si="72"/>
        <v>150525100</v>
      </c>
      <c r="C88" s="1" t="str">
        <f>"1014622189"</f>
        <v>1014622189</v>
      </c>
      <c r="D88" s="1" t="str">
        <f>"152326194003150673"</f>
        <v>152326194003150673</v>
      </c>
      <c r="E88" s="1" t="s">
        <v>112</v>
      </c>
      <c r="F88" s="1" t="s">
        <v>25</v>
      </c>
      <c r="G88" s="1" t="s">
        <v>17</v>
      </c>
      <c r="H88" s="1" t="str">
        <f>"84"</f>
        <v>84</v>
      </c>
      <c r="I88" s="1" t="str">
        <f>"170"</f>
        <v>170</v>
      </c>
      <c r="J88" s="1" t="str">
        <f t="shared" ref="J88:O88" si="100">"0"</f>
        <v>0</v>
      </c>
      <c r="K88" s="1" t="str">
        <f t="shared" si="92"/>
        <v>103</v>
      </c>
      <c r="L88" s="1" t="str">
        <f t="shared" si="93"/>
        <v>47</v>
      </c>
      <c r="M88" s="1" t="str">
        <f t="shared" si="100"/>
        <v>0</v>
      </c>
      <c r="N88" s="1" t="str">
        <f t="shared" si="100"/>
        <v>0</v>
      </c>
      <c r="O88" s="1" t="str">
        <f t="shared" si="100"/>
        <v>0</v>
      </c>
    </row>
    <row r="89" s="1" customFormat="1" spans="1:15">
      <c r="A89" s="1" t="str">
        <f t="shared" si="71"/>
        <v>202406</v>
      </c>
      <c r="B89" s="1" t="str">
        <f t="shared" si="72"/>
        <v>150525100</v>
      </c>
      <c r="C89" s="1" t="str">
        <f>"1014622578"</f>
        <v>1014622578</v>
      </c>
      <c r="D89" s="1" t="str">
        <f>"152326194703180419"</f>
        <v>152326194703180419</v>
      </c>
      <c r="E89" s="1" t="s">
        <v>113</v>
      </c>
      <c r="F89" s="1" t="s">
        <v>25</v>
      </c>
      <c r="G89" s="1" t="s">
        <v>17</v>
      </c>
      <c r="H89" s="1" t="str">
        <f>"77"</f>
        <v>77</v>
      </c>
      <c r="I89" s="1" t="str">
        <f>"2075"</f>
        <v>2075</v>
      </c>
      <c r="J89" s="1" t="str">
        <f>"1915"</f>
        <v>1915</v>
      </c>
      <c r="K89" s="1" t="str">
        <f>"1334"</f>
        <v>1334</v>
      </c>
      <c r="L89" s="1" t="str">
        <f>"611"</f>
        <v>611</v>
      </c>
      <c r="M89" s="1" t="str">
        <f t="shared" ref="M89:O89" si="101">"0"</f>
        <v>0</v>
      </c>
      <c r="N89" s="1" t="str">
        <f t="shared" si="101"/>
        <v>0</v>
      </c>
      <c r="O89" s="1" t="str">
        <f t="shared" si="101"/>
        <v>0</v>
      </c>
    </row>
    <row r="90" s="1" customFormat="1" spans="1:15">
      <c r="A90" s="1" t="str">
        <f t="shared" si="71"/>
        <v>202406</v>
      </c>
      <c r="B90" s="1" t="str">
        <f t="shared" si="72"/>
        <v>150525100</v>
      </c>
      <c r="C90" s="1" t="str">
        <f>"1014622584"</f>
        <v>1014622584</v>
      </c>
      <c r="D90" s="1" t="str">
        <f>"152326194404290415"</f>
        <v>152326194404290415</v>
      </c>
      <c r="E90" s="1" t="s">
        <v>114</v>
      </c>
      <c r="F90" s="1" t="s">
        <v>25</v>
      </c>
      <c r="G90" s="1" t="s">
        <v>17</v>
      </c>
      <c r="H90" s="1" t="str">
        <f>"80"</f>
        <v>80</v>
      </c>
      <c r="I90" s="1" t="str">
        <f>"170"</f>
        <v>170</v>
      </c>
      <c r="J90" s="1" t="str">
        <f t="shared" ref="J90:O90" si="102">"0"</f>
        <v>0</v>
      </c>
      <c r="K90" s="1" t="str">
        <f t="shared" ref="K90:K153" si="103">"103"</f>
        <v>103</v>
      </c>
      <c r="L90" s="1" t="str">
        <f t="shared" ref="L90:L153" si="104">"47"</f>
        <v>47</v>
      </c>
      <c r="M90" s="1" t="str">
        <f t="shared" si="102"/>
        <v>0</v>
      </c>
      <c r="N90" s="1" t="str">
        <f t="shared" si="102"/>
        <v>0</v>
      </c>
      <c r="O90" s="1" t="str">
        <f t="shared" si="102"/>
        <v>0</v>
      </c>
    </row>
    <row r="91" s="1" customFormat="1" spans="1:15">
      <c r="A91" s="1" t="str">
        <f t="shared" si="71"/>
        <v>202406</v>
      </c>
      <c r="B91" s="1" t="str">
        <f t="shared" si="72"/>
        <v>150525100</v>
      </c>
      <c r="C91" s="1" t="str">
        <f>"1014622600"</f>
        <v>1014622600</v>
      </c>
      <c r="D91" s="1" t="str">
        <f>"152326195002080671"</f>
        <v>152326195002080671</v>
      </c>
      <c r="E91" s="1" t="s">
        <v>115</v>
      </c>
      <c r="F91" s="1" t="s">
        <v>25</v>
      </c>
      <c r="G91" s="1" t="s">
        <v>17</v>
      </c>
      <c r="H91" s="1" t="str">
        <f>"74"</f>
        <v>74</v>
      </c>
      <c r="I91" s="1" t="str">
        <f t="shared" ref="I91:I93" si="105">"160"</f>
        <v>160</v>
      </c>
      <c r="J91" s="1" t="str">
        <f t="shared" ref="J91:O91" si="106">"0"</f>
        <v>0</v>
      </c>
      <c r="K91" s="1" t="str">
        <f t="shared" si="103"/>
        <v>103</v>
      </c>
      <c r="L91" s="1" t="str">
        <f t="shared" si="104"/>
        <v>47</v>
      </c>
      <c r="M91" s="1" t="str">
        <f t="shared" si="106"/>
        <v>0</v>
      </c>
      <c r="N91" s="1" t="str">
        <f t="shared" si="106"/>
        <v>0</v>
      </c>
      <c r="O91" s="1" t="str">
        <f t="shared" si="106"/>
        <v>0</v>
      </c>
    </row>
    <row r="92" s="1" customFormat="1" spans="1:15">
      <c r="A92" s="1" t="str">
        <f t="shared" si="71"/>
        <v>202406</v>
      </c>
      <c r="B92" s="1" t="str">
        <f t="shared" si="72"/>
        <v>150525100</v>
      </c>
      <c r="C92" s="1" t="str">
        <f>"1014623984"</f>
        <v>1014623984</v>
      </c>
      <c r="D92" s="1" t="str">
        <f>"152326195105010668"</f>
        <v>152326195105010668</v>
      </c>
      <c r="E92" s="1" t="s">
        <v>116</v>
      </c>
      <c r="F92" s="1" t="s">
        <v>16</v>
      </c>
      <c r="G92" s="1" t="s">
        <v>17</v>
      </c>
      <c r="H92" s="1" t="str">
        <f>"73"</f>
        <v>73</v>
      </c>
      <c r="I92" s="1" t="str">
        <f t="shared" si="105"/>
        <v>160</v>
      </c>
      <c r="J92" s="1" t="str">
        <f t="shared" ref="J92:O92" si="107">"0"</f>
        <v>0</v>
      </c>
      <c r="K92" s="1" t="str">
        <f t="shared" si="103"/>
        <v>103</v>
      </c>
      <c r="L92" s="1" t="str">
        <f t="shared" si="104"/>
        <v>47</v>
      </c>
      <c r="M92" s="1" t="str">
        <f t="shared" si="107"/>
        <v>0</v>
      </c>
      <c r="N92" s="1" t="str">
        <f t="shared" si="107"/>
        <v>0</v>
      </c>
      <c r="O92" s="1" t="str">
        <f t="shared" si="107"/>
        <v>0</v>
      </c>
    </row>
    <row r="93" s="1" customFormat="1" spans="1:15">
      <c r="A93" s="1" t="str">
        <f t="shared" si="71"/>
        <v>202406</v>
      </c>
      <c r="B93" s="1" t="str">
        <f t="shared" si="72"/>
        <v>150525100</v>
      </c>
      <c r="C93" s="1" t="str">
        <f>"1014624455"</f>
        <v>1014624455</v>
      </c>
      <c r="D93" s="1" t="str">
        <f>"152326194902043812"</f>
        <v>152326194902043812</v>
      </c>
      <c r="E93" s="1" t="s">
        <v>117</v>
      </c>
      <c r="F93" s="1" t="s">
        <v>25</v>
      </c>
      <c r="G93" s="1" t="s">
        <v>19</v>
      </c>
      <c r="H93" s="1" t="str">
        <f>"75"</f>
        <v>75</v>
      </c>
      <c r="I93" s="1" t="str">
        <f t="shared" si="105"/>
        <v>160</v>
      </c>
      <c r="J93" s="1" t="str">
        <f t="shared" ref="J93:O93" si="108">"0"</f>
        <v>0</v>
      </c>
      <c r="K93" s="1" t="str">
        <f t="shared" si="103"/>
        <v>103</v>
      </c>
      <c r="L93" s="1" t="str">
        <f t="shared" si="104"/>
        <v>47</v>
      </c>
      <c r="M93" s="1" t="str">
        <f t="shared" si="108"/>
        <v>0</v>
      </c>
      <c r="N93" s="1" t="str">
        <f t="shared" si="108"/>
        <v>0</v>
      </c>
      <c r="O93" s="1" t="str">
        <f t="shared" si="108"/>
        <v>0</v>
      </c>
    </row>
    <row r="94" s="1" customFormat="1" spans="1:15">
      <c r="A94" s="1" t="str">
        <f t="shared" si="71"/>
        <v>202406</v>
      </c>
      <c r="B94" s="1" t="str">
        <f t="shared" si="72"/>
        <v>150525100</v>
      </c>
      <c r="C94" s="1" t="str">
        <f>"1014624460"</f>
        <v>1014624460</v>
      </c>
      <c r="D94" s="1" t="str">
        <f>"152326194001090910"</f>
        <v>152326194001090910</v>
      </c>
      <c r="E94" s="1" t="s">
        <v>118</v>
      </c>
      <c r="F94" s="1" t="s">
        <v>25</v>
      </c>
      <c r="G94" s="1" t="s">
        <v>19</v>
      </c>
      <c r="H94" s="1" t="str">
        <f>"84"</f>
        <v>84</v>
      </c>
      <c r="I94" s="1" t="str">
        <f>"170"</f>
        <v>170</v>
      </c>
      <c r="J94" s="1" t="str">
        <f t="shared" ref="J94:O94" si="109">"0"</f>
        <v>0</v>
      </c>
      <c r="K94" s="1" t="str">
        <f t="shared" si="103"/>
        <v>103</v>
      </c>
      <c r="L94" s="1" t="str">
        <f t="shared" si="104"/>
        <v>47</v>
      </c>
      <c r="M94" s="1" t="str">
        <f t="shared" si="109"/>
        <v>0</v>
      </c>
      <c r="N94" s="1" t="str">
        <f t="shared" si="109"/>
        <v>0</v>
      </c>
      <c r="O94" s="1" t="str">
        <f t="shared" si="109"/>
        <v>0</v>
      </c>
    </row>
    <row r="95" s="1" customFormat="1" spans="1:15">
      <c r="A95" s="1" t="str">
        <f t="shared" si="71"/>
        <v>202406</v>
      </c>
      <c r="B95" s="1" t="str">
        <f t="shared" si="72"/>
        <v>150525100</v>
      </c>
      <c r="C95" s="1" t="str">
        <f>"1014624462"</f>
        <v>1014624462</v>
      </c>
      <c r="D95" s="1" t="str">
        <f>"152326194801270928"</f>
        <v>152326194801270928</v>
      </c>
      <c r="E95" s="1" t="s">
        <v>119</v>
      </c>
      <c r="F95" s="1" t="s">
        <v>16</v>
      </c>
      <c r="G95" s="1" t="s">
        <v>19</v>
      </c>
      <c r="H95" s="1" t="str">
        <f>"76"</f>
        <v>76</v>
      </c>
      <c r="I95" s="1" t="str">
        <f t="shared" ref="I95:I103" si="110">"160"</f>
        <v>160</v>
      </c>
      <c r="J95" s="1" t="str">
        <f t="shared" ref="J95:O95" si="111">"0"</f>
        <v>0</v>
      </c>
      <c r="K95" s="1" t="str">
        <f t="shared" si="103"/>
        <v>103</v>
      </c>
      <c r="L95" s="1" t="str">
        <f t="shared" si="104"/>
        <v>47</v>
      </c>
      <c r="M95" s="1" t="str">
        <f t="shared" si="111"/>
        <v>0</v>
      </c>
      <c r="N95" s="1" t="str">
        <f t="shared" si="111"/>
        <v>0</v>
      </c>
      <c r="O95" s="1" t="str">
        <f t="shared" si="111"/>
        <v>0</v>
      </c>
    </row>
    <row r="96" s="1" customFormat="1" spans="1:15">
      <c r="A96" s="1" t="str">
        <f t="shared" si="71"/>
        <v>202406</v>
      </c>
      <c r="B96" s="1" t="str">
        <f t="shared" si="72"/>
        <v>150525100</v>
      </c>
      <c r="C96" s="1" t="str">
        <f>"1014629336"</f>
        <v>1014629336</v>
      </c>
      <c r="D96" s="1" t="str">
        <f>"152326194502100427"</f>
        <v>152326194502100427</v>
      </c>
      <c r="E96" s="1" t="s">
        <v>120</v>
      </c>
      <c r="F96" s="1" t="s">
        <v>16</v>
      </c>
      <c r="G96" s="1" t="s">
        <v>17</v>
      </c>
      <c r="H96" s="1" t="str">
        <f>"79"</f>
        <v>79</v>
      </c>
      <c r="I96" s="1" t="str">
        <f t="shared" si="110"/>
        <v>160</v>
      </c>
      <c r="J96" s="1" t="str">
        <f t="shared" ref="J96:O96" si="112">"0"</f>
        <v>0</v>
      </c>
      <c r="K96" s="1" t="str">
        <f t="shared" si="103"/>
        <v>103</v>
      </c>
      <c r="L96" s="1" t="str">
        <f t="shared" si="104"/>
        <v>47</v>
      </c>
      <c r="M96" s="1" t="str">
        <f t="shared" si="112"/>
        <v>0</v>
      </c>
      <c r="N96" s="1" t="str">
        <f t="shared" si="112"/>
        <v>0</v>
      </c>
      <c r="O96" s="1" t="str">
        <f t="shared" si="112"/>
        <v>0</v>
      </c>
    </row>
    <row r="97" s="1" customFormat="1" spans="1:15">
      <c r="A97" s="1" t="str">
        <f t="shared" si="71"/>
        <v>202406</v>
      </c>
      <c r="B97" s="1" t="str">
        <f t="shared" si="72"/>
        <v>150525100</v>
      </c>
      <c r="C97" s="1" t="str">
        <f>"1014629352"</f>
        <v>1014629352</v>
      </c>
      <c r="D97" s="1" t="str">
        <f>"152326195107080029"</f>
        <v>152326195107080029</v>
      </c>
      <c r="E97" s="1" t="s">
        <v>121</v>
      </c>
      <c r="F97" s="1" t="s">
        <v>16</v>
      </c>
      <c r="G97" s="1" t="s">
        <v>17</v>
      </c>
      <c r="H97" s="1" t="str">
        <f>"73"</f>
        <v>73</v>
      </c>
      <c r="I97" s="1" t="str">
        <f t="shared" si="110"/>
        <v>160</v>
      </c>
      <c r="J97" s="1" t="str">
        <f t="shared" ref="J97:O97" si="113">"0"</f>
        <v>0</v>
      </c>
      <c r="K97" s="1" t="str">
        <f t="shared" si="103"/>
        <v>103</v>
      </c>
      <c r="L97" s="1" t="str">
        <f t="shared" si="104"/>
        <v>47</v>
      </c>
      <c r="M97" s="1" t="str">
        <f t="shared" si="113"/>
        <v>0</v>
      </c>
      <c r="N97" s="1" t="str">
        <f t="shared" si="113"/>
        <v>0</v>
      </c>
      <c r="O97" s="1" t="str">
        <f t="shared" si="113"/>
        <v>0</v>
      </c>
    </row>
    <row r="98" s="1" customFormat="1" spans="1:15">
      <c r="A98" s="1" t="str">
        <f t="shared" si="71"/>
        <v>202406</v>
      </c>
      <c r="B98" s="1" t="str">
        <f t="shared" si="72"/>
        <v>150525100</v>
      </c>
      <c r="C98" s="1" t="str">
        <f>"1014629354"</f>
        <v>1014629354</v>
      </c>
      <c r="D98" s="1" t="str">
        <f>"152326195010190029"</f>
        <v>152326195010190029</v>
      </c>
      <c r="E98" s="1" t="s">
        <v>122</v>
      </c>
      <c r="F98" s="1" t="s">
        <v>16</v>
      </c>
      <c r="G98" s="1" t="s">
        <v>17</v>
      </c>
      <c r="H98" s="1" t="str">
        <f>"74"</f>
        <v>74</v>
      </c>
      <c r="I98" s="1" t="str">
        <f t="shared" si="110"/>
        <v>160</v>
      </c>
      <c r="J98" s="1" t="str">
        <f t="shared" ref="J98:O98" si="114">"0"</f>
        <v>0</v>
      </c>
      <c r="K98" s="1" t="str">
        <f t="shared" si="103"/>
        <v>103</v>
      </c>
      <c r="L98" s="1" t="str">
        <f t="shared" si="104"/>
        <v>47</v>
      </c>
      <c r="M98" s="1" t="str">
        <f t="shared" si="114"/>
        <v>0</v>
      </c>
      <c r="N98" s="1" t="str">
        <f t="shared" si="114"/>
        <v>0</v>
      </c>
      <c r="O98" s="1" t="str">
        <f t="shared" si="114"/>
        <v>0</v>
      </c>
    </row>
    <row r="99" s="1" customFormat="1" spans="1:15">
      <c r="A99" s="1" t="str">
        <f t="shared" si="71"/>
        <v>202406</v>
      </c>
      <c r="B99" s="1" t="str">
        <f t="shared" si="72"/>
        <v>150525100</v>
      </c>
      <c r="C99" s="1" t="str">
        <f>"1014629362"</f>
        <v>1014629362</v>
      </c>
      <c r="D99" s="1" t="str">
        <f>"152326194406240024"</f>
        <v>152326194406240024</v>
      </c>
      <c r="E99" s="1" t="s">
        <v>123</v>
      </c>
      <c r="F99" s="1" t="s">
        <v>16</v>
      </c>
      <c r="G99" s="1" t="s">
        <v>17</v>
      </c>
      <c r="H99" s="1" t="str">
        <f>"80"</f>
        <v>80</v>
      </c>
      <c r="I99" s="1" t="str">
        <f t="shared" si="110"/>
        <v>160</v>
      </c>
      <c r="J99" s="1" t="str">
        <f t="shared" ref="J99:O99" si="115">"0"</f>
        <v>0</v>
      </c>
      <c r="K99" s="1" t="str">
        <f t="shared" si="103"/>
        <v>103</v>
      </c>
      <c r="L99" s="1" t="str">
        <f t="shared" si="104"/>
        <v>47</v>
      </c>
      <c r="M99" s="1" t="str">
        <f t="shared" si="115"/>
        <v>0</v>
      </c>
      <c r="N99" s="1" t="str">
        <f t="shared" si="115"/>
        <v>0</v>
      </c>
      <c r="O99" s="1" t="str">
        <f t="shared" si="115"/>
        <v>0</v>
      </c>
    </row>
    <row r="100" s="1" customFormat="1" spans="1:15">
      <c r="A100" s="1" t="str">
        <f t="shared" si="71"/>
        <v>202406</v>
      </c>
      <c r="B100" s="1" t="str">
        <f t="shared" si="72"/>
        <v>150525100</v>
      </c>
      <c r="C100" s="1" t="str">
        <f>"1014619436"</f>
        <v>1014619436</v>
      </c>
      <c r="D100" s="1" t="str">
        <f>"152326194805200679"</f>
        <v>152326194805200679</v>
      </c>
      <c r="E100" s="1" t="s">
        <v>124</v>
      </c>
      <c r="F100" s="1" t="s">
        <v>25</v>
      </c>
      <c r="G100" s="1" t="s">
        <v>17</v>
      </c>
      <c r="H100" s="1" t="str">
        <f>"76"</f>
        <v>76</v>
      </c>
      <c r="I100" s="1" t="str">
        <f t="shared" si="110"/>
        <v>160</v>
      </c>
      <c r="J100" s="1" t="str">
        <f t="shared" ref="J100:O100" si="116">"0"</f>
        <v>0</v>
      </c>
      <c r="K100" s="1" t="str">
        <f t="shared" si="103"/>
        <v>103</v>
      </c>
      <c r="L100" s="1" t="str">
        <f t="shared" si="104"/>
        <v>47</v>
      </c>
      <c r="M100" s="1" t="str">
        <f t="shared" si="116"/>
        <v>0</v>
      </c>
      <c r="N100" s="1" t="str">
        <f t="shared" si="116"/>
        <v>0</v>
      </c>
      <c r="O100" s="1" t="str">
        <f t="shared" si="116"/>
        <v>0</v>
      </c>
    </row>
    <row r="101" s="1" customFormat="1" spans="1:15">
      <c r="A101" s="1" t="str">
        <f t="shared" si="71"/>
        <v>202406</v>
      </c>
      <c r="B101" s="1" t="str">
        <f t="shared" si="72"/>
        <v>150525100</v>
      </c>
      <c r="C101" s="1" t="str">
        <f>"1014622963"</f>
        <v>1014622963</v>
      </c>
      <c r="D101" s="1" t="str">
        <f>"152326195010060419"</f>
        <v>152326195010060419</v>
      </c>
      <c r="E101" s="1" t="s">
        <v>125</v>
      </c>
      <c r="F101" s="1" t="s">
        <v>25</v>
      </c>
      <c r="G101" s="1" t="s">
        <v>17</v>
      </c>
      <c r="H101" s="1" t="str">
        <f>"74"</f>
        <v>74</v>
      </c>
      <c r="I101" s="1" t="str">
        <f t="shared" si="110"/>
        <v>160</v>
      </c>
      <c r="J101" s="1" t="str">
        <f t="shared" ref="J101:O101" si="117">"0"</f>
        <v>0</v>
      </c>
      <c r="K101" s="1" t="str">
        <f t="shared" si="103"/>
        <v>103</v>
      </c>
      <c r="L101" s="1" t="str">
        <f t="shared" si="104"/>
        <v>47</v>
      </c>
      <c r="M101" s="1" t="str">
        <f t="shared" si="117"/>
        <v>0</v>
      </c>
      <c r="N101" s="1" t="str">
        <f t="shared" si="117"/>
        <v>0</v>
      </c>
      <c r="O101" s="1" t="str">
        <f t="shared" si="117"/>
        <v>0</v>
      </c>
    </row>
    <row r="102" s="1" customFormat="1" spans="1:15">
      <c r="A102" s="1" t="str">
        <f t="shared" si="71"/>
        <v>202406</v>
      </c>
      <c r="B102" s="1" t="str">
        <f t="shared" si="72"/>
        <v>150525100</v>
      </c>
      <c r="C102" s="1" t="str">
        <f>"1014623463"</f>
        <v>1014623463</v>
      </c>
      <c r="D102" s="1" t="str">
        <f>"152326194906160426"</f>
        <v>152326194906160426</v>
      </c>
      <c r="E102" s="1" t="s">
        <v>126</v>
      </c>
      <c r="F102" s="1" t="s">
        <v>16</v>
      </c>
      <c r="G102" s="1" t="s">
        <v>19</v>
      </c>
      <c r="H102" s="1" t="str">
        <f>"75"</f>
        <v>75</v>
      </c>
      <c r="I102" s="1" t="str">
        <f t="shared" si="110"/>
        <v>160</v>
      </c>
      <c r="J102" s="1" t="str">
        <f t="shared" ref="J102:O102" si="118">"0"</f>
        <v>0</v>
      </c>
      <c r="K102" s="1" t="str">
        <f t="shared" si="103"/>
        <v>103</v>
      </c>
      <c r="L102" s="1" t="str">
        <f t="shared" si="104"/>
        <v>47</v>
      </c>
      <c r="M102" s="1" t="str">
        <f t="shared" si="118"/>
        <v>0</v>
      </c>
      <c r="N102" s="1" t="str">
        <f t="shared" si="118"/>
        <v>0</v>
      </c>
      <c r="O102" s="1" t="str">
        <f t="shared" si="118"/>
        <v>0</v>
      </c>
    </row>
    <row r="103" s="1" customFormat="1" spans="1:15">
      <c r="A103" s="1" t="str">
        <f t="shared" si="71"/>
        <v>202406</v>
      </c>
      <c r="B103" s="1" t="str">
        <f t="shared" si="72"/>
        <v>150525100</v>
      </c>
      <c r="C103" s="1" t="str">
        <f>"1014629913"</f>
        <v>1014629913</v>
      </c>
      <c r="D103" s="1" t="str">
        <f>"152326195111080021"</f>
        <v>152326195111080021</v>
      </c>
      <c r="E103" s="1" t="s">
        <v>127</v>
      </c>
      <c r="F103" s="1" t="s">
        <v>16</v>
      </c>
      <c r="G103" s="1" t="s">
        <v>17</v>
      </c>
      <c r="H103" s="1" t="str">
        <f>"73"</f>
        <v>73</v>
      </c>
      <c r="I103" s="1" t="str">
        <f t="shared" si="110"/>
        <v>160</v>
      </c>
      <c r="J103" s="1" t="str">
        <f t="shared" ref="J103:O103" si="119">"0"</f>
        <v>0</v>
      </c>
      <c r="K103" s="1" t="str">
        <f t="shared" si="103"/>
        <v>103</v>
      </c>
      <c r="L103" s="1" t="str">
        <f t="shared" si="104"/>
        <v>47</v>
      </c>
      <c r="M103" s="1" t="str">
        <f t="shared" si="119"/>
        <v>0</v>
      </c>
      <c r="N103" s="1" t="str">
        <f t="shared" si="119"/>
        <v>0</v>
      </c>
      <c r="O103" s="1" t="str">
        <f t="shared" si="119"/>
        <v>0</v>
      </c>
    </row>
    <row r="104" s="1" customFormat="1" spans="1:15">
      <c r="A104" s="1" t="str">
        <f t="shared" si="71"/>
        <v>202406</v>
      </c>
      <c r="B104" s="1" t="str">
        <f t="shared" si="72"/>
        <v>150525100</v>
      </c>
      <c r="C104" s="1" t="str">
        <f>"1014629914"</f>
        <v>1014629914</v>
      </c>
      <c r="D104" s="1" t="str">
        <f>"152326193805090022"</f>
        <v>152326193805090022</v>
      </c>
      <c r="E104" s="1" t="s">
        <v>128</v>
      </c>
      <c r="F104" s="1" t="s">
        <v>16</v>
      </c>
      <c r="G104" s="1" t="s">
        <v>17</v>
      </c>
      <c r="H104" s="1" t="str">
        <f>"86"</f>
        <v>86</v>
      </c>
      <c r="I104" s="1" t="str">
        <f>"170"</f>
        <v>170</v>
      </c>
      <c r="J104" s="1" t="str">
        <f t="shared" ref="J104:O104" si="120">"0"</f>
        <v>0</v>
      </c>
      <c r="K104" s="1" t="str">
        <f t="shared" si="103"/>
        <v>103</v>
      </c>
      <c r="L104" s="1" t="str">
        <f t="shared" si="104"/>
        <v>47</v>
      </c>
      <c r="M104" s="1" t="str">
        <f t="shared" si="120"/>
        <v>0</v>
      </c>
      <c r="N104" s="1" t="str">
        <f t="shared" si="120"/>
        <v>0</v>
      </c>
      <c r="O104" s="1" t="str">
        <f t="shared" si="120"/>
        <v>0</v>
      </c>
    </row>
    <row r="105" s="1" customFormat="1" spans="1:15">
      <c r="A105" s="1" t="str">
        <f t="shared" si="71"/>
        <v>202406</v>
      </c>
      <c r="B105" s="1" t="str">
        <f t="shared" si="72"/>
        <v>150525100</v>
      </c>
      <c r="C105" s="1" t="str">
        <f>"1014550362"</f>
        <v>1014550362</v>
      </c>
      <c r="D105" s="1" t="str">
        <f>"152326196303020677"</f>
        <v>152326196303020677</v>
      </c>
      <c r="E105" s="1" t="s">
        <v>129</v>
      </c>
      <c r="F105" s="1" t="s">
        <v>25</v>
      </c>
      <c r="G105" s="1" t="s">
        <v>17</v>
      </c>
      <c r="H105" s="1" t="str">
        <f>"61"</f>
        <v>61</v>
      </c>
      <c r="I105" s="1" t="str">
        <f>"164.97"</f>
        <v>164.97</v>
      </c>
      <c r="J105" s="1" t="str">
        <f t="shared" ref="J105:N105" si="121">"0"</f>
        <v>0</v>
      </c>
      <c r="K105" s="1" t="str">
        <f t="shared" si="103"/>
        <v>103</v>
      </c>
      <c r="L105" s="1" t="str">
        <f t="shared" si="104"/>
        <v>47</v>
      </c>
      <c r="M105" s="1" t="str">
        <f t="shared" si="121"/>
        <v>0</v>
      </c>
      <c r="N105" s="1" t="str">
        <f t="shared" si="121"/>
        <v>0</v>
      </c>
      <c r="O105" s="1" t="str">
        <f>"14.97"</f>
        <v>14.97</v>
      </c>
    </row>
    <row r="106" s="1" customFormat="1" spans="1:15">
      <c r="A106" s="1" t="str">
        <f t="shared" si="71"/>
        <v>202406</v>
      </c>
      <c r="B106" s="1" t="str">
        <f t="shared" si="72"/>
        <v>150525100</v>
      </c>
      <c r="C106" s="1" t="str">
        <f>"1014584895"</f>
        <v>1014584895</v>
      </c>
      <c r="D106" s="1" t="str">
        <f>"152326195412210416"</f>
        <v>152326195412210416</v>
      </c>
      <c r="E106" s="1" t="s">
        <v>130</v>
      </c>
      <c r="F106" s="1" t="s">
        <v>25</v>
      </c>
      <c r="G106" s="1" t="s">
        <v>19</v>
      </c>
      <c r="H106" s="1" t="str">
        <f>"70"</f>
        <v>70</v>
      </c>
      <c r="I106" s="1" t="str">
        <f>"154.14"</f>
        <v>154.14</v>
      </c>
      <c r="J106" s="1" t="str">
        <f t="shared" ref="J106:N106" si="122">"0"</f>
        <v>0</v>
      </c>
      <c r="K106" s="1" t="str">
        <f t="shared" si="103"/>
        <v>103</v>
      </c>
      <c r="L106" s="1" t="str">
        <f t="shared" si="104"/>
        <v>47</v>
      </c>
      <c r="M106" s="1" t="str">
        <f t="shared" si="122"/>
        <v>0</v>
      </c>
      <c r="N106" s="1" t="str">
        <f t="shared" si="122"/>
        <v>0</v>
      </c>
      <c r="O106" s="1" t="str">
        <f>"4.14"</f>
        <v>4.14</v>
      </c>
    </row>
    <row r="107" s="1" customFormat="1" spans="1:15">
      <c r="A107" s="1" t="str">
        <f t="shared" si="71"/>
        <v>202406</v>
      </c>
      <c r="B107" s="1" t="str">
        <f t="shared" si="72"/>
        <v>150525100</v>
      </c>
      <c r="C107" s="1" t="str">
        <f>"1014562776"</f>
        <v>1014562776</v>
      </c>
      <c r="D107" s="1" t="str">
        <f>"152326195311140420"</f>
        <v>152326195311140420</v>
      </c>
      <c r="E107" s="1" t="s">
        <v>131</v>
      </c>
      <c r="F107" s="1" t="s">
        <v>16</v>
      </c>
      <c r="G107" s="1" t="s">
        <v>17</v>
      </c>
      <c r="H107" s="1" t="str">
        <f>"71"</f>
        <v>71</v>
      </c>
      <c r="I107" s="1" t="str">
        <f>"163.18"</f>
        <v>163.18</v>
      </c>
      <c r="J107" s="1" t="str">
        <f t="shared" ref="J107:N107" si="123">"0"</f>
        <v>0</v>
      </c>
      <c r="K107" s="1" t="str">
        <f t="shared" si="103"/>
        <v>103</v>
      </c>
      <c r="L107" s="1" t="str">
        <f t="shared" si="104"/>
        <v>47</v>
      </c>
      <c r="M107" s="1" t="str">
        <f t="shared" si="123"/>
        <v>0</v>
      </c>
      <c r="N107" s="1" t="str">
        <f t="shared" si="123"/>
        <v>0</v>
      </c>
      <c r="O107" s="1" t="str">
        <f>"3.18"</f>
        <v>3.18</v>
      </c>
    </row>
    <row r="108" s="1" customFormat="1" spans="1:15">
      <c r="A108" s="1" t="str">
        <f t="shared" si="71"/>
        <v>202406</v>
      </c>
      <c r="B108" s="1" t="str">
        <f t="shared" si="72"/>
        <v>150525100</v>
      </c>
      <c r="C108" s="1" t="str">
        <f>"1014569593"</f>
        <v>1014569593</v>
      </c>
      <c r="D108" s="1" t="str">
        <f>"152326195912220418"</f>
        <v>152326195912220418</v>
      </c>
      <c r="E108" s="1" t="s">
        <v>132</v>
      </c>
      <c r="F108" s="1" t="s">
        <v>25</v>
      </c>
      <c r="G108" s="1" t="s">
        <v>19</v>
      </c>
      <c r="H108" s="1" t="str">
        <f>"65"</f>
        <v>65</v>
      </c>
      <c r="I108" s="1" t="str">
        <f>"158.22"</f>
        <v>158.22</v>
      </c>
      <c r="J108" s="1" t="str">
        <f t="shared" ref="J108:N108" si="124">"0"</f>
        <v>0</v>
      </c>
      <c r="K108" s="1" t="str">
        <f t="shared" si="103"/>
        <v>103</v>
      </c>
      <c r="L108" s="1" t="str">
        <f t="shared" si="104"/>
        <v>47</v>
      </c>
      <c r="M108" s="1" t="str">
        <f t="shared" si="124"/>
        <v>0</v>
      </c>
      <c r="N108" s="1" t="str">
        <f t="shared" si="124"/>
        <v>0</v>
      </c>
      <c r="O108" s="1" t="str">
        <f>"8.22"</f>
        <v>8.22</v>
      </c>
    </row>
    <row r="109" s="1" customFormat="1" spans="1:15">
      <c r="A109" s="1" t="str">
        <f t="shared" si="71"/>
        <v>202406</v>
      </c>
      <c r="B109" s="1" t="str">
        <f t="shared" si="72"/>
        <v>150525100</v>
      </c>
      <c r="C109" s="1" t="str">
        <f>"1014569602"</f>
        <v>1014569602</v>
      </c>
      <c r="D109" s="1" t="str">
        <f>"152326196208060419"</f>
        <v>152326196208060419</v>
      </c>
      <c r="E109" s="1" t="s">
        <v>133</v>
      </c>
      <c r="F109" s="1" t="s">
        <v>25</v>
      </c>
      <c r="G109" s="1" t="s">
        <v>19</v>
      </c>
      <c r="H109" s="1" t="str">
        <f>"62"</f>
        <v>62</v>
      </c>
      <c r="I109" s="1" t="str">
        <f>"163.1"</f>
        <v>163.1</v>
      </c>
      <c r="J109" s="1" t="str">
        <f t="shared" ref="J109:N109" si="125">"0"</f>
        <v>0</v>
      </c>
      <c r="K109" s="1" t="str">
        <f t="shared" si="103"/>
        <v>103</v>
      </c>
      <c r="L109" s="1" t="str">
        <f t="shared" si="104"/>
        <v>47</v>
      </c>
      <c r="M109" s="1" t="str">
        <f t="shared" si="125"/>
        <v>0</v>
      </c>
      <c r="N109" s="1" t="str">
        <f t="shared" si="125"/>
        <v>0</v>
      </c>
      <c r="O109" s="1" t="str">
        <f>"13.1"</f>
        <v>13.1</v>
      </c>
    </row>
    <row r="110" s="1" customFormat="1" spans="1:15">
      <c r="A110" s="1" t="str">
        <f t="shared" si="71"/>
        <v>202406</v>
      </c>
      <c r="B110" s="1" t="str">
        <f t="shared" si="72"/>
        <v>150525100</v>
      </c>
      <c r="C110" s="1" t="str">
        <f>"1014569604"</f>
        <v>1014569604</v>
      </c>
      <c r="D110" s="1" t="str">
        <f>"152326196308070411"</f>
        <v>152326196308070411</v>
      </c>
      <c r="E110" s="1" t="s">
        <v>134</v>
      </c>
      <c r="F110" s="1" t="s">
        <v>25</v>
      </c>
      <c r="G110" s="1" t="s">
        <v>19</v>
      </c>
      <c r="H110" s="1" t="str">
        <f t="shared" ref="H110:H114" si="126">"61"</f>
        <v>61</v>
      </c>
      <c r="I110" s="1" t="str">
        <f>"166.75"</f>
        <v>166.75</v>
      </c>
      <c r="J110" s="1" t="str">
        <f t="shared" ref="J110:N110" si="127">"0"</f>
        <v>0</v>
      </c>
      <c r="K110" s="1" t="str">
        <f t="shared" si="103"/>
        <v>103</v>
      </c>
      <c r="L110" s="1" t="str">
        <f t="shared" si="104"/>
        <v>47</v>
      </c>
      <c r="M110" s="1" t="str">
        <f t="shared" si="127"/>
        <v>0</v>
      </c>
      <c r="N110" s="1" t="str">
        <f t="shared" si="127"/>
        <v>0</v>
      </c>
      <c r="O110" s="1" t="str">
        <f>"16.75"</f>
        <v>16.75</v>
      </c>
    </row>
    <row r="111" s="1" customFormat="1" spans="1:15">
      <c r="A111" s="1" t="str">
        <f t="shared" si="71"/>
        <v>202406</v>
      </c>
      <c r="B111" s="1" t="str">
        <f t="shared" si="72"/>
        <v>150525100</v>
      </c>
      <c r="C111" s="1" t="str">
        <f>"1014549860"</f>
        <v>1014549860</v>
      </c>
      <c r="D111" s="1" t="str">
        <f>"152326196204010668"</f>
        <v>152326196204010668</v>
      </c>
      <c r="E111" s="1" t="s">
        <v>135</v>
      </c>
      <c r="F111" s="1" t="s">
        <v>16</v>
      </c>
      <c r="G111" s="1" t="s">
        <v>19</v>
      </c>
      <c r="H111" s="1" t="str">
        <f>"62"</f>
        <v>62</v>
      </c>
      <c r="I111" s="1" t="str">
        <f>"162.99"</f>
        <v>162.99</v>
      </c>
      <c r="J111" s="1" t="str">
        <f t="shared" ref="J111:N111" si="128">"0"</f>
        <v>0</v>
      </c>
      <c r="K111" s="1" t="str">
        <f t="shared" si="103"/>
        <v>103</v>
      </c>
      <c r="L111" s="1" t="str">
        <f t="shared" si="104"/>
        <v>47</v>
      </c>
      <c r="M111" s="1" t="str">
        <f t="shared" si="128"/>
        <v>0</v>
      </c>
      <c r="N111" s="1" t="str">
        <f t="shared" si="128"/>
        <v>0</v>
      </c>
      <c r="O111" s="1" t="str">
        <f>"12.99"</f>
        <v>12.99</v>
      </c>
    </row>
    <row r="112" s="1" customFormat="1" spans="1:15">
      <c r="A112" s="1" t="str">
        <f t="shared" si="71"/>
        <v>202406</v>
      </c>
      <c r="B112" s="1" t="str">
        <f t="shared" si="72"/>
        <v>150525100</v>
      </c>
      <c r="C112" s="1" t="str">
        <f>"1014550369"</f>
        <v>1014550369</v>
      </c>
      <c r="D112" s="1" t="str">
        <f>"152326196305083073"</f>
        <v>152326196305083073</v>
      </c>
      <c r="E112" s="1" t="s">
        <v>136</v>
      </c>
      <c r="F112" s="1" t="s">
        <v>25</v>
      </c>
      <c r="G112" s="1" t="s">
        <v>17</v>
      </c>
      <c r="H112" s="1" t="str">
        <f t="shared" si="126"/>
        <v>61</v>
      </c>
      <c r="I112" s="1" t="str">
        <f>"163.38"</f>
        <v>163.38</v>
      </c>
      <c r="J112" s="1" t="str">
        <f t="shared" ref="J112:N112" si="129">"0"</f>
        <v>0</v>
      </c>
      <c r="K112" s="1" t="str">
        <f t="shared" si="103"/>
        <v>103</v>
      </c>
      <c r="L112" s="1" t="str">
        <f t="shared" si="104"/>
        <v>47</v>
      </c>
      <c r="M112" s="1" t="str">
        <f t="shared" si="129"/>
        <v>0</v>
      </c>
      <c r="N112" s="1" t="str">
        <f t="shared" si="129"/>
        <v>0</v>
      </c>
      <c r="O112" s="1" t="str">
        <f>"13.38"</f>
        <v>13.38</v>
      </c>
    </row>
    <row r="113" s="1" customFormat="1" spans="1:15">
      <c r="A113" s="1" t="str">
        <f t="shared" si="71"/>
        <v>202406</v>
      </c>
      <c r="B113" s="1" t="str">
        <f t="shared" si="72"/>
        <v>150525100</v>
      </c>
      <c r="C113" s="1" t="str">
        <f>"1014550377"</f>
        <v>1014550377</v>
      </c>
      <c r="D113" s="1" t="str">
        <f>"152326196308050664"</f>
        <v>152326196308050664</v>
      </c>
      <c r="E113" s="1" t="s">
        <v>137</v>
      </c>
      <c r="F113" s="1" t="s">
        <v>16</v>
      </c>
      <c r="G113" s="1" t="s">
        <v>19</v>
      </c>
      <c r="H113" s="1" t="str">
        <f t="shared" si="126"/>
        <v>61</v>
      </c>
      <c r="I113" s="1" t="str">
        <f>"164.82"</f>
        <v>164.82</v>
      </c>
      <c r="J113" s="1" t="str">
        <f t="shared" ref="J113:N113" si="130">"0"</f>
        <v>0</v>
      </c>
      <c r="K113" s="1" t="str">
        <f t="shared" si="103"/>
        <v>103</v>
      </c>
      <c r="L113" s="1" t="str">
        <f t="shared" si="104"/>
        <v>47</v>
      </c>
      <c r="M113" s="1" t="str">
        <f t="shared" si="130"/>
        <v>0</v>
      </c>
      <c r="N113" s="1" t="str">
        <f t="shared" si="130"/>
        <v>0</v>
      </c>
      <c r="O113" s="1" t="str">
        <f>"14.82"</f>
        <v>14.82</v>
      </c>
    </row>
    <row r="114" s="1" customFormat="1" spans="1:15">
      <c r="A114" s="1" t="str">
        <f t="shared" si="71"/>
        <v>202406</v>
      </c>
      <c r="B114" s="1" t="str">
        <f t="shared" si="72"/>
        <v>150525100</v>
      </c>
      <c r="C114" s="1" t="str">
        <f>"1014550381"</f>
        <v>1014550381</v>
      </c>
      <c r="D114" s="1" t="str">
        <f>"152326196309010672"</f>
        <v>152326196309010672</v>
      </c>
      <c r="E114" s="1" t="s">
        <v>138</v>
      </c>
      <c r="F114" s="1" t="s">
        <v>25</v>
      </c>
      <c r="G114" s="1" t="s">
        <v>17</v>
      </c>
      <c r="H114" s="1" t="str">
        <f t="shared" si="126"/>
        <v>61</v>
      </c>
      <c r="I114" s="1" t="str">
        <f>"165.1"</f>
        <v>165.1</v>
      </c>
      <c r="J114" s="1" t="str">
        <f t="shared" ref="J114:N114" si="131">"0"</f>
        <v>0</v>
      </c>
      <c r="K114" s="1" t="str">
        <f t="shared" si="103"/>
        <v>103</v>
      </c>
      <c r="L114" s="1" t="str">
        <f t="shared" si="104"/>
        <v>47</v>
      </c>
      <c r="M114" s="1" t="str">
        <f t="shared" si="131"/>
        <v>0</v>
      </c>
      <c r="N114" s="1" t="str">
        <f t="shared" si="131"/>
        <v>0</v>
      </c>
      <c r="O114" s="1" t="str">
        <f>"15.1"</f>
        <v>15.1</v>
      </c>
    </row>
    <row r="115" s="1" customFormat="1" spans="1:15">
      <c r="A115" s="1" t="str">
        <f t="shared" si="71"/>
        <v>202406</v>
      </c>
      <c r="B115" s="1" t="str">
        <f t="shared" si="72"/>
        <v>150525100</v>
      </c>
      <c r="C115" s="1" t="str">
        <f>"1014548989"</f>
        <v>1014548989</v>
      </c>
      <c r="D115" s="1" t="str">
        <f>"152326196011123316"</f>
        <v>152326196011123316</v>
      </c>
      <c r="E115" s="1" t="s">
        <v>139</v>
      </c>
      <c r="F115" s="1" t="s">
        <v>25</v>
      </c>
      <c r="G115" s="1" t="s">
        <v>19</v>
      </c>
      <c r="H115" s="1" t="str">
        <f>"64"</f>
        <v>64</v>
      </c>
      <c r="I115" s="1" t="str">
        <f>"160.08"</f>
        <v>160.08</v>
      </c>
      <c r="J115" s="1" t="str">
        <f t="shared" ref="J115:N115" si="132">"0"</f>
        <v>0</v>
      </c>
      <c r="K115" s="1" t="str">
        <f t="shared" si="103"/>
        <v>103</v>
      </c>
      <c r="L115" s="1" t="str">
        <f t="shared" si="104"/>
        <v>47</v>
      </c>
      <c r="M115" s="1" t="str">
        <f t="shared" si="132"/>
        <v>0</v>
      </c>
      <c r="N115" s="1" t="str">
        <f t="shared" si="132"/>
        <v>0</v>
      </c>
      <c r="O115" s="1" t="str">
        <f>"10.08"</f>
        <v>10.08</v>
      </c>
    </row>
    <row r="116" s="1" customFormat="1" spans="1:15">
      <c r="A116" s="1" t="str">
        <f t="shared" si="71"/>
        <v>202406</v>
      </c>
      <c r="B116" s="1" t="str">
        <f t="shared" si="72"/>
        <v>150525100</v>
      </c>
      <c r="C116" s="1" t="str">
        <f>"1014584919"</f>
        <v>1014584919</v>
      </c>
      <c r="D116" s="1" t="str">
        <f>"152326195210290665"</f>
        <v>152326195210290665</v>
      </c>
      <c r="E116" s="1" t="s">
        <v>140</v>
      </c>
      <c r="F116" s="1" t="s">
        <v>16</v>
      </c>
      <c r="G116" s="1" t="s">
        <v>17</v>
      </c>
      <c r="H116" s="1" t="str">
        <f>"72"</f>
        <v>72</v>
      </c>
      <c r="I116" s="1" t="str">
        <f>"162.14"</f>
        <v>162.14</v>
      </c>
      <c r="J116" s="1" t="str">
        <f t="shared" ref="J116:N116" si="133">"0"</f>
        <v>0</v>
      </c>
      <c r="K116" s="1" t="str">
        <f t="shared" si="103"/>
        <v>103</v>
      </c>
      <c r="L116" s="1" t="str">
        <f t="shared" si="104"/>
        <v>47</v>
      </c>
      <c r="M116" s="1" t="str">
        <f t="shared" si="133"/>
        <v>0</v>
      </c>
      <c r="N116" s="1" t="str">
        <f t="shared" si="133"/>
        <v>0</v>
      </c>
      <c r="O116" s="1" t="str">
        <f>"2.14"</f>
        <v>2.14</v>
      </c>
    </row>
    <row r="117" s="1" customFormat="1" spans="1:15">
      <c r="A117" s="1" t="str">
        <f t="shared" si="71"/>
        <v>202406</v>
      </c>
      <c r="B117" s="1" t="str">
        <f t="shared" si="72"/>
        <v>150525100</v>
      </c>
      <c r="C117" s="1" t="str">
        <f>"1040681551"</f>
        <v>1040681551</v>
      </c>
      <c r="D117" s="1" t="str">
        <f>"152326195710110018"</f>
        <v>152326195710110018</v>
      </c>
      <c r="E117" s="1" t="s">
        <v>141</v>
      </c>
      <c r="F117" s="1" t="s">
        <v>25</v>
      </c>
      <c r="G117" s="1" t="s">
        <v>17</v>
      </c>
      <c r="H117" s="1" t="str">
        <f>"67"</f>
        <v>67</v>
      </c>
      <c r="I117" s="1" t="str">
        <f>"154.87"</f>
        <v>154.87</v>
      </c>
      <c r="J117" s="1" t="str">
        <f t="shared" ref="J117:N117" si="134">"0"</f>
        <v>0</v>
      </c>
      <c r="K117" s="1" t="str">
        <f t="shared" si="103"/>
        <v>103</v>
      </c>
      <c r="L117" s="1" t="str">
        <f t="shared" si="104"/>
        <v>47</v>
      </c>
      <c r="M117" s="1" t="str">
        <f t="shared" si="134"/>
        <v>0</v>
      </c>
      <c r="N117" s="1" t="str">
        <f t="shared" si="134"/>
        <v>0</v>
      </c>
      <c r="O117" s="1" t="str">
        <f>"4.87"</f>
        <v>4.87</v>
      </c>
    </row>
    <row r="118" s="1" customFormat="1" spans="1:15">
      <c r="A118" s="1" t="str">
        <f t="shared" si="71"/>
        <v>202406</v>
      </c>
      <c r="B118" s="1" t="str">
        <f t="shared" si="72"/>
        <v>150525100</v>
      </c>
      <c r="C118" s="1" t="str">
        <f>"1040681655"</f>
        <v>1040681655</v>
      </c>
      <c r="D118" s="1" t="str">
        <f>"152326196308203325"</f>
        <v>152326196308203325</v>
      </c>
      <c r="E118" s="1" t="s">
        <v>142</v>
      </c>
      <c r="F118" s="1" t="s">
        <v>16</v>
      </c>
      <c r="G118" s="1" t="s">
        <v>17</v>
      </c>
      <c r="H118" s="1" t="str">
        <f>"61"</f>
        <v>61</v>
      </c>
      <c r="I118" s="1" t="str">
        <f>"167.93"</f>
        <v>167.93</v>
      </c>
      <c r="J118" s="1" t="str">
        <f t="shared" ref="J118:N118" si="135">"0"</f>
        <v>0</v>
      </c>
      <c r="K118" s="1" t="str">
        <f t="shared" si="103"/>
        <v>103</v>
      </c>
      <c r="L118" s="1" t="str">
        <f t="shared" si="104"/>
        <v>47</v>
      </c>
      <c r="M118" s="1" t="str">
        <f t="shared" si="135"/>
        <v>0</v>
      </c>
      <c r="N118" s="1" t="str">
        <f t="shared" si="135"/>
        <v>0</v>
      </c>
      <c r="O118" s="1" t="str">
        <f>"17.93"</f>
        <v>17.93</v>
      </c>
    </row>
    <row r="119" s="1" customFormat="1" spans="1:15">
      <c r="A119" s="1" t="str">
        <f t="shared" si="71"/>
        <v>202406</v>
      </c>
      <c r="B119" s="1" t="str">
        <f t="shared" si="72"/>
        <v>150525100</v>
      </c>
      <c r="C119" s="1" t="str">
        <f>"1040681672"</f>
        <v>1040681672</v>
      </c>
      <c r="D119" s="1" t="str">
        <f>"152326195708033316"</f>
        <v>152326195708033316</v>
      </c>
      <c r="E119" s="1" t="s">
        <v>143</v>
      </c>
      <c r="F119" s="1" t="s">
        <v>25</v>
      </c>
      <c r="G119" s="1" t="s">
        <v>19</v>
      </c>
      <c r="H119" s="1" t="str">
        <f>"67"</f>
        <v>67</v>
      </c>
      <c r="I119" s="1" t="str">
        <f>"154.87"</f>
        <v>154.87</v>
      </c>
      <c r="J119" s="1" t="str">
        <f t="shared" ref="J119:N119" si="136">"0"</f>
        <v>0</v>
      </c>
      <c r="K119" s="1" t="str">
        <f t="shared" si="103"/>
        <v>103</v>
      </c>
      <c r="L119" s="1" t="str">
        <f t="shared" si="104"/>
        <v>47</v>
      </c>
      <c r="M119" s="1" t="str">
        <f t="shared" si="136"/>
        <v>0</v>
      </c>
      <c r="N119" s="1" t="str">
        <f t="shared" si="136"/>
        <v>0</v>
      </c>
      <c r="O119" s="1" t="str">
        <f>"4.87"</f>
        <v>4.87</v>
      </c>
    </row>
    <row r="120" s="1" customFormat="1" spans="1:15">
      <c r="A120" s="1" t="str">
        <f t="shared" si="71"/>
        <v>202406</v>
      </c>
      <c r="B120" s="1" t="str">
        <f t="shared" si="72"/>
        <v>150525100</v>
      </c>
      <c r="C120" s="1" t="str">
        <f>"1040681507"</f>
        <v>1040681507</v>
      </c>
      <c r="D120" s="1" t="str">
        <f>"152326196007193813"</f>
        <v>152326196007193813</v>
      </c>
      <c r="E120" s="1" t="s">
        <v>144</v>
      </c>
      <c r="F120" s="1" t="s">
        <v>25</v>
      </c>
      <c r="G120" s="1" t="s">
        <v>19</v>
      </c>
      <c r="H120" s="1" t="str">
        <f>"64"</f>
        <v>64</v>
      </c>
      <c r="I120" s="1" t="str">
        <f>"157.97"</f>
        <v>157.97</v>
      </c>
      <c r="J120" s="1" t="str">
        <f t="shared" ref="J120:N120" si="137">"0"</f>
        <v>0</v>
      </c>
      <c r="K120" s="1" t="str">
        <f t="shared" si="103"/>
        <v>103</v>
      </c>
      <c r="L120" s="1" t="str">
        <f t="shared" si="104"/>
        <v>47</v>
      </c>
      <c r="M120" s="1" t="str">
        <f t="shared" si="137"/>
        <v>0</v>
      </c>
      <c r="N120" s="1" t="str">
        <f t="shared" si="137"/>
        <v>0</v>
      </c>
      <c r="O120" s="1" t="str">
        <f>"7.97"</f>
        <v>7.97</v>
      </c>
    </row>
    <row r="121" s="1" customFormat="1" spans="1:15">
      <c r="A121" s="1" t="str">
        <f t="shared" si="71"/>
        <v>202406</v>
      </c>
      <c r="B121" s="1" t="str">
        <f t="shared" si="72"/>
        <v>150525100</v>
      </c>
      <c r="C121" s="1" t="str">
        <f>"1040681517"</f>
        <v>1040681517</v>
      </c>
      <c r="D121" s="1" t="str">
        <f>"152326195503033865"</f>
        <v>152326195503033865</v>
      </c>
      <c r="E121" s="1" t="s">
        <v>145</v>
      </c>
      <c r="F121" s="1" t="s">
        <v>16</v>
      </c>
      <c r="G121" s="1" t="s">
        <v>19</v>
      </c>
      <c r="H121" s="1" t="str">
        <f>"69"</f>
        <v>69</v>
      </c>
      <c r="I121" s="1" t="str">
        <f>"153.89"</f>
        <v>153.89</v>
      </c>
      <c r="J121" s="1" t="str">
        <f t="shared" ref="J121:N121" si="138">"0"</f>
        <v>0</v>
      </c>
      <c r="K121" s="1" t="str">
        <f t="shared" si="103"/>
        <v>103</v>
      </c>
      <c r="L121" s="1" t="str">
        <f t="shared" si="104"/>
        <v>47</v>
      </c>
      <c r="M121" s="1" t="str">
        <f t="shared" si="138"/>
        <v>0</v>
      </c>
      <c r="N121" s="1" t="str">
        <f t="shared" si="138"/>
        <v>0</v>
      </c>
      <c r="O121" s="1" t="str">
        <f>"3.89"</f>
        <v>3.89</v>
      </c>
    </row>
    <row r="122" s="1" customFormat="1" spans="1:15">
      <c r="A122" s="1" t="str">
        <f t="shared" si="71"/>
        <v>202406</v>
      </c>
      <c r="B122" s="1" t="str">
        <f t="shared" si="72"/>
        <v>150525100</v>
      </c>
      <c r="C122" s="1" t="str">
        <f>"1040681536"</f>
        <v>1040681536</v>
      </c>
      <c r="D122" s="1" t="str">
        <f>"152326195403053076"</f>
        <v>152326195403053076</v>
      </c>
      <c r="E122" s="1" t="s">
        <v>146</v>
      </c>
      <c r="F122" s="1" t="s">
        <v>25</v>
      </c>
      <c r="G122" s="1" t="s">
        <v>17</v>
      </c>
      <c r="H122" s="1" t="str">
        <f>"70"</f>
        <v>70</v>
      </c>
      <c r="I122" s="1" t="str">
        <f>"162.94"</f>
        <v>162.94</v>
      </c>
      <c r="J122" s="1" t="str">
        <f t="shared" ref="J122:N122" si="139">"0"</f>
        <v>0</v>
      </c>
      <c r="K122" s="1" t="str">
        <f t="shared" si="103"/>
        <v>103</v>
      </c>
      <c r="L122" s="1" t="str">
        <f t="shared" si="104"/>
        <v>47</v>
      </c>
      <c r="M122" s="1" t="str">
        <f t="shared" si="139"/>
        <v>0</v>
      </c>
      <c r="N122" s="1" t="str">
        <f t="shared" si="139"/>
        <v>0</v>
      </c>
      <c r="O122" s="1" t="str">
        <f>"2.94"</f>
        <v>2.94</v>
      </c>
    </row>
    <row r="123" s="1" customFormat="1" spans="1:15">
      <c r="A123" s="1" t="str">
        <f t="shared" si="71"/>
        <v>202406</v>
      </c>
      <c r="B123" s="1" t="str">
        <f t="shared" si="72"/>
        <v>150525100</v>
      </c>
      <c r="C123" s="1" t="str">
        <f>"1040681539"</f>
        <v>1040681539</v>
      </c>
      <c r="D123" s="1" t="str">
        <f>"152326195905033083"</f>
        <v>152326195905033083</v>
      </c>
      <c r="E123" s="1" t="s">
        <v>147</v>
      </c>
      <c r="F123" s="1" t="s">
        <v>16</v>
      </c>
      <c r="G123" s="1" t="s">
        <v>17</v>
      </c>
      <c r="H123" s="1" t="str">
        <f>"65"</f>
        <v>65</v>
      </c>
      <c r="I123" s="1" t="str">
        <f>"156.9"</f>
        <v>156.9</v>
      </c>
      <c r="J123" s="1" t="str">
        <f t="shared" ref="J123:N123" si="140">"0"</f>
        <v>0</v>
      </c>
      <c r="K123" s="1" t="str">
        <f t="shared" si="103"/>
        <v>103</v>
      </c>
      <c r="L123" s="1" t="str">
        <f t="shared" si="104"/>
        <v>47</v>
      </c>
      <c r="M123" s="1" t="str">
        <f t="shared" si="140"/>
        <v>0</v>
      </c>
      <c r="N123" s="1" t="str">
        <f t="shared" si="140"/>
        <v>0</v>
      </c>
      <c r="O123" s="1" t="str">
        <f>"6.9"</f>
        <v>6.9</v>
      </c>
    </row>
    <row r="124" s="1" customFormat="1" spans="1:15">
      <c r="A124" s="1" t="str">
        <f t="shared" si="71"/>
        <v>202406</v>
      </c>
      <c r="B124" s="1" t="str">
        <f t="shared" si="72"/>
        <v>150525100</v>
      </c>
      <c r="C124" s="1" t="str">
        <f>"1040681616"</f>
        <v>1040681616</v>
      </c>
      <c r="D124" s="1" t="str">
        <f>"152326195602093812"</f>
        <v>152326195602093812</v>
      </c>
      <c r="E124" s="1" t="s">
        <v>148</v>
      </c>
      <c r="F124" s="1" t="s">
        <v>25</v>
      </c>
      <c r="G124" s="1" t="s">
        <v>17</v>
      </c>
      <c r="H124" s="1" t="str">
        <f>"68"</f>
        <v>68</v>
      </c>
      <c r="I124" s="1" t="str">
        <f>"154.81"</f>
        <v>154.81</v>
      </c>
      <c r="J124" s="1" t="str">
        <f t="shared" ref="J124:N124" si="141">"0"</f>
        <v>0</v>
      </c>
      <c r="K124" s="1" t="str">
        <f t="shared" si="103"/>
        <v>103</v>
      </c>
      <c r="L124" s="1" t="str">
        <f t="shared" si="104"/>
        <v>47</v>
      </c>
      <c r="M124" s="1" t="str">
        <f t="shared" si="141"/>
        <v>0</v>
      </c>
      <c r="N124" s="1" t="str">
        <f t="shared" si="141"/>
        <v>0</v>
      </c>
      <c r="O124" s="1" t="str">
        <f>"4.81"</f>
        <v>4.81</v>
      </c>
    </row>
    <row r="125" s="1" customFormat="1" spans="1:15">
      <c r="A125" s="1" t="str">
        <f t="shared" si="71"/>
        <v>202406</v>
      </c>
      <c r="B125" s="1" t="str">
        <f t="shared" si="72"/>
        <v>150525100</v>
      </c>
      <c r="C125" s="1" t="str">
        <f>"1014612804"</f>
        <v>1014612804</v>
      </c>
      <c r="D125" s="1" t="str">
        <f>"152326194910060911"</f>
        <v>152326194910060911</v>
      </c>
      <c r="E125" s="1" t="s">
        <v>149</v>
      </c>
      <c r="F125" s="1" t="s">
        <v>25</v>
      </c>
      <c r="G125" s="1" t="s">
        <v>19</v>
      </c>
      <c r="H125" s="1" t="str">
        <f t="shared" ref="H125:H129" si="142">"75"</f>
        <v>75</v>
      </c>
      <c r="I125" s="1" t="str">
        <f t="shared" ref="I125:I129" si="143">"160"</f>
        <v>160</v>
      </c>
      <c r="J125" s="1" t="str">
        <f t="shared" ref="J125:O125" si="144">"0"</f>
        <v>0</v>
      </c>
      <c r="K125" s="1" t="str">
        <f t="shared" si="103"/>
        <v>103</v>
      </c>
      <c r="L125" s="1" t="str">
        <f t="shared" si="104"/>
        <v>47</v>
      </c>
      <c r="M125" s="1" t="str">
        <f t="shared" si="144"/>
        <v>0</v>
      </c>
      <c r="N125" s="1" t="str">
        <f t="shared" si="144"/>
        <v>0</v>
      </c>
      <c r="O125" s="1" t="str">
        <f t="shared" si="144"/>
        <v>0</v>
      </c>
    </row>
    <row r="126" s="1" customFormat="1" spans="1:15">
      <c r="A126" s="1" t="str">
        <f t="shared" si="71"/>
        <v>202406</v>
      </c>
      <c r="B126" s="1" t="str">
        <f t="shared" si="72"/>
        <v>150525100</v>
      </c>
      <c r="C126" s="1" t="str">
        <f>"1014613074"</f>
        <v>1014613074</v>
      </c>
      <c r="D126" s="1" t="str">
        <f>"152326194903010414"</f>
        <v>152326194903010414</v>
      </c>
      <c r="E126" s="1" t="s">
        <v>150</v>
      </c>
      <c r="F126" s="1" t="s">
        <v>25</v>
      </c>
      <c r="G126" s="1" t="s">
        <v>17</v>
      </c>
      <c r="H126" s="1" t="str">
        <f t="shared" si="142"/>
        <v>75</v>
      </c>
      <c r="I126" s="1" t="str">
        <f t="shared" si="143"/>
        <v>160</v>
      </c>
      <c r="J126" s="1" t="str">
        <f t="shared" ref="J126:O126" si="145">"0"</f>
        <v>0</v>
      </c>
      <c r="K126" s="1" t="str">
        <f t="shared" si="103"/>
        <v>103</v>
      </c>
      <c r="L126" s="1" t="str">
        <f t="shared" si="104"/>
        <v>47</v>
      </c>
      <c r="M126" s="1" t="str">
        <f t="shared" si="145"/>
        <v>0</v>
      </c>
      <c r="N126" s="1" t="str">
        <f t="shared" si="145"/>
        <v>0</v>
      </c>
      <c r="O126" s="1" t="str">
        <f t="shared" si="145"/>
        <v>0</v>
      </c>
    </row>
    <row r="127" s="1" customFormat="1" spans="1:15">
      <c r="A127" s="1" t="str">
        <f t="shared" si="71"/>
        <v>202406</v>
      </c>
      <c r="B127" s="1" t="str">
        <f t="shared" si="72"/>
        <v>150525100</v>
      </c>
      <c r="C127" s="1" t="str">
        <f>"1014623897"</f>
        <v>1014623897</v>
      </c>
      <c r="D127" s="1" t="str">
        <f>"152326194707110661"</f>
        <v>152326194707110661</v>
      </c>
      <c r="E127" s="1" t="s">
        <v>151</v>
      </c>
      <c r="F127" s="1" t="s">
        <v>16</v>
      </c>
      <c r="G127" s="1" t="s">
        <v>17</v>
      </c>
      <c r="H127" s="1" t="str">
        <f>"77"</f>
        <v>77</v>
      </c>
      <c r="I127" s="1" t="str">
        <f t="shared" si="143"/>
        <v>160</v>
      </c>
      <c r="J127" s="1" t="str">
        <f t="shared" ref="J127:O127" si="146">"0"</f>
        <v>0</v>
      </c>
      <c r="K127" s="1" t="str">
        <f t="shared" si="103"/>
        <v>103</v>
      </c>
      <c r="L127" s="1" t="str">
        <f t="shared" si="104"/>
        <v>47</v>
      </c>
      <c r="M127" s="1" t="str">
        <f t="shared" si="146"/>
        <v>0</v>
      </c>
      <c r="N127" s="1" t="str">
        <f t="shared" si="146"/>
        <v>0</v>
      </c>
      <c r="O127" s="1" t="str">
        <f t="shared" si="146"/>
        <v>0</v>
      </c>
    </row>
    <row r="128" s="1" customFormat="1" spans="1:15">
      <c r="A128" s="1" t="str">
        <f t="shared" si="71"/>
        <v>202406</v>
      </c>
      <c r="B128" s="1" t="str">
        <f t="shared" si="72"/>
        <v>150525100</v>
      </c>
      <c r="C128" s="1" t="str">
        <f>"1014623911"</f>
        <v>1014623911</v>
      </c>
      <c r="D128" s="1" t="str">
        <f>"152326195007130674"</f>
        <v>152326195007130674</v>
      </c>
      <c r="E128" s="1" t="s">
        <v>152</v>
      </c>
      <c r="F128" s="1" t="s">
        <v>25</v>
      </c>
      <c r="G128" s="1" t="s">
        <v>17</v>
      </c>
      <c r="H128" s="1" t="str">
        <f>"74"</f>
        <v>74</v>
      </c>
      <c r="I128" s="1" t="str">
        <f t="shared" si="143"/>
        <v>160</v>
      </c>
      <c r="J128" s="1" t="str">
        <f t="shared" ref="J128:O128" si="147">"0"</f>
        <v>0</v>
      </c>
      <c r="K128" s="1" t="str">
        <f t="shared" si="103"/>
        <v>103</v>
      </c>
      <c r="L128" s="1" t="str">
        <f t="shared" si="104"/>
        <v>47</v>
      </c>
      <c r="M128" s="1" t="str">
        <f t="shared" si="147"/>
        <v>0</v>
      </c>
      <c r="N128" s="1" t="str">
        <f t="shared" si="147"/>
        <v>0</v>
      </c>
      <c r="O128" s="1" t="str">
        <f t="shared" si="147"/>
        <v>0</v>
      </c>
    </row>
    <row r="129" s="1" customFormat="1" spans="1:15">
      <c r="A129" s="1" t="str">
        <f t="shared" si="71"/>
        <v>202406</v>
      </c>
      <c r="B129" s="1" t="str">
        <f t="shared" si="72"/>
        <v>150525100</v>
      </c>
      <c r="C129" s="1" t="str">
        <f>"1014623912"</f>
        <v>1014623912</v>
      </c>
      <c r="D129" s="1" t="s">
        <v>153</v>
      </c>
      <c r="E129" s="1" t="s">
        <v>154</v>
      </c>
      <c r="F129" s="1" t="s">
        <v>16</v>
      </c>
      <c r="G129" s="1" t="s">
        <v>17</v>
      </c>
      <c r="H129" s="1" t="str">
        <f t="shared" si="142"/>
        <v>75</v>
      </c>
      <c r="I129" s="1" t="str">
        <f t="shared" si="143"/>
        <v>160</v>
      </c>
      <c r="J129" s="1" t="str">
        <f t="shared" ref="J129:O129" si="148">"0"</f>
        <v>0</v>
      </c>
      <c r="K129" s="1" t="str">
        <f t="shared" si="103"/>
        <v>103</v>
      </c>
      <c r="L129" s="1" t="str">
        <f t="shared" si="104"/>
        <v>47</v>
      </c>
      <c r="M129" s="1" t="str">
        <f t="shared" si="148"/>
        <v>0</v>
      </c>
      <c r="N129" s="1" t="str">
        <f t="shared" si="148"/>
        <v>0</v>
      </c>
      <c r="O129" s="1" t="str">
        <f t="shared" si="148"/>
        <v>0</v>
      </c>
    </row>
    <row r="130" s="1" customFormat="1" spans="1:15">
      <c r="A130" s="1" t="str">
        <f t="shared" ref="A130:A193" si="149">"202406"</f>
        <v>202406</v>
      </c>
      <c r="B130" s="1" t="str">
        <f t="shared" ref="B130:B193" si="150">"150525100"</f>
        <v>150525100</v>
      </c>
      <c r="C130" s="1" t="str">
        <f>"1014624384"</f>
        <v>1014624384</v>
      </c>
      <c r="D130" s="1" t="str">
        <f>"152326194309100919"</f>
        <v>152326194309100919</v>
      </c>
      <c r="E130" s="1" t="s">
        <v>155</v>
      </c>
      <c r="F130" s="1" t="s">
        <v>25</v>
      </c>
      <c r="G130" s="1" t="s">
        <v>19</v>
      </c>
      <c r="H130" s="1" t="str">
        <f>"81"</f>
        <v>81</v>
      </c>
      <c r="I130" s="1" t="str">
        <f>"170"</f>
        <v>170</v>
      </c>
      <c r="J130" s="1" t="str">
        <f t="shared" ref="J130:O130" si="151">"0"</f>
        <v>0</v>
      </c>
      <c r="K130" s="1" t="str">
        <f t="shared" si="103"/>
        <v>103</v>
      </c>
      <c r="L130" s="1" t="str">
        <f t="shared" si="104"/>
        <v>47</v>
      </c>
      <c r="M130" s="1" t="str">
        <f t="shared" si="151"/>
        <v>0</v>
      </c>
      <c r="N130" s="1" t="str">
        <f t="shared" si="151"/>
        <v>0</v>
      </c>
      <c r="O130" s="1" t="str">
        <f t="shared" si="151"/>
        <v>0</v>
      </c>
    </row>
    <row r="131" s="1" customFormat="1" spans="1:15">
      <c r="A131" s="1" t="str">
        <f t="shared" si="149"/>
        <v>202406</v>
      </c>
      <c r="B131" s="1" t="str">
        <f t="shared" si="150"/>
        <v>150525100</v>
      </c>
      <c r="C131" s="1" t="str">
        <f>"1014619916"</f>
        <v>1014619916</v>
      </c>
      <c r="D131" s="1" t="str">
        <f>"152326195108170667"</f>
        <v>152326195108170667</v>
      </c>
      <c r="E131" s="1" t="s">
        <v>156</v>
      </c>
      <c r="F131" s="1" t="s">
        <v>16</v>
      </c>
      <c r="G131" s="1" t="s">
        <v>17</v>
      </c>
      <c r="H131" s="1" t="str">
        <f t="shared" ref="H131:H135" si="152">"73"</f>
        <v>73</v>
      </c>
      <c r="I131" s="1" t="str">
        <f t="shared" ref="I131:I139" si="153">"160"</f>
        <v>160</v>
      </c>
      <c r="J131" s="1" t="str">
        <f t="shared" ref="J131:O131" si="154">"0"</f>
        <v>0</v>
      </c>
      <c r="K131" s="1" t="str">
        <f t="shared" si="103"/>
        <v>103</v>
      </c>
      <c r="L131" s="1" t="str">
        <f t="shared" si="104"/>
        <v>47</v>
      </c>
      <c r="M131" s="1" t="str">
        <f t="shared" si="154"/>
        <v>0</v>
      </c>
      <c r="N131" s="1" t="str">
        <f t="shared" si="154"/>
        <v>0</v>
      </c>
      <c r="O131" s="1" t="str">
        <f t="shared" si="154"/>
        <v>0</v>
      </c>
    </row>
    <row r="132" s="1" customFormat="1" spans="1:15">
      <c r="A132" s="1" t="str">
        <f t="shared" si="149"/>
        <v>202406</v>
      </c>
      <c r="B132" s="1" t="str">
        <f t="shared" si="150"/>
        <v>150525100</v>
      </c>
      <c r="C132" s="1" t="str">
        <f>"1014623390"</f>
        <v>1014623390</v>
      </c>
      <c r="D132" s="1" t="str">
        <f>"152326195108243088"</f>
        <v>152326195108243088</v>
      </c>
      <c r="E132" s="1" t="s">
        <v>157</v>
      </c>
      <c r="F132" s="1" t="s">
        <v>16</v>
      </c>
      <c r="G132" s="1" t="s">
        <v>19</v>
      </c>
      <c r="H132" s="1" t="str">
        <f t="shared" si="152"/>
        <v>73</v>
      </c>
      <c r="I132" s="1" t="str">
        <f t="shared" si="153"/>
        <v>160</v>
      </c>
      <c r="J132" s="1" t="str">
        <f t="shared" ref="J132:O132" si="155">"0"</f>
        <v>0</v>
      </c>
      <c r="K132" s="1" t="str">
        <f t="shared" si="103"/>
        <v>103</v>
      </c>
      <c r="L132" s="1" t="str">
        <f t="shared" si="104"/>
        <v>47</v>
      </c>
      <c r="M132" s="1" t="str">
        <f t="shared" si="155"/>
        <v>0</v>
      </c>
      <c r="N132" s="1" t="str">
        <f t="shared" si="155"/>
        <v>0</v>
      </c>
      <c r="O132" s="1" t="str">
        <f t="shared" si="155"/>
        <v>0</v>
      </c>
    </row>
    <row r="133" s="1" customFormat="1" spans="1:15">
      <c r="A133" s="1" t="str">
        <f t="shared" si="149"/>
        <v>202406</v>
      </c>
      <c r="B133" s="1" t="str">
        <f t="shared" si="150"/>
        <v>150525100</v>
      </c>
      <c r="C133" s="1" t="str">
        <f>"1014623391"</f>
        <v>1014623391</v>
      </c>
      <c r="D133" s="1" t="str">
        <f>"152326194601073081"</f>
        <v>152326194601073081</v>
      </c>
      <c r="E133" s="1" t="s">
        <v>158</v>
      </c>
      <c r="F133" s="1" t="s">
        <v>16</v>
      </c>
      <c r="G133" s="1" t="s">
        <v>17</v>
      </c>
      <c r="H133" s="1" t="str">
        <f>"79"</f>
        <v>79</v>
      </c>
      <c r="I133" s="1" t="str">
        <f t="shared" si="153"/>
        <v>160</v>
      </c>
      <c r="J133" s="1" t="str">
        <f t="shared" ref="J133:O133" si="156">"0"</f>
        <v>0</v>
      </c>
      <c r="K133" s="1" t="str">
        <f t="shared" si="103"/>
        <v>103</v>
      </c>
      <c r="L133" s="1" t="str">
        <f t="shared" si="104"/>
        <v>47</v>
      </c>
      <c r="M133" s="1" t="str">
        <f t="shared" si="156"/>
        <v>0</v>
      </c>
      <c r="N133" s="1" t="str">
        <f t="shared" si="156"/>
        <v>0</v>
      </c>
      <c r="O133" s="1" t="str">
        <f t="shared" si="156"/>
        <v>0</v>
      </c>
    </row>
    <row r="134" s="1" customFormat="1" spans="1:15">
      <c r="A134" s="1" t="str">
        <f t="shared" si="149"/>
        <v>202406</v>
      </c>
      <c r="B134" s="1" t="str">
        <f t="shared" si="150"/>
        <v>150525100</v>
      </c>
      <c r="C134" s="1" t="str">
        <f>"1014629304"</f>
        <v>1014629304</v>
      </c>
      <c r="D134" s="1" t="str">
        <f>"152326194903293848"</f>
        <v>152326194903293848</v>
      </c>
      <c r="E134" s="1" t="s">
        <v>159</v>
      </c>
      <c r="F134" s="1" t="s">
        <v>16</v>
      </c>
      <c r="G134" s="1" t="s">
        <v>17</v>
      </c>
      <c r="H134" s="1" t="str">
        <f>"75"</f>
        <v>75</v>
      </c>
      <c r="I134" s="1" t="str">
        <f t="shared" si="153"/>
        <v>160</v>
      </c>
      <c r="J134" s="1" t="str">
        <f t="shared" ref="J134:O134" si="157">"0"</f>
        <v>0</v>
      </c>
      <c r="K134" s="1" t="str">
        <f t="shared" si="103"/>
        <v>103</v>
      </c>
      <c r="L134" s="1" t="str">
        <f t="shared" si="104"/>
        <v>47</v>
      </c>
      <c r="M134" s="1" t="str">
        <f t="shared" si="157"/>
        <v>0</v>
      </c>
      <c r="N134" s="1" t="str">
        <f t="shared" si="157"/>
        <v>0</v>
      </c>
      <c r="O134" s="1" t="str">
        <f t="shared" si="157"/>
        <v>0</v>
      </c>
    </row>
    <row r="135" s="1" customFormat="1" spans="1:15">
      <c r="A135" s="1" t="str">
        <f t="shared" si="149"/>
        <v>202406</v>
      </c>
      <c r="B135" s="1" t="str">
        <f t="shared" si="150"/>
        <v>150525100</v>
      </c>
      <c r="C135" s="1" t="str">
        <f>"1014629309"</f>
        <v>1014629309</v>
      </c>
      <c r="D135" s="1" t="str">
        <f>"152326195105123814"</f>
        <v>152326195105123814</v>
      </c>
      <c r="E135" s="1" t="s">
        <v>160</v>
      </c>
      <c r="F135" s="1" t="s">
        <v>25</v>
      </c>
      <c r="G135" s="1" t="s">
        <v>17</v>
      </c>
      <c r="H135" s="1" t="str">
        <f t="shared" si="152"/>
        <v>73</v>
      </c>
      <c r="I135" s="1" t="str">
        <f t="shared" si="153"/>
        <v>160</v>
      </c>
      <c r="J135" s="1" t="str">
        <f t="shared" ref="J135:O135" si="158">"0"</f>
        <v>0</v>
      </c>
      <c r="K135" s="1" t="str">
        <f t="shared" si="103"/>
        <v>103</v>
      </c>
      <c r="L135" s="1" t="str">
        <f t="shared" si="104"/>
        <v>47</v>
      </c>
      <c r="M135" s="1" t="str">
        <f t="shared" si="158"/>
        <v>0</v>
      </c>
      <c r="N135" s="1" t="str">
        <f t="shared" si="158"/>
        <v>0</v>
      </c>
      <c r="O135" s="1" t="str">
        <f t="shared" si="158"/>
        <v>0</v>
      </c>
    </row>
    <row r="136" s="1" customFormat="1" spans="1:15">
      <c r="A136" s="1" t="str">
        <f t="shared" si="149"/>
        <v>202406</v>
      </c>
      <c r="B136" s="1" t="str">
        <f t="shared" si="150"/>
        <v>150525100</v>
      </c>
      <c r="C136" s="1" t="str">
        <f>"1014629391"</f>
        <v>1014629391</v>
      </c>
      <c r="D136" s="1" t="str">
        <f>"152326195012260019"</f>
        <v>152326195012260019</v>
      </c>
      <c r="E136" s="1" t="s">
        <v>161</v>
      </c>
      <c r="F136" s="1" t="s">
        <v>25</v>
      </c>
      <c r="G136" s="1" t="s">
        <v>17</v>
      </c>
      <c r="H136" s="1" t="str">
        <f>"74"</f>
        <v>74</v>
      </c>
      <c r="I136" s="1" t="str">
        <f t="shared" si="153"/>
        <v>160</v>
      </c>
      <c r="J136" s="1" t="str">
        <f t="shared" ref="J136:O136" si="159">"0"</f>
        <v>0</v>
      </c>
      <c r="K136" s="1" t="str">
        <f t="shared" si="103"/>
        <v>103</v>
      </c>
      <c r="L136" s="1" t="str">
        <f t="shared" si="104"/>
        <v>47</v>
      </c>
      <c r="M136" s="1" t="str">
        <f t="shared" si="159"/>
        <v>0</v>
      </c>
      <c r="N136" s="1" t="str">
        <f t="shared" si="159"/>
        <v>0</v>
      </c>
      <c r="O136" s="1" t="str">
        <f t="shared" si="159"/>
        <v>0</v>
      </c>
    </row>
    <row r="137" s="1" customFormat="1" spans="1:15">
      <c r="A137" s="1" t="str">
        <f t="shared" si="149"/>
        <v>202406</v>
      </c>
      <c r="B137" s="1" t="str">
        <f t="shared" si="150"/>
        <v>150525100</v>
      </c>
      <c r="C137" s="1" t="str">
        <f>"1014629409"</f>
        <v>1014629409</v>
      </c>
      <c r="D137" s="1" t="str">
        <f>"152326194907103810"</f>
        <v>152326194907103810</v>
      </c>
      <c r="E137" s="1" t="s">
        <v>162</v>
      </c>
      <c r="F137" s="1" t="s">
        <v>25</v>
      </c>
      <c r="G137" s="1" t="s">
        <v>19</v>
      </c>
      <c r="H137" s="1" t="str">
        <f>"75"</f>
        <v>75</v>
      </c>
      <c r="I137" s="1" t="str">
        <f t="shared" si="153"/>
        <v>160</v>
      </c>
      <c r="J137" s="1" t="str">
        <f t="shared" ref="J137:O137" si="160">"0"</f>
        <v>0</v>
      </c>
      <c r="K137" s="1" t="str">
        <f t="shared" si="103"/>
        <v>103</v>
      </c>
      <c r="L137" s="1" t="str">
        <f t="shared" si="104"/>
        <v>47</v>
      </c>
      <c r="M137" s="1" t="str">
        <f t="shared" si="160"/>
        <v>0</v>
      </c>
      <c r="N137" s="1" t="str">
        <f t="shared" si="160"/>
        <v>0</v>
      </c>
      <c r="O137" s="1" t="str">
        <f t="shared" si="160"/>
        <v>0</v>
      </c>
    </row>
    <row r="138" s="1" customFormat="1" spans="1:15">
      <c r="A138" s="1" t="str">
        <f t="shared" si="149"/>
        <v>202406</v>
      </c>
      <c r="B138" s="1" t="str">
        <f t="shared" si="150"/>
        <v>150525100</v>
      </c>
      <c r="C138" s="1" t="str">
        <f>"1014629410"</f>
        <v>1014629410</v>
      </c>
      <c r="D138" s="1" t="str">
        <f>"152326194706143824"</f>
        <v>152326194706143824</v>
      </c>
      <c r="E138" s="1" t="s">
        <v>163</v>
      </c>
      <c r="F138" s="1" t="s">
        <v>16</v>
      </c>
      <c r="G138" s="1" t="s">
        <v>17</v>
      </c>
      <c r="H138" s="1" t="str">
        <f>"77"</f>
        <v>77</v>
      </c>
      <c r="I138" s="1" t="str">
        <f t="shared" si="153"/>
        <v>160</v>
      </c>
      <c r="J138" s="1" t="str">
        <f t="shared" ref="J138:O138" si="161">"0"</f>
        <v>0</v>
      </c>
      <c r="K138" s="1" t="str">
        <f t="shared" si="103"/>
        <v>103</v>
      </c>
      <c r="L138" s="1" t="str">
        <f t="shared" si="104"/>
        <v>47</v>
      </c>
      <c r="M138" s="1" t="str">
        <f t="shared" si="161"/>
        <v>0</v>
      </c>
      <c r="N138" s="1" t="str">
        <f t="shared" si="161"/>
        <v>0</v>
      </c>
      <c r="O138" s="1" t="str">
        <f t="shared" si="161"/>
        <v>0</v>
      </c>
    </row>
    <row r="139" s="1" customFormat="1" spans="1:15">
      <c r="A139" s="1" t="str">
        <f t="shared" si="149"/>
        <v>202406</v>
      </c>
      <c r="B139" s="1" t="str">
        <f t="shared" si="150"/>
        <v>150525100</v>
      </c>
      <c r="C139" s="1" t="str">
        <f>"1014629412"</f>
        <v>1014629412</v>
      </c>
      <c r="D139" s="1" t="str">
        <f>"152326194412093817"</f>
        <v>152326194412093817</v>
      </c>
      <c r="E139" s="1" t="s">
        <v>164</v>
      </c>
      <c r="F139" s="1" t="s">
        <v>25</v>
      </c>
      <c r="G139" s="1" t="s">
        <v>19</v>
      </c>
      <c r="H139" s="1" t="str">
        <f>"80"</f>
        <v>80</v>
      </c>
      <c r="I139" s="1" t="str">
        <f t="shared" si="153"/>
        <v>160</v>
      </c>
      <c r="J139" s="1" t="str">
        <f t="shared" ref="J139:O139" si="162">"0"</f>
        <v>0</v>
      </c>
      <c r="K139" s="1" t="str">
        <f t="shared" si="103"/>
        <v>103</v>
      </c>
      <c r="L139" s="1" t="str">
        <f t="shared" si="104"/>
        <v>47</v>
      </c>
      <c r="M139" s="1" t="str">
        <f t="shared" si="162"/>
        <v>0</v>
      </c>
      <c r="N139" s="1" t="str">
        <f t="shared" si="162"/>
        <v>0</v>
      </c>
      <c r="O139" s="1" t="str">
        <f t="shared" si="162"/>
        <v>0</v>
      </c>
    </row>
    <row r="140" s="1" customFormat="1" spans="1:15">
      <c r="A140" s="1" t="str">
        <f t="shared" si="149"/>
        <v>202406</v>
      </c>
      <c r="B140" s="1" t="str">
        <f t="shared" si="150"/>
        <v>150525100</v>
      </c>
      <c r="C140" s="1" t="str">
        <f>"1014613105"</f>
        <v>1014613105</v>
      </c>
      <c r="D140" s="1" t="str">
        <f>"152326193906060412"</f>
        <v>152326193906060412</v>
      </c>
      <c r="E140" s="1" t="s">
        <v>165</v>
      </c>
      <c r="F140" s="1" t="s">
        <v>25</v>
      </c>
      <c r="G140" s="1" t="s">
        <v>17</v>
      </c>
      <c r="H140" s="1" t="str">
        <f>"85"</f>
        <v>85</v>
      </c>
      <c r="I140" s="1" t="str">
        <f>"170"</f>
        <v>170</v>
      </c>
      <c r="J140" s="1" t="str">
        <f t="shared" ref="J140:O140" si="163">"0"</f>
        <v>0</v>
      </c>
      <c r="K140" s="1" t="str">
        <f t="shared" si="103"/>
        <v>103</v>
      </c>
      <c r="L140" s="1" t="str">
        <f t="shared" si="104"/>
        <v>47</v>
      </c>
      <c r="M140" s="1" t="str">
        <f t="shared" si="163"/>
        <v>0</v>
      </c>
      <c r="N140" s="1" t="str">
        <f t="shared" si="163"/>
        <v>0</v>
      </c>
      <c r="O140" s="1" t="str">
        <f t="shared" si="163"/>
        <v>0</v>
      </c>
    </row>
    <row r="141" s="1" customFormat="1" spans="1:15">
      <c r="A141" s="1" t="str">
        <f t="shared" si="149"/>
        <v>202406</v>
      </c>
      <c r="B141" s="1" t="str">
        <f t="shared" si="150"/>
        <v>150525100</v>
      </c>
      <c r="C141" s="1" t="str">
        <f>"1014622156"</f>
        <v>1014622156</v>
      </c>
      <c r="D141" s="1" t="str">
        <f>"152326194702136379"</f>
        <v>152326194702136379</v>
      </c>
      <c r="E141" s="1" t="s">
        <v>166</v>
      </c>
      <c r="F141" s="1" t="s">
        <v>25</v>
      </c>
      <c r="G141" s="1" t="s">
        <v>17</v>
      </c>
      <c r="H141" s="1" t="str">
        <f>"77"</f>
        <v>77</v>
      </c>
      <c r="I141" s="1" t="str">
        <f t="shared" ref="I141:I150" si="164">"160"</f>
        <v>160</v>
      </c>
      <c r="J141" s="1" t="str">
        <f t="shared" ref="J141:O141" si="165">"0"</f>
        <v>0</v>
      </c>
      <c r="K141" s="1" t="str">
        <f t="shared" si="103"/>
        <v>103</v>
      </c>
      <c r="L141" s="1" t="str">
        <f t="shared" si="104"/>
        <v>47</v>
      </c>
      <c r="M141" s="1" t="str">
        <f t="shared" si="165"/>
        <v>0</v>
      </c>
      <c r="N141" s="1" t="str">
        <f t="shared" si="165"/>
        <v>0</v>
      </c>
      <c r="O141" s="1" t="str">
        <f t="shared" si="165"/>
        <v>0</v>
      </c>
    </row>
    <row r="142" s="1" customFormat="1" spans="1:15">
      <c r="A142" s="1" t="str">
        <f t="shared" si="149"/>
        <v>202406</v>
      </c>
      <c r="B142" s="1" t="str">
        <f t="shared" si="150"/>
        <v>150525100</v>
      </c>
      <c r="C142" s="1" t="str">
        <f>"1014623946"</f>
        <v>1014623946</v>
      </c>
      <c r="D142" s="1" t="str">
        <f>"152326194911040664"</f>
        <v>152326194911040664</v>
      </c>
      <c r="E142" s="1" t="s">
        <v>167</v>
      </c>
      <c r="F142" s="1" t="s">
        <v>16</v>
      </c>
      <c r="G142" s="1" t="s">
        <v>17</v>
      </c>
      <c r="H142" s="1" t="str">
        <f>"75"</f>
        <v>75</v>
      </c>
      <c r="I142" s="1" t="str">
        <f t="shared" si="164"/>
        <v>160</v>
      </c>
      <c r="J142" s="1" t="str">
        <f t="shared" ref="J142:O142" si="166">"0"</f>
        <v>0</v>
      </c>
      <c r="K142" s="1" t="str">
        <f t="shared" si="103"/>
        <v>103</v>
      </c>
      <c r="L142" s="1" t="str">
        <f t="shared" si="104"/>
        <v>47</v>
      </c>
      <c r="M142" s="1" t="str">
        <f t="shared" si="166"/>
        <v>0</v>
      </c>
      <c r="N142" s="1" t="str">
        <f t="shared" si="166"/>
        <v>0</v>
      </c>
      <c r="O142" s="1" t="str">
        <f t="shared" si="166"/>
        <v>0</v>
      </c>
    </row>
    <row r="143" s="1" customFormat="1" spans="1:15">
      <c r="A143" s="1" t="str">
        <f t="shared" si="149"/>
        <v>202406</v>
      </c>
      <c r="B143" s="1" t="str">
        <f t="shared" si="150"/>
        <v>150525100</v>
      </c>
      <c r="C143" s="1" t="str">
        <f>"1014623947"</f>
        <v>1014623947</v>
      </c>
      <c r="D143" s="1" t="str">
        <f>"152326194903010676"</f>
        <v>152326194903010676</v>
      </c>
      <c r="E143" s="1" t="s">
        <v>168</v>
      </c>
      <c r="F143" s="1" t="s">
        <v>25</v>
      </c>
      <c r="G143" s="1" t="s">
        <v>17</v>
      </c>
      <c r="H143" s="1" t="str">
        <f>"75"</f>
        <v>75</v>
      </c>
      <c r="I143" s="1" t="str">
        <f t="shared" si="164"/>
        <v>160</v>
      </c>
      <c r="J143" s="1" t="str">
        <f t="shared" ref="J143:O143" si="167">"0"</f>
        <v>0</v>
      </c>
      <c r="K143" s="1" t="str">
        <f t="shared" si="103"/>
        <v>103</v>
      </c>
      <c r="L143" s="1" t="str">
        <f t="shared" si="104"/>
        <v>47</v>
      </c>
      <c r="M143" s="1" t="str">
        <f t="shared" si="167"/>
        <v>0</v>
      </c>
      <c r="N143" s="1" t="str">
        <f t="shared" si="167"/>
        <v>0</v>
      </c>
      <c r="O143" s="1" t="str">
        <f t="shared" si="167"/>
        <v>0</v>
      </c>
    </row>
    <row r="144" s="1" customFormat="1" spans="1:15">
      <c r="A144" s="1" t="str">
        <f t="shared" si="149"/>
        <v>202406</v>
      </c>
      <c r="B144" s="1" t="str">
        <f t="shared" si="150"/>
        <v>150525100</v>
      </c>
      <c r="C144" s="1" t="str">
        <f>"1014624414"</f>
        <v>1014624414</v>
      </c>
      <c r="D144" s="1" t="str">
        <f>"152326194809120676"</f>
        <v>152326194809120676</v>
      </c>
      <c r="E144" s="1" t="s">
        <v>169</v>
      </c>
      <c r="F144" s="1" t="s">
        <v>25</v>
      </c>
      <c r="G144" s="1" t="s">
        <v>19</v>
      </c>
      <c r="H144" s="1" t="str">
        <f>"76"</f>
        <v>76</v>
      </c>
      <c r="I144" s="1" t="str">
        <f t="shared" si="164"/>
        <v>160</v>
      </c>
      <c r="J144" s="1" t="str">
        <f t="shared" ref="J144:O144" si="168">"0"</f>
        <v>0</v>
      </c>
      <c r="K144" s="1" t="str">
        <f t="shared" si="103"/>
        <v>103</v>
      </c>
      <c r="L144" s="1" t="str">
        <f t="shared" si="104"/>
        <v>47</v>
      </c>
      <c r="M144" s="1" t="str">
        <f t="shared" si="168"/>
        <v>0</v>
      </c>
      <c r="N144" s="1" t="str">
        <f t="shared" si="168"/>
        <v>0</v>
      </c>
      <c r="O144" s="1" t="str">
        <f t="shared" si="168"/>
        <v>0</v>
      </c>
    </row>
    <row r="145" s="1" customFormat="1" spans="1:15">
      <c r="A145" s="1" t="str">
        <f t="shared" si="149"/>
        <v>202406</v>
      </c>
      <c r="B145" s="1" t="str">
        <f t="shared" si="150"/>
        <v>150525100</v>
      </c>
      <c r="C145" s="1" t="str">
        <f>"1014619385"</f>
        <v>1014619385</v>
      </c>
      <c r="D145" s="1" t="str">
        <f>"152326195109030674"</f>
        <v>152326195109030674</v>
      </c>
      <c r="E145" s="1" t="s">
        <v>170</v>
      </c>
      <c r="F145" s="1" t="s">
        <v>25</v>
      </c>
      <c r="G145" s="1" t="s">
        <v>17</v>
      </c>
      <c r="H145" s="1" t="str">
        <f>"73"</f>
        <v>73</v>
      </c>
      <c r="I145" s="1" t="str">
        <f t="shared" si="164"/>
        <v>160</v>
      </c>
      <c r="J145" s="1" t="str">
        <f t="shared" ref="J145:O145" si="169">"0"</f>
        <v>0</v>
      </c>
      <c r="K145" s="1" t="str">
        <f t="shared" si="103"/>
        <v>103</v>
      </c>
      <c r="L145" s="1" t="str">
        <f t="shared" si="104"/>
        <v>47</v>
      </c>
      <c r="M145" s="1" t="str">
        <f t="shared" si="169"/>
        <v>0</v>
      </c>
      <c r="N145" s="1" t="str">
        <f t="shared" si="169"/>
        <v>0</v>
      </c>
      <c r="O145" s="1" t="str">
        <f t="shared" si="169"/>
        <v>0</v>
      </c>
    </row>
    <row r="146" s="1" customFormat="1" spans="1:15">
      <c r="A146" s="1" t="str">
        <f t="shared" si="149"/>
        <v>202406</v>
      </c>
      <c r="B146" s="1" t="str">
        <f t="shared" si="150"/>
        <v>150525100</v>
      </c>
      <c r="C146" s="1" t="str">
        <f>"1014622927"</f>
        <v>1014622927</v>
      </c>
      <c r="D146" s="1" t="str">
        <f>"152326194705040428"</f>
        <v>152326194705040428</v>
      </c>
      <c r="E146" s="1" t="s">
        <v>171</v>
      </c>
      <c r="F146" s="1" t="s">
        <v>16</v>
      </c>
      <c r="G146" s="1" t="s">
        <v>17</v>
      </c>
      <c r="H146" s="1" t="str">
        <f>"77"</f>
        <v>77</v>
      </c>
      <c r="I146" s="1" t="str">
        <f t="shared" si="164"/>
        <v>160</v>
      </c>
      <c r="J146" s="1" t="str">
        <f t="shared" ref="J146:O146" si="170">"0"</f>
        <v>0</v>
      </c>
      <c r="K146" s="1" t="str">
        <f t="shared" si="103"/>
        <v>103</v>
      </c>
      <c r="L146" s="1" t="str">
        <f t="shared" si="104"/>
        <v>47</v>
      </c>
      <c r="M146" s="1" t="str">
        <f t="shared" si="170"/>
        <v>0</v>
      </c>
      <c r="N146" s="1" t="str">
        <f t="shared" si="170"/>
        <v>0</v>
      </c>
      <c r="O146" s="1" t="str">
        <f t="shared" si="170"/>
        <v>0</v>
      </c>
    </row>
    <row r="147" s="1" customFormat="1" spans="1:15">
      <c r="A147" s="1" t="str">
        <f t="shared" si="149"/>
        <v>202406</v>
      </c>
      <c r="B147" s="1" t="str">
        <f t="shared" si="150"/>
        <v>150525100</v>
      </c>
      <c r="C147" s="1" t="str">
        <f>"1014623416"</f>
        <v>1014623416</v>
      </c>
      <c r="D147" s="1" t="str">
        <f>"152326194701190429"</f>
        <v>152326194701190429</v>
      </c>
      <c r="E147" s="1" t="s">
        <v>172</v>
      </c>
      <c r="F147" s="1" t="s">
        <v>16</v>
      </c>
      <c r="G147" s="1" t="s">
        <v>17</v>
      </c>
      <c r="H147" s="1" t="str">
        <f>"77"</f>
        <v>77</v>
      </c>
      <c r="I147" s="1" t="str">
        <f t="shared" si="164"/>
        <v>160</v>
      </c>
      <c r="J147" s="1" t="str">
        <f t="shared" ref="J147:O147" si="171">"0"</f>
        <v>0</v>
      </c>
      <c r="K147" s="1" t="str">
        <f t="shared" si="103"/>
        <v>103</v>
      </c>
      <c r="L147" s="1" t="str">
        <f t="shared" si="104"/>
        <v>47</v>
      </c>
      <c r="M147" s="1" t="str">
        <f t="shared" si="171"/>
        <v>0</v>
      </c>
      <c r="N147" s="1" t="str">
        <f t="shared" si="171"/>
        <v>0</v>
      </c>
      <c r="O147" s="1" t="str">
        <f t="shared" si="171"/>
        <v>0</v>
      </c>
    </row>
    <row r="148" s="1" customFormat="1" spans="1:15">
      <c r="A148" s="1" t="str">
        <f t="shared" si="149"/>
        <v>202406</v>
      </c>
      <c r="B148" s="1" t="str">
        <f t="shared" si="150"/>
        <v>150525100</v>
      </c>
      <c r="C148" s="1" t="str">
        <f>"1014623417"</f>
        <v>1014623417</v>
      </c>
      <c r="D148" s="1" t="str">
        <f>"152326194907220427"</f>
        <v>152326194907220427</v>
      </c>
      <c r="E148" s="1" t="s">
        <v>173</v>
      </c>
      <c r="F148" s="1" t="s">
        <v>16</v>
      </c>
      <c r="G148" s="1" t="s">
        <v>17</v>
      </c>
      <c r="H148" s="1" t="str">
        <f>"75"</f>
        <v>75</v>
      </c>
      <c r="I148" s="1" t="str">
        <f t="shared" si="164"/>
        <v>160</v>
      </c>
      <c r="J148" s="1" t="str">
        <f t="shared" ref="J148:O148" si="172">"0"</f>
        <v>0</v>
      </c>
      <c r="K148" s="1" t="str">
        <f t="shared" si="103"/>
        <v>103</v>
      </c>
      <c r="L148" s="1" t="str">
        <f t="shared" si="104"/>
        <v>47</v>
      </c>
      <c r="M148" s="1" t="str">
        <f t="shared" si="172"/>
        <v>0</v>
      </c>
      <c r="N148" s="1" t="str">
        <f t="shared" si="172"/>
        <v>0</v>
      </c>
      <c r="O148" s="1" t="str">
        <f t="shared" si="172"/>
        <v>0</v>
      </c>
    </row>
    <row r="149" s="1" customFormat="1" spans="1:15">
      <c r="A149" s="1" t="str">
        <f t="shared" si="149"/>
        <v>202406</v>
      </c>
      <c r="B149" s="1" t="str">
        <f t="shared" si="150"/>
        <v>150525100</v>
      </c>
      <c r="C149" s="1" t="str">
        <f>"1014630136"</f>
        <v>1014630136</v>
      </c>
      <c r="D149" s="1" t="str">
        <f>"152326194603020426"</f>
        <v>152326194603020426</v>
      </c>
      <c r="E149" s="1" t="s">
        <v>174</v>
      </c>
      <c r="F149" s="1" t="s">
        <v>16</v>
      </c>
      <c r="G149" s="1" t="s">
        <v>17</v>
      </c>
      <c r="H149" s="1" t="str">
        <f>"78"</f>
        <v>78</v>
      </c>
      <c r="I149" s="1" t="str">
        <f t="shared" si="164"/>
        <v>160</v>
      </c>
      <c r="J149" s="1" t="str">
        <f t="shared" ref="J149:O149" si="173">"0"</f>
        <v>0</v>
      </c>
      <c r="K149" s="1" t="str">
        <f t="shared" si="103"/>
        <v>103</v>
      </c>
      <c r="L149" s="1" t="str">
        <f t="shared" si="104"/>
        <v>47</v>
      </c>
      <c r="M149" s="1" t="str">
        <f t="shared" si="173"/>
        <v>0</v>
      </c>
      <c r="N149" s="1" t="str">
        <f t="shared" si="173"/>
        <v>0</v>
      </c>
      <c r="O149" s="1" t="str">
        <f t="shared" si="173"/>
        <v>0</v>
      </c>
    </row>
    <row r="150" s="1" customFormat="1" spans="1:15">
      <c r="A150" s="1" t="str">
        <f t="shared" si="149"/>
        <v>202406</v>
      </c>
      <c r="B150" s="1" t="str">
        <f t="shared" si="150"/>
        <v>150525100</v>
      </c>
      <c r="C150" s="1" t="str">
        <f>"1014630146"</f>
        <v>1014630146</v>
      </c>
      <c r="D150" s="1" t="str">
        <f>"152326195005020412"</f>
        <v>152326195005020412</v>
      </c>
      <c r="E150" s="1" t="s">
        <v>175</v>
      </c>
      <c r="F150" s="1" t="s">
        <v>25</v>
      </c>
      <c r="G150" s="1" t="s">
        <v>17</v>
      </c>
      <c r="H150" s="1" t="str">
        <f>"74"</f>
        <v>74</v>
      </c>
      <c r="I150" s="1" t="str">
        <f t="shared" si="164"/>
        <v>160</v>
      </c>
      <c r="J150" s="1" t="str">
        <f t="shared" ref="J150:O150" si="174">"0"</f>
        <v>0</v>
      </c>
      <c r="K150" s="1" t="str">
        <f t="shared" si="103"/>
        <v>103</v>
      </c>
      <c r="L150" s="1" t="str">
        <f t="shared" si="104"/>
        <v>47</v>
      </c>
      <c r="M150" s="1" t="str">
        <f t="shared" si="174"/>
        <v>0</v>
      </c>
      <c r="N150" s="1" t="str">
        <f t="shared" si="174"/>
        <v>0</v>
      </c>
      <c r="O150" s="1" t="str">
        <f t="shared" si="174"/>
        <v>0</v>
      </c>
    </row>
    <row r="151" s="1" customFormat="1" spans="1:15">
      <c r="A151" s="1" t="str">
        <f t="shared" si="149"/>
        <v>202406</v>
      </c>
      <c r="B151" s="1" t="str">
        <f t="shared" si="150"/>
        <v>150525100</v>
      </c>
      <c r="C151" s="1" t="str">
        <f>"1014589008"</f>
        <v>1014589008</v>
      </c>
      <c r="D151" s="1" t="str">
        <f>"152326195809240410"</f>
        <v>152326195809240410</v>
      </c>
      <c r="E151" s="1" t="s">
        <v>176</v>
      </c>
      <c r="F151" s="1" t="s">
        <v>25</v>
      </c>
      <c r="G151" s="1" t="s">
        <v>17</v>
      </c>
      <c r="H151" s="1" t="str">
        <f>"66"</f>
        <v>66</v>
      </c>
      <c r="I151" s="1" t="str">
        <f>"158.07"</f>
        <v>158.07</v>
      </c>
      <c r="J151" s="1" t="str">
        <f t="shared" ref="J151:N151" si="175">"0"</f>
        <v>0</v>
      </c>
      <c r="K151" s="1" t="str">
        <f t="shared" si="103"/>
        <v>103</v>
      </c>
      <c r="L151" s="1" t="str">
        <f t="shared" si="104"/>
        <v>47</v>
      </c>
      <c r="M151" s="1" t="str">
        <f t="shared" si="175"/>
        <v>0</v>
      </c>
      <c r="N151" s="1" t="str">
        <f t="shared" si="175"/>
        <v>0</v>
      </c>
      <c r="O151" s="1" t="str">
        <f>"8.07"</f>
        <v>8.07</v>
      </c>
    </row>
    <row r="152" s="1" customFormat="1" spans="1:15">
      <c r="A152" s="1" t="str">
        <f t="shared" si="149"/>
        <v>202406</v>
      </c>
      <c r="B152" s="1" t="str">
        <f t="shared" si="150"/>
        <v>150525100</v>
      </c>
      <c r="C152" s="1" t="str">
        <f>"1014589039"</f>
        <v>1014589039</v>
      </c>
      <c r="D152" s="1" t="str">
        <f>"152326195210040420"</f>
        <v>152326195210040420</v>
      </c>
      <c r="E152" s="1" t="s">
        <v>177</v>
      </c>
      <c r="F152" s="1" t="s">
        <v>16</v>
      </c>
      <c r="G152" s="1" t="s">
        <v>17</v>
      </c>
      <c r="H152" s="1" t="str">
        <f>"72"</f>
        <v>72</v>
      </c>
      <c r="I152" s="1" t="str">
        <f>"162.15"</f>
        <v>162.15</v>
      </c>
      <c r="J152" s="1" t="str">
        <f t="shared" ref="J152:N152" si="176">"0"</f>
        <v>0</v>
      </c>
      <c r="K152" s="1" t="str">
        <f t="shared" si="103"/>
        <v>103</v>
      </c>
      <c r="L152" s="1" t="str">
        <f t="shared" si="104"/>
        <v>47</v>
      </c>
      <c r="M152" s="1" t="str">
        <f t="shared" si="176"/>
        <v>0</v>
      </c>
      <c r="N152" s="1" t="str">
        <f t="shared" si="176"/>
        <v>0</v>
      </c>
      <c r="O152" s="1" t="str">
        <f>"2.15"</f>
        <v>2.15</v>
      </c>
    </row>
    <row r="153" s="1" customFormat="1" spans="1:15">
      <c r="A153" s="1" t="str">
        <f t="shared" si="149"/>
        <v>202406</v>
      </c>
      <c r="B153" s="1" t="str">
        <f t="shared" si="150"/>
        <v>150525100</v>
      </c>
      <c r="C153" s="1" t="str">
        <f>"1014589041"</f>
        <v>1014589041</v>
      </c>
      <c r="D153" s="1" t="s">
        <v>178</v>
      </c>
      <c r="E153" s="1" t="s">
        <v>179</v>
      </c>
      <c r="F153" s="1" t="s">
        <v>16</v>
      </c>
      <c r="G153" s="1" t="s">
        <v>17</v>
      </c>
      <c r="H153" s="1" t="str">
        <f>"64"</f>
        <v>64</v>
      </c>
      <c r="I153" s="1" t="str">
        <f>"159.28"</f>
        <v>159.28</v>
      </c>
      <c r="J153" s="1" t="str">
        <f t="shared" ref="J153:N153" si="177">"0"</f>
        <v>0</v>
      </c>
      <c r="K153" s="1" t="str">
        <f t="shared" si="103"/>
        <v>103</v>
      </c>
      <c r="L153" s="1" t="str">
        <f t="shared" si="104"/>
        <v>47</v>
      </c>
      <c r="M153" s="1" t="str">
        <f t="shared" si="177"/>
        <v>0</v>
      </c>
      <c r="N153" s="1" t="str">
        <f t="shared" si="177"/>
        <v>0</v>
      </c>
      <c r="O153" s="1" t="str">
        <f>"9.28"</f>
        <v>9.28</v>
      </c>
    </row>
    <row r="154" s="1" customFormat="1" spans="1:15">
      <c r="A154" s="1" t="str">
        <f t="shared" si="149"/>
        <v>202406</v>
      </c>
      <c r="B154" s="1" t="str">
        <f t="shared" si="150"/>
        <v>150525100</v>
      </c>
      <c r="C154" s="1" t="str">
        <f>"1014589044"</f>
        <v>1014589044</v>
      </c>
      <c r="D154" s="1" t="str">
        <f>"152326196303180427"</f>
        <v>152326196303180427</v>
      </c>
      <c r="E154" s="1" t="s">
        <v>180</v>
      </c>
      <c r="F154" s="1" t="s">
        <v>16</v>
      </c>
      <c r="G154" s="1" t="s">
        <v>17</v>
      </c>
      <c r="H154" s="1" t="str">
        <f>"61"</f>
        <v>61</v>
      </c>
      <c r="I154" s="1" t="str">
        <f>"164.95"</f>
        <v>164.95</v>
      </c>
      <c r="J154" s="1" t="str">
        <f t="shared" ref="J154:N154" si="178">"0"</f>
        <v>0</v>
      </c>
      <c r="K154" s="1" t="str">
        <f t="shared" ref="K154:K156" si="179">"103"</f>
        <v>103</v>
      </c>
      <c r="L154" s="1" t="str">
        <f t="shared" ref="L154:L156" si="180">"47"</f>
        <v>47</v>
      </c>
      <c r="M154" s="1" t="str">
        <f t="shared" si="178"/>
        <v>0</v>
      </c>
      <c r="N154" s="1" t="str">
        <f t="shared" si="178"/>
        <v>0</v>
      </c>
      <c r="O154" s="1" t="str">
        <f>"14.95"</f>
        <v>14.95</v>
      </c>
    </row>
    <row r="155" s="1" customFormat="1" spans="1:15">
      <c r="A155" s="1" t="str">
        <f t="shared" si="149"/>
        <v>202406</v>
      </c>
      <c r="B155" s="1" t="str">
        <f t="shared" si="150"/>
        <v>150525100</v>
      </c>
      <c r="C155" s="1" t="str">
        <f>"1014612888"</f>
        <v>1014612888</v>
      </c>
      <c r="D155" s="1" t="str">
        <f>"152326193804200429"</f>
        <v>152326193804200429</v>
      </c>
      <c r="E155" s="1" t="s">
        <v>181</v>
      </c>
      <c r="F155" s="1" t="s">
        <v>16</v>
      </c>
      <c r="G155" s="1" t="s">
        <v>17</v>
      </c>
      <c r="H155" s="1" t="str">
        <f>"86"</f>
        <v>86</v>
      </c>
      <c r="I155" s="1" t="str">
        <f>"170"</f>
        <v>170</v>
      </c>
      <c r="J155" s="1" t="str">
        <f t="shared" ref="J155:O155" si="181">"0"</f>
        <v>0</v>
      </c>
      <c r="K155" s="1" t="str">
        <f t="shared" si="179"/>
        <v>103</v>
      </c>
      <c r="L155" s="1" t="str">
        <f t="shared" si="180"/>
        <v>47</v>
      </c>
      <c r="M155" s="1" t="str">
        <f t="shared" si="181"/>
        <v>0</v>
      </c>
      <c r="N155" s="1" t="str">
        <f t="shared" si="181"/>
        <v>0</v>
      </c>
      <c r="O155" s="1" t="str">
        <f t="shared" si="181"/>
        <v>0</v>
      </c>
    </row>
    <row r="156" s="1" customFormat="1" spans="1:15">
      <c r="A156" s="1" t="str">
        <f t="shared" si="149"/>
        <v>202406</v>
      </c>
      <c r="B156" s="1" t="str">
        <f t="shared" si="150"/>
        <v>150525100</v>
      </c>
      <c r="C156" s="1" t="str">
        <f>"1014612909"</f>
        <v>1014612909</v>
      </c>
      <c r="D156" s="1" t="str">
        <f>"152326195110080943"</f>
        <v>152326195110080943</v>
      </c>
      <c r="E156" s="1" t="s">
        <v>182</v>
      </c>
      <c r="F156" s="1" t="s">
        <v>16</v>
      </c>
      <c r="G156" s="1" t="s">
        <v>19</v>
      </c>
      <c r="H156" s="1" t="str">
        <f>"73"</f>
        <v>73</v>
      </c>
      <c r="I156" s="1" t="str">
        <f t="shared" ref="I156:I160" si="182">"160"</f>
        <v>160</v>
      </c>
      <c r="J156" s="1" t="str">
        <f t="shared" ref="J156:O156" si="183">"0"</f>
        <v>0</v>
      </c>
      <c r="K156" s="1" t="str">
        <f t="shared" si="179"/>
        <v>103</v>
      </c>
      <c r="L156" s="1" t="str">
        <f t="shared" si="180"/>
        <v>47</v>
      </c>
      <c r="M156" s="1" t="str">
        <f t="shared" si="183"/>
        <v>0</v>
      </c>
      <c r="N156" s="1" t="str">
        <f t="shared" si="183"/>
        <v>0</v>
      </c>
      <c r="O156" s="1" t="str">
        <f t="shared" si="183"/>
        <v>0</v>
      </c>
    </row>
    <row r="157" s="1" customFormat="1" spans="1:15">
      <c r="A157" s="1" t="str">
        <f t="shared" si="149"/>
        <v>202406</v>
      </c>
      <c r="B157" s="1" t="str">
        <f t="shared" si="150"/>
        <v>150525100</v>
      </c>
      <c r="C157" s="1" t="str">
        <f>"1014613161"</f>
        <v>1014613161</v>
      </c>
      <c r="D157" s="1" t="str">
        <f>"152326194902073819"</f>
        <v>152326194902073819</v>
      </c>
      <c r="E157" s="1" t="s">
        <v>183</v>
      </c>
      <c r="F157" s="1" t="s">
        <v>25</v>
      </c>
      <c r="G157" s="1" t="s">
        <v>19</v>
      </c>
      <c r="H157" s="1" t="str">
        <f>"75"</f>
        <v>75</v>
      </c>
      <c r="I157" s="1" t="str">
        <f>"1800"</f>
        <v>1800</v>
      </c>
      <c r="J157" s="1" t="str">
        <f t="shared" ref="J157:O157" si="184">"0"</f>
        <v>0</v>
      </c>
      <c r="K157" s="1" t="str">
        <f t="shared" si="184"/>
        <v>0</v>
      </c>
      <c r="L157" s="1" t="str">
        <f t="shared" si="184"/>
        <v>0</v>
      </c>
      <c r="M157" s="1" t="str">
        <f t="shared" si="184"/>
        <v>0</v>
      </c>
      <c r="N157" s="1" t="str">
        <f t="shared" si="184"/>
        <v>0</v>
      </c>
      <c r="O157" s="1" t="str">
        <f t="shared" si="184"/>
        <v>0</v>
      </c>
    </row>
    <row r="158" s="1" customFormat="1" spans="1:15">
      <c r="A158" s="1" t="str">
        <f t="shared" si="149"/>
        <v>202406</v>
      </c>
      <c r="B158" s="1" t="str">
        <f t="shared" si="150"/>
        <v>150525100</v>
      </c>
      <c r="C158" s="1" t="str">
        <f>"1014613173"</f>
        <v>1014613173</v>
      </c>
      <c r="D158" s="1" t="str">
        <f>"152326195010160911"</f>
        <v>152326195010160911</v>
      </c>
      <c r="E158" s="1" t="s">
        <v>184</v>
      </c>
      <c r="F158" s="1" t="s">
        <v>25</v>
      </c>
      <c r="G158" s="1" t="s">
        <v>19</v>
      </c>
      <c r="H158" s="1" t="str">
        <f>"74"</f>
        <v>74</v>
      </c>
      <c r="I158" s="1" t="str">
        <f t="shared" si="182"/>
        <v>160</v>
      </c>
      <c r="J158" s="1" t="str">
        <f t="shared" ref="J158:O158" si="185">"0"</f>
        <v>0</v>
      </c>
      <c r="K158" s="1" t="str">
        <f t="shared" ref="K158:K202" si="186">"103"</f>
        <v>103</v>
      </c>
      <c r="L158" s="1" t="str">
        <f t="shared" ref="L158:L202" si="187">"47"</f>
        <v>47</v>
      </c>
      <c r="M158" s="1" t="str">
        <f t="shared" si="185"/>
        <v>0</v>
      </c>
      <c r="N158" s="1" t="str">
        <f t="shared" si="185"/>
        <v>0</v>
      </c>
      <c r="O158" s="1" t="str">
        <f t="shared" si="185"/>
        <v>0</v>
      </c>
    </row>
    <row r="159" s="1" customFormat="1" spans="1:15">
      <c r="A159" s="1" t="str">
        <f t="shared" si="149"/>
        <v>202406</v>
      </c>
      <c r="B159" s="1" t="str">
        <f t="shared" si="150"/>
        <v>150525100</v>
      </c>
      <c r="C159" s="1" t="str">
        <f>"1014622613"</f>
        <v>1014622613</v>
      </c>
      <c r="D159" s="1" t="str">
        <f>"152326194312280674"</f>
        <v>152326194312280674</v>
      </c>
      <c r="E159" s="1" t="s">
        <v>185</v>
      </c>
      <c r="F159" s="1" t="s">
        <v>25</v>
      </c>
      <c r="G159" s="1" t="s">
        <v>17</v>
      </c>
      <c r="H159" s="1" t="str">
        <f>"81"</f>
        <v>81</v>
      </c>
      <c r="I159" s="1" t="str">
        <f>"170"</f>
        <v>170</v>
      </c>
      <c r="J159" s="1" t="str">
        <f t="shared" ref="J159:O159" si="188">"0"</f>
        <v>0</v>
      </c>
      <c r="K159" s="1" t="str">
        <f t="shared" si="186"/>
        <v>103</v>
      </c>
      <c r="L159" s="1" t="str">
        <f t="shared" si="187"/>
        <v>47</v>
      </c>
      <c r="M159" s="1" t="str">
        <f t="shared" si="188"/>
        <v>0</v>
      </c>
      <c r="N159" s="1" t="str">
        <f t="shared" si="188"/>
        <v>0</v>
      </c>
      <c r="O159" s="1" t="str">
        <f t="shared" si="188"/>
        <v>0</v>
      </c>
    </row>
    <row r="160" s="1" customFormat="1" spans="1:15">
      <c r="A160" s="1" t="str">
        <f t="shared" si="149"/>
        <v>202406</v>
      </c>
      <c r="B160" s="1" t="str">
        <f t="shared" si="150"/>
        <v>150525100</v>
      </c>
      <c r="C160" s="1" t="str">
        <f>"1014622616"</f>
        <v>1014622616</v>
      </c>
      <c r="D160" s="1" t="str">
        <f>"152326195009100671"</f>
        <v>152326195009100671</v>
      </c>
      <c r="E160" s="1" t="s">
        <v>186</v>
      </c>
      <c r="F160" s="1" t="s">
        <v>25</v>
      </c>
      <c r="G160" s="1" t="s">
        <v>17</v>
      </c>
      <c r="H160" s="1" t="str">
        <f>"74"</f>
        <v>74</v>
      </c>
      <c r="I160" s="1" t="str">
        <f t="shared" si="182"/>
        <v>160</v>
      </c>
      <c r="J160" s="1" t="str">
        <f t="shared" ref="J160:O160" si="189">"0"</f>
        <v>0</v>
      </c>
      <c r="K160" s="1" t="str">
        <f t="shared" si="186"/>
        <v>103</v>
      </c>
      <c r="L160" s="1" t="str">
        <f t="shared" si="187"/>
        <v>47</v>
      </c>
      <c r="M160" s="1" t="str">
        <f t="shared" si="189"/>
        <v>0</v>
      </c>
      <c r="N160" s="1" t="str">
        <f t="shared" si="189"/>
        <v>0</v>
      </c>
      <c r="O160" s="1" t="str">
        <f t="shared" si="189"/>
        <v>0</v>
      </c>
    </row>
    <row r="161" s="1" customFormat="1" spans="1:15">
      <c r="A161" s="1" t="str">
        <f t="shared" si="149"/>
        <v>202406</v>
      </c>
      <c r="B161" s="1" t="str">
        <f t="shared" si="150"/>
        <v>150525100</v>
      </c>
      <c r="C161" s="1" t="str">
        <f>"1014623997"</f>
        <v>1014623997</v>
      </c>
      <c r="D161" s="1" t="str">
        <f>"152326193407130666"</f>
        <v>152326193407130666</v>
      </c>
      <c r="E161" s="1" t="s">
        <v>187</v>
      </c>
      <c r="F161" s="1" t="s">
        <v>16</v>
      </c>
      <c r="G161" s="1" t="s">
        <v>17</v>
      </c>
      <c r="H161" s="1" t="str">
        <f>"90"</f>
        <v>90</v>
      </c>
      <c r="I161" s="1" t="str">
        <f t="shared" ref="I161:I166" si="190">"170"</f>
        <v>170</v>
      </c>
      <c r="J161" s="1" t="str">
        <f t="shared" ref="J161:O161" si="191">"0"</f>
        <v>0</v>
      </c>
      <c r="K161" s="1" t="str">
        <f t="shared" si="186"/>
        <v>103</v>
      </c>
      <c r="L161" s="1" t="str">
        <f t="shared" si="187"/>
        <v>47</v>
      </c>
      <c r="M161" s="1" t="str">
        <f t="shared" si="191"/>
        <v>0</v>
      </c>
      <c r="N161" s="1" t="str">
        <f t="shared" si="191"/>
        <v>0</v>
      </c>
      <c r="O161" s="1" t="str">
        <f t="shared" si="191"/>
        <v>0</v>
      </c>
    </row>
    <row r="162" s="1" customFormat="1" spans="1:15">
      <c r="A162" s="1" t="str">
        <f t="shared" si="149"/>
        <v>202406</v>
      </c>
      <c r="B162" s="1" t="str">
        <f t="shared" si="150"/>
        <v>150525100</v>
      </c>
      <c r="C162" s="1" t="str">
        <f>"1014624003"</f>
        <v>1014624003</v>
      </c>
      <c r="D162" s="1" t="str">
        <f>"211323194702181619"</f>
        <v>211323194702181619</v>
      </c>
      <c r="E162" s="1" t="s">
        <v>188</v>
      </c>
      <c r="F162" s="1" t="s">
        <v>25</v>
      </c>
      <c r="G162" s="1" t="s">
        <v>17</v>
      </c>
      <c r="H162" s="1" t="str">
        <f>"77"</f>
        <v>77</v>
      </c>
      <c r="I162" s="1" t="str">
        <f t="shared" ref="I162:I164" si="192">"160"</f>
        <v>160</v>
      </c>
      <c r="J162" s="1" t="str">
        <f t="shared" ref="J162:O162" si="193">"0"</f>
        <v>0</v>
      </c>
      <c r="K162" s="1" t="str">
        <f t="shared" si="186"/>
        <v>103</v>
      </c>
      <c r="L162" s="1" t="str">
        <f t="shared" si="187"/>
        <v>47</v>
      </c>
      <c r="M162" s="1" t="str">
        <f t="shared" si="193"/>
        <v>0</v>
      </c>
      <c r="N162" s="1" t="str">
        <f t="shared" si="193"/>
        <v>0</v>
      </c>
      <c r="O162" s="1" t="str">
        <f t="shared" si="193"/>
        <v>0</v>
      </c>
    </row>
    <row r="163" s="1" customFormat="1" spans="1:15">
      <c r="A163" s="1" t="str">
        <f t="shared" si="149"/>
        <v>202406</v>
      </c>
      <c r="B163" s="1" t="str">
        <f t="shared" si="150"/>
        <v>150525100</v>
      </c>
      <c r="C163" s="1" t="str">
        <f>"1014624476"</f>
        <v>1014624476</v>
      </c>
      <c r="D163" s="1" t="str">
        <f>"152326195108070949"</f>
        <v>152326195108070949</v>
      </c>
      <c r="E163" s="1" t="s">
        <v>189</v>
      </c>
      <c r="F163" s="1" t="s">
        <v>16</v>
      </c>
      <c r="G163" s="1" t="s">
        <v>19</v>
      </c>
      <c r="H163" s="1" t="str">
        <f>"73"</f>
        <v>73</v>
      </c>
      <c r="I163" s="1" t="str">
        <f t="shared" si="192"/>
        <v>160</v>
      </c>
      <c r="J163" s="1" t="str">
        <f t="shared" ref="J163:O163" si="194">"0"</f>
        <v>0</v>
      </c>
      <c r="K163" s="1" t="str">
        <f t="shared" si="186"/>
        <v>103</v>
      </c>
      <c r="L163" s="1" t="str">
        <f t="shared" si="187"/>
        <v>47</v>
      </c>
      <c r="M163" s="1" t="str">
        <f t="shared" si="194"/>
        <v>0</v>
      </c>
      <c r="N163" s="1" t="str">
        <f t="shared" si="194"/>
        <v>0</v>
      </c>
      <c r="O163" s="1" t="str">
        <f t="shared" si="194"/>
        <v>0</v>
      </c>
    </row>
    <row r="164" s="1" customFormat="1" spans="1:15">
      <c r="A164" s="1" t="str">
        <f t="shared" si="149"/>
        <v>202406</v>
      </c>
      <c r="B164" s="1" t="str">
        <f t="shared" si="150"/>
        <v>150525100</v>
      </c>
      <c r="C164" s="1" t="str">
        <f>"1014619458"</f>
        <v>1014619458</v>
      </c>
      <c r="D164" s="1" t="str">
        <f>"152326194804250674"</f>
        <v>152326194804250674</v>
      </c>
      <c r="E164" s="1" t="s">
        <v>190</v>
      </c>
      <c r="F164" s="1" t="s">
        <v>25</v>
      </c>
      <c r="G164" s="1" t="s">
        <v>17</v>
      </c>
      <c r="H164" s="1" t="str">
        <f>"76"</f>
        <v>76</v>
      </c>
      <c r="I164" s="1" t="str">
        <f t="shared" si="192"/>
        <v>160</v>
      </c>
      <c r="J164" s="1" t="str">
        <f t="shared" ref="J164:O164" si="195">"0"</f>
        <v>0</v>
      </c>
      <c r="K164" s="1" t="str">
        <f t="shared" si="186"/>
        <v>103</v>
      </c>
      <c r="L164" s="1" t="str">
        <f t="shared" si="187"/>
        <v>47</v>
      </c>
      <c r="M164" s="1" t="str">
        <f t="shared" si="195"/>
        <v>0</v>
      </c>
      <c r="N164" s="1" t="str">
        <f t="shared" si="195"/>
        <v>0</v>
      </c>
      <c r="O164" s="1" t="str">
        <f t="shared" si="195"/>
        <v>0</v>
      </c>
    </row>
    <row r="165" s="1" customFormat="1" spans="1:15">
      <c r="A165" s="1" t="str">
        <f t="shared" si="149"/>
        <v>202406</v>
      </c>
      <c r="B165" s="1" t="str">
        <f t="shared" si="150"/>
        <v>150525100</v>
      </c>
      <c r="C165" s="1" t="str">
        <f>"1014619638"</f>
        <v>1014619638</v>
      </c>
      <c r="D165" s="1" t="str">
        <f>"152326193506043082"</f>
        <v>152326193506043082</v>
      </c>
      <c r="E165" s="1" t="s">
        <v>191</v>
      </c>
      <c r="F165" s="1" t="s">
        <v>16</v>
      </c>
      <c r="G165" s="1" t="s">
        <v>17</v>
      </c>
      <c r="H165" s="1" t="str">
        <f>"89"</f>
        <v>89</v>
      </c>
      <c r="I165" s="1" t="str">
        <f t="shared" si="190"/>
        <v>170</v>
      </c>
      <c r="J165" s="1" t="str">
        <f t="shared" ref="J165:O165" si="196">"0"</f>
        <v>0</v>
      </c>
      <c r="K165" s="1" t="str">
        <f t="shared" si="186"/>
        <v>103</v>
      </c>
      <c r="L165" s="1" t="str">
        <f t="shared" si="187"/>
        <v>47</v>
      </c>
      <c r="M165" s="1" t="str">
        <f t="shared" si="196"/>
        <v>0</v>
      </c>
      <c r="N165" s="1" t="str">
        <f t="shared" si="196"/>
        <v>0</v>
      </c>
      <c r="O165" s="1" t="str">
        <f t="shared" si="196"/>
        <v>0</v>
      </c>
    </row>
    <row r="166" s="1" customFormat="1" spans="1:15">
      <c r="A166" s="1" t="str">
        <f t="shared" si="149"/>
        <v>202406</v>
      </c>
      <c r="B166" s="1" t="str">
        <f t="shared" si="150"/>
        <v>150525100</v>
      </c>
      <c r="C166" s="1" t="str">
        <f>"1014623498"</f>
        <v>1014623498</v>
      </c>
      <c r="D166" s="1" t="str">
        <f>"152326193909160427"</f>
        <v>152326193909160427</v>
      </c>
      <c r="E166" s="1" t="s">
        <v>192</v>
      </c>
      <c r="F166" s="1" t="s">
        <v>16</v>
      </c>
      <c r="G166" s="1" t="s">
        <v>17</v>
      </c>
      <c r="H166" s="1" t="str">
        <f>"85"</f>
        <v>85</v>
      </c>
      <c r="I166" s="1" t="str">
        <f t="shared" si="190"/>
        <v>170</v>
      </c>
      <c r="J166" s="1" t="str">
        <f t="shared" ref="J166:O166" si="197">"0"</f>
        <v>0</v>
      </c>
      <c r="K166" s="1" t="str">
        <f t="shared" si="186"/>
        <v>103</v>
      </c>
      <c r="L166" s="1" t="str">
        <f t="shared" si="187"/>
        <v>47</v>
      </c>
      <c r="M166" s="1" t="str">
        <f t="shared" si="197"/>
        <v>0</v>
      </c>
      <c r="N166" s="1" t="str">
        <f t="shared" si="197"/>
        <v>0</v>
      </c>
      <c r="O166" s="1" t="str">
        <f t="shared" si="197"/>
        <v>0</v>
      </c>
    </row>
    <row r="167" s="1" customFormat="1" spans="1:15">
      <c r="A167" s="1" t="str">
        <f t="shared" si="149"/>
        <v>202406</v>
      </c>
      <c r="B167" s="1" t="str">
        <f t="shared" si="150"/>
        <v>150525100</v>
      </c>
      <c r="C167" s="1" t="str">
        <f>"1014629648"</f>
        <v>1014629648</v>
      </c>
      <c r="D167" s="1" t="str">
        <f>"152326195105250020"</f>
        <v>152326195105250020</v>
      </c>
      <c r="E167" s="1" t="s">
        <v>193</v>
      </c>
      <c r="F167" s="1" t="s">
        <v>16</v>
      </c>
      <c r="G167" s="1" t="s">
        <v>17</v>
      </c>
      <c r="H167" s="1" t="str">
        <f>"73"</f>
        <v>73</v>
      </c>
      <c r="I167" s="1" t="str">
        <f t="shared" ref="I167:I175" si="198">"160"</f>
        <v>160</v>
      </c>
      <c r="J167" s="1" t="str">
        <f t="shared" ref="J167:O167" si="199">"0"</f>
        <v>0</v>
      </c>
      <c r="K167" s="1" t="str">
        <f t="shared" si="186"/>
        <v>103</v>
      </c>
      <c r="L167" s="1" t="str">
        <f t="shared" si="187"/>
        <v>47</v>
      </c>
      <c r="M167" s="1" t="str">
        <f t="shared" si="199"/>
        <v>0</v>
      </c>
      <c r="N167" s="1" t="str">
        <f t="shared" si="199"/>
        <v>0</v>
      </c>
      <c r="O167" s="1" t="str">
        <f t="shared" si="199"/>
        <v>0</v>
      </c>
    </row>
    <row r="168" s="1" customFormat="1" spans="1:15">
      <c r="A168" s="1" t="str">
        <f t="shared" si="149"/>
        <v>202406</v>
      </c>
      <c r="B168" s="1" t="str">
        <f t="shared" si="150"/>
        <v>150525100</v>
      </c>
      <c r="C168" s="1" t="str">
        <f>"1014629655"</f>
        <v>1014629655</v>
      </c>
      <c r="D168" s="1" t="str">
        <f>"152326194905270025"</f>
        <v>152326194905270025</v>
      </c>
      <c r="E168" s="1" t="s">
        <v>194</v>
      </c>
      <c r="F168" s="1" t="s">
        <v>16</v>
      </c>
      <c r="G168" s="1" t="s">
        <v>17</v>
      </c>
      <c r="H168" s="1" t="str">
        <f>"75"</f>
        <v>75</v>
      </c>
      <c r="I168" s="1" t="str">
        <f t="shared" si="198"/>
        <v>160</v>
      </c>
      <c r="J168" s="1" t="str">
        <f t="shared" ref="J168:O168" si="200">"0"</f>
        <v>0</v>
      </c>
      <c r="K168" s="1" t="str">
        <f t="shared" si="186"/>
        <v>103</v>
      </c>
      <c r="L168" s="1" t="str">
        <f t="shared" si="187"/>
        <v>47</v>
      </c>
      <c r="M168" s="1" t="str">
        <f t="shared" si="200"/>
        <v>0</v>
      </c>
      <c r="N168" s="1" t="str">
        <f t="shared" si="200"/>
        <v>0</v>
      </c>
      <c r="O168" s="1" t="str">
        <f t="shared" si="200"/>
        <v>0</v>
      </c>
    </row>
    <row r="169" s="1" customFormat="1" spans="1:15">
      <c r="A169" s="1" t="str">
        <f t="shared" si="149"/>
        <v>202406</v>
      </c>
      <c r="B169" s="1" t="str">
        <f t="shared" si="150"/>
        <v>150525100</v>
      </c>
      <c r="C169" s="1" t="str">
        <f>"1014589057"</f>
        <v>1014589057</v>
      </c>
      <c r="D169" s="1" t="str">
        <f>"152326195409110422"</f>
        <v>152326195409110422</v>
      </c>
      <c r="E169" s="1" t="s">
        <v>195</v>
      </c>
      <c r="F169" s="1" t="s">
        <v>16</v>
      </c>
      <c r="G169" s="1" t="s">
        <v>17</v>
      </c>
      <c r="H169" s="1" t="str">
        <f>"70"</f>
        <v>70</v>
      </c>
      <c r="I169" s="1" t="str">
        <f>"154.15"</f>
        <v>154.15</v>
      </c>
      <c r="J169" s="1" t="str">
        <f t="shared" ref="J169:N169" si="201">"0"</f>
        <v>0</v>
      </c>
      <c r="K169" s="1" t="str">
        <f t="shared" si="186"/>
        <v>103</v>
      </c>
      <c r="L169" s="1" t="str">
        <f t="shared" si="187"/>
        <v>47</v>
      </c>
      <c r="M169" s="1" t="str">
        <f t="shared" si="201"/>
        <v>0</v>
      </c>
      <c r="N169" s="1" t="str">
        <f t="shared" si="201"/>
        <v>0</v>
      </c>
      <c r="O169" s="1" t="str">
        <f>"4.15"</f>
        <v>4.15</v>
      </c>
    </row>
    <row r="170" s="1" customFormat="1" spans="1:15">
      <c r="A170" s="1" t="str">
        <f t="shared" si="149"/>
        <v>202406</v>
      </c>
      <c r="B170" s="1" t="str">
        <f t="shared" si="150"/>
        <v>150525100</v>
      </c>
      <c r="C170" s="1" t="str">
        <f>"1014612977"</f>
        <v>1014612977</v>
      </c>
      <c r="D170" s="1" t="str">
        <f>"152326194411200924"</f>
        <v>152326194411200924</v>
      </c>
      <c r="E170" s="1" t="s">
        <v>196</v>
      </c>
      <c r="F170" s="1" t="s">
        <v>16</v>
      </c>
      <c r="G170" s="1" t="s">
        <v>19</v>
      </c>
      <c r="H170" s="1" t="str">
        <f>"80"</f>
        <v>80</v>
      </c>
      <c r="I170" s="1" t="str">
        <f t="shared" si="198"/>
        <v>160</v>
      </c>
      <c r="J170" s="1" t="str">
        <f t="shared" ref="J170:O170" si="202">"0"</f>
        <v>0</v>
      </c>
      <c r="K170" s="1" t="str">
        <f t="shared" si="186"/>
        <v>103</v>
      </c>
      <c r="L170" s="1" t="str">
        <f t="shared" si="187"/>
        <v>47</v>
      </c>
      <c r="M170" s="1" t="str">
        <f t="shared" si="202"/>
        <v>0</v>
      </c>
      <c r="N170" s="1" t="str">
        <f t="shared" si="202"/>
        <v>0</v>
      </c>
      <c r="O170" s="1" t="str">
        <f t="shared" si="202"/>
        <v>0</v>
      </c>
    </row>
    <row r="171" s="1" customFormat="1" spans="1:15">
      <c r="A171" s="1" t="str">
        <f t="shared" si="149"/>
        <v>202406</v>
      </c>
      <c r="B171" s="1" t="str">
        <f t="shared" si="150"/>
        <v>150525100</v>
      </c>
      <c r="C171" s="1" t="str">
        <f>"1014612980"</f>
        <v>1014612980</v>
      </c>
      <c r="D171" s="1" t="str">
        <f>"152326194810150928"</f>
        <v>152326194810150928</v>
      </c>
      <c r="E171" s="1" t="s">
        <v>197</v>
      </c>
      <c r="F171" s="1" t="s">
        <v>16</v>
      </c>
      <c r="G171" s="1" t="s">
        <v>19</v>
      </c>
      <c r="H171" s="1" t="str">
        <f t="shared" ref="H171:H175" si="203">"76"</f>
        <v>76</v>
      </c>
      <c r="I171" s="1" t="str">
        <f t="shared" si="198"/>
        <v>160</v>
      </c>
      <c r="J171" s="1" t="str">
        <f t="shared" ref="J171:O171" si="204">"0"</f>
        <v>0</v>
      </c>
      <c r="K171" s="1" t="str">
        <f t="shared" si="186"/>
        <v>103</v>
      </c>
      <c r="L171" s="1" t="str">
        <f t="shared" si="187"/>
        <v>47</v>
      </c>
      <c r="M171" s="1" t="str">
        <f t="shared" si="204"/>
        <v>0</v>
      </c>
      <c r="N171" s="1" t="str">
        <f t="shared" si="204"/>
        <v>0</v>
      </c>
      <c r="O171" s="1" t="str">
        <f t="shared" si="204"/>
        <v>0</v>
      </c>
    </row>
    <row r="172" s="1" customFormat="1" spans="1:15">
      <c r="A172" s="1" t="str">
        <f t="shared" si="149"/>
        <v>202406</v>
      </c>
      <c r="B172" s="1" t="str">
        <f t="shared" si="150"/>
        <v>150525100</v>
      </c>
      <c r="C172" s="1" t="str">
        <f>"1014613262"</f>
        <v>1014613262</v>
      </c>
      <c r="D172" s="1" t="str">
        <f>"152326194809050428"</f>
        <v>152326194809050428</v>
      </c>
      <c r="E172" s="1" t="s">
        <v>198</v>
      </c>
      <c r="F172" s="1" t="s">
        <v>16</v>
      </c>
      <c r="G172" s="1" t="s">
        <v>17</v>
      </c>
      <c r="H172" s="1" t="str">
        <f t="shared" si="203"/>
        <v>76</v>
      </c>
      <c r="I172" s="1" t="str">
        <f t="shared" si="198"/>
        <v>160</v>
      </c>
      <c r="J172" s="1" t="str">
        <f t="shared" ref="J172:O172" si="205">"0"</f>
        <v>0</v>
      </c>
      <c r="K172" s="1" t="str">
        <f t="shared" si="186"/>
        <v>103</v>
      </c>
      <c r="L172" s="1" t="str">
        <f t="shared" si="187"/>
        <v>47</v>
      </c>
      <c r="M172" s="1" t="str">
        <f t="shared" si="205"/>
        <v>0</v>
      </c>
      <c r="N172" s="1" t="str">
        <f t="shared" si="205"/>
        <v>0</v>
      </c>
      <c r="O172" s="1" t="str">
        <f t="shared" si="205"/>
        <v>0</v>
      </c>
    </row>
    <row r="173" s="1" customFormat="1" spans="1:15">
      <c r="A173" s="1" t="str">
        <f t="shared" si="149"/>
        <v>202406</v>
      </c>
      <c r="B173" s="1" t="str">
        <f t="shared" si="150"/>
        <v>150525100</v>
      </c>
      <c r="C173" s="1" t="str">
        <f>"1014613273"</f>
        <v>1014613273</v>
      </c>
      <c r="D173" s="1" t="str">
        <f>"152326195109160428"</f>
        <v>152326195109160428</v>
      </c>
      <c r="E173" s="1" t="s">
        <v>199</v>
      </c>
      <c r="F173" s="1" t="s">
        <v>16</v>
      </c>
      <c r="G173" s="1" t="s">
        <v>17</v>
      </c>
      <c r="H173" s="1" t="str">
        <f>"73"</f>
        <v>73</v>
      </c>
      <c r="I173" s="1" t="str">
        <f t="shared" si="198"/>
        <v>160</v>
      </c>
      <c r="J173" s="1" t="str">
        <f t="shared" ref="J173:O173" si="206">"0"</f>
        <v>0</v>
      </c>
      <c r="K173" s="1" t="str">
        <f t="shared" si="186"/>
        <v>103</v>
      </c>
      <c r="L173" s="1" t="str">
        <f t="shared" si="187"/>
        <v>47</v>
      </c>
      <c r="M173" s="1" t="str">
        <f t="shared" si="206"/>
        <v>0</v>
      </c>
      <c r="N173" s="1" t="str">
        <f t="shared" si="206"/>
        <v>0</v>
      </c>
      <c r="O173" s="1" t="str">
        <f t="shared" si="206"/>
        <v>0</v>
      </c>
    </row>
    <row r="174" s="1" customFormat="1" spans="1:15">
      <c r="A174" s="1" t="str">
        <f t="shared" si="149"/>
        <v>202406</v>
      </c>
      <c r="B174" s="1" t="str">
        <f t="shared" si="150"/>
        <v>150525100</v>
      </c>
      <c r="C174" s="1" t="str">
        <f>"1014622303"</f>
        <v>1014622303</v>
      </c>
      <c r="D174" s="1" t="str">
        <f>"152326195108270668"</f>
        <v>152326195108270668</v>
      </c>
      <c r="E174" s="1" t="s">
        <v>200</v>
      </c>
      <c r="F174" s="1" t="s">
        <v>16</v>
      </c>
      <c r="G174" s="1" t="s">
        <v>17</v>
      </c>
      <c r="H174" s="1" t="str">
        <f>"73"</f>
        <v>73</v>
      </c>
      <c r="I174" s="1" t="str">
        <f t="shared" si="198"/>
        <v>160</v>
      </c>
      <c r="J174" s="1" t="str">
        <f t="shared" ref="J174:O174" si="207">"0"</f>
        <v>0</v>
      </c>
      <c r="K174" s="1" t="str">
        <f t="shared" si="186"/>
        <v>103</v>
      </c>
      <c r="L174" s="1" t="str">
        <f t="shared" si="187"/>
        <v>47</v>
      </c>
      <c r="M174" s="1" t="str">
        <f t="shared" si="207"/>
        <v>0</v>
      </c>
      <c r="N174" s="1" t="str">
        <f t="shared" si="207"/>
        <v>0</v>
      </c>
      <c r="O174" s="1" t="str">
        <f t="shared" si="207"/>
        <v>0</v>
      </c>
    </row>
    <row r="175" s="1" customFormat="1" spans="1:15">
      <c r="A175" s="1" t="str">
        <f t="shared" si="149"/>
        <v>202406</v>
      </c>
      <c r="B175" s="1" t="str">
        <f t="shared" si="150"/>
        <v>150525100</v>
      </c>
      <c r="C175" s="1" t="str">
        <f>"1014622318"</f>
        <v>1014622318</v>
      </c>
      <c r="D175" s="1" t="str">
        <f>"152326194801130669"</f>
        <v>152326194801130669</v>
      </c>
      <c r="E175" s="1" t="s">
        <v>201</v>
      </c>
      <c r="F175" s="1" t="s">
        <v>16</v>
      </c>
      <c r="G175" s="1" t="s">
        <v>17</v>
      </c>
      <c r="H175" s="1" t="str">
        <f t="shared" si="203"/>
        <v>76</v>
      </c>
      <c r="I175" s="1" t="str">
        <f t="shared" si="198"/>
        <v>160</v>
      </c>
      <c r="J175" s="1" t="str">
        <f t="shared" ref="J175:O175" si="208">"0"</f>
        <v>0</v>
      </c>
      <c r="K175" s="1" t="str">
        <f t="shared" si="186"/>
        <v>103</v>
      </c>
      <c r="L175" s="1" t="str">
        <f t="shared" si="187"/>
        <v>47</v>
      </c>
      <c r="M175" s="1" t="str">
        <f t="shared" si="208"/>
        <v>0</v>
      </c>
      <c r="N175" s="1" t="str">
        <f t="shared" si="208"/>
        <v>0</v>
      </c>
      <c r="O175" s="1" t="str">
        <f t="shared" si="208"/>
        <v>0</v>
      </c>
    </row>
    <row r="176" s="1" customFormat="1" spans="1:15">
      <c r="A176" s="1" t="str">
        <f t="shared" si="149"/>
        <v>202406</v>
      </c>
      <c r="B176" s="1" t="str">
        <f t="shared" si="150"/>
        <v>150525100</v>
      </c>
      <c r="C176" s="1" t="str">
        <f>"1014622698"</f>
        <v>1014622698</v>
      </c>
      <c r="D176" s="1" t="str">
        <f>"152326194405200661"</f>
        <v>152326194405200661</v>
      </c>
      <c r="E176" s="1" t="s">
        <v>202</v>
      </c>
      <c r="F176" s="1" t="s">
        <v>16</v>
      </c>
      <c r="G176" s="1" t="s">
        <v>17</v>
      </c>
      <c r="H176" s="1" t="str">
        <f>"80"</f>
        <v>80</v>
      </c>
      <c r="I176" s="1" t="str">
        <f t="shared" ref="I176:I180" si="209">"170"</f>
        <v>170</v>
      </c>
      <c r="J176" s="1" t="str">
        <f t="shared" ref="J176:O176" si="210">"0"</f>
        <v>0</v>
      </c>
      <c r="K176" s="1" t="str">
        <f t="shared" si="186"/>
        <v>103</v>
      </c>
      <c r="L176" s="1" t="str">
        <f t="shared" si="187"/>
        <v>47</v>
      </c>
      <c r="M176" s="1" t="str">
        <f t="shared" si="210"/>
        <v>0</v>
      </c>
      <c r="N176" s="1" t="str">
        <f t="shared" si="210"/>
        <v>0</v>
      </c>
      <c r="O176" s="1" t="str">
        <f t="shared" si="210"/>
        <v>0</v>
      </c>
    </row>
    <row r="177" s="1" customFormat="1" spans="1:15">
      <c r="A177" s="1" t="str">
        <f t="shared" si="149"/>
        <v>202406</v>
      </c>
      <c r="B177" s="1" t="str">
        <f t="shared" si="150"/>
        <v>150525100</v>
      </c>
      <c r="C177" s="1" t="str">
        <f>"1014624068"</f>
        <v>1014624068</v>
      </c>
      <c r="D177" s="1" t="str">
        <f>"152326194301113088"</f>
        <v>152326194301113088</v>
      </c>
      <c r="E177" s="1" t="s">
        <v>203</v>
      </c>
      <c r="F177" s="1" t="s">
        <v>16</v>
      </c>
      <c r="G177" s="1" t="s">
        <v>17</v>
      </c>
      <c r="H177" s="1" t="str">
        <f>"81"</f>
        <v>81</v>
      </c>
      <c r="I177" s="1" t="str">
        <f t="shared" si="209"/>
        <v>170</v>
      </c>
      <c r="J177" s="1" t="str">
        <f t="shared" ref="J177:O177" si="211">"0"</f>
        <v>0</v>
      </c>
      <c r="K177" s="1" t="str">
        <f t="shared" si="186"/>
        <v>103</v>
      </c>
      <c r="L177" s="1" t="str">
        <f t="shared" si="187"/>
        <v>47</v>
      </c>
      <c r="M177" s="1" t="str">
        <f t="shared" si="211"/>
        <v>0</v>
      </c>
      <c r="N177" s="1" t="str">
        <f t="shared" si="211"/>
        <v>0</v>
      </c>
      <c r="O177" s="1" t="str">
        <f t="shared" si="211"/>
        <v>0</v>
      </c>
    </row>
    <row r="178" s="1" customFormat="1" spans="1:15">
      <c r="A178" s="1" t="str">
        <f t="shared" si="149"/>
        <v>202406</v>
      </c>
      <c r="B178" s="1" t="str">
        <f t="shared" si="150"/>
        <v>150525100</v>
      </c>
      <c r="C178" s="1" t="str">
        <f>"1014624071"</f>
        <v>1014624071</v>
      </c>
      <c r="D178" s="1" t="str">
        <f>"152326194910133084"</f>
        <v>152326194910133084</v>
      </c>
      <c r="E178" s="1" t="s">
        <v>204</v>
      </c>
      <c r="F178" s="1" t="s">
        <v>16</v>
      </c>
      <c r="G178" s="1" t="s">
        <v>17</v>
      </c>
      <c r="H178" s="1" t="str">
        <f>"75"</f>
        <v>75</v>
      </c>
      <c r="I178" s="1" t="str">
        <f t="shared" ref="I178:I181" si="212">"160"</f>
        <v>160</v>
      </c>
      <c r="J178" s="1" t="str">
        <f t="shared" ref="J178:O178" si="213">"0"</f>
        <v>0</v>
      </c>
      <c r="K178" s="1" t="str">
        <f t="shared" si="186"/>
        <v>103</v>
      </c>
      <c r="L178" s="1" t="str">
        <f t="shared" si="187"/>
        <v>47</v>
      </c>
      <c r="M178" s="1" t="str">
        <f t="shared" si="213"/>
        <v>0</v>
      </c>
      <c r="N178" s="1" t="str">
        <f t="shared" si="213"/>
        <v>0</v>
      </c>
      <c r="O178" s="1" t="str">
        <f t="shared" si="213"/>
        <v>0</v>
      </c>
    </row>
    <row r="179" s="1" customFormat="1" spans="1:15">
      <c r="A179" s="1" t="str">
        <f t="shared" si="149"/>
        <v>202406</v>
      </c>
      <c r="B179" s="1" t="str">
        <f t="shared" si="150"/>
        <v>150525100</v>
      </c>
      <c r="C179" s="1" t="str">
        <f>"1014624079"</f>
        <v>1014624079</v>
      </c>
      <c r="D179" s="1" t="str">
        <f>"152326194912283086"</f>
        <v>152326194912283086</v>
      </c>
      <c r="E179" s="1" t="s">
        <v>205</v>
      </c>
      <c r="F179" s="1" t="s">
        <v>16</v>
      </c>
      <c r="G179" s="1" t="s">
        <v>17</v>
      </c>
      <c r="H179" s="1" t="str">
        <f>"75"</f>
        <v>75</v>
      </c>
      <c r="I179" s="1" t="str">
        <f t="shared" si="212"/>
        <v>160</v>
      </c>
      <c r="J179" s="1" t="str">
        <f t="shared" ref="J179:O179" si="214">"0"</f>
        <v>0</v>
      </c>
      <c r="K179" s="1" t="str">
        <f t="shared" si="186"/>
        <v>103</v>
      </c>
      <c r="L179" s="1" t="str">
        <f t="shared" si="187"/>
        <v>47</v>
      </c>
      <c r="M179" s="1" t="str">
        <f t="shared" si="214"/>
        <v>0</v>
      </c>
      <c r="N179" s="1" t="str">
        <f t="shared" si="214"/>
        <v>0</v>
      </c>
      <c r="O179" s="1" t="str">
        <f t="shared" si="214"/>
        <v>0</v>
      </c>
    </row>
    <row r="180" s="1" customFormat="1" spans="1:15">
      <c r="A180" s="1" t="str">
        <f t="shared" si="149"/>
        <v>202406</v>
      </c>
      <c r="B180" s="1" t="str">
        <f t="shared" si="150"/>
        <v>150525100</v>
      </c>
      <c r="C180" s="1" t="str">
        <f>"1014624095"</f>
        <v>1014624095</v>
      </c>
      <c r="D180" s="1" t="str">
        <f>"152326194108103080"</f>
        <v>152326194108103080</v>
      </c>
      <c r="E180" s="1" t="s">
        <v>206</v>
      </c>
      <c r="F180" s="1" t="s">
        <v>16</v>
      </c>
      <c r="G180" s="1" t="s">
        <v>17</v>
      </c>
      <c r="H180" s="1" t="str">
        <f>"83"</f>
        <v>83</v>
      </c>
      <c r="I180" s="1" t="str">
        <f t="shared" si="209"/>
        <v>170</v>
      </c>
      <c r="J180" s="1" t="str">
        <f t="shared" ref="J180:O180" si="215">"0"</f>
        <v>0</v>
      </c>
      <c r="K180" s="1" t="str">
        <f t="shared" si="186"/>
        <v>103</v>
      </c>
      <c r="L180" s="1" t="str">
        <f t="shared" si="187"/>
        <v>47</v>
      </c>
      <c r="M180" s="1" t="str">
        <f t="shared" si="215"/>
        <v>0</v>
      </c>
      <c r="N180" s="1" t="str">
        <f t="shared" si="215"/>
        <v>0</v>
      </c>
      <c r="O180" s="1" t="str">
        <f t="shared" si="215"/>
        <v>0</v>
      </c>
    </row>
    <row r="181" s="1" customFormat="1" spans="1:15">
      <c r="A181" s="1" t="str">
        <f t="shared" si="149"/>
        <v>202406</v>
      </c>
      <c r="B181" s="1" t="str">
        <f t="shared" si="150"/>
        <v>150525100</v>
      </c>
      <c r="C181" s="1" t="str">
        <f>"1014624563"</f>
        <v>1014624563</v>
      </c>
      <c r="D181" s="1" t="str">
        <f>"152326194502190661"</f>
        <v>152326194502190661</v>
      </c>
      <c r="E181" s="1" t="s">
        <v>207</v>
      </c>
      <c r="F181" s="1" t="s">
        <v>16</v>
      </c>
      <c r="G181" s="1" t="s">
        <v>17</v>
      </c>
      <c r="H181" s="1" t="str">
        <f>"79"</f>
        <v>79</v>
      </c>
      <c r="I181" s="1" t="str">
        <f t="shared" si="212"/>
        <v>160</v>
      </c>
      <c r="J181" s="1" t="str">
        <f t="shared" ref="J181:O181" si="216">"0"</f>
        <v>0</v>
      </c>
      <c r="K181" s="1" t="str">
        <f t="shared" si="186"/>
        <v>103</v>
      </c>
      <c r="L181" s="1" t="str">
        <f t="shared" si="187"/>
        <v>47</v>
      </c>
      <c r="M181" s="1" t="str">
        <f t="shared" si="216"/>
        <v>0</v>
      </c>
      <c r="N181" s="1" t="str">
        <f t="shared" si="216"/>
        <v>0</v>
      </c>
      <c r="O181" s="1" t="str">
        <f t="shared" si="216"/>
        <v>0</v>
      </c>
    </row>
    <row r="182" s="1" customFormat="1" spans="1:15">
      <c r="A182" s="1" t="str">
        <f t="shared" si="149"/>
        <v>202406</v>
      </c>
      <c r="B182" s="1" t="str">
        <f t="shared" si="150"/>
        <v>150525100</v>
      </c>
      <c r="C182" s="1" t="str">
        <f>"1014619548"</f>
        <v>1014619548</v>
      </c>
      <c r="D182" s="1" t="str">
        <f>"152326193907270665"</f>
        <v>152326193907270665</v>
      </c>
      <c r="E182" s="1" t="s">
        <v>208</v>
      </c>
      <c r="F182" s="1" t="s">
        <v>16</v>
      </c>
      <c r="G182" s="1" t="s">
        <v>19</v>
      </c>
      <c r="H182" s="1" t="str">
        <f>"85"</f>
        <v>85</v>
      </c>
      <c r="I182" s="1" t="str">
        <f t="shared" ref="I182:I185" si="217">"170"</f>
        <v>170</v>
      </c>
      <c r="J182" s="1" t="str">
        <f t="shared" ref="J182:O182" si="218">"0"</f>
        <v>0</v>
      </c>
      <c r="K182" s="1" t="str">
        <f t="shared" si="186"/>
        <v>103</v>
      </c>
      <c r="L182" s="1" t="str">
        <f t="shared" si="187"/>
        <v>47</v>
      </c>
      <c r="M182" s="1" t="str">
        <f t="shared" si="218"/>
        <v>0</v>
      </c>
      <c r="N182" s="1" t="str">
        <f t="shared" si="218"/>
        <v>0</v>
      </c>
      <c r="O182" s="1" t="str">
        <f t="shared" si="218"/>
        <v>0</v>
      </c>
    </row>
    <row r="183" s="1" customFormat="1" spans="1:15">
      <c r="A183" s="1" t="str">
        <f t="shared" si="149"/>
        <v>202406</v>
      </c>
      <c r="B183" s="1" t="str">
        <f t="shared" si="150"/>
        <v>150525100</v>
      </c>
      <c r="C183" s="1" t="str">
        <f>"1014619551"</f>
        <v>1014619551</v>
      </c>
      <c r="D183" s="1" t="str">
        <f>"152326195112210668"</f>
        <v>152326195112210668</v>
      </c>
      <c r="E183" s="1" t="s">
        <v>209</v>
      </c>
      <c r="F183" s="1" t="s">
        <v>16</v>
      </c>
      <c r="G183" s="1" t="s">
        <v>17</v>
      </c>
      <c r="H183" s="1" t="str">
        <f>"73"</f>
        <v>73</v>
      </c>
      <c r="I183" s="1" t="str">
        <f t="shared" ref="I183:I192" si="219">"160"</f>
        <v>160</v>
      </c>
      <c r="J183" s="1" t="str">
        <f t="shared" ref="J183:O183" si="220">"0"</f>
        <v>0</v>
      </c>
      <c r="K183" s="1" t="str">
        <f t="shared" si="186"/>
        <v>103</v>
      </c>
      <c r="L183" s="1" t="str">
        <f t="shared" si="187"/>
        <v>47</v>
      </c>
      <c r="M183" s="1" t="str">
        <f t="shared" si="220"/>
        <v>0</v>
      </c>
      <c r="N183" s="1" t="str">
        <f t="shared" si="220"/>
        <v>0</v>
      </c>
      <c r="O183" s="1" t="str">
        <f t="shared" si="220"/>
        <v>0</v>
      </c>
    </row>
    <row r="184" s="1" customFormat="1" spans="1:15">
      <c r="A184" s="1" t="str">
        <f t="shared" si="149"/>
        <v>202406</v>
      </c>
      <c r="B184" s="1" t="str">
        <f t="shared" si="150"/>
        <v>150525100</v>
      </c>
      <c r="C184" s="1" t="str">
        <f>"1014619553"</f>
        <v>1014619553</v>
      </c>
      <c r="D184" s="1" t="str">
        <f>"152326193501080669"</f>
        <v>152326193501080669</v>
      </c>
      <c r="E184" s="1" t="s">
        <v>210</v>
      </c>
      <c r="F184" s="1" t="s">
        <v>16</v>
      </c>
      <c r="G184" s="1" t="s">
        <v>17</v>
      </c>
      <c r="H184" s="1" t="str">
        <f>"89"</f>
        <v>89</v>
      </c>
      <c r="I184" s="1" t="str">
        <f t="shared" si="217"/>
        <v>170</v>
      </c>
      <c r="J184" s="1" t="str">
        <f t="shared" ref="J184:O184" si="221">"0"</f>
        <v>0</v>
      </c>
      <c r="K184" s="1" t="str">
        <f t="shared" si="186"/>
        <v>103</v>
      </c>
      <c r="L184" s="1" t="str">
        <f t="shared" si="187"/>
        <v>47</v>
      </c>
      <c r="M184" s="1" t="str">
        <f t="shared" si="221"/>
        <v>0</v>
      </c>
      <c r="N184" s="1" t="str">
        <f t="shared" si="221"/>
        <v>0</v>
      </c>
      <c r="O184" s="1" t="str">
        <f t="shared" si="221"/>
        <v>0</v>
      </c>
    </row>
    <row r="185" s="1" customFormat="1" spans="1:15">
      <c r="A185" s="1" t="str">
        <f t="shared" si="149"/>
        <v>202406</v>
      </c>
      <c r="B185" s="1" t="str">
        <f t="shared" si="150"/>
        <v>150525100</v>
      </c>
      <c r="C185" s="1" t="str">
        <f>"1014619572"</f>
        <v>1014619572</v>
      </c>
      <c r="D185" s="1" t="str">
        <f>"152326193907206129"</f>
        <v>152326193907206129</v>
      </c>
      <c r="E185" s="1" t="s">
        <v>78</v>
      </c>
      <c r="F185" s="1" t="s">
        <v>16</v>
      </c>
      <c r="G185" s="1" t="s">
        <v>17</v>
      </c>
      <c r="H185" s="1" t="str">
        <f>"85"</f>
        <v>85</v>
      </c>
      <c r="I185" s="1" t="str">
        <f t="shared" si="217"/>
        <v>170</v>
      </c>
      <c r="J185" s="1" t="str">
        <f t="shared" ref="J185:O185" si="222">"0"</f>
        <v>0</v>
      </c>
      <c r="K185" s="1" t="str">
        <f t="shared" si="186"/>
        <v>103</v>
      </c>
      <c r="L185" s="1" t="str">
        <f t="shared" si="187"/>
        <v>47</v>
      </c>
      <c r="M185" s="1" t="str">
        <f t="shared" si="222"/>
        <v>0</v>
      </c>
      <c r="N185" s="1" t="str">
        <f t="shared" si="222"/>
        <v>0</v>
      </c>
      <c r="O185" s="1" t="str">
        <f t="shared" si="222"/>
        <v>0</v>
      </c>
    </row>
    <row r="186" s="1" customFormat="1" spans="1:15">
      <c r="A186" s="1" t="str">
        <f t="shared" si="149"/>
        <v>202406</v>
      </c>
      <c r="B186" s="1" t="str">
        <f t="shared" si="150"/>
        <v>150525100</v>
      </c>
      <c r="C186" s="1" t="str">
        <f>"1014623591"</f>
        <v>1014623591</v>
      </c>
      <c r="D186" s="1" t="str">
        <f>"152326194406180412"</f>
        <v>152326194406180412</v>
      </c>
      <c r="E186" s="1" t="s">
        <v>211</v>
      </c>
      <c r="F186" s="1" t="s">
        <v>25</v>
      </c>
      <c r="G186" s="1" t="s">
        <v>17</v>
      </c>
      <c r="H186" s="1" t="str">
        <f>"80"</f>
        <v>80</v>
      </c>
      <c r="I186" s="1" t="str">
        <f t="shared" si="219"/>
        <v>160</v>
      </c>
      <c r="J186" s="1" t="str">
        <f t="shared" ref="J186:O186" si="223">"0"</f>
        <v>0</v>
      </c>
      <c r="K186" s="1" t="str">
        <f t="shared" si="186"/>
        <v>103</v>
      </c>
      <c r="L186" s="1" t="str">
        <f t="shared" si="187"/>
        <v>47</v>
      </c>
      <c r="M186" s="1" t="str">
        <f t="shared" si="223"/>
        <v>0</v>
      </c>
      <c r="N186" s="1" t="str">
        <f t="shared" si="223"/>
        <v>0</v>
      </c>
      <c r="O186" s="1" t="str">
        <f t="shared" si="223"/>
        <v>0</v>
      </c>
    </row>
    <row r="187" s="1" customFormat="1" spans="1:15">
      <c r="A187" s="1" t="str">
        <f t="shared" si="149"/>
        <v>202406</v>
      </c>
      <c r="B187" s="1" t="str">
        <f t="shared" si="150"/>
        <v>150525100</v>
      </c>
      <c r="C187" s="1" t="str">
        <f>"1014623599"</f>
        <v>1014623599</v>
      </c>
      <c r="D187" s="1" t="str">
        <f>"152326194703020415"</f>
        <v>152326194703020415</v>
      </c>
      <c r="E187" s="1" t="s">
        <v>212</v>
      </c>
      <c r="F187" s="1" t="s">
        <v>25</v>
      </c>
      <c r="G187" s="1" t="s">
        <v>17</v>
      </c>
      <c r="H187" s="1" t="str">
        <f>"77"</f>
        <v>77</v>
      </c>
      <c r="I187" s="1" t="str">
        <f t="shared" si="219"/>
        <v>160</v>
      </c>
      <c r="J187" s="1" t="str">
        <f t="shared" ref="J187:O187" si="224">"0"</f>
        <v>0</v>
      </c>
      <c r="K187" s="1" t="str">
        <f t="shared" si="186"/>
        <v>103</v>
      </c>
      <c r="L187" s="1" t="str">
        <f t="shared" si="187"/>
        <v>47</v>
      </c>
      <c r="M187" s="1" t="str">
        <f t="shared" si="224"/>
        <v>0</v>
      </c>
      <c r="N187" s="1" t="str">
        <f t="shared" si="224"/>
        <v>0</v>
      </c>
      <c r="O187" s="1" t="str">
        <f t="shared" si="224"/>
        <v>0</v>
      </c>
    </row>
    <row r="188" s="1" customFormat="1" spans="1:15">
      <c r="A188" s="1" t="str">
        <f t="shared" si="149"/>
        <v>202406</v>
      </c>
      <c r="B188" s="1" t="str">
        <f t="shared" si="150"/>
        <v>150525100</v>
      </c>
      <c r="C188" s="1" t="str">
        <f>"1014630019"</f>
        <v>1014630019</v>
      </c>
      <c r="D188" s="1" t="str">
        <f>"152326195104010025"</f>
        <v>152326195104010025</v>
      </c>
      <c r="E188" s="1" t="s">
        <v>213</v>
      </c>
      <c r="F188" s="1" t="s">
        <v>16</v>
      </c>
      <c r="G188" s="1" t="s">
        <v>17</v>
      </c>
      <c r="H188" s="1" t="str">
        <f>"73"</f>
        <v>73</v>
      </c>
      <c r="I188" s="1" t="str">
        <f t="shared" si="219"/>
        <v>160</v>
      </c>
      <c r="J188" s="1" t="str">
        <f t="shared" ref="J188:O188" si="225">"0"</f>
        <v>0</v>
      </c>
      <c r="K188" s="1" t="str">
        <f t="shared" si="186"/>
        <v>103</v>
      </c>
      <c r="L188" s="1" t="str">
        <f t="shared" si="187"/>
        <v>47</v>
      </c>
      <c r="M188" s="1" t="str">
        <f t="shared" si="225"/>
        <v>0</v>
      </c>
      <c r="N188" s="1" t="str">
        <f t="shared" si="225"/>
        <v>0</v>
      </c>
      <c r="O188" s="1" t="str">
        <f t="shared" si="225"/>
        <v>0</v>
      </c>
    </row>
    <row r="189" s="1" customFormat="1" spans="1:15">
      <c r="A189" s="1" t="str">
        <f t="shared" si="149"/>
        <v>202406</v>
      </c>
      <c r="B189" s="1" t="str">
        <f t="shared" si="150"/>
        <v>150525100</v>
      </c>
      <c r="C189" s="1" t="str">
        <f>"1014630045"</f>
        <v>1014630045</v>
      </c>
      <c r="D189" s="1" t="s">
        <v>214</v>
      </c>
      <c r="E189" s="1" t="s">
        <v>215</v>
      </c>
      <c r="F189" s="1" t="s">
        <v>25</v>
      </c>
      <c r="G189" s="1" t="s">
        <v>19</v>
      </c>
      <c r="H189" s="1" t="str">
        <f>"74"</f>
        <v>74</v>
      </c>
      <c r="I189" s="1" t="str">
        <f t="shared" si="219"/>
        <v>160</v>
      </c>
      <c r="J189" s="1" t="str">
        <f t="shared" ref="J189:O189" si="226">"0"</f>
        <v>0</v>
      </c>
      <c r="K189" s="1" t="str">
        <f t="shared" si="186"/>
        <v>103</v>
      </c>
      <c r="L189" s="1" t="str">
        <f t="shared" si="187"/>
        <v>47</v>
      </c>
      <c r="M189" s="1" t="str">
        <f t="shared" si="226"/>
        <v>0</v>
      </c>
      <c r="N189" s="1" t="str">
        <f t="shared" si="226"/>
        <v>0</v>
      </c>
      <c r="O189" s="1" t="str">
        <f t="shared" si="226"/>
        <v>0</v>
      </c>
    </row>
    <row r="190" s="1" customFormat="1" spans="1:15">
      <c r="A190" s="1" t="str">
        <f t="shared" si="149"/>
        <v>202406</v>
      </c>
      <c r="B190" s="1" t="str">
        <f t="shared" si="150"/>
        <v>150525100</v>
      </c>
      <c r="C190" s="1" t="str">
        <f>"1014630056"</f>
        <v>1014630056</v>
      </c>
      <c r="D190" s="1" t="str">
        <f>"152326195109033082"</f>
        <v>152326195109033082</v>
      </c>
      <c r="E190" s="1" t="s">
        <v>216</v>
      </c>
      <c r="F190" s="1" t="s">
        <v>16</v>
      </c>
      <c r="G190" s="1" t="s">
        <v>17</v>
      </c>
      <c r="H190" s="1" t="str">
        <f>"73"</f>
        <v>73</v>
      </c>
      <c r="I190" s="1" t="str">
        <f t="shared" si="219"/>
        <v>160</v>
      </c>
      <c r="J190" s="1" t="str">
        <f t="shared" ref="J190:O190" si="227">"0"</f>
        <v>0</v>
      </c>
      <c r="K190" s="1" t="str">
        <f t="shared" si="186"/>
        <v>103</v>
      </c>
      <c r="L190" s="1" t="str">
        <f t="shared" si="187"/>
        <v>47</v>
      </c>
      <c r="M190" s="1" t="str">
        <f t="shared" si="227"/>
        <v>0</v>
      </c>
      <c r="N190" s="1" t="str">
        <f t="shared" si="227"/>
        <v>0</v>
      </c>
      <c r="O190" s="1" t="str">
        <f t="shared" si="227"/>
        <v>0</v>
      </c>
    </row>
    <row r="191" s="1" customFormat="1" spans="1:15">
      <c r="A191" s="1" t="str">
        <f t="shared" si="149"/>
        <v>202406</v>
      </c>
      <c r="B191" s="1" t="str">
        <f t="shared" si="150"/>
        <v>150525100</v>
      </c>
      <c r="C191" s="1" t="str">
        <f>"1014630072"</f>
        <v>1014630072</v>
      </c>
      <c r="D191" s="1" t="str">
        <f>"152326194608230668"</f>
        <v>152326194608230668</v>
      </c>
      <c r="E191" s="1" t="s">
        <v>217</v>
      </c>
      <c r="F191" s="1" t="s">
        <v>16</v>
      </c>
      <c r="G191" s="1" t="s">
        <v>17</v>
      </c>
      <c r="H191" s="1" t="str">
        <f>"78"</f>
        <v>78</v>
      </c>
      <c r="I191" s="1" t="str">
        <f t="shared" si="219"/>
        <v>160</v>
      </c>
      <c r="J191" s="1" t="str">
        <f t="shared" ref="J191:O191" si="228">"0"</f>
        <v>0</v>
      </c>
      <c r="K191" s="1" t="str">
        <f t="shared" si="186"/>
        <v>103</v>
      </c>
      <c r="L191" s="1" t="str">
        <f t="shared" si="187"/>
        <v>47</v>
      </c>
      <c r="M191" s="1" t="str">
        <f t="shared" si="228"/>
        <v>0</v>
      </c>
      <c r="N191" s="1" t="str">
        <f t="shared" si="228"/>
        <v>0</v>
      </c>
      <c r="O191" s="1" t="str">
        <f t="shared" si="228"/>
        <v>0</v>
      </c>
    </row>
    <row r="192" s="1" customFormat="1" spans="1:15">
      <c r="A192" s="1" t="str">
        <f t="shared" si="149"/>
        <v>202406</v>
      </c>
      <c r="B192" s="1" t="str">
        <f t="shared" si="150"/>
        <v>150525100</v>
      </c>
      <c r="C192" s="1" t="str">
        <f>"1014630079"</f>
        <v>1014630079</v>
      </c>
      <c r="D192" s="1" t="str">
        <f>"152326194803143818"</f>
        <v>152326194803143818</v>
      </c>
      <c r="E192" s="1" t="s">
        <v>218</v>
      </c>
      <c r="F192" s="1" t="s">
        <v>25</v>
      </c>
      <c r="G192" s="1" t="s">
        <v>96</v>
      </c>
      <c r="H192" s="1" t="str">
        <f>"76"</f>
        <v>76</v>
      </c>
      <c r="I192" s="1" t="str">
        <f t="shared" si="219"/>
        <v>160</v>
      </c>
      <c r="J192" s="1" t="str">
        <f t="shared" ref="J192:O192" si="229">"0"</f>
        <v>0</v>
      </c>
      <c r="K192" s="1" t="str">
        <f t="shared" si="186"/>
        <v>103</v>
      </c>
      <c r="L192" s="1" t="str">
        <f t="shared" si="187"/>
        <v>47</v>
      </c>
      <c r="M192" s="1" t="str">
        <f t="shared" si="229"/>
        <v>0</v>
      </c>
      <c r="N192" s="1" t="str">
        <f t="shared" si="229"/>
        <v>0</v>
      </c>
      <c r="O192" s="1" t="str">
        <f t="shared" si="229"/>
        <v>0</v>
      </c>
    </row>
    <row r="193" s="1" customFormat="1" spans="1:15">
      <c r="A193" s="1" t="str">
        <f t="shared" si="149"/>
        <v>202406</v>
      </c>
      <c r="B193" s="1" t="str">
        <f t="shared" si="150"/>
        <v>150525100</v>
      </c>
      <c r="C193" s="1" t="str">
        <f>"1014630099"</f>
        <v>1014630099</v>
      </c>
      <c r="D193" s="1" t="str">
        <f>"152326193608093080"</f>
        <v>152326193608093080</v>
      </c>
      <c r="E193" s="1" t="s">
        <v>219</v>
      </c>
      <c r="F193" s="1" t="s">
        <v>16</v>
      </c>
      <c r="G193" s="1" t="s">
        <v>17</v>
      </c>
      <c r="H193" s="1" t="str">
        <f>"88"</f>
        <v>88</v>
      </c>
      <c r="I193" s="1" t="str">
        <f>"170"</f>
        <v>170</v>
      </c>
      <c r="J193" s="1" t="str">
        <f t="shared" ref="J193:O193" si="230">"0"</f>
        <v>0</v>
      </c>
      <c r="K193" s="1" t="str">
        <f t="shared" si="186"/>
        <v>103</v>
      </c>
      <c r="L193" s="1" t="str">
        <f t="shared" si="187"/>
        <v>47</v>
      </c>
      <c r="M193" s="1" t="str">
        <f t="shared" si="230"/>
        <v>0</v>
      </c>
      <c r="N193" s="1" t="str">
        <f t="shared" si="230"/>
        <v>0</v>
      </c>
      <c r="O193" s="1" t="str">
        <f t="shared" si="230"/>
        <v>0</v>
      </c>
    </row>
    <row r="194" s="1" customFormat="1" spans="1:15">
      <c r="A194" s="1" t="str">
        <f t="shared" ref="A194:A257" si="231">"202406"</f>
        <v>202406</v>
      </c>
      <c r="B194" s="1" t="str">
        <f t="shared" ref="B194:B257" si="232">"150525100"</f>
        <v>150525100</v>
      </c>
      <c r="C194" s="1" t="str">
        <f>"1014612916"</f>
        <v>1014612916</v>
      </c>
      <c r="D194" s="1" t="str">
        <f>"152326194808030927"</f>
        <v>152326194808030927</v>
      </c>
      <c r="E194" s="1" t="s">
        <v>220</v>
      </c>
      <c r="F194" s="1" t="s">
        <v>16</v>
      </c>
      <c r="G194" s="1" t="s">
        <v>19</v>
      </c>
      <c r="H194" s="1" t="str">
        <f>"76"</f>
        <v>76</v>
      </c>
      <c r="I194" s="1" t="str">
        <f t="shared" ref="I194:I202" si="233">"160"</f>
        <v>160</v>
      </c>
      <c r="J194" s="1" t="str">
        <f t="shared" ref="J194:O194" si="234">"0"</f>
        <v>0</v>
      </c>
      <c r="K194" s="1" t="str">
        <f t="shared" si="186"/>
        <v>103</v>
      </c>
      <c r="L194" s="1" t="str">
        <f t="shared" si="187"/>
        <v>47</v>
      </c>
      <c r="M194" s="1" t="str">
        <f t="shared" si="234"/>
        <v>0</v>
      </c>
      <c r="N194" s="1" t="str">
        <f t="shared" si="234"/>
        <v>0</v>
      </c>
      <c r="O194" s="1" t="str">
        <f t="shared" si="234"/>
        <v>0</v>
      </c>
    </row>
    <row r="195" s="1" customFormat="1" spans="1:15">
      <c r="A195" s="1" t="str">
        <f t="shared" si="231"/>
        <v>202406</v>
      </c>
      <c r="B195" s="1" t="str">
        <f t="shared" si="232"/>
        <v>150525100</v>
      </c>
      <c r="C195" s="1" t="str">
        <f>"1014612933"</f>
        <v>1014612933</v>
      </c>
      <c r="D195" s="1" t="str">
        <f>"152326195108043326"</f>
        <v>152326195108043326</v>
      </c>
      <c r="E195" s="1" t="s">
        <v>221</v>
      </c>
      <c r="F195" s="1" t="s">
        <v>16</v>
      </c>
      <c r="G195" s="1" t="s">
        <v>17</v>
      </c>
      <c r="H195" s="1" t="str">
        <f t="shared" ref="H195:H200" si="235">"73"</f>
        <v>73</v>
      </c>
      <c r="I195" s="1" t="str">
        <f t="shared" si="233"/>
        <v>160</v>
      </c>
      <c r="J195" s="1" t="str">
        <f t="shared" ref="J195:O195" si="236">"0"</f>
        <v>0</v>
      </c>
      <c r="K195" s="1" t="str">
        <f t="shared" si="186"/>
        <v>103</v>
      </c>
      <c r="L195" s="1" t="str">
        <f t="shared" si="187"/>
        <v>47</v>
      </c>
      <c r="M195" s="1" t="str">
        <f t="shared" si="236"/>
        <v>0</v>
      </c>
      <c r="N195" s="1" t="str">
        <f t="shared" si="236"/>
        <v>0</v>
      </c>
      <c r="O195" s="1" t="str">
        <f t="shared" si="236"/>
        <v>0</v>
      </c>
    </row>
    <row r="196" s="1" customFormat="1" spans="1:15">
      <c r="A196" s="1" t="str">
        <f t="shared" si="231"/>
        <v>202406</v>
      </c>
      <c r="B196" s="1" t="str">
        <f t="shared" si="232"/>
        <v>150525100</v>
      </c>
      <c r="C196" s="1" t="str">
        <f>"1014613205"</f>
        <v>1014613205</v>
      </c>
      <c r="D196" s="1" t="str">
        <f>"152326194908130917"</f>
        <v>152326194908130917</v>
      </c>
      <c r="E196" s="1" t="s">
        <v>222</v>
      </c>
      <c r="F196" s="1" t="s">
        <v>25</v>
      </c>
      <c r="G196" s="1" t="s">
        <v>19</v>
      </c>
      <c r="H196" s="1" t="str">
        <f>"75"</f>
        <v>75</v>
      </c>
      <c r="I196" s="1" t="str">
        <f t="shared" si="233"/>
        <v>160</v>
      </c>
      <c r="J196" s="1" t="str">
        <f t="shared" ref="J196:O196" si="237">"0"</f>
        <v>0</v>
      </c>
      <c r="K196" s="1" t="str">
        <f t="shared" si="186"/>
        <v>103</v>
      </c>
      <c r="L196" s="1" t="str">
        <f t="shared" si="187"/>
        <v>47</v>
      </c>
      <c r="M196" s="1" t="str">
        <f t="shared" si="237"/>
        <v>0</v>
      </c>
      <c r="N196" s="1" t="str">
        <f t="shared" si="237"/>
        <v>0</v>
      </c>
      <c r="O196" s="1" t="str">
        <f t="shared" si="237"/>
        <v>0</v>
      </c>
    </row>
    <row r="197" s="1" customFormat="1" spans="1:15">
      <c r="A197" s="1" t="str">
        <f t="shared" si="231"/>
        <v>202406</v>
      </c>
      <c r="B197" s="1" t="str">
        <f t="shared" si="232"/>
        <v>150525100</v>
      </c>
      <c r="C197" s="1" t="str">
        <f>"1014613207"</f>
        <v>1014613207</v>
      </c>
      <c r="D197" s="1" t="str">
        <f>"152326195006220424"</f>
        <v>152326195006220424</v>
      </c>
      <c r="E197" s="1" t="s">
        <v>223</v>
      </c>
      <c r="F197" s="1" t="s">
        <v>16</v>
      </c>
      <c r="G197" s="1" t="s">
        <v>17</v>
      </c>
      <c r="H197" s="1" t="str">
        <f>"74"</f>
        <v>74</v>
      </c>
      <c r="I197" s="1" t="str">
        <f t="shared" si="233"/>
        <v>160</v>
      </c>
      <c r="J197" s="1" t="str">
        <f t="shared" ref="J197:O197" si="238">"0"</f>
        <v>0</v>
      </c>
      <c r="K197" s="1" t="str">
        <f t="shared" si="186"/>
        <v>103</v>
      </c>
      <c r="L197" s="1" t="str">
        <f t="shared" si="187"/>
        <v>47</v>
      </c>
      <c r="M197" s="1" t="str">
        <f t="shared" si="238"/>
        <v>0</v>
      </c>
      <c r="N197" s="1" t="str">
        <f t="shared" si="238"/>
        <v>0</v>
      </c>
      <c r="O197" s="1" t="str">
        <f t="shared" si="238"/>
        <v>0</v>
      </c>
    </row>
    <row r="198" s="1" customFormat="1" spans="1:15">
      <c r="A198" s="1" t="str">
        <f t="shared" si="231"/>
        <v>202406</v>
      </c>
      <c r="B198" s="1" t="str">
        <f t="shared" si="232"/>
        <v>150525100</v>
      </c>
      <c r="C198" s="1" t="str">
        <f>"1014613223"</f>
        <v>1014613223</v>
      </c>
      <c r="D198" s="1" t="str">
        <f>"152326194902140444"</f>
        <v>152326194902140444</v>
      </c>
      <c r="E198" s="1" t="s">
        <v>224</v>
      </c>
      <c r="F198" s="1" t="s">
        <v>16</v>
      </c>
      <c r="G198" s="1" t="s">
        <v>17</v>
      </c>
      <c r="H198" s="1" t="str">
        <f>"75"</f>
        <v>75</v>
      </c>
      <c r="I198" s="1" t="str">
        <f t="shared" si="233"/>
        <v>160</v>
      </c>
      <c r="J198" s="1" t="str">
        <f t="shared" ref="J198:O198" si="239">"0"</f>
        <v>0</v>
      </c>
      <c r="K198" s="1" t="str">
        <f t="shared" si="186"/>
        <v>103</v>
      </c>
      <c r="L198" s="1" t="str">
        <f t="shared" si="187"/>
        <v>47</v>
      </c>
      <c r="M198" s="1" t="str">
        <f t="shared" si="239"/>
        <v>0</v>
      </c>
      <c r="N198" s="1" t="str">
        <f t="shared" si="239"/>
        <v>0</v>
      </c>
      <c r="O198" s="1" t="str">
        <f t="shared" si="239"/>
        <v>0</v>
      </c>
    </row>
    <row r="199" s="1" customFormat="1" spans="1:15">
      <c r="A199" s="1" t="str">
        <f t="shared" si="231"/>
        <v>202406</v>
      </c>
      <c r="B199" s="1" t="str">
        <f t="shared" si="232"/>
        <v>150525100</v>
      </c>
      <c r="C199" s="1" t="str">
        <f>"1014621869"</f>
        <v>1014621869</v>
      </c>
      <c r="D199" s="1" t="str">
        <f>"152326195110253357"</f>
        <v>152326195110253357</v>
      </c>
      <c r="E199" s="1" t="s">
        <v>225</v>
      </c>
      <c r="F199" s="1" t="s">
        <v>25</v>
      </c>
      <c r="G199" s="1" t="s">
        <v>19</v>
      </c>
      <c r="H199" s="1" t="str">
        <f t="shared" si="235"/>
        <v>73</v>
      </c>
      <c r="I199" s="1" t="str">
        <f t="shared" si="233"/>
        <v>160</v>
      </c>
      <c r="J199" s="1" t="str">
        <f t="shared" ref="J199:O199" si="240">"0"</f>
        <v>0</v>
      </c>
      <c r="K199" s="1" t="str">
        <f t="shared" si="186"/>
        <v>103</v>
      </c>
      <c r="L199" s="1" t="str">
        <f t="shared" si="187"/>
        <v>47</v>
      </c>
      <c r="M199" s="1" t="str">
        <f t="shared" si="240"/>
        <v>0</v>
      </c>
      <c r="N199" s="1" t="str">
        <f t="shared" si="240"/>
        <v>0</v>
      </c>
      <c r="O199" s="1" t="str">
        <f t="shared" si="240"/>
        <v>0</v>
      </c>
    </row>
    <row r="200" s="1" customFormat="1" spans="1:15">
      <c r="A200" s="1" t="str">
        <f t="shared" si="231"/>
        <v>202406</v>
      </c>
      <c r="B200" s="1" t="str">
        <f t="shared" si="232"/>
        <v>150525100</v>
      </c>
      <c r="C200" s="1" t="str">
        <f>"1014622242"</f>
        <v>1014622242</v>
      </c>
      <c r="D200" s="1" t="str">
        <f>"152326195107190420"</f>
        <v>152326195107190420</v>
      </c>
      <c r="E200" s="1" t="s">
        <v>226</v>
      </c>
      <c r="F200" s="1" t="s">
        <v>16</v>
      </c>
      <c r="G200" s="1" t="s">
        <v>17</v>
      </c>
      <c r="H200" s="1" t="str">
        <f t="shared" si="235"/>
        <v>73</v>
      </c>
      <c r="I200" s="1" t="str">
        <f t="shared" si="233"/>
        <v>160</v>
      </c>
      <c r="J200" s="1" t="str">
        <f t="shared" ref="J200:O200" si="241">"0"</f>
        <v>0</v>
      </c>
      <c r="K200" s="1" t="str">
        <f t="shared" si="186"/>
        <v>103</v>
      </c>
      <c r="L200" s="1" t="str">
        <f t="shared" si="187"/>
        <v>47</v>
      </c>
      <c r="M200" s="1" t="str">
        <f t="shared" si="241"/>
        <v>0</v>
      </c>
      <c r="N200" s="1" t="str">
        <f t="shared" si="241"/>
        <v>0</v>
      </c>
      <c r="O200" s="1" t="str">
        <f t="shared" si="241"/>
        <v>0</v>
      </c>
    </row>
    <row r="201" s="1" customFormat="1" spans="1:15">
      <c r="A201" s="1" t="str">
        <f t="shared" si="231"/>
        <v>202406</v>
      </c>
      <c r="B201" s="1" t="str">
        <f t="shared" si="232"/>
        <v>150525100</v>
      </c>
      <c r="C201" s="1" t="str">
        <f>"1014622247"</f>
        <v>1014622247</v>
      </c>
      <c r="D201" s="1" t="str">
        <f>"152326195007170422"</f>
        <v>152326195007170422</v>
      </c>
      <c r="E201" s="1" t="s">
        <v>227</v>
      </c>
      <c r="F201" s="1" t="s">
        <v>16</v>
      </c>
      <c r="G201" s="1" t="s">
        <v>17</v>
      </c>
      <c r="H201" s="1" t="str">
        <f>"74"</f>
        <v>74</v>
      </c>
      <c r="I201" s="1" t="str">
        <f t="shared" si="233"/>
        <v>160</v>
      </c>
      <c r="J201" s="1" t="str">
        <f t="shared" ref="J201:O201" si="242">"0"</f>
        <v>0</v>
      </c>
      <c r="K201" s="1" t="str">
        <f t="shared" si="186"/>
        <v>103</v>
      </c>
      <c r="L201" s="1" t="str">
        <f t="shared" si="187"/>
        <v>47</v>
      </c>
      <c r="M201" s="1" t="str">
        <f t="shared" si="242"/>
        <v>0</v>
      </c>
      <c r="N201" s="1" t="str">
        <f t="shared" si="242"/>
        <v>0</v>
      </c>
      <c r="O201" s="1" t="str">
        <f t="shared" si="242"/>
        <v>0</v>
      </c>
    </row>
    <row r="202" s="1" customFormat="1" spans="1:15">
      <c r="A202" s="1" t="str">
        <f t="shared" si="231"/>
        <v>202406</v>
      </c>
      <c r="B202" s="1" t="str">
        <f t="shared" si="232"/>
        <v>150525100</v>
      </c>
      <c r="C202" s="1" t="str">
        <f>"1014622258"</f>
        <v>1014622258</v>
      </c>
      <c r="D202" s="1" t="str">
        <f>"152326194801190661"</f>
        <v>152326194801190661</v>
      </c>
      <c r="E202" s="1" t="s">
        <v>123</v>
      </c>
      <c r="F202" s="1" t="s">
        <v>16</v>
      </c>
      <c r="G202" s="1" t="s">
        <v>17</v>
      </c>
      <c r="H202" s="1" t="str">
        <f>"76"</f>
        <v>76</v>
      </c>
      <c r="I202" s="1" t="str">
        <f t="shared" si="233"/>
        <v>160</v>
      </c>
      <c r="J202" s="1" t="str">
        <f t="shared" ref="J202:O202" si="243">"0"</f>
        <v>0</v>
      </c>
      <c r="K202" s="1" t="str">
        <f t="shared" si="186"/>
        <v>103</v>
      </c>
      <c r="L202" s="1" t="str">
        <f t="shared" si="187"/>
        <v>47</v>
      </c>
      <c r="M202" s="1" t="str">
        <f t="shared" si="243"/>
        <v>0</v>
      </c>
      <c r="N202" s="1" t="str">
        <f t="shared" si="243"/>
        <v>0</v>
      </c>
      <c r="O202" s="1" t="str">
        <f t="shared" si="243"/>
        <v>0</v>
      </c>
    </row>
    <row r="203" s="1" customFormat="1" spans="1:15">
      <c r="A203" s="1" t="str">
        <f t="shared" si="231"/>
        <v>202406</v>
      </c>
      <c r="B203" s="1" t="str">
        <f t="shared" si="232"/>
        <v>150525100</v>
      </c>
      <c r="C203" s="1" t="str">
        <f>"1014622264"</f>
        <v>1014622264</v>
      </c>
      <c r="D203" s="1" t="str">
        <f>"152326194903230660"</f>
        <v>152326194903230660</v>
      </c>
      <c r="E203" s="1" t="s">
        <v>228</v>
      </c>
      <c r="F203" s="1" t="s">
        <v>16</v>
      </c>
      <c r="G203" s="1" t="s">
        <v>17</v>
      </c>
      <c r="H203" s="1" t="str">
        <f t="shared" ref="H203:H208" si="244">"75"</f>
        <v>75</v>
      </c>
      <c r="I203" s="1" t="str">
        <f>"960"</f>
        <v>960</v>
      </c>
      <c r="J203" s="1" t="str">
        <f>"800"</f>
        <v>800</v>
      </c>
      <c r="K203" s="1" t="str">
        <f>"618"</f>
        <v>618</v>
      </c>
      <c r="L203" s="1" t="str">
        <f>"282"</f>
        <v>282</v>
      </c>
      <c r="M203" s="1" t="str">
        <f t="shared" ref="M203:O203" si="245">"0"</f>
        <v>0</v>
      </c>
      <c r="N203" s="1" t="str">
        <f t="shared" si="245"/>
        <v>0</v>
      </c>
      <c r="O203" s="1" t="str">
        <f t="shared" si="245"/>
        <v>0</v>
      </c>
    </row>
    <row r="204" s="1" customFormat="1" spans="1:15">
      <c r="A204" s="1" t="str">
        <f t="shared" si="231"/>
        <v>202406</v>
      </c>
      <c r="B204" s="1" t="str">
        <f t="shared" si="232"/>
        <v>150525100</v>
      </c>
      <c r="C204" s="1" t="str">
        <f>"1014619641"</f>
        <v>1014619641</v>
      </c>
      <c r="D204" s="1" t="str">
        <f>"152326194711113080"</f>
        <v>152326194711113080</v>
      </c>
      <c r="E204" s="1" t="s">
        <v>229</v>
      </c>
      <c r="F204" s="1" t="s">
        <v>16</v>
      </c>
      <c r="G204" s="1" t="s">
        <v>19</v>
      </c>
      <c r="H204" s="1" t="str">
        <f>"77"</f>
        <v>77</v>
      </c>
      <c r="I204" s="1" t="str">
        <f>"1440"</f>
        <v>1440</v>
      </c>
      <c r="J204" s="1" t="str">
        <f>"1280"</f>
        <v>1280</v>
      </c>
      <c r="K204" s="1" t="str">
        <f>"927"</f>
        <v>927</v>
      </c>
      <c r="L204" s="1" t="str">
        <f>"423"</f>
        <v>423</v>
      </c>
      <c r="M204" s="1" t="str">
        <f t="shared" ref="M204:O204" si="246">"0"</f>
        <v>0</v>
      </c>
      <c r="N204" s="1" t="str">
        <f t="shared" si="246"/>
        <v>0</v>
      </c>
      <c r="O204" s="1" t="str">
        <f t="shared" si="246"/>
        <v>0</v>
      </c>
    </row>
    <row r="205" s="1" customFormat="1" spans="1:15">
      <c r="A205" s="1" t="str">
        <f t="shared" si="231"/>
        <v>202406</v>
      </c>
      <c r="B205" s="1" t="str">
        <f t="shared" si="232"/>
        <v>150525100</v>
      </c>
      <c r="C205" s="1" t="str">
        <f>"1014619648"</f>
        <v>1014619648</v>
      </c>
      <c r="D205" s="1" t="str">
        <f>"152326194011100668"</f>
        <v>152326194011100668</v>
      </c>
      <c r="E205" s="1" t="s">
        <v>230</v>
      </c>
      <c r="F205" s="1" t="s">
        <v>16</v>
      </c>
      <c r="G205" s="1" t="s">
        <v>96</v>
      </c>
      <c r="H205" s="1" t="str">
        <f>"84"</f>
        <v>84</v>
      </c>
      <c r="I205" s="1" t="str">
        <f>"170"</f>
        <v>170</v>
      </c>
      <c r="J205" s="1" t="str">
        <f t="shared" ref="J205:O205" si="247">"0"</f>
        <v>0</v>
      </c>
      <c r="K205" s="1" t="str">
        <f t="shared" ref="K205:K226" si="248">"103"</f>
        <v>103</v>
      </c>
      <c r="L205" s="1" t="str">
        <f t="shared" ref="L205:L226" si="249">"47"</f>
        <v>47</v>
      </c>
      <c r="M205" s="1" t="str">
        <f t="shared" si="247"/>
        <v>0</v>
      </c>
      <c r="N205" s="1" t="str">
        <f t="shared" si="247"/>
        <v>0</v>
      </c>
      <c r="O205" s="1" t="str">
        <f t="shared" si="247"/>
        <v>0</v>
      </c>
    </row>
    <row r="206" s="1" customFormat="1" spans="1:15">
      <c r="A206" s="1" t="str">
        <f t="shared" si="231"/>
        <v>202406</v>
      </c>
      <c r="B206" s="1" t="str">
        <f t="shared" si="232"/>
        <v>150525100</v>
      </c>
      <c r="C206" s="1" t="str">
        <f>"1014629956"</f>
        <v>1014629956</v>
      </c>
      <c r="D206" s="1" t="str">
        <f>"152326194901310018"</f>
        <v>152326194901310018</v>
      </c>
      <c r="E206" s="1" t="s">
        <v>231</v>
      </c>
      <c r="F206" s="1" t="s">
        <v>25</v>
      </c>
      <c r="G206" s="1" t="s">
        <v>17</v>
      </c>
      <c r="H206" s="1" t="str">
        <f t="shared" si="244"/>
        <v>75</v>
      </c>
      <c r="I206" s="1" t="str">
        <f t="shared" ref="I206:I209" si="250">"160"</f>
        <v>160</v>
      </c>
      <c r="J206" s="1" t="str">
        <f t="shared" ref="J206:O206" si="251">"0"</f>
        <v>0</v>
      </c>
      <c r="K206" s="1" t="str">
        <f t="shared" si="248"/>
        <v>103</v>
      </c>
      <c r="L206" s="1" t="str">
        <f t="shared" si="249"/>
        <v>47</v>
      </c>
      <c r="M206" s="1" t="str">
        <f t="shared" si="251"/>
        <v>0</v>
      </c>
      <c r="N206" s="1" t="str">
        <f t="shared" si="251"/>
        <v>0</v>
      </c>
      <c r="O206" s="1" t="str">
        <f t="shared" si="251"/>
        <v>0</v>
      </c>
    </row>
    <row r="207" s="1" customFormat="1" spans="1:15">
      <c r="A207" s="1" t="str">
        <f t="shared" si="231"/>
        <v>202406</v>
      </c>
      <c r="B207" s="1" t="str">
        <f t="shared" si="232"/>
        <v>150525100</v>
      </c>
      <c r="C207" s="1" t="str">
        <f>"1014623005"</f>
        <v>1014623005</v>
      </c>
      <c r="D207" s="1" t="str">
        <f>"152326195112216381"</f>
        <v>152326195112216381</v>
      </c>
      <c r="E207" s="1" t="s">
        <v>232</v>
      </c>
      <c r="F207" s="1" t="s">
        <v>16</v>
      </c>
      <c r="G207" s="1" t="s">
        <v>17</v>
      </c>
      <c r="H207" s="1" t="str">
        <f>"73"</f>
        <v>73</v>
      </c>
      <c r="I207" s="1" t="str">
        <f t="shared" si="250"/>
        <v>160</v>
      </c>
      <c r="J207" s="1" t="str">
        <f t="shared" ref="J207:O207" si="252">"0"</f>
        <v>0</v>
      </c>
      <c r="K207" s="1" t="str">
        <f t="shared" si="248"/>
        <v>103</v>
      </c>
      <c r="L207" s="1" t="str">
        <f t="shared" si="249"/>
        <v>47</v>
      </c>
      <c r="M207" s="1" t="str">
        <f t="shared" si="252"/>
        <v>0</v>
      </c>
      <c r="N207" s="1" t="str">
        <f t="shared" si="252"/>
        <v>0</v>
      </c>
      <c r="O207" s="1" t="str">
        <f t="shared" si="252"/>
        <v>0</v>
      </c>
    </row>
    <row r="208" s="1" customFormat="1" spans="1:15">
      <c r="A208" s="1" t="str">
        <f t="shared" si="231"/>
        <v>202406</v>
      </c>
      <c r="B208" s="1" t="str">
        <f t="shared" si="232"/>
        <v>150525100</v>
      </c>
      <c r="C208" s="1" t="str">
        <f>"1014623511"</f>
        <v>1014623511</v>
      </c>
      <c r="D208" s="1" t="str">
        <f>"152326194901130420"</f>
        <v>152326194901130420</v>
      </c>
      <c r="E208" s="1" t="s">
        <v>233</v>
      </c>
      <c r="F208" s="1" t="s">
        <v>16</v>
      </c>
      <c r="G208" s="1" t="s">
        <v>17</v>
      </c>
      <c r="H208" s="1" t="str">
        <f t="shared" si="244"/>
        <v>75</v>
      </c>
      <c r="I208" s="1" t="str">
        <f t="shared" si="250"/>
        <v>160</v>
      </c>
      <c r="J208" s="1" t="str">
        <f t="shared" ref="J208:O208" si="253">"0"</f>
        <v>0</v>
      </c>
      <c r="K208" s="1" t="str">
        <f t="shared" si="248"/>
        <v>103</v>
      </c>
      <c r="L208" s="1" t="str">
        <f t="shared" si="249"/>
        <v>47</v>
      </c>
      <c r="M208" s="1" t="str">
        <f t="shared" si="253"/>
        <v>0</v>
      </c>
      <c r="N208" s="1" t="str">
        <f t="shared" si="253"/>
        <v>0</v>
      </c>
      <c r="O208" s="1" t="str">
        <f t="shared" si="253"/>
        <v>0</v>
      </c>
    </row>
    <row r="209" s="1" customFormat="1" spans="1:15">
      <c r="A209" s="1" t="str">
        <f t="shared" si="231"/>
        <v>202406</v>
      </c>
      <c r="B209" s="1" t="str">
        <f t="shared" si="232"/>
        <v>150525100</v>
      </c>
      <c r="C209" s="1" t="str">
        <f>"1014623523"</f>
        <v>1014623523</v>
      </c>
      <c r="D209" s="1" t="str">
        <f>"152326194707250429"</f>
        <v>152326194707250429</v>
      </c>
      <c r="E209" s="1" t="s">
        <v>234</v>
      </c>
      <c r="F209" s="1" t="s">
        <v>16</v>
      </c>
      <c r="G209" s="1" t="s">
        <v>17</v>
      </c>
      <c r="H209" s="1" t="str">
        <f>"77"</f>
        <v>77</v>
      </c>
      <c r="I209" s="1" t="str">
        <f t="shared" si="250"/>
        <v>160</v>
      </c>
      <c r="J209" s="1" t="str">
        <f t="shared" ref="J209:O209" si="254">"0"</f>
        <v>0</v>
      </c>
      <c r="K209" s="1" t="str">
        <f t="shared" si="248"/>
        <v>103</v>
      </c>
      <c r="L209" s="1" t="str">
        <f t="shared" si="249"/>
        <v>47</v>
      </c>
      <c r="M209" s="1" t="str">
        <f t="shared" si="254"/>
        <v>0</v>
      </c>
      <c r="N209" s="1" t="str">
        <f t="shared" si="254"/>
        <v>0</v>
      </c>
      <c r="O209" s="1" t="str">
        <f t="shared" si="254"/>
        <v>0</v>
      </c>
    </row>
    <row r="210" s="1" customFormat="1" spans="1:15">
      <c r="A210" s="1" t="str">
        <f t="shared" si="231"/>
        <v>202406</v>
      </c>
      <c r="B210" s="1" t="str">
        <f t="shared" si="232"/>
        <v>150525100</v>
      </c>
      <c r="C210" s="1" t="str">
        <f>"1014623528"</f>
        <v>1014623528</v>
      </c>
      <c r="D210" s="1" t="str">
        <f>"152326193309050427"</f>
        <v>152326193309050427</v>
      </c>
      <c r="E210" s="1" t="s">
        <v>235</v>
      </c>
      <c r="F210" s="1" t="s">
        <v>16</v>
      </c>
      <c r="G210" s="1" t="s">
        <v>17</v>
      </c>
      <c r="H210" s="1" t="str">
        <f>"91"</f>
        <v>91</v>
      </c>
      <c r="I210" s="1" t="str">
        <f>"170"</f>
        <v>170</v>
      </c>
      <c r="J210" s="1" t="str">
        <f t="shared" ref="J210:O210" si="255">"0"</f>
        <v>0</v>
      </c>
      <c r="K210" s="1" t="str">
        <f t="shared" si="248"/>
        <v>103</v>
      </c>
      <c r="L210" s="1" t="str">
        <f t="shared" si="249"/>
        <v>47</v>
      </c>
      <c r="M210" s="1" t="str">
        <f t="shared" si="255"/>
        <v>0</v>
      </c>
      <c r="N210" s="1" t="str">
        <f t="shared" si="255"/>
        <v>0</v>
      </c>
      <c r="O210" s="1" t="str">
        <f t="shared" si="255"/>
        <v>0</v>
      </c>
    </row>
    <row r="211" s="1" customFormat="1" spans="1:15">
      <c r="A211" s="1" t="str">
        <f t="shared" si="231"/>
        <v>202406</v>
      </c>
      <c r="B211" s="1" t="str">
        <f t="shared" si="232"/>
        <v>150525100</v>
      </c>
      <c r="C211" s="1" t="str">
        <f>"1014629446"</f>
        <v>1014629446</v>
      </c>
      <c r="D211" s="1" t="str">
        <f>"152326195001193826"</f>
        <v>152326195001193826</v>
      </c>
      <c r="E211" s="1" t="s">
        <v>236</v>
      </c>
      <c r="F211" s="1" t="s">
        <v>16</v>
      </c>
      <c r="G211" s="1" t="s">
        <v>19</v>
      </c>
      <c r="H211" s="1" t="str">
        <f>"74"</f>
        <v>74</v>
      </c>
      <c r="I211" s="1" t="str">
        <f t="shared" ref="I211:I220" si="256">"160"</f>
        <v>160</v>
      </c>
      <c r="J211" s="1" t="str">
        <f t="shared" ref="J211:O211" si="257">"0"</f>
        <v>0</v>
      </c>
      <c r="K211" s="1" t="str">
        <f t="shared" si="248"/>
        <v>103</v>
      </c>
      <c r="L211" s="1" t="str">
        <f t="shared" si="249"/>
        <v>47</v>
      </c>
      <c r="M211" s="1" t="str">
        <f t="shared" si="257"/>
        <v>0</v>
      </c>
      <c r="N211" s="1" t="str">
        <f t="shared" si="257"/>
        <v>0</v>
      </c>
      <c r="O211" s="1" t="str">
        <f t="shared" si="257"/>
        <v>0</v>
      </c>
    </row>
    <row r="212" s="1" customFormat="1" spans="1:15">
      <c r="A212" s="1" t="str">
        <f t="shared" si="231"/>
        <v>202406</v>
      </c>
      <c r="B212" s="1" t="str">
        <f t="shared" si="232"/>
        <v>150525100</v>
      </c>
      <c r="C212" s="1" t="str">
        <f>"1014629464"</f>
        <v>1014629464</v>
      </c>
      <c r="D212" s="1" t="str">
        <f>"152326194707163827"</f>
        <v>152326194707163827</v>
      </c>
      <c r="E212" s="1" t="s">
        <v>237</v>
      </c>
      <c r="F212" s="1" t="s">
        <v>16</v>
      </c>
      <c r="G212" s="1" t="s">
        <v>19</v>
      </c>
      <c r="H212" s="1" t="str">
        <f>"77"</f>
        <v>77</v>
      </c>
      <c r="I212" s="1" t="str">
        <f t="shared" si="256"/>
        <v>160</v>
      </c>
      <c r="J212" s="1" t="str">
        <f t="shared" ref="J212:O212" si="258">"0"</f>
        <v>0</v>
      </c>
      <c r="K212" s="1" t="str">
        <f t="shared" si="248"/>
        <v>103</v>
      </c>
      <c r="L212" s="1" t="str">
        <f t="shared" si="249"/>
        <v>47</v>
      </c>
      <c r="M212" s="1" t="str">
        <f t="shared" si="258"/>
        <v>0</v>
      </c>
      <c r="N212" s="1" t="str">
        <f t="shared" si="258"/>
        <v>0</v>
      </c>
      <c r="O212" s="1" t="str">
        <f t="shared" si="258"/>
        <v>0</v>
      </c>
    </row>
    <row r="213" s="1" customFormat="1" spans="1:15">
      <c r="A213" s="1" t="str">
        <f t="shared" si="231"/>
        <v>202406</v>
      </c>
      <c r="B213" s="1" t="str">
        <f t="shared" si="232"/>
        <v>150525100</v>
      </c>
      <c r="C213" s="1" t="str">
        <f>"1014629493"</f>
        <v>1014629493</v>
      </c>
      <c r="D213" s="1" t="str">
        <f>"152326195111063088"</f>
        <v>152326195111063088</v>
      </c>
      <c r="E213" s="1" t="s">
        <v>238</v>
      </c>
      <c r="F213" s="1" t="s">
        <v>16</v>
      </c>
      <c r="G213" s="1" t="s">
        <v>19</v>
      </c>
      <c r="H213" s="1" t="str">
        <f t="shared" ref="H213:H217" si="259">"73"</f>
        <v>73</v>
      </c>
      <c r="I213" s="1" t="str">
        <f t="shared" si="256"/>
        <v>160</v>
      </c>
      <c r="J213" s="1" t="str">
        <f t="shared" ref="J213:O213" si="260">"0"</f>
        <v>0</v>
      </c>
      <c r="K213" s="1" t="str">
        <f t="shared" si="248"/>
        <v>103</v>
      </c>
      <c r="L213" s="1" t="str">
        <f t="shared" si="249"/>
        <v>47</v>
      </c>
      <c r="M213" s="1" t="str">
        <f t="shared" si="260"/>
        <v>0</v>
      </c>
      <c r="N213" s="1" t="str">
        <f t="shared" si="260"/>
        <v>0</v>
      </c>
      <c r="O213" s="1" t="str">
        <f t="shared" si="260"/>
        <v>0</v>
      </c>
    </row>
    <row r="214" s="1" customFormat="1" spans="1:15">
      <c r="A214" s="1" t="str">
        <f t="shared" si="231"/>
        <v>202406</v>
      </c>
      <c r="B214" s="1" t="str">
        <f t="shared" si="232"/>
        <v>150525100</v>
      </c>
      <c r="C214" s="1" t="str">
        <f>"1014629548"</f>
        <v>1014629548</v>
      </c>
      <c r="D214" s="1" t="str">
        <f>"152326194806183081"</f>
        <v>152326194806183081</v>
      </c>
      <c r="E214" s="1" t="s">
        <v>239</v>
      </c>
      <c r="F214" s="1" t="s">
        <v>16</v>
      </c>
      <c r="G214" s="1" t="s">
        <v>17</v>
      </c>
      <c r="H214" s="1" t="str">
        <f>"76"</f>
        <v>76</v>
      </c>
      <c r="I214" s="1" t="str">
        <f t="shared" si="256"/>
        <v>160</v>
      </c>
      <c r="J214" s="1" t="str">
        <f t="shared" ref="J214:O214" si="261">"0"</f>
        <v>0</v>
      </c>
      <c r="K214" s="1" t="str">
        <f t="shared" si="248"/>
        <v>103</v>
      </c>
      <c r="L214" s="1" t="str">
        <f t="shared" si="249"/>
        <v>47</v>
      </c>
      <c r="M214" s="1" t="str">
        <f t="shared" si="261"/>
        <v>0</v>
      </c>
      <c r="N214" s="1" t="str">
        <f t="shared" si="261"/>
        <v>0</v>
      </c>
      <c r="O214" s="1" t="str">
        <f t="shared" si="261"/>
        <v>0</v>
      </c>
    </row>
    <row r="215" s="1" customFormat="1" spans="1:15">
      <c r="A215" s="1" t="str">
        <f t="shared" si="231"/>
        <v>202406</v>
      </c>
      <c r="B215" s="1" t="str">
        <f t="shared" si="232"/>
        <v>150525100</v>
      </c>
      <c r="C215" s="1" t="str">
        <f>"1014629550"</f>
        <v>1014629550</v>
      </c>
      <c r="D215" s="1" t="str">
        <f>"152326195002073076"</f>
        <v>152326195002073076</v>
      </c>
      <c r="E215" s="1" t="s">
        <v>240</v>
      </c>
      <c r="F215" s="1" t="s">
        <v>25</v>
      </c>
      <c r="G215" s="1" t="s">
        <v>17</v>
      </c>
      <c r="H215" s="1" t="str">
        <f>"74"</f>
        <v>74</v>
      </c>
      <c r="I215" s="1" t="str">
        <f t="shared" si="256"/>
        <v>160</v>
      </c>
      <c r="J215" s="1" t="str">
        <f t="shared" ref="J215:O215" si="262">"0"</f>
        <v>0</v>
      </c>
      <c r="K215" s="1" t="str">
        <f t="shared" si="248"/>
        <v>103</v>
      </c>
      <c r="L215" s="1" t="str">
        <f t="shared" si="249"/>
        <v>47</v>
      </c>
      <c r="M215" s="1" t="str">
        <f t="shared" si="262"/>
        <v>0</v>
      </c>
      <c r="N215" s="1" t="str">
        <f t="shared" si="262"/>
        <v>0</v>
      </c>
      <c r="O215" s="1" t="str">
        <f t="shared" si="262"/>
        <v>0</v>
      </c>
    </row>
    <row r="216" s="1" customFormat="1" spans="1:15">
      <c r="A216" s="1" t="str">
        <f t="shared" si="231"/>
        <v>202406</v>
      </c>
      <c r="B216" s="1" t="str">
        <f t="shared" si="232"/>
        <v>150525100</v>
      </c>
      <c r="C216" s="1" t="str">
        <f>"1014612960"</f>
        <v>1014612960</v>
      </c>
      <c r="D216" s="1" t="str">
        <f>"152326195110080927"</f>
        <v>152326195110080927</v>
      </c>
      <c r="E216" s="1" t="s">
        <v>241</v>
      </c>
      <c r="F216" s="1" t="s">
        <v>16</v>
      </c>
      <c r="G216" s="1" t="s">
        <v>19</v>
      </c>
      <c r="H216" s="1" t="str">
        <f t="shared" si="259"/>
        <v>73</v>
      </c>
      <c r="I216" s="1" t="str">
        <f t="shared" si="256"/>
        <v>160</v>
      </c>
      <c r="J216" s="1" t="str">
        <f t="shared" ref="J216:O216" si="263">"0"</f>
        <v>0</v>
      </c>
      <c r="K216" s="1" t="str">
        <f t="shared" si="248"/>
        <v>103</v>
      </c>
      <c r="L216" s="1" t="str">
        <f t="shared" si="249"/>
        <v>47</v>
      </c>
      <c r="M216" s="1" t="str">
        <f t="shared" si="263"/>
        <v>0</v>
      </c>
      <c r="N216" s="1" t="str">
        <f t="shared" si="263"/>
        <v>0</v>
      </c>
      <c r="O216" s="1" t="str">
        <f t="shared" si="263"/>
        <v>0</v>
      </c>
    </row>
    <row r="217" s="1" customFormat="1" spans="1:15">
      <c r="A217" s="1" t="str">
        <f t="shared" si="231"/>
        <v>202406</v>
      </c>
      <c r="B217" s="1" t="str">
        <f t="shared" si="232"/>
        <v>150525100</v>
      </c>
      <c r="C217" s="1" t="str">
        <f>"1014613227"</f>
        <v>1014613227</v>
      </c>
      <c r="D217" s="1" t="str">
        <f>"152326195103280429"</f>
        <v>152326195103280429</v>
      </c>
      <c r="E217" s="1" t="s">
        <v>242</v>
      </c>
      <c r="F217" s="1" t="s">
        <v>16</v>
      </c>
      <c r="G217" s="1" t="s">
        <v>17</v>
      </c>
      <c r="H217" s="1" t="str">
        <f t="shared" si="259"/>
        <v>73</v>
      </c>
      <c r="I217" s="1" t="str">
        <f t="shared" si="256"/>
        <v>160</v>
      </c>
      <c r="J217" s="1" t="str">
        <f t="shared" ref="J217:O217" si="264">"0"</f>
        <v>0</v>
      </c>
      <c r="K217" s="1" t="str">
        <f t="shared" si="248"/>
        <v>103</v>
      </c>
      <c r="L217" s="1" t="str">
        <f t="shared" si="249"/>
        <v>47</v>
      </c>
      <c r="M217" s="1" t="str">
        <f t="shared" si="264"/>
        <v>0</v>
      </c>
      <c r="N217" s="1" t="str">
        <f t="shared" si="264"/>
        <v>0</v>
      </c>
      <c r="O217" s="1" t="str">
        <f t="shared" si="264"/>
        <v>0</v>
      </c>
    </row>
    <row r="218" s="1" customFormat="1" spans="1:15">
      <c r="A218" s="1" t="str">
        <f t="shared" si="231"/>
        <v>202406</v>
      </c>
      <c r="B218" s="1" t="str">
        <f t="shared" si="232"/>
        <v>150525100</v>
      </c>
      <c r="C218" s="1" t="str">
        <f>"1014613255"</f>
        <v>1014613255</v>
      </c>
      <c r="D218" s="1" t="s">
        <v>243</v>
      </c>
      <c r="E218" s="1" t="s">
        <v>244</v>
      </c>
      <c r="F218" s="1" t="s">
        <v>16</v>
      </c>
      <c r="G218" s="1" t="s">
        <v>17</v>
      </c>
      <c r="H218" s="1" t="str">
        <f>"74"</f>
        <v>74</v>
      </c>
      <c r="I218" s="1" t="str">
        <f t="shared" si="256"/>
        <v>160</v>
      </c>
      <c r="J218" s="1" t="str">
        <f t="shared" ref="J218:O218" si="265">"0"</f>
        <v>0</v>
      </c>
      <c r="K218" s="1" t="str">
        <f t="shared" si="248"/>
        <v>103</v>
      </c>
      <c r="L218" s="1" t="str">
        <f t="shared" si="249"/>
        <v>47</v>
      </c>
      <c r="M218" s="1" t="str">
        <f t="shared" si="265"/>
        <v>0</v>
      </c>
      <c r="N218" s="1" t="str">
        <f t="shared" si="265"/>
        <v>0</v>
      </c>
      <c r="O218" s="1" t="str">
        <f t="shared" si="265"/>
        <v>0</v>
      </c>
    </row>
    <row r="219" s="1" customFormat="1" spans="1:15">
      <c r="A219" s="1" t="str">
        <f t="shared" si="231"/>
        <v>202406</v>
      </c>
      <c r="B219" s="1" t="str">
        <f t="shared" si="232"/>
        <v>150525100</v>
      </c>
      <c r="C219" s="1" t="str">
        <f>"1014621879"</f>
        <v>1014621879</v>
      </c>
      <c r="D219" s="1" t="str">
        <f>"152326195111083310"</f>
        <v>152326195111083310</v>
      </c>
      <c r="E219" s="1" t="s">
        <v>245</v>
      </c>
      <c r="F219" s="1" t="s">
        <v>25</v>
      </c>
      <c r="G219" s="1" t="s">
        <v>17</v>
      </c>
      <c r="H219" s="1" t="str">
        <f>"73"</f>
        <v>73</v>
      </c>
      <c r="I219" s="1" t="str">
        <f t="shared" si="256"/>
        <v>160</v>
      </c>
      <c r="J219" s="1" t="str">
        <f t="shared" ref="J219:O219" si="266">"0"</f>
        <v>0</v>
      </c>
      <c r="K219" s="1" t="str">
        <f t="shared" si="248"/>
        <v>103</v>
      </c>
      <c r="L219" s="1" t="str">
        <f t="shared" si="249"/>
        <v>47</v>
      </c>
      <c r="M219" s="1" t="str">
        <f t="shared" si="266"/>
        <v>0</v>
      </c>
      <c r="N219" s="1" t="str">
        <f t="shared" si="266"/>
        <v>0</v>
      </c>
      <c r="O219" s="1" t="str">
        <f t="shared" si="266"/>
        <v>0</v>
      </c>
    </row>
    <row r="220" s="1" customFormat="1" spans="1:15">
      <c r="A220" s="1" t="str">
        <f t="shared" si="231"/>
        <v>202406</v>
      </c>
      <c r="B220" s="1" t="str">
        <f t="shared" si="232"/>
        <v>150525100</v>
      </c>
      <c r="C220" s="1" t="str">
        <f>"1014622284"</f>
        <v>1014622284</v>
      </c>
      <c r="D220" s="1" t="s">
        <v>246</v>
      </c>
      <c r="E220" s="1" t="s">
        <v>247</v>
      </c>
      <c r="F220" s="1" t="s">
        <v>25</v>
      </c>
      <c r="G220" s="1" t="s">
        <v>17</v>
      </c>
      <c r="H220" s="1" t="str">
        <f>"75"</f>
        <v>75</v>
      </c>
      <c r="I220" s="1" t="str">
        <f t="shared" si="256"/>
        <v>160</v>
      </c>
      <c r="J220" s="1" t="str">
        <f t="shared" ref="J220:O220" si="267">"0"</f>
        <v>0</v>
      </c>
      <c r="K220" s="1" t="str">
        <f t="shared" si="248"/>
        <v>103</v>
      </c>
      <c r="L220" s="1" t="str">
        <f t="shared" si="249"/>
        <v>47</v>
      </c>
      <c r="M220" s="1" t="str">
        <f t="shared" si="267"/>
        <v>0</v>
      </c>
      <c r="N220" s="1" t="str">
        <f t="shared" si="267"/>
        <v>0</v>
      </c>
      <c r="O220" s="1" t="str">
        <f t="shared" si="267"/>
        <v>0</v>
      </c>
    </row>
    <row r="221" s="1" customFormat="1" spans="1:15">
      <c r="A221" s="1" t="str">
        <f t="shared" si="231"/>
        <v>202406</v>
      </c>
      <c r="B221" s="1" t="str">
        <f t="shared" si="232"/>
        <v>150525100</v>
      </c>
      <c r="C221" s="1" t="str">
        <f>"1014624048"</f>
        <v>1014624048</v>
      </c>
      <c r="D221" s="1" t="str">
        <f>"152326193612143087"</f>
        <v>152326193612143087</v>
      </c>
      <c r="E221" s="1" t="s">
        <v>248</v>
      </c>
      <c r="F221" s="1" t="s">
        <v>16</v>
      </c>
      <c r="G221" s="1" t="s">
        <v>17</v>
      </c>
      <c r="H221" s="1" t="str">
        <f>"88"</f>
        <v>88</v>
      </c>
      <c r="I221" s="1" t="str">
        <f>"170"</f>
        <v>170</v>
      </c>
      <c r="J221" s="1" t="str">
        <f t="shared" ref="J221:O221" si="268">"0"</f>
        <v>0</v>
      </c>
      <c r="K221" s="1" t="str">
        <f t="shared" si="248"/>
        <v>103</v>
      </c>
      <c r="L221" s="1" t="str">
        <f t="shared" si="249"/>
        <v>47</v>
      </c>
      <c r="M221" s="1" t="str">
        <f t="shared" si="268"/>
        <v>0</v>
      </c>
      <c r="N221" s="1" t="str">
        <f t="shared" si="268"/>
        <v>0</v>
      </c>
      <c r="O221" s="1" t="str">
        <f t="shared" si="268"/>
        <v>0</v>
      </c>
    </row>
    <row r="222" s="1" customFormat="1" spans="1:15">
      <c r="A222" s="1" t="str">
        <f t="shared" si="231"/>
        <v>202406</v>
      </c>
      <c r="B222" s="1" t="str">
        <f t="shared" si="232"/>
        <v>150525100</v>
      </c>
      <c r="C222" s="1" t="str">
        <f>"1014624551"</f>
        <v>1014624551</v>
      </c>
      <c r="D222" s="1" t="str">
        <f>"152326194801050669"</f>
        <v>152326194801050669</v>
      </c>
      <c r="E222" s="1" t="s">
        <v>249</v>
      </c>
      <c r="F222" s="1" t="s">
        <v>16</v>
      </c>
      <c r="G222" s="1" t="s">
        <v>17</v>
      </c>
      <c r="H222" s="1" t="str">
        <f>"77"</f>
        <v>77</v>
      </c>
      <c r="I222" s="1" t="str">
        <f t="shared" ref="I222:I224" si="269">"160"</f>
        <v>160</v>
      </c>
      <c r="J222" s="1" t="str">
        <f t="shared" ref="J222:O222" si="270">"0"</f>
        <v>0</v>
      </c>
      <c r="K222" s="1" t="str">
        <f t="shared" si="248"/>
        <v>103</v>
      </c>
      <c r="L222" s="1" t="str">
        <f t="shared" si="249"/>
        <v>47</v>
      </c>
      <c r="M222" s="1" t="str">
        <f t="shared" si="270"/>
        <v>0</v>
      </c>
      <c r="N222" s="1" t="str">
        <f t="shared" si="270"/>
        <v>0</v>
      </c>
      <c r="O222" s="1" t="str">
        <f t="shared" si="270"/>
        <v>0</v>
      </c>
    </row>
    <row r="223" s="1" customFormat="1" spans="1:15">
      <c r="A223" s="1" t="str">
        <f t="shared" si="231"/>
        <v>202406</v>
      </c>
      <c r="B223" s="1" t="str">
        <f t="shared" si="232"/>
        <v>150525100</v>
      </c>
      <c r="C223" s="1" t="str">
        <f>"1014619521"</f>
        <v>1014619521</v>
      </c>
      <c r="D223" s="1" t="str">
        <f>"152326194903033093"</f>
        <v>152326194903033093</v>
      </c>
      <c r="E223" s="1" t="s">
        <v>250</v>
      </c>
      <c r="F223" s="1" t="s">
        <v>25</v>
      </c>
      <c r="G223" s="1" t="s">
        <v>17</v>
      </c>
      <c r="H223" s="1" t="str">
        <f>"75"</f>
        <v>75</v>
      </c>
      <c r="I223" s="1" t="str">
        <f t="shared" si="269"/>
        <v>160</v>
      </c>
      <c r="J223" s="1" t="str">
        <f t="shared" ref="J223:O223" si="271">"0"</f>
        <v>0</v>
      </c>
      <c r="K223" s="1" t="str">
        <f t="shared" si="248"/>
        <v>103</v>
      </c>
      <c r="L223" s="1" t="str">
        <f t="shared" si="249"/>
        <v>47</v>
      </c>
      <c r="M223" s="1" t="str">
        <f t="shared" si="271"/>
        <v>0</v>
      </c>
      <c r="N223" s="1" t="str">
        <f t="shared" si="271"/>
        <v>0</v>
      </c>
      <c r="O223" s="1" t="str">
        <f t="shared" si="271"/>
        <v>0</v>
      </c>
    </row>
    <row r="224" s="1" customFormat="1" spans="1:15">
      <c r="A224" s="1" t="str">
        <f t="shared" si="231"/>
        <v>202406</v>
      </c>
      <c r="B224" s="1" t="str">
        <f t="shared" si="232"/>
        <v>150525100</v>
      </c>
      <c r="C224" s="1" t="str">
        <f>"1014619524"</f>
        <v>1014619524</v>
      </c>
      <c r="D224" s="1" t="str">
        <f>"152326195111293078"</f>
        <v>152326195111293078</v>
      </c>
      <c r="E224" s="1" t="s">
        <v>251</v>
      </c>
      <c r="F224" s="1" t="s">
        <v>25</v>
      </c>
      <c r="G224" s="1" t="s">
        <v>17</v>
      </c>
      <c r="H224" s="1" t="str">
        <f>"73"</f>
        <v>73</v>
      </c>
      <c r="I224" s="1" t="str">
        <f t="shared" si="269"/>
        <v>160</v>
      </c>
      <c r="J224" s="1" t="str">
        <f t="shared" ref="J224:O224" si="272">"0"</f>
        <v>0</v>
      </c>
      <c r="K224" s="1" t="str">
        <f t="shared" si="248"/>
        <v>103</v>
      </c>
      <c r="L224" s="1" t="str">
        <f t="shared" si="249"/>
        <v>47</v>
      </c>
      <c r="M224" s="1" t="str">
        <f t="shared" si="272"/>
        <v>0</v>
      </c>
      <c r="N224" s="1" t="str">
        <f t="shared" si="272"/>
        <v>0</v>
      </c>
      <c r="O224" s="1" t="str">
        <f t="shared" si="272"/>
        <v>0</v>
      </c>
    </row>
    <row r="225" s="1" customFormat="1" spans="1:15">
      <c r="A225" s="1" t="str">
        <f t="shared" si="231"/>
        <v>202406</v>
      </c>
      <c r="B225" s="1" t="str">
        <f t="shared" si="232"/>
        <v>150525100</v>
      </c>
      <c r="C225" s="1" t="str">
        <f>"1014619526"</f>
        <v>1014619526</v>
      </c>
      <c r="D225" s="1" t="str">
        <f>"152326194306083076"</f>
        <v>152326194306083076</v>
      </c>
      <c r="E225" s="1" t="s">
        <v>252</v>
      </c>
      <c r="F225" s="1" t="s">
        <v>25</v>
      </c>
      <c r="G225" s="1" t="s">
        <v>17</v>
      </c>
      <c r="H225" s="1" t="str">
        <f>"81"</f>
        <v>81</v>
      </c>
      <c r="I225" s="1" t="str">
        <f>"170"</f>
        <v>170</v>
      </c>
      <c r="J225" s="1" t="str">
        <f t="shared" ref="J225:O225" si="273">"0"</f>
        <v>0</v>
      </c>
      <c r="K225" s="1" t="str">
        <f t="shared" si="248"/>
        <v>103</v>
      </c>
      <c r="L225" s="1" t="str">
        <f t="shared" si="249"/>
        <v>47</v>
      </c>
      <c r="M225" s="1" t="str">
        <f t="shared" si="273"/>
        <v>0</v>
      </c>
      <c r="N225" s="1" t="str">
        <f t="shared" si="273"/>
        <v>0</v>
      </c>
      <c r="O225" s="1" t="str">
        <f t="shared" si="273"/>
        <v>0</v>
      </c>
    </row>
    <row r="226" s="1" customFormat="1" spans="1:15">
      <c r="A226" s="1" t="str">
        <f t="shared" si="231"/>
        <v>202406</v>
      </c>
      <c r="B226" s="1" t="str">
        <f t="shared" si="232"/>
        <v>150525100</v>
      </c>
      <c r="C226" s="1" t="str">
        <f>"1014619693"</f>
        <v>1014619693</v>
      </c>
      <c r="D226" s="1" t="str">
        <f>"152326194912260669"</f>
        <v>152326194912260669</v>
      </c>
      <c r="E226" s="1" t="s">
        <v>253</v>
      </c>
      <c r="F226" s="1" t="s">
        <v>16</v>
      </c>
      <c r="G226" s="1" t="s">
        <v>19</v>
      </c>
      <c r="H226" s="1" t="str">
        <f>"75"</f>
        <v>75</v>
      </c>
      <c r="I226" s="1" t="str">
        <f t="shared" ref="I226:I231" si="274">"160"</f>
        <v>160</v>
      </c>
      <c r="J226" s="1" t="str">
        <f t="shared" ref="J226:O226" si="275">"0"</f>
        <v>0</v>
      </c>
      <c r="K226" s="1" t="str">
        <f t="shared" si="248"/>
        <v>103</v>
      </c>
      <c r="L226" s="1" t="str">
        <f t="shared" si="249"/>
        <v>47</v>
      </c>
      <c r="M226" s="1" t="str">
        <f t="shared" si="275"/>
        <v>0</v>
      </c>
      <c r="N226" s="1" t="str">
        <f t="shared" si="275"/>
        <v>0</v>
      </c>
      <c r="O226" s="1" t="str">
        <f t="shared" si="275"/>
        <v>0</v>
      </c>
    </row>
    <row r="227" s="1" customFormat="1" spans="1:15">
      <c r="A227" s="1" t="str">
        <f t="shared" si="231"/>
        <v>202406</v>
      </c>
      <c r="B227" s="1" t="str">
        <f t="shared" si="232"/>
        <v>150525100</v>
      </c>
      <c r="C227" s="1" t="str">
        <f>"1014619698"</f>
        <v>1014619698</v>
      </c>
      <c r="D227" s="1" t="str">
        <f>"152326195110020668"</f>
        <v>152326195110020668</v>
      </c>
      <c r="E227" s="1" t="s">
        <v>254</v>
      </c>
      <c r="F227" s="1" t="s">
        <v>16</v>
      </c>
      <c r="G227" s="1" t="s">
        <v>19</v>
      </c>
      <c r="H227" s="1" t="str">
        <f>"73"</f>
        <v>73</v>
      </c>
      <c r="I227" s="1" t="str">
        <f>"640"</f>
        <v>640</v>
      </c>
      <c r="J227" s="1" t="str">
        <f>"480"</f>
        <v>480</v>
      </c>
      <c r="K227" s="1" t="str">
        <f>"412"</f>
        <v>412</v>
      </c>
      <c r="L227" s="1" t="str">
        <f>"188"</f>
        <v>188</v>
      </c>
      <c r="M227" s="1" t="str">
        <f t="shared" ref="M227:O227" si="276">"0"</f>
        <v>0</v>
      </c>
      <c r="N227" s="1" t="str">
        <f t="shared" si="276"/>
        <v>0</v>
      </c>
      <c r="O227" s="1" t="str">
        <f t="shared" si="276"/>
        <v>0</v>
      </c>
    </row>
    <row r="228" s="1" customFormat="1" spans="1:15">
      <c r="A228" s="1" t="str">
        <f t="shared" si="231"/>
        <v>202406</v>
      </c>
      <c r="B228" s="1" t="str">
        <f t="shared" si="232"/>
        <v>150525100</v>
      </c>
      <c r="C228" s="1" t="str">
        <f>"1014623561"</f>
        <v>1014623561</v>
      </c>
      <c r="D228" s="1" t="str">
        <f>"152326194804010419"</f>
        <v>152326194804010419</v>
      </c>
      <c r="E228" s="1" t="s">
        <v>255</v>
      </c>
      <c r="F228" s="1" t="s">
        <v>25</v>
      </c>
      <c r="G228" s="1" t="s">
        <v>17</v>
      </c>
      <c r="H228" s="1" t="str">
        <f>"76"</f>
        <v>76</v>
      </c>
      <c r="I228" s="1" t="str">
        <f t="shared" si="274"/>
        <v>160</v>
      </c>
      <c r="J228" s="1" t="str">
        <f t="shared" ref="J228:O228" si="277">"0"</f>
        <v>0</v>
      </c>
      <c r="K228" s="1" t="str">
        <f t="shared" ref="K228:K250" si="278">"103"</f>
        <v>103</v>
      </c>
      <c r="L228" s="1" t="str">
        <f t="shared" ref="L228:L250" si="279">"47"</f>
        <v>47</v>
      </c>
      <c r="M228" s="1" t="str">
        <f t="shared" si="277"/>
        <v>0</v>
      </c>
      <c r="N228" s="1" t="str">
        <f t="shared" si="277"/>
        <v>0</v>
      </c>
      <c r="O228" s="1" t="str">
        <f t="shared" si="277"/>
        <v>0</v>
      </c>
    </row>
    <row r="229" s="1" customFormat="1" spans="1:15">
      <c r="A229" s="1" t="str">
        <f t="shared" si="231"/>
        <v>202406</v>
      </c>
      <c r="B229" s="1" t="str">
        <f t="shared" si="232"/>
        <v>150525100</v>
      </c>
      <c r="C229" s="1" t="str">
        <f>"1014629224"</f>
        <v>1014629224</v>
      </c>
      <c r="D229" s="1" t="str">
        <f>"152326194607023085"</f>
        <v>152326194607023085</v>
      </c>
      <c r="E229" s="1" t="s">
        <v>256</v>
      </c>
      <c r="F229" s="1" t="s">
        <v>16</v>
      </c>
      <c r="G229" s="1" t="s">
        <v>17</v>
      </c>
      <c r="H229" s="1" t="str">
        <f>"78"</f>
        <v>78</v>
      </c>
      <c r="I229" s="1" t="str">
        <f t="shared" si="274"/>
        <v>160</v>
      </c>
      <c r="J229" s="1" t="str">
        <f t="shared" ref="J229:O229" si="280">"0"</f>
        <v>0</v>
      </c>
      <c r="K229" s="1" t="str">
        <f t="shared" si="278"/>
        <v>103</v>
      </c>
      <c r="L229" s="1" t="str">
        <f t="shared" si="279"/>
        <v>47</v>
      </c>
      <c r="M229" s="1" t="str">
        <f t="shared" si="280"/>
        <v>0</v>
      </c>
      <c r="N229" s="1" t="str">
        <f t="shared" si="280"/>
        <v>0</v>
      </c>
      <c r="O229" s="1" t="str">
        <f t="shared" si="280"/>
        <v>0</v>
      </c>
    </row>
    <row r="230" s="1" customFormat="1" spans="1:15">
      <c r="A230" s="1" t="str">
        <f t="shared" si="231"/>
        <v>202406</v>
      </c>
      <c r="B230" s="1" t="str">
        <f t="shared" si="232"/>
        <v>150525100</v>
      </c>
      <c r="C230" s="1" t="str">
        <f>"1014629276"</f>
        <v>1014629276</v>
      </c>
      <c r="D230" s="1" t="str">
        <f>"152326194611120662"</f>
        <v>152326194611120662</v>
      </c>
      <c r="E230" s="1" t="s">
        <v>257</v>
      </c>
      <c r="F230" s="1" t="s">
        <v>16</v>
      </c>
      <c r="G230" s="1" t="s">
        <v>17</v>
      </c>
      <c r="H230" s="1" t="str">
        <f>"78"</f>
        <v>78</v>
      </c>
      <c r="I230" s="1" t="str">
        <f t="shared" si="274"/>
        <v>160</v>
      </c>
      <c r="J230" s="1" t="str">
        <f t="shared" ref="J230:O230" si="281">"0"</f>
        <v>0</v>
      </c>
      <c r="K230" s="1" t="str">
        <f t="shared" si="278"/>
        <v>103</v>
      </c>
      <c r="L230" s="1" t="str">
        <f t="shared" si="279"/>
        <v>47</v>
      </c>
      <c r="M230" s="1" t="str">
        <f t="shared" si="281"/>
        <v>0</v>
      </c>
      <c r="N230" s="1" t="str">
        <f t="shared" si="281"/>
        <v>0</v>
      </c>
      <c r="O230" s="1" t="str">
        <f t="shared" si="281"/>
        <v>0</v>
      </c>
    </row>
    <row r="231" s="1" customFormat="1" spans="1:15">
      <c r="A231" s="1" t="str">
        <f t="shared" si="231"/>
        <v>202406</v>
      </c>
      <c r="B231" s="1" t="str">
        <f t="shared" si="232"/>
        <v>150525100</v>
      </c>
      <c r="C231" s="1" t="str">
        <f>"1014629293"</f>
        <v>1014629293</v>
      </c>
      <c r="D231" s="1" t="str">
        <f>"152326194811223076"</f>
        <v>152326194811223076</v>
      </c>
      <c r="E231" s="1" t="s">
        <v>258</v>
      </c>
      <c r="F231" s="1" t="s">
        <v>25</v>
      </c>
      <c r="G231" s="1" t="s">
        <v>17</v>
      </c>
      <c r="H231" s="1" t="str">
        <f>"76"</f>
        <v>76</v>
      </c>
      <c r="I231" s="1" t="str">
        <f t="shared" si="274"/>
        <v>160</v>
      </c>
      <c r="J231" s="1" t="str">
        <f t="shared" ref="J231:O231" si="282">"0"</f>
        <v>0</v>
      </c>
      <c r="K231" s="1" t="str">
        <f t="shared" si="278"/>
        <v>103</v>
      </c>
      <c r="L231" s="1" t="str">
        <f t="shared" si="279"/>
        <v>47</v>
      </c>
      <c r="M231" s="1" t="str">
        <f t="shared" si="282"/>
        <v>0</v>
      </c>
      <c r="N231" s="1" t="str">
        <f t="shared" si="282"/>
        <v>0</v>
      </c>
      <c r="O231" s="1" t="str">
        <f t="shared" si="282"/>
        <v>0</v>
      </c>
    </row>
    <row r="232" s="1" customFormat="1" spans="1:15">
      <c r="A232" s="1" t="str">
        <f t="shared" si="231"/>
        <v>202406</v>
      </c>
      <c r="B232" s="1" t="str">
        <f t="shared" si="232"/>
        <v>150525100</v>
      </c>
      <c r="C232" s="1" t="str">
        <f>"1014589136"</f>
        <v>1014589136</v>
      </c>
      <c r="D232" s="1" t="str">
        <f>"152326195401190421"</f>
        <v>152326195401190421</v>
      </c>
      <c r="E232" s="1" t="s">
        <v>259</v>
      </c>
      <c r="F232" s="1" t="s">
        <v>16</v>
      </c>
      <c r="G232" s="1" t="s">
        <v>17</v>
      </c>
      <c r="H232" s="1" t="str">
        <f>"70"</f>
        <v>70</v>
      </c>
      <c r="I232" s="1" t="str">
        <f>"164.15"</f>
        <v>164.15</v>
      </c>
      <c r="J232" s="1" t="str">
        <f t="shared" ref="J232:N232" si="283">"0"</f>
        <v>0</v>
      </c>
      <c r="K232" s="1" t="str">
        <f t="shared" si="278"/>
        <v>103</v>
      </c>
      <c r="L232" s="1" t="str">
        <f t="shared" si="279"/>
        <v>47</v>
      </c>
      <c r="M232" s="1" t="str">
        <f t="shared" si="283"/>
        <v>0</v>
      </c>
      <c r="N232" s="1" t="str">
        <f t="shared" si="283"/>
        <v>0</v>
      </c>
      <c r="O232" s="1" t="str">
        <f>"4.15"</f>
        <v>4.15</v>
      </c>
    </row>
    <row r="233" s="1" customFormat="1" spans="1:15">
      <c r="A233" s="1" t="str">
        <f t="shared" si="231"/>
        <v>202406</v>
      </c>
      <c r="B233" s="1" t="str">
        <f t="shared" si="232"/>
        <v>150525100</v>
      </c>
      <c r="C233" s="1" t="str">
        <f>"1014589165"</f>
        <v>1014589165</v>
      </c>
      <c r="D233" s="1" t="str">
        <f>"152326195204150447"</f>
        <v>152326195204150447</v>
      </c>
      <c r="E233" s="1" t="s">
        <v>260</v>
      </c>
      <c r="F233" s="1" t="s">
        <v>16</v>
      </c>
      <c r="G233" s="1" t="s">
        <v>17</v>
      </c>
      <c r="H233" s="1" t="str">
        <f>"72"</f>
        <v>72</v>
      </c>
      <c r="I233" s="1" t="str">
        <f>"162.15"</f>
        <v>162.15</v>
      </c>
      <c r="J233" s="1" t="str">
        <f t="shared" ref="J233:N233" si="284">"0"</f>
        <v>0</v>
      </c>
      <c r="K233" s="1" t="str">
        <f t="shared" si="278"/>
        <v>103</v>
      </c>
      <c r="L233" s="1" t="str">
        <f t="shared" si="279"/>
        <v>47</v>
      </c>
      <c r="M233" s="1" t="str">
        <f t="shared" si="284"/>
        <v>0</v>
      </c>
      <c r="N233" s="1" t="str">
        <f t="shared" si="284"/>
        <v>0</v>
      </c>
      <c r="O233" s="1" t="str">
        <f>"2.15"</f>
        <v>2.15</v>
      </c>
    </row>
    <row r="234" s="1" customFormat="1" spans="1:15">
      <c r="A234" s="1" t="str">
        <f t="shared" si="231"/>
        <v>202406</v>
      </c>
      <c r="B234" s="1" t="str">
        <f t="shared" si="232"/>
        <v>150525100</v>
      </c>
      <c r="C234" s="1" t="str">
        <f>"1014589166"</f>
        <v>1014589166</v>
      </c>
      <c r="D234" s="1" t="str">
        <f>"152326196311090421"</f>
        <v>152326196311090421</v>
      </c>
      <c r="E234" s="1" t="s">
        <v>261</v>
      </c>
      <c r="F234" s="1" t="s">
        <v>16</v>
      </c>
      <c r="G234" s="1" t="s">
        <v>19</v>
      </c>
      <c r="H234" s="1" t="str">
        <f>"61"</f>
        <v>61</v>
      </c>
      <c r="I234" s="1" t="str">
        <f>"167.63"</f>
        <v>167.63</v>
      </c>
      <c r="J234" s="1" t="str">
        <f t="shared" ref="J234:N234" si="285">"0"</f>
        <v>0</v>
      </c>
      <c r="K234" s="1" t="str">
        <f t="shared" si="278"/>
        <v>103</v>
      </c>
      <c r="L234" s="1" t="str">
        <f t="shared" si="279"/>
        <v>47</v>
      </c>
      <c r="M234" s="1" t="str">
        <f t="shared" si="285"/>
        <v>0</v>
      </c>
      <c r="N234" s="1" t="str">
        <f t="shared" si="285"/>
        <v>0</v>
      </c>
      <c r="O234" s="1" t="str">
        <f>"17.63"</f>
        <v>17.63</v>
      </c>
    </row>
    <row r="235" s="1" customFormat="1" spans="1:15">
      <c r="A235" s="1" t="str">
        <f t="shared" si="231"/>
        <v>202406</v>
      </c>
      <c r="B235" s="1" t="str">
        <f t="shared" si="232"/>
        <v>150525100</v>
      </c>
      <c r="C235" s="1" t="str">
        <f>"1014589175"</f>
        <v>1014589175</v>
      </c>
      <c r="D235" s="1" t="str">
        <f>"152326195511280428"</f>
        <v>152326195511280428</v>
      </c>
      <c r="E235" s="1" t="s">
        <v>262</v>
      </c>
      <c r="F235" s="1" t="s">
        <v>16</v>
      </c>
      <c r="G235" s="1" t="s">
        <v>17</v>
      </c>
      <c r="H235" s="1" t="str">
        <f>"69"</f>
        <v>69</v>
      </c>
      <c r="I235" s="1" t="str">
        <f>"156.54"</f>
        <v>156.54</v>
      </c>
      <c r="J235" s="1" t="str">
        <f t="shared" ref="J235:N235" si="286">"0"</f>
        <v>0</v>
      </c>
      <c r="K235" s="1" t="str">
        <f t="shared" si="278"/>
        <v>103</v>
      </c>
      <c r="L235" s="1" t="str">
        <f t="shared" si="279"/>
        <v>47</v>
      </c>
      <c r="M235" s="1" t="str">
        <f t="shared" si="286"/>
        <v>0</v>
      </c>
      <c r="N235" s="1" t="str">
        <f t="shared" si="286"/>
        <v>0</v>
      </c>
      <c r="O235" s="1" t="str">
        <f>"6.54"</f>
        <v>6.54</v>
      </c>
    </row>
    <row r="236" s="1" customFormat="1" spans="1:15">
      <c r="A236" s="1" t="str">
        <f t="shared" si="231"/>
        <v>202406</v>
      </c>
      <c r="B236" s="1" t="str">
        <f t="shared" si="232"/>
        <v>150525100</v>
      </c>
      <c r="C236" s="1" t="str">
        <f>"1014589176"</f>
        <v>1014589176</v>
      </c>
      <c r="D236" s="1" t="str">
        <f>"152326195612110428"</f>
        <v>152326195612110428</v>
      </c>
      <c r="E236" s="1" t="s">
        <v>263</v>
      </c>
      <c r="F236" s="1" t="s">
        <v>16</v>
      </c>
      <c r="G236" s="1" t="s">
        <v>17</v>
      </c>
      <c r="H236" s="1" t="str">
        <f>"68"</f>
        <v>68</v>
      </c>
      <c r="I236" s="1" t="str">
        <f>"158.34"</f>
        <v>158.34</v>
      </c>
      <c r="J236" s="1" t="str">
        <f t="shared" ref="J236:N236" si="287">"0"</f>
        <v>0</v>
      </c>
      <c r="K236" s="1" t="str">
        <f t="shared" si="278"/>
        <v>103</v>
      </c>
      <c r="L236" s="1" t="str">
        <f t="shared" si="279"/>
        <v>47</v>
      </c>
      <c r="M236" s="1" t="str">
        <f t="shared" si="287"/>
        <v>0</v>
      </c>
      <c r="N236" s="1" t="str">
        <f t="shared" si="287"/>
        <v>0</v>
      </c>
      <c r="O236" s="1" t="str">
        <f>"8.34"</f>
        <v>8.34</v>
      </c>
    </row>
    <row r="237" s="1" customFormat="1" spans="1:15">
      <c r="A237" s="1" t="str">
        <f t="shared" si="231"/>
        <v>202406</v>
      </c>
      <c r="B237" s="1" t="str">
        <f t="shared" si="232"/>
        <v>150525100</v>
      </c>
      <c r="C237" s="1" t="str">
        <f>"1014613016"</f>
        <v>1014613016</v>
      </c>
      <c r="D237" s="1" t="str">
        <f>"152326194101100928"</f>
        <v>152326194101100928</v>
      </c>
      <c r="E237" s="1" t="s">
        <v>264</v>
      </c>
      <c r="F237" s="1" t="s">
        <v>16</v>
      </c>
      <c r="G237" s="1" t="s">
        <v>19</v>
      </c>
      <c r="H237" s="1" t="str">
        <f>"83"</f>
        <v>83</v>
      </c>
      <c r="I237" s="1" t="str">
        <f>"170"</f>
        <v>170</v>
      </c>
      <c r="J237" s="1" t="str">
        <f t="shared" ref="J237:O237" si="288">"0"</f>
        <v>0</v>
      </c>
      <c r="K237" s="1" t="str">
        <f t="shared" si="278"/>
        <v>103</v>
      </c>
      <c r="L237" s="1" t="str">
        <f t="shared" si="279"/>
        <v>47</v>
      </c>
      <c r="M237" s="1" t="str">
        <f t="shared" si="288"/>
        <v>0</v>
      </c>
      <c r="N237" s="1" t="str">
        <f t="shared" si="288"/>
        <v>0</v>
      </c>
      <c r="O237" s="1" t="str">
        <f t="shared" si="288"/>
        <v>0</v>
      </c>
    </row>
    <row r="238" s="1" customFormat="1" spans="1:15">
      <c r="A238" s="1" t="str">
        <f t="shared" si="231"/>
        <v>202406</v>
      </c>
      <c r="B238" s="1" t="str">
        <f t="shared" si="232"/>
        <v>150525100</v>
      </c>
      <c r="C238" s="1" t="str">
        <f>"1014613295"</f>
        <v>1014613295</v>
      </c>
      <c r="D238" s="1" t="str">
        <f>"152326193707083822"</f>
        <v>152326193707083822</v>
      </c>
      <c r="E238" s="1" t="s">
        <v>265</v>
      </c>
      <c r="F238" s="1" t="s">
        <v>16</v>
      </c>
      <c r="G238" s="1" t="s">
        <v>17</v>
      </c>
      <c r="H238" s="1" t="str">
        <f>"87"</f>
        <v>87</v>
      </c>
      <c r="I238" s="1" t="str">
        <f>"170"</f>
        <v>170</v>
      </c>
      <c r="J238" s="1" t="str">
        <f t="shared" ref="J238:O238" si="289">"0"</f>
        <v>0</v>
      </c>
      <c r="K238" s="1" t="str">
        <f t="shared" si="278"/>
        <v>103</v>
      </c>
      <c r="L238" s="1" t="str">
        <f t="shared" si="279"/>
        <v>47</v>
      </c>
      <c r="M238" s="1" t="str">
        <f t="shared" si="289"/>
        <v>0</v>
      </c>
      <c r="N238" s="1" t="str">
        <f t="shared" si="289"/>
        <v>0</v>
      </c>
      <c r="O238" s="1" t="str">
        <f t="shared" si="289"/>
        <v>0</v>
      </c>
    </row>
    <row r="239" s="1" customFormat="1" spans="1:15">
      <c r="A239" s="1" t="str">
        <f t="shared" si="231"/>
        <v>202406</v>
      </c>
      <c r="B239" s="1" t="str">
        <f t="shared" si="232"/>
        <v>150525100</v>
      </c>
      <c r="C239" s="1" t="str">
        <f>"1014613297"</f>
        <v>1014613297</v>
      </c>
      <c r="D239" s="1" t="str">
        <f>"152326195003103847"</f>
        <v>152326195003103847</v>
      </c>
      <c r="E239" s="1" t="s">
        <v>266</v>
      </c>
      <c r="F239" s="1" t="s">
        <v>16</v>
      </c>
      <c r="G239" s="1" t="s">
        <v>17</v>
      </c>
      <c r="H239" s="1" t="str">
        <f t="shared" ref="H239:H241" si="290">"74"</f>
        <v>74</v>
      </c>
      <c r="I239" s="1" t="str">
        <f t="shared" ref="I239:I245" si="291">"160"</f>
        <v>160</v>
      </c>
      <c r="J239" s="1" t="str">
        <f t="shared" ref="J239:O239" si="292">"0"</f>
        <v>0</v>
      </c>
      <c r="K239" s="1" t="str">
        <f t="shared" si="278"/>
        <v>103</v>
      </c>
      <c r="L239" s="1" t="str">
        <f t="shared" si="279"/>
        <v>47</v>
      </c>
      <c r="M239" s="1" t="str">
        <f t="shared" si="292"/>
        <v>0</v>
      </c>
      <c r="N239" s="1" t="str">
        <f t="shared" si="292"/>
        <v>0</v>
      </c>
      <c r="O239" s="1" t="str">
        <f t="shared" si="292"/>
        <v>0</v>
      </c>
    </row>
    <row r="240" s="1" customFormat="1" spans="1:15">
      <c r="A240" s="1" t="str">
        <f t="shared" si="231"/>
        <v>202406</v>
      </c>
      <c r="B240" s="1" t="str">
        <f t="shared" si="232"/>
        <v>150525100</v>
      </c>
      <c r="C240" s="1" t="str">
        <f>"1014622727"</f>
        <v>1014622727</v>
      </c>
      <c r="D240" s="1" t="str">
        <f>"152326195010133323"</f>
        <v>152326195010133323</v>
      </c>
      <c r="E240" s="1" t="s">
        <v>267</v>
      </c>
      <c r="F240" s="1" t="s">
        <v>16</v>
      </c>
      <c r="G240" s="1" t="s">
        <v>17</v>
      </c>
      <c r="H240" s="1" t="str">
        <f t="shared" si="290"/>
        <v>74</v>
      </c>
      <c r="I240" s="1" t="str">
        <f t="shared" si="291"/>
        <v>160</v>
      </c>
      <c r="J240" s="1" t="str">
        <f t="shared" ref="J240:O240" si="293">"0"</f>
        <v>0</v>
      </c>
      <c r="K240" s="1" t="str">
        <f t="shared" si="278"/>
        <v>103</v>
      </c>
      <c r="L240" s="1" t="str">
        <f t="shared" si="279"/>
        <v>47</v>
      </c>
      <c r="M240" s="1" t="str">
        <f t="shared" si="293"/>
        <v>0</v>
      </c>
      <c r="N240" s="1" t="str">
        <f t="shared" si="293"/>
        <v>0</v>
      </c>
      <c r="O240" s="1" t="str">
        <f t="shared" si="293"/>
        <v>0</v>
      </c>
    </row>
    <row r="241" s="1" customFormat="1" spans="1:15">
      <c r="A241" s="1" t="str">
        <f t="shared" si="231"/>
        <v>202406</v>
      </c>
      <c r="B241" s="1" t="str">
        <f t="shared" si="232"/>
        <v>150525100</v>
      </c>
      <c r="C241" s="1" t="str">
        <f>"1014624121"</f>
        <v>1014624121</v>
      </c>
      <c r="D241" s="1" t="str">
        <f>"152326195009143081"</f>
        <v>152326195009143081</v>
      </c>
      <c r="E241" s="1" t="s">
        <v>268</v>
      </c>
      <c r="F241" s="1" t="s">
        <v>16</v>
      </c>
      <c r="G241" s="1" t="s">
        <v>17</v>
      </c>
      <c r="H241" s="1" t="str">
        <f t="shared" si="290"/>
        <v>74</v>
      </c>
      <c r="I241" s="1" t="str">
        <f t="shared" si="291"/>
        <v>160</v>
      </c>
      <c r="J241" s="1" t="str">
        <f t="shared" ref="J241:O241" si="294">"0"</f>
        <v>0</v>
      </c>
      <c r="K241" s="1" t="str">
        <f t="shared" si="278"/>
        <v>103</v>
      </c>
      <c r="L241" s="1" t="str">
        <f t="shared" si="279"/>
        <v>47</v>
      </c>
      <c r="M241" s="1" t="str">
        <f t="shared" si="294"/>
        <v>0</v>
      </c>
      <c r="N241" s="1" t="str">
        <f t="shared" si="294"/>
        <v>0</v>
      </c>
      <c r="O241" s="1" t="str">
        <f t="shared" si="294"/>
        <v>0</v>
      </c>
    </row>
    <row r="242" s="1" customFormat="1" spans="1:15">
      <c r="A242" s="1" t="str">
        <f t="shared" si="231"/>
        <v>202406</v>
      </c>
      <c r="B242" s="1" t="str">
        <f t="shared" si="232"/>
        <v>150525100</v>
      </c>
      <c r="C242" s="1" t="str">
        <f>"1014624593"</f>
        <v>1014624593</v>
      </c>
      <c r="D242" s="1" t="str">
        <f>"152326194410240924"</f>
        <v>152326194410240924</v>
      </c>
      <c r="E242" s="1" t="s">
        <v>269</v>
      </c>
      <c r="F242" s="1" t="s">
        <v>16</v>
      </c>
      <c r="G242" s="1" t="s">
        <v>19</v>
      </c>
      <c r="H242" s="1" t="str">
        <f>"80"</f>
        <v>80</v>
      </c>
      <c r="I242" s="1" t="str">
        <f t="shared" si="291"/>
        <v>160</v>
      </c>
      <c r="J242" s="1" t="str">
        <f t="shared" ref="J242:O242" si="295">"0"</f>
        <v>0</v>
      </c>
      <c r="K242" s="1" t="str">
        <f t="shared" si="278"/>
        <v>103</v>
      </c>
      <c r="L242" s="1" t="str">
        <f t="shared" si="279"/>
        <v>47</v>
      </c>
      <c r="M242" s="1" t="str">
        <f t="shared" si="295"/>
        <v>0</v>
      </c>
      <c r="N242" s="1" t="str">
        <f t="shared" si="295"/>
        <v>0</v>
      </c>
      <c r="O242" s="1" t="str">
        <f t="shared" si="295"/>
        <v>0</v>
      </c>
    </row>
    <row r="243" s="1" customFormat="1" spans="1:15">
      <c r="A243" s="1" t="str">
        <f t="shared" si="231"/>
        <v>202406</v>
      </c>
      <c r="B243" s="1" t="str">
        <f t="shared" si="232"/>
        <v>150525100</v>
      </c>
      <c r="C243" s="1" t="str">
        <f>"1014619589"</f>
        <v>1014619589</v>
      </c>
      <c r="D243" s="1" t="str">
        <f>"152326195105050424"</f>
        <v>152326195105050424</v>
      </c>
      <c r="E243" s="1" t="s">
        <v>270</v>
      </c>
      <c r="F243" s="1" t="s">
        <v>16</v>
      </c>
      <c r="G243" s="1" t="s">
        <v>19</v>
      </c>
      <c r="H243" s="1" t="str">
        <f>"73"</f>
        <v>73</v>
      </c>
      <c r="I243" s="1" t="str">
        <f t="shared" si="291"/>
        <v>160</v>
      </c>
      <c r="J243" s="1" t="str">
        <f t="shared" ref="J243:O243" si="296">"0"</f>
        <v>0</v>
      </c>
      <c r="K243" s="1" t="str">
        <f t="shared" si="278"/>
        <v>103</v>
      </c>
      <c r="L243" s="1" t="str">
        <f t="shared" si="279"/>
        <v>47</v>
      </c>
      <c r="M243" s="1" t="str">
        <f t="shared" si="296"/>
        <v>0</v>
      </c>
      <c r="N243" s="1" t="str">
        <f t="shared" si="296"/>
        <v>0</v>
      </c>
      <c r="O243" s="1" t="str">
        <f t="shared" si="296"/>
        <v>0</v>
      </c>
    </row>
    <row r="244" s="1" customFormat="1" spans="1:15">
      <c r="A244" s="1" t="str">
        <f t="shared" si="231"/>
        <v>202406</v>
      </c>
      <c r="B244" s="1" t="str">
        <f t="shared" si="232"/>
        <v>150525100</v>
      </c>
      <c r="C244" s="1" t="str">
        <f>"1014629366"</f>
        <v>1014629366</v>
      </c>
      <c r="D244" s="1" t="str">
        <f>"152326195012170021"</f>
        <v>152326195012170021</v>
      </c>
      <c r="E244" s="1" t="s">
        <v>271</v>
      </c>
      <c r="F244" s="1" t="s">
        <v>16</v>
      </c>
      <c r="G244" s="1" t="s">
        <v>17</v>
      </c>
      <c r="H244" s="1" t="str">
        <f>"74"</f>
        <v>74</v>
      </c>
      <c r="I244" s="1" t="str">
        <f t="shared" si="291"/>
        <v>160</v>
      </c>
      <c r="J244" s="1" t="str">
        <f t="shared" ref="J244:O244" si="297">"0"</f>
        <v>0</v>
      </c>
      <c r="K244" s="1" t="str">
        <f t="shared" si="278"/>
        <v>103</v>
      </c>
      <c r="L244" s="1" t="str">
        <f t="shared" si="279"/>
        <v>47</v>
      </c>
      <c r="M244" s="1" t="str">
        <f t="shared" si="297"/>
        <v>0</v>
      </c>
      <c r="N244" s="1" t="str">
        <f t="shared" si="297"/>
        <v>0</v>
      </c>
      <c r="O244" s="1" t="str">
        <f t="shared" si="297"/>
        <v>0</v>
      </c>
    </row>
    <row r="245" s="1" customFormat="1" spans="1:15">
      <c r="A245" s="1" t="str">
        <f t="shared" si="231"/>
        <v>202406</v>
      </c>
      <c r="B245" s="1" t="str">
        <f t="shared" si="232"/>
        <v>150525100</v>
      </c>
      <c r="C245" s="1" t="str">
        <f>"1014629380"</f>
        <v>1014629380</v>
      </c>
      <c r="D245" s="1" t="str">
        <f>"152326194811140019"</f>
        <v>152326194811140019</v>
      </c>
      <c r="E245" s="1" t="s">
        <v>272</v>
      </c>
      <c r="F245" s="1" t="s">
        <v>25</v>
      </c>
      <c r="G245" s="1" t="s">
        <v>17</v>
      </c>
      <c r="H245" s="1" t="str">
        <f>"76"</f>
        <v>76</v>
      </c>
      <c r="I245" s="1" t="str">
        <f t="shared" si="291"/>
        <v>160</v>
      </c>
      <c r="J245" s="1" t="str">
        <f t="shared" ref="J245:O245" si="298">"0"</f>
        <v>0</v>
      </c>
      <c r="K245" s="1" t="str">
        <f t="shared" si="278"/>
        <v>103</v>
      </c>
      <c r="L245" s="1" t="str">
        <f t="shared" si="279"/>
        <v>47</v>
      </c>
      <c r="M245" s="1" t="str">
        <f t="shared" si="298"/>
        <v>0</v>
      </c>
      <c r="N245" s="1" t="str">
        <f t="shared" si="298"/>
        <v>0</v>
      </c>
      <c r="O245" s="1" t="str">
        <f t="shared" si="298"/>
        <v>0</v>
      </c>
    </row>
    <row r="246" s="1" customFormat="1" spans="1:15">
      <c r="A246" s="1" t="str">
        <f t="shared" si="231"/>
        <v>202406</v>
      </c>
      <c r="B246" s="1" t="str">
        <f t="shared" si="232"/>
        <v>150525100</v>
      </c>
      <c r="C246" s="1" t="str">
        <f>"1014623112"</f>
        <v>1014623112</v>
      </c>
      <c r="D246" s="1" t="str">
        <f>"152326193205120427"</f>
        <v>152326193205120427</v>
      </c>
      <c r="E246" s="1" t="s">
        <v>273</v>
      </c>
      <c r="F246" s="1" t="s">
        <v>16</v>
      </c>
      <c r="G246" s="1" t="s">
        <v>17</v>
      </c>
      <c r="H246" s="1" t="str">
        <f>"92"</f>
        <v>92</v>
      </c>
      <c r="I246" s="1" t="str">
        <f>"170"</f>
        <v>170</v>
      </c>
      <c r="J246" s="1" t="str">
        <f t="shared" ref="J246:O246" si="299">"0"</f>
        <v>0</v>
      </c>
      <c r="K246" s="1" t="str">
        <f t="shared" si="278"/>
        <v>103</v>
      </c>
      <c r="L246" s="1" t="str">
        <f t="shared" si="279"/>
        <v>47</v>
      </c>
      <c r="M246" s="1" t="str">
        <f t="shared" si="299"/>
        <v>0</v>
      </c>
      <c r="N246" s="1" t="str">
        <f t="shared" si="299"/>
        <v>0</v>
      </c>
      <c r="O246" s="1" t="str">
        <f t="shared" si="299"/>
        <v>0</v>
      </c>
    </row>
    <row r="247" s="1" customFormat="1" spans="1:15">
      <c r="A247" s="1" t="str">
        <f t="shared" si="231"/>
        <v>202406</v>
      </c>
      <c r="B247" s="1" t="str">
        <f t="shared" si="232"/>
        <v>150525100</v>
      </c>
      <c r="C247" s="1" t="str">
        <f>"1014623612"</f>
        <v>1014623612</v>
      </c>
      <c r="D247" s="1" t="s">
        <v>274</v>
      </c>
      <c r="E247" s="1" t="s">
        <v>275</v>
      </c>
      <c r="F247" s="1" t="s">
        <v>25</v>
      </c>
      <c r="G247" s="1" t="s">
        <v>17</v>
      </c>
      <c r="H247" s="1" t="str">
        <f>"75"</f>
        <v>75</v>
      </c>
      <c r="I247" s="1" t="str">
        <f t="shared" ref="I247:I250" si="300">"160"</f>
        <v>160</v>
      </c>
      <c r="J247" s="1" t="str">
        <f t="shared" ref="J247:O247" si="301">"0"</f>
        <v>0</v>
      </c>
      <c r="K247" s="1" t="str">
        <f t="shared" si="278"/>
        <v>103</v>
      </c>
      <c r="L247" s="1" t="str">
        <f t="shared" si="279"/>
        <v>47</v>
      </c>
      <c r="M247" s="1" t="str">
        <f t="shared" si="301"/>
        <v>0</v>
      </c>
      <c r="N247" s="1" t="str">
        <f t="shared" si="301"/>
        <v>0</v>
      </c>
      <c r="O247" s="1" t="str">
        <f t="shared" si="301"/>
        <v>0</v>
      </c>
    </row>
    <row r="248" s="1" customFormat="1" spans="1:15">
      <c r="A248" s="1" t="str">
        <f t="shared" si="231"/>
        <v>202406</v>
      </c>
      <c r="B248" s="1" t="str">
        <f t="shared" si="232"/>
        <v>150525100</v>
      </c>
      <c r="C248" s="1" t="str">
        <f>"1014623618"</f>
        <v>1014623618</v>
      </c>
      <c r="D248" s="1" t="str">
        <f>"152326195109010411"</f>
        <v>152326195109010411</v>
      </c>
      <c r="E248" s="1" t="s">
        <v>276</v>
      </c>
      <c r="F248" s="1" t="s">
        <v>25</v>
      </c>
      <c r="G248" s="1" t="s">
        <v>17</v>
      </c>
      <c r="H248" s="1" t="str">
        <f t="shared" ref="H248:H250" si="302">"73"</f>
        <v>73</v>
      </c>
      <c r="I248" s="1" t="str">
        <f t="shared" si="300"/>
        <v>160</v>
      </c>
      <c r="J248" s="1" t="str">
        <f t="shared" ref="J248:O248" si="303">"0"</f>
        <v>0</v>
      </c>
      <c r="K248" s="1" t="str">
        <f t="shared" si="278"/>
        <v>103</v>
      </c>
      <c r="L248" s="1" t="str">
        <f t="shared" si="279"/>
        <v>47</v>
      </c>
      <c r="M248" s="1" t="str">
        <f t="shared" si="303"/>
        <v>0</v>
      </c>
      <c r="N248" s="1" t="str">
        <f t="shared" si="303"/>
        <v>0</v>
      </c>
      <c r="O248" s="1" t="str">
        <f t="shared" si="303"/>
        <v>0</v>
      </c>
    </row>
    <row r="249" s="1" customFormat="1" spans="1:15">
      <c r="A249" s="1" t="str">
        <f t="shared" si="231"/>
        <v>202406</v>
      </c>
      <c r="B249" s="1" t="str">
        <f t="shared" si="232"/>
        <v>150525100</v>
      </c>
      <c r="C249" s="1" t="str">
        <f>"1014623622"</f>
        <v>1014623622</v>
      </c>
      <c r="D249" s="1" t="str">
        <f>"152326195111060418"</f>
        <v>152326195111060418</v>
      </c>
      <c r="E249" s="1" t="s">
        <v>277</v>
      </c>
      <c r="F249" s="1" t="s">
        <v>25</v>
      </c>
      <c r="G249" s="1" t="s">
        <v>17</v>
      </c>
      <c r="H249" s="1" t="str">
        <f t="shared" si="302"/>
        <v>73</v>
      </c>
      <c r="I249" s="1" t="str">
        <f t="shared" si="300"/>
        <v>160</v>
      </c>
      <c r="J249" s="1" t="str">
        <f t="shared" ref="J249:O249" si="304">"0"</f>
        <v>0</v>
      </c>
      <c r="K249" s="1" t="str">
        <f t="shared" si="278"/>
        <v>103</v>
      </c>
      <c r="L249" s="1" t="str">
        <f t="shared" si="279"/>
        <v>47</v>
      </c>
      <c r="M249" s="1" t="str">
        <f t="shared" si="304"/>
        <v>0</v>
      </c>
      <c r="N249" s="1" t="str">
        <f t="shared" si="304"/>
        <v>0</v>
      </c>
      <c r="O249" s="1" t="str">
        <f t="shared" si="304"/>
        <v>0</v>
      </c>
    </row>
    <row r="250" s="1" customFormat="1" spans="1:15">
      <c r="A250" s="1" t="str">
        <f t="shared" si="231"/>
        <v>202406</v>
      </c>
      <c r="B250" s="1" t="str">
        <f t="shared" si="232"/>
        <v>150525100</v>
      </c>
      <c r="C250" s="1" t="str">
        <f>"1014629731"</f>
        <v>1014629731</v>
      </c>
      <c r="D250" s="1" t="s">
        <v>278</v>
      </c>
      <c r="E250" s="1" t="s">
        <v>279</v>
      </c>
      <c r="F250" s="1" t="s">
        <v>25</v>
      </c>
      <c r="G250" s="1" t="s">
        <v>17</v>
      </c>
      <c r="H250" s="1" t="str">
        <f t="shared" si="302"/>
        <v>73</v>
      </c>
      <c r="I250" s="1" t="str">
        <f t="shared" si="300"/>
        <v>160</v>
      </c>
      <c r="J250" s="1" t="str">
        <f t="shared" ref="J250:O250" si="305">"0"</f>
        <v>0</v>
      </c>
      <c r="K250" s="1" t="str">
        <f t="shared" si="278"/>
        <v>103</v>
      </c>
      <c r="L250" s="1" t="str">
        <f t="shared" si="279"/>
        <v>47</v>
      </c>
      <c r="M250" s="1" t="str">
        <f t="shared" si="305"/>
        <v>0</v>
      </c>
      <c r="N250" s="1" t="str">
        <f t="shared" si="305"/>
        <v>0</v>
      </c>
      <c r="O250" s="1" t="str">
        <f t="shared" si="305"/>
        <v>0</v>
      </c>
    </row>
    <row r="251" s="1" customFormat="1" spans="1:15">
      <c r="A251" s="1" t="str">
        <f t="shared" si="231"/>
        <v>202406</v>
      </c>
      <c r="B251" s="1" t="str">
        <f t="shared" si="232"/>
        <v>150525100</v>
      </c>
      <c r="C251" s="1" t="str">
        <f>"1014629778"</f>
        <v>1014629778</v>
      </c>
      <c r="D251" s="1" t="str">
        <f>"152326193612053081"</f>
        <v>152326193612053081</v>
      </c>
      <c r="E251" s="1" t="s">
        <v>280</v>
      </c>
      <c r="F251" s="1" t="s">
        <v>16</v>
      </c>
      <c r="G251" s="1" t="s">
        <v>17</v>
      </c>
      <c r="H251" s="1" t="str">
        <f>"88"</f>
        <v>88</v>
      </c>
      <c r="I251" s="1" t="str">
        <f>"1530"</f>
        <v>1530</v>
      </c>
      <c r="J251" s="1" t="str">
        <f>"1530"</f>
        <v>1530</v>
      </c>
      <c r="K251" s="1" t="str">
        <f>"927"</f>
        <v>927</v>
      </c>
      <c r="L251" s="1" t="str">
        <f>"423"</f>
        <v>423</v>
      </c>
      <c r="M251" s="1" t="str">
        <f t="shared" ref="M251:O251" si="306">"0"</f>
        <v>0</v>
      </c>
      <c r="N251" s="1" t="str">
        <f t="shared" si="306"/>
        <v>0</v>
      </c>
      <c r="O251" s="1" t="str">
        <f t="shared" si="306"/>
        <v>0</v>
      </c>
    </row>
    <row r="252" s="1" customFormat="1" spans="1:15">
      <c r="A252" s="1" t="str">
        <f t="shared" si="231"/>
        <v>202406</v>
      </c>
      <c r="B252" s="1" t="str">
        <f t="shared" si="232"/>
        <v>150525100</v>
      </c>
      <c r="C252" s="1" t="str">
        <f>"1014589187"</f>
        <v>1014589187</v>
      </c>
      <c r="D252" s="1" t="str">
        <f>"152326195305290422"</f>
        <v>152326195305290422</v>
      </c>
      <c r="E252" s="1" t="s">
        <v>281</v>
      </c>
      <c r="F252" s="1" t="s">
        <v>16</v>
      </c>
      <c r="G252" s="1" t="s">
        <v>17</v>
      </c>
      <c r="H252" s="1" t="str">
        <f>"71"</f>
        <v>71</v>
      </c>
      <c r="I252" s="1" t="str">
        <f>"163.16"</f>
        <v>163.16</v>
      </c>
      <c r="J252" s="1" t="str">
        <f t="shared" ref="J252:N252" si="307">"0"</f>
        <v>0</v>
      </c>
      <c r="K252" s="1" t="str">
        <f t="shared" ref="K252:K265" si="308">"103"</f>
        <v>103</v>
      </c>
      <c r="L252" s="1" t="str">
        <f t="shared" ref="L252:L265" si="309">"47"</f>
        <v>47</v>
      </c>
      <c r="M252" s="1" t="str">
        <f t="shared" si="307"/>
        <v>0</v>
      </c>
      <c r="N252" s="1" t="str">
        <f t="shared" si="307"/>
        <v>0</v>
      </c>
      <c r="O252" s="1" t="str">
        <f>"3.16"</f>
        <v>3.16</v>
      </c>
    </row>
    <row r="253" s="1" customFormat="1" spans="1:15">
      <c r="A253" s="1" t="str">
        <f t="shared" si="231"/>
        <v>202406</v>
      </c>
      <c r="B253" s="1" t="str">
        <f t="shared" si="232"/>
        <v>150525100</v>
      </c>
      <c r="C253" s="1" t="str">
        <f>"1014625250"</f>
        <v>1014625250</v>
      </c>
      <c r="D253" s="1" t="str">
        <f>"152326194611093326"</f>
        <v>152326194611093326</v>
      </c>
      <c r="E253" s="1" t="s">
        <v>102</v>
      </c>
      <c r="F253" s="1" t="s">
        <v>16</v>
      </c>
      <c r="G253" s="1" t="s">
        <v>19</v>
      </c>
      <c r="H253" s="1" t="str">
        <f>"78"</f>
        <v>78</v>
      </c>
      <c r="I253" s="1" t="str">
        <f t="shared" ref="I253:I256" si="310">"160"</f>
        <v>160</v>
      </c>
      <c r="J253" s="1" t="str">
        <f t="shared" ref="J253:O253" si="311">"0"</f>
        <v>0</v>
      </c>
      <c r="K253" s="1" t="str">
        <f t="shared" si="308"/>
        <v>103</v>
      </c>
      <c r="L253" s="1" t="str">
        <f t="shared" si="309"/>
        <v>47</v>
      </c>
      <c r="M253" s="1" t="str">
        <f t="shared" si="311"/>
        <v>0</v>
      </c>
      <c r="N253" s="1" t="str">
        <f t="shared" si="311"/>
        <v>0</v>
      </c>
      <c r="O253" s="1" t="str">
        <f t="shared" si="311"/>
        <v>0</v>
      </c>
    </row>
    <row r="254" s="1" customFormat="1" spans="1:15">
      <c r="A254" s="1" t="str">
        <f t="shared" si="231"/>
        <v>202406</v>
      </c>
      <c r="B254" s="1" t="str">
        <f t="shared" si="232"/>
        <v>150525100</v>
      </c>
      <c r="C254" s="1" t="str">
        <f>"1014625257"</f>
        <v>1014625257</v>
      </c>
      <c r="D254" s="1" t="str">
        <f>"152326194802023320"</f>
        <v>152326194802023320</v>
      </c>
      <c r="E254" s="1" t="s">
        <v>282</v>
      </c>
      <c r="F254" s="1" t="s">
        <v>16</v>
      </c>
      <c r="G254" s="1" t="s">
        <v>19</v>
      </c>
      <c r="H254" s="1" t="str">
        <f>"76"</f>
        <v>76</v>
      </c>
      <c r="I254" s="1" t="str">
        <f t="shared" si="310"/>
        <v>160</v>
      </c>
      <c r="J254" s="1" t="str">
        <f t="shared" ref="J254:O254" si="312">"0"</f>
        <v>0</v>
      </c>
      <c r="K254" s="1" t="str">
        <f t="shared" si="308"/>
        <v>103</v>
      </c>
      <c r="L254" s="1" t="str">
        <f t="shared" si="309"/>
        <v>47</v>
      </c>
      <c r="M254" s="1" t="str">
        <f t="shared" si="312"/>
        <v>0</v>
      </c>
      <c r="N254" s="1" t="str">
        <f t="shared" si="312"/>
        <v>0</v>
      </c>
      <c r="O254" s="1" t="str">
        <f t="shared" si="312"/>
        <v>0</v>
      </c>
    </row>
    <row r="255" s="1" customFormat="1" spans="1:15">
      <c r="A255" s="1" t="str">
        <f t="shared" si="231"/>
        <v>202406</v>
      </c>
      <c r="B255" s="1" t="str">
        <f t="shared" si="232"/>
        <v>150525100</v>
      </c>
      <c r="C255" s="1" t="str">
        <f>"1014624839"</f>
        <v>1014624839</v>
      </c>
      <c r="D255" s="1" t="str">
        <f>"152326194608280665"</f>
        <v>152326194608280665</v>
      </c>
      <c r="E255" s="1" t="s">
        <v>74</v>
      </c>
      <c r="F255" s="1" t="s">
        <v>16</v>
      </c>
      <c r="G255" s="1" t="s">
        <v>17</v>
      </c>
      <c r="H255" s="1" t="str">
        <f>"78"</f>
        <v>78</v>
      </c>
      <c r="I255" s="1" t="str">
        <f t="shared" si="310"/>
        <v>160</v>
      </c>
      <c r="J255" s="1" t="str">
        <f t="shared" ref="J255:O255" si="313">"0"</f>
        <v>0</v>
      </c>
      <c r="K255" s="1" t="str">
        <f t="shared" si="308"/>
        <v>103</v>
      </c>
      <c r="L255" s="1" t="str">
        <f t="shared" si="309"/>
        <v>47</v>
      </c>
      <c r="M255" s="1" t="str">
        <f t="shared" si="313"/>
        <v>0</v>
      </c>
      <c r="N255" s="1" t="str">
        <f t="shared" si="313"/>
        <v>0</v>
      </c>
      <c r="O255" s="1" t="str">
        <f t="shared" si="313"/>
        <v>0</v>
      </c>
    </row>
    <row r="256" s="1" customFormat="1" spans="1:15">
      <c r="A256" s="1" t="str">
        <f t="shared" si="231"/>
        <v>202406</v>
      </c>
      <c r="B256" s="1" t="str">
        <f t="shared" si="232"/>
        <v>150525100</v>
      </c>
      <c r="C256" s="1" t="str">
        <f>"1014624664"</f>
        <v>1014624664</v>
      </c>
      <c r="D256" s="1" t="str">
        <f>"152326195004270671"</f>
        <v>152326195004270671</v>
      </c>
      <c r="E256" s="1" t="s">
        <v>283</v>
      </c>
      <c r="F256" s="1" t="s">
        <v>25</v>
      </c>
      <c r="G256" s="1" t="s">
        <v>17</v>
      </c>
      <c r="H256" s="1" t="str">
        <f>"74"</f>
        <v>74</v>
      </c>
      <c r="I256" s="1" t="str">
        <f t="shared" si="310"/>
        <v>160</v>
      </c>
      <c r="J256" s="1" t="str">
        <f t="shared" ref="J256:O256" si="314">"0"</f>
        <v>0</v>
      </c>
      <c r="K256" s="1" t="str">
        <f t="shared" si="308"/>
        <v>103</v>
      </c>
      <c r="L256" s="1" t="str">
        <f t="shared" si="309"/>
        <v>47</v>
      </c>
      <c r="M256" s="1" t="str">
        <f t="shared" si="314"/>
        <v>0</v>
      </c>
      <c r="N256" s="1" t="str">
        <f t="shared" si="314"/>
        <v>0</v>
      </c>
      <c r="O256" s="1" t="str">
        <f t="shared" si="314"/>
        <v>0</v>
      </c>
    </row>
    <row r="257" s="1" customFormat="1" spans="1:15">
      <c r="A257" s="1" t="str">
        <f t="shared" si="231"/>
        <v>202406</v>
      </c>
      <c r="B257" s="1" t="str">
        <f t="shared" si="232"/>
        <v>150525100</v>
      </c>
      <c r="C257" s="1" t="str">
        <f>"1014625345"</f>
        <v>1014625345</v>
      </c>
      <c r="D257" s="1" t="str">
        <f>"152326194109273815"</f>
        <v>152326194109273815</v>
      </c>
      <c r="E257" s="1" t="s">
        <v>284</v>
      </c>
      <c r="F257" s="1" t="s">
        <v>25</v>
      </c>
      <c r="G257" s="1" t="s">
        <v>17</v>
      </c>
      <c r="H257" s="1" t="str">
        <f>"83"</f>
        <v>83</v>
      </c>
      <c r="I257" s="1" t="str">
        <f>"170"</f>
        <v>170</v>
      </c>
      <c r="J257" s="1" t="str">
        <f t="shared" ref="J257:O257" si="315">"0"</f>
        <v>0</v>
      </c>
      <c r="K257" s="1" t="str">
        <f t="shared" si="308"/>
        <v>103</v>
      </c>
      <c r="L257" s="1" t="str">
        <f t="shared" si="309"/>
        <v>47</v>
      </c>
      <c r="M257" s="1" t="str">
        <f t="shared" si="315"/>
        <v>0</v>
      </c>
      <c r="N257" s="1" t="str">
        <f t="shared" si="315"/>
        <v>0</v>
      </c>
      <c r="O257" s="1" t="str">
        <f t="shared" si="315"/>
        <v>0</v>
      </c>
    </row>
    <row r="258" s="1" customFormat="1" spans="1:15">
      <c r="A258" s="1" t="str">
        <f t="shared" ref="A258:A321" si="316">"202406"</f>
        <v>202406</v>
      </c>
      <c r="B258" s="1" t="str">
        <f t="shared" ref="B258:B321" si="317">"150525100"</f>
        <v>150525100</v>
      </c>
      <c r="C258" s="1" t="str">
        <f>"1014624920"</f>
        <v>1014624920</v>
      </c>
      <c r="D258" s="1" t="str">
        <f>"152326194901140418"</f>
        <v>152326194901140418</v>
      </c>
      <c r="E258" s="1" t="s">
        <v>285</v>
      </c>
      <c r="F258" s="1" t="s">
        <v>25</v>
      </c>
      <c r="G258" s="1" t="s">
        <v>17</v>
      </c>
      <c r="H258" s="1" t="str">
        <f>"75"</f>
        <v>75</v>
      </c>
      <c r="I258" s="1" t="str">
        <f t="shared" ref="I258:I260" si="318">"160"</f>
        <v>160</v>
      </c>
      <c r="J258" s="1" t="str">
        <f t="shared" ref="J258:O258" si="319">"0"</f>
        <v>0</v>
      </c>
      <c r="K258" s="1" t="str">
        <f t="shared" si="308"/>
        <v>103</v>
      </c>
      <c r="L258" s="1" t="str">
        <f t="shared" si="309"/>
        <v>47</v>
      </c>
      <c r="M258" s="1" t="str">
        <f t="shared" si="319"/>
        <v>0</v>
      </c>
      <c r="N258" s="1" t="str">
        <f t="shared" si="319"/>
        <v>0</v>
      </c>
      <c r="O258" s="1" t="str">
        <f t="shared" si="319"/>
        <v>0</v>
      </c>
    </row>
    <row r="259" s="1" customFormat="1" spans="1:15">
      <c r="A259" s="1" t="str">
        <f t="shared" si="316"/>
        <v>202406</v>
      </c>
      <c r="B259" s="1" t="str">
        <f t="shared" si="317"/>
        <v>150525100</v>
      </c>
      <c r="C259" s="1" t="str">
        <f>"1014624921"</f>
        <v>1014624921</v>
      </c>
      <c r="D259" s="1" t="str">
        <f>"152326194703060417"</f>
        <v>152326194703060417</v>
      </c>
      <c r="E259" s="1" t="s">
        <v>286</v>
      </c>
      <c r="F259" s="1" t="s">
        <v>25</v>
      </c>
      <c r="G259" s="1" t="s">
        <v>17</v>
      </c>
      <c r="H259" s="1" t="str">
        <f>"77"</f>
        <v>77</v>
      </c>
      <c r="I259" s="1" t="str">
        <f t="shared" si="318"/>
        <v>160</v>
      </c>
      <c r="J259" s="1" t="str">
        <f t="shared" ref="J259:O259" si="320">"0"</f>
        <v>0</v>
      </c>
      <c r="K259" s="1" t="str">
        <f t="shared" si="308"/>
        <v>103</v>
      </c>
      <c r="L259" s="1" t="str">
        <f t="shared" si="309"/>
        <v>47</v>
      </c>
      <c r="M259" s="1" t="str">
        <f t="shared" si="320"/>
        <v>0</v>
      </c>
      <c r="N259" s="1" t="str">
        <f t="shared" si="320"/>
        <v>0</v>
      </c>
      <c r="O259" s="1" t="str">
        <f t="shared" si="320"/>
        <v>0</v>
      </c>
    </row>
    <row r="260" s="1" customFormat="1" spans="1:15">
      <c r="A260" s="1" t="str">
        <f t="shared" si="316"/>
        <v>202406</v>
      </c>
      <c r="B260" s="1" t="str">
        <f t="shared" si="317"/>
        <v>150525100</v>
      </c>
      <c r="C260" s="1" t="str">
        <f>"1014624924"</f>
        <v>1014624924</v>
      </c>
      <c r="D260" s="1" t="str">
        <f>"152326195103210412"</f>
        <v>152326195103210412</v>
      </c>
      <c r="E260" s="1" t="s">
        <v>287</v>
      </c>
      <c r="F260" s="1" t="s">
        <v>25</v>
      </c>
      <c r="G260" s="1" t="s">
        <v>17</v>
      </c>
      <c r="H260" s="1" t="str">
        <f>"73"</f>
        <v>73</v>
      </c>
      <c r="I260" s="1" t="str">
        <f t="shared" si="318"/>
        <v>160</v>
      </c>
      <c r="J260" s="1" t="str">
        <f t="shared" ref="J260:O260" si="321">"0"</f>
        <v>0</v>
      </c>
      <c r="K260" s="1" t="str">
        <f t="shared" si="308"/>
        <v>103</v>
      </c>
      <c r="L260" s="1" t="str">
        <f t="shared" si="309"/>
        <v>47</v>
      </c>
      <c r="M260" s="1" t="str">
        <f t="shared" si="321"/>
        <v>0</v>
      </c>
      <c r="N260" s="1" t="str">
        <f t="shared" si="321"/>
        <v>0</v>
      </c>
      <c r="O260" s="1" t="str">
        <f t="shared" si="321"/>
        <v>0</v>
      </c>
    </row>
    <row r="261" s="1" customFormat="1" spans="1:15">
      <c r="A261" s="1" t="str">
        <f t="shared" si="316"/>
        <v>202406</v>
      </c>
      <c r="B261" s="1" t="str">
        <f t="shared" si="317"/>
        <v>150525100</v>
      </c>
      <c r="C261" s="1" t="str">
        <f>"1014641109"</f>
        <v>1014641109</v>
      </c>
      <c r="D261" s="1" t="str">
        <f>"152326196401010448"</f>
        <v>152326196401010448</v>
      </c>
      <c r="E261" s="1" t="s">
        <v>288</v>
      </c>
      <c r="F261" s="1" t="s">
        <v>16</v>
      </c>
      <c r="G261" s="1" t="s">
        <v>19</v>
      </c>
      <c r="H261" s="1" t="str">
        <f>"61"</f>
        <v>61</v>
      </c>
      <c r="I261" s="1" t="str">
        <f>"166.8"</f>
        <v>166.8</v>
      </c>
      <c r="J261" s="1" t="str">
        <f t="shared" ref="J261:N261" si="322">"0"</f>
        <v>0</v>
      </c>
      <c r="K261" s="1" t="str">
        <f t="shared" si="308"/>
        <v>103</v>
      </c>
      <c r="L261" s="1" t="str">
        <f t="shared" si="309"/>
        <v>47</v>
      </c>
      <c r="M261" s="1" t="str">
        <f t="shared" si="322"/>
        <v>0</v>
      </c>
      <c r="N261" s="1" t="str">
        <f t="shared" si="322"/>
        <v>0</v>
      </c>
      <c r="O261" s="1" t="str">
        <f>"16.8"</f>
        <v>16.8</v>
      </c>
    </row>
    <row r="262" s="1" customFormat="1" spans="1:15">
      <c r="A262" s="1" t="str">
        <f t="shared" si="316"/>
        <v>202406</v>
      </c>
      <c r="B262" s="1" t="str">
        <f t="shared" si="317"/>
        <v>150525100</v>
      </c>
      <c r="C262" s="1" t="str">
        <f>"1014641110"</f>
        <v>1014641110</v>
      </c>
      <c r="D262" s="1" t="str">
        <f>"152326196206050487"</f>
        <v>152326196206050487</v>
      </c>
      <c r="E262" s="1" t="s">
        <v>289</v>
      </c>
      <c r="F262" s="1" t="s">
        <v>16</v>
      </c>
      <c r="G262" s="1" t="s">
        <v>17</v>
      </c>
      <c r="H262" s="1" t="str">
        <f>"62"</f>
        <v>62</v>
      </c>
      <c r="I262" s="1" t="str">
        <f>"163.04"</f>
        <v>163.04</v>
      </c>
      <c r="J262" s="1" t="str">
        <f t="shared" ref="J262:N262" si="323">"0"</f>
        <v>0</v>
      </c>
      <c r="K262" s="1" t="str">
        <f t="shared" si="308"/>
        <v>103</v>
      </c>
      <c r="L262" s="1" t="str">
        <f t="shared" si="309"/>
        <v>47</v>
      </c>
      <c r="M262" s="1" t="str">
        <f t="shared" si="323"/>
        <v>0</v>
      </c>
      <c r="N262" s="1" t="str">
        <f t="shared" si="323"/>
        <v>0</v>
      </c>
      <c r="O262" s="1" t="str">
        <f>"13.04"</f>
        <v>13.04</v>
      </c>
    </row>
    <row r="263" s="1" customFormat="1" spans="1:15">
      <c r="A263" s="1" t="str">
        <f t="shared" si="316"/>
        <v>202406</v>
      </c>
      <c r="B263" s="1" t="str">
        <f t="shared" si="317"/>
        <v>150525100</v>
      </c>
      <c r="C263" s="1" t="str">
        <f>"1014624959"</f>
        <v>1014624959</v>
      </c>
      <c r="D263" s="1" t="str">
        <f>"152326194909090670"</f>
        <v>152326194909090670</v>
      </c>
      <c r="E263" s="1" t="s">
        <v>290</v>
      </c>
      <c r="F263" s="1" t="s">
        <v>25</v>
      </c>
      <c r="G263" s="1" t="s">
        <v>17</v>
      </c>
      <c r="H263" s="1" t="str">
        <f>"75"</f>
        <v>75</v>
      </c>
      <c r="I263" s="1" t="str">
        <f t="shared" ref="I263:I265" si="324">"160"</f>
        <v>160</v>
      </c>
      <c r="J263" s="1" t="str">
        <f t="shared" ref="J263:O263" si="325">"0"</f>
        <v>0</v>
      </c>
      <c r="K263" s="1" t="str">
        <f t="shared" si="308"/>
        <v>103</v>
      </c>
      <c r="L263" s="1" t="str">
        <f t="shared" si="309"/>
        <v>47</v>
      </c>
      <c r="M263" s="1" t="str">
        <f t="shared" si="325"/>
        <v>0</v>
      </c>
      <c r="N263" s="1" t="str">
        <f t="shared" si="325"/>
        <v>0</v>
      </c>
      <c r="O263" s="1" t="str">
        <f t="shared" si="325"/>
        <v>0</v>
      </c>
    </row>
    <row r="264" s="1" customFormat="1" spans="1:15">
      <c r="A264" s="1" t="str">
        <f t="shared" si="316"/>
        <v>202406</v>
      </c>
      <c r="B264" s="1" t="str">
        <f t="shared" si="317"/>
        <v>150525100</v>
      </c>
      <c r="C264" s="1" t="str">
        <f>"1014625464"</f>
        <v>1014625464</v>
      </c>
      <c r="D264" s="1" t="str">
        <f>"152326195102023316"</f>
        <v>152326195102023316</v>
      </c>
      <c r="E264" s="1" t="s">
        <v>291</v>
      </c>
      <c r="F264" s="1" t="s">
        <v>25</v>
      </c>
      <c r="G264" s="1" t="s">
        <v>19</v>
      </c>
      <c r="H264" s="1" t="str">
        <f>"73"</f>
        <v>73</v>
      </c>
      <c r="I264" s="1" t="str">
        <f t="shared" si="324"/>
        <v>160</v>
      </c>
      <c r="J264" s="1" t="str">
        <f t="shared" ref="J264:O264" si="326">"0"</f>
        <v>0</v>
      </c>
      <c r="K264" s="1" t="str">
        <f t="shared" si="308"/>
        <v>103</v>
      </c>
      <c r="L264" s="1" t="str">
        <f t="shared" si="309"/>
        <v>47</v>
      </c>
      <c r="M264" s="1" t="str">
        <f t="shared" si="326"/>
        <v>0</v>
      </c>
      <c r="N264" s="1" t="str">
        <f t="shared" si="326"/>
        <v>0</v>
      </c>
      <c r="O264" s="1" t="str">
        <f t="shared" si="326"/>
        <v>0</v>
      </c>
    </row>
    <row r="265" s="1" customFormat="1" spans="1:15">
      <c r="A265" s="1" t="str">
        <f t="shared" si="316"/>
        <v>202406</v>
      </c>
      <c r="B265" s="1" t="str">
        <f t="shared" si="317"/>
        <v>150525100</v>
      </c>
      <c r="C265" s="1" t="str">
        <f>"1014625486"</f>
        <v>1014625486</v>
      </c>
      <c r="D265" s="1" t="str">
        <f>"152326194901023318"</f>
        <v>152326194901023318</v>
      </c>
      <c r="E265" s="1" t="s">
        <v>114</v>
      </c>
      <c r="F265" s="1" t="s">
        <v>25</v>
      </c>
      <c r="G265" s="1" t="s">
        <v>17</v>
      </c>
      <c r="H265" s="1" t="str">
        <f>"76"</f>
        <v>76</v>
      </c>
      <c r="I265" s="1" t="str">
        <f t="shared" si="324"/>
        <v>160</v>
      </c>
      <c r="J265" s="1" t="str">
        <f t="shared" ref="J265:O265" si="327">"0"</f>
        <v>0</v>
      </c>
      <c r="K265" s="1" t="str">
        <f t="shared" si="308"/>
        <v>103</v>
      </c>
      <c r="L265" s="1" t="str">
        <f t="shared" si="309"/>
        <v>47</v>
      </c>
      <c r="M265" s="1" t="str">
        <f t="shared" si="327"/>
        <v>0</v>
      </c>
      <c r="N265" s="1" t="str">
        <f t="shared" si="327"/>
        <v>0</v>
      </c>
      <c r="O265" s="1" t="str">
        <f t="shared" si="327"/>
        <v>0</v>
      </c>
    </row>
    <row r="266" s="1" customFormat="1" spans="1:15">
      <c r="A266" s="1" t="str">
        <f t="shared" si="316"/>
        <v>202406</v>
      </c>
      <c r="B266" s="1" t="str">
        <f t="shared" si="317"/>
        <v>150525100</v>
      </c>
      <c r="C266" s="1" t="str">
        <f>"1014660513"</f>
        <v>1014660513</v>
      </c>
      <c r="D266" s="1" t="str">
        <f>"152326195309193072"</f>
        <v>152326195309193072</v>
      </c>
      <c r="E266" s="1" t="s">
        <v>292</v>
      </c>
      <c r="F266" s="1" t="s">
        <v>25</v>
      </c>
      <c r="G266" s="1" t="s">
        <v>17</v>
      </c>
      <c r="H266" s="1" t="str">
        <f>"71"</f>
        <v>71</v>
      </c>
      <c r="I266" s="1" t="str">
        <f>"978.96"</f>
        <v>978.96</v>
      </c>
      <c r="J266" s="1" t="str">
        <f>"815.8"</f>
        <v>815.8</v>
      </c>
      <c r="K266" s="1" t="str">
        <f>"618"</f>
        <v>618</v>
      </c>
      <c r="L266" s="1" t="str">
        <f>"282"</f>
        <v>282</v>
      </c>
      <c r="M266" s="1" t="str">
        <f t="shared" ref="M266:M331" si="328">"0"</f>
        <v>0</v>
      </c>
      <c r="N266" s="1" t="str">
        <f t="shared" ref="N266:N331" si="329">"0"</f>
        <v>0</v>
      </c>
      <c r="O266" s="1" t="str">
        <f>"18.96"</f>
        <v>18.96</v>
      </c>
    </row>
    <row r="267" s="1" customFormat="1" spans="1:15">
      <c r="A267" s="1" t="str">
        <f t="shared" si="316"/>
        <v>202406</v>
      </c>
      <c r="B267" s="1" t="str">
        <f t="shared" si="317"/>
        <v>150525100</v>
      </c>
      <c r="C267" s="1" t="str">
        <f>"1040681700"</f>
        <v>1040681700</v>
      </c>
      <c r="D267" s="1" t="str">
        <f>"152326195408293327"</f>
        <v>152326195408293327</v>
      </c>
      <c r="E267" s="1" t="s">
        <v>293</v>
      </c>
      <c r="F267" s="1" t="s">
        <v>16</v>
      </c>
      <c r="G267" s="1" t="s">
        <v>19</v>
      </c>
      <c r="H267" s="1" t="str">
        <f>"70"</f>
        <v>70</v>
      </c>
      <c r="I267" s="1" t="str">
        <f>"153.82"</f>
        <v>153.82</v>
      </c>
      <c r="J267" s="1" t="str">
        <f t="shared" ref="J267:N267" si="330">"0"</f>
        <v>0</v>
      </c>
      <c r="K267" s="1" t="str">
        <f t="shared" ref="K267:K281" si="331">"103"</f>
        <v>103</v>
      </c>
      <c r="L267" s="1" t="str">
        <f t="shared" ref="L267:L281" si="332">"47"</f>
        <v>47</v>
      </c>
      <c r="M267" s="1" t="str">
        <f t="shared" si="330"/>
        <v>0</v>
      </c>
      <c r="N267" s="1" t="str">
        <f t="shared" si="330"/>
        <v>0</v>
      </c>
      <c r="O267" s="1" t="str">
        <f>"3.82"</f>
        <v>3.82</v>
      </c>
    </row>
    <row r="268" s="1" customFormat="1" spans="1:15">
      <c r="A268" s="1" t="str">
        <f t="shared" si="316"/>
        <v>202406</v>
      </c>
      <c r="B268" s="1" t="str">
        <f t="shared" si="317"/>
        <v>150525100</v>
      </c>
      <c r="C268" s="1" t="str">
        <f>"1040681712"</f>
        <v>1040681712</v>
      </c>
      <c r="D268" s="1" t="str">
        <f>"152326195910230428"</f>
        <v>152326195910230428</v>
      </c>
      <c r="E268" s="1" t="s">
        <v>294</v>
      </c>
      <c r="F268" s="1" t="s">
        <v>16</v>
      </c>
      <c r="G268" s="1" t="s">
        <v>17</v>
      </c>
      <c r="H268" s="1" t="str">
        <f>"65"</f>
        <v>65</v>
      </c>
      <c r="I268" s="1" t="str">
        <f>"156.93"</f>
        <v>156.93</v>
      </c>
      <c r="J268" s="1" t="str">
        <f t="shared" ref="J268:N268" si="333">"0"</f>
        <v>0</v>
      </c>
      <c r="K268" s="1" t="str">
        <f t="shared" si="331"/>
        <v>103</v>
      </c>
      <c r="L268" s="1" t="str">
        <f t="shared" si="332"/>
        <v>47</v>
      </c>
      <c r="M268" s="1" t="str">
        <f t="shared" si="333"/>
        <v>0</v>
      </c>
      <c r="N268" s="1" t="str">
        <f t="shared" si="333"/>
        <v>0</v>
      </c>
      <c r="O268" s="1" t="str">
        <f>"6.93"</f>
        <v>6.93</v>
      </c>
    </row>
    <row r="269" s="1" customFormat="1" spans="1:15">
      <c r="A269" s="1" t="str">
        <f t="shared" si="316"/>
        <v>202406</v>
      </c>
      <c r="B269" s="1" t="str">
        <f t="shared" si="317"/>
        <v>150525100</v>
      </c>
      <c r="C269" s="1" t="str">
        <f>"1040681758"</f>
        <v>1040681758</v>
      </c>
      <c r="D269" s="1" t="str">
        <f>"152326196203043329"</f>
        <v>152326196203043329</v>
      </c>
      <c r="E269" s="1" t="s">
        <v>295</v>
      </c>
      <c r="F269" s="1" t="s">
        <v>16</v>
      </c>
      <c r="G269" s="1" t="s">
        <v>96</v>
      </c>
      <c r="H269" s="1" t="str">
        <f>"62"</f>
        <v>62</v>
      </c>
      <c r="I269" s="1" t="str">
        <f>"1143.24"</f>
        <v>1143.24</v>
      </c>
      <c r="J269" s="1" t="str">
        <f>"979.92"</f>
        <v>979.92</v>
      </c>
      <c r="K269" s="1" t="str">
        <f>"721"</f>
        <v>721</v>
      </c>
      <c r="L269" s="1" t="str">
        <f>"329"</f>
        <v>329</v>
      </c>
      <c r="M269" s="1" t="str">
        <f t="shared" si="328"/>
        <v>0</v>
      </c>
      <c r="N269" s="1" t="str">
        <f t="shared" si="329"/>
        <v>0</v>
      </c>
      <c r="O269" s="1" t="str">
        <f>"93.24"</f>
        <v>93.24</v>
      </c>
    </row>
    <row r="270" s="1" customFormat="1" spans="1:15">
      <c r="A270" s="1" t="str">
        <f t="shared" si="316"/>
        <v>202406</v>
      </c>
      <c r="B270" s="1" t="str">
        <f t="shared" si="317"/>
        <v>150525100</v>
      </c>
      <c r="C270" s="1" t="str">
        <f>"1040681766"</f>
        <v>1040681766</v>
      </c>
      <c r="D270" s="1" t="str">
        <f>"152326195512033322"</f>
        <v>152326195512033322</v>
      </c>
      <c r="E270" s="1" t="s">
        <v>31</v>
      </c>
      <c r="F270" s="1" t="s">
        <v>16</v>
      </c>
      <c r="G270" s="1" t="s">
        <v>17</v>
      </c>
      <c r="H270" s="1" t="str">
        <f>"69"</f>
        <v>69</v>
      </c>
      <c r="I270" s="1" t="str">
        <f>"153.92"</f>
        <v>153.92</v>
      </c>
      <c r="J270" s="1" t="str">
        <f t="shared" ref="J270:J281" si="334">"0"</f>
        <v>0</v>
      </c>
      <c r="K270" s="1" t="str">
        <f t="shared" si="331"/>
        <v>103</v>
      </c>
      <c r="L270" s="1" t="str">
        <f t="shared" si="332"/>
        <v>47</v>
      </c>
      <c r="M270" s="1" t="str">
        <f t="shared" si="328"/>
        <v>0</v>
      </c>
      <c r="N270" s="1" t="str">
        <f t="shared" si="329"/>
        <v>0</v>
      </c>
      <c r="O270" s="1" t="str">
        <f>"3.92"</f>
        <v>3.92</v>
      </c>
    </row>
    <row r="271" s="1" customFormat="1" spans="1:15">
      <c r="A271" s="1" t="str">
        <f t="shared" si="316"/>
        <v>202406</v>
      </c>
      <c r="B271" s="1" t="str">
        <f t="shared" si="317"/>
        <v>150525100</v>
      </c>
      <c r="C271" s="1" t="str">
        <f>"1040681678"</f>
        <v>1040681678</v>
      </c>
      <c r="D271" s="1" t="str">
        <f>"152326195509093324"</f>
        <v>152326195509093324</v>
      </c>
      <c r="E271" s="1" t="s">
        <v>296</v>
      </c>
      <c r="F271" s="1" t="s">
        <v>16</v>
      </c>
      <c r="G271" s="1" t="s">
        <v>19</v>
      </c>
      <c r="H271" s="1" t="str">
        <f>"69"</f>
        <v>69</v>
      </c>
      <c r="I271" s="1" t="str">
        <f>"153.81"</f>
        <v>153.81</v>
      </c>
      <c r="J271" s="1" t="str">
        <f t="shared" si="334"/>
        <v>0</v>
      </c>
      <c r="K271" s="1" t="str">
        <f t="shared" si="331"/>
        <v>103</v>
      </c>
      <c r="L271" s="1" t="str">
        <f t="shared" si="332"/>
        <v>47</v>
      </c>
      <c r="M271" s="1" t="str">
        <f t="shared" si="328"/>
        <v>0</v>
      </c>
      <c r="N271" s="1" t="str">
        <f t="shared" si="329"/>
        <v>0</v>
      </c>
      <c r="O271" s="1" t="str">
        <f>"3.81"</f>
        <v>3.81</v>
      </c>
    </row>
    <row r="272" s="1" customFormat="1" spans="1:15">
      <c r="A272" s="1" t="str">
        <f t="shared" si="316"/>
        <v>202406</v>
      </c>
      <c r="B272" s="1" t="str">
        <f t="shared" si="317"/>
        <v>150525100</v>
      </c>
      <c r="C272" s="1" t="str">
        <f>"1040681695"</f>
        <v>1040681695</v>
      </c>
      <c r="D272" s="1" t="str">
        <f>"152326195601253319"</f>
        <v>152326195601253319</v>
      </c>
      <c r="E272" s="1" t="s">
        <v>297</v>
      </c>
      <c r="F272" s="1" t="s">
        <v>25</v>
      </c>
      <c r="G272" s="1" t="s">
        <v>19</v>
      </c>
      <c r="H272" s="1" t="str">
        <f>"68"</f>
        <v>68</v>
      </c>
      <c r="I272" s="1" t="str">
        <f>"154.82"</f>
        <v>154.82</v>
      </c>
      <c r="J272" s="1" t="str">
        <f t="shared" si="334"/>
        <v>0</v>
      </c>
      <c r="K272" s="1" t="str">
        <f t="shared" si="331"/>
        <v>103</v>
      </c>
      <c r="L272" s="1" t="str">
        <f t="shared" si="332"/>
        <v>47</v>
      </c>
      <c r="M272" s="1" t="str">
        <f t="shared" si="328"/>
        <v>0</v>
      </c>
      <c r="N272" s="1" t="str">
        <f t="shared" si="329"/>
        <v>0</v>
      </c>
      <c r="O272" s="1" t="str">
        <f>"4.82"</f>
        <v>4.82</v>
      </c>
    </row>
    <row r="273" s="1" customFormat="1" spans="1:15">
      <c r="A273" s="1" t="str">
        <f t="shared" si="316"/>
        <v>202406</v>
      </c>
      <c r="B273" s="1" t="str">
        <f t="shared" si="317"/>
        <v>150525100</v>
      </c>
      <c r="C273" s="1" t="str">
        <f>"1040682176"</f>
        <v>1040682176</v>
      </c>
      <c r="D273" s="1" t="str">
        <f>"152326195710200419"</f>
        <v>152326195710200419</v>
      </c>
      <c r="E273" s="1" t="s">
        <v>298</v>
      </c>
      <c r="F273" s="1" t="s">
        <v>25</v>
      </c>
      <c r="G273" s="1" t="s">
        <v>17</v>
      </c>
      <c r="H273" s="1" t="str">
        <f>"67"</f>
        <v>67</v>
      </c>
      <c r="I273" s="1" t="str">
        <f>"154.88"</f>
        <v>154.88</v>
      </c>
      <c r="J273" s="1" t="str">
        <f t="shared" si="334"/>
        <v>0</v>
      </c>
      <c r="K273" s="1" t="str">
        <f t="shared" si="331"/>
        <v>103</v>
      </c>
      <c r="L273" s="1" t="str">
        <f t="shared" si="332"/>
        <v>47</v>
      </c>
      <c r="M273" s="1" t="str">
        <f t="shared" si="328"/>
        <v>0</v>
      </c>
      <c r="N273" s="1" t="str">
        <f t="shared" si="329"/>
        <v>0</v>
      </c>
      <c r="O273" s="1" t="str">
        <f>"4.88"</f>
        <v>4.88</v>
      </c>
    </row>
    <row r="274" s="1" customFormat="1" spans="1:15">
      <c r="A274" s="1" t="str">
        <f t="shared" si="316"/>
        <v>202406</v>
      </c>
      <c r="B274" s="1" t="str">
        <f t="shared" si="317"/>
        <v>150525100</v>
      </c>
      <c r="C274" s="1" t="str">
        <f>"1040681936"</f>
        <v>1040681936</v>
      </c>
      <c r="D274" s="1" t="str">
        <f>"152326196307030418"</f>
        <v>152326196307030418</v>
      </c>
      <c r="E274" s="1" t="s">
        <v>299</v>
      </c>
      <c r="F274" s="1" t="s">
        <v>25</v>
      </c>
      <c r="G274" s="1" t="s">
        <v>17</v>
      </c>
      <c r="H274" s="1" t="str">
        <f>"61"</f>
        <v>61</v>
      </c>
      <c r="I274" s="1" t="str">
        <f>"163.69"</f>
        <v>163.69</v>
      </c>
      <c r="J274" s="1" t="str">
        <f t="shared" si="334"/>
        <v>0</v>
      </c>
      <c r="K274" s="1" t="str">
        <f t="shared" si="331"/>
        <v>103</v>
      </c>
      <c r="L274" s="1" t="str">
        <f t="shared" si="332"/>
        <v>47</v>
      </c>
      <c r="M274" s="1" t="str">
        <f t="shared" si="328"/>
        <v>0</v>
      </c>
      <c r="N274" s="1" t="str">
        <f t="shared" si="329"/>
        <v>0</v>
      </c>
      <c r="O274" s="1" t="str">
        <f>"13.69"</f>
        <v>13.69</v>
      </c>
    </row>
    <row r="275" s="1" customFormat="1" spans="1:15">
      <c r="A275" s="1" t="str">
        <f t="shared" si="316"/>
        <v>202406</v>
      </c>
      <c r="B275" s="1" t="str">
        <f t="shared" si="317"/>
        <v>150525100</v>
      </c>
      <c r="C275" s="1" t="str">
        <f>"1040682021"</f>
        <v>1040682021</v>
      </c>
      <c r="D275" s="1" t="str">
        <f>"152326196109230419"</f>
        <v>152326196109230419</v>
      </c>
      <c r="E275" s="1" t="s">
        <v>300</v>
      </c>
      <c r="F275" s="1" t="s">
        <v>25</v>
      </c>
      <c r="G275" s="1" t="s">
        <v>17</v>
      </c>
      <c r="H275" s="1" t="str">
        <f>"63"</f>
        <v>63</v>
      </c>
      <c r="I275" s="1" t="str">
        <f>"159.85"</f>
        <v>159.85</v>
      </c>
      <c r="J275" s="1" t="str">
        <f t="shared" si="334"/>
        <v>0</v>
      </c>
      <c r="K275" s="1" t="str">
        <f t="shared" si="331"/>
        <v>103</v>
      </c>
      <c r="L275" s="1" t="str">
        <f t="shared" si="332"/>
        <v>47</v>
      </c>
      <c r="M275" s="1" t="str">
        <f t="shared" si="328"/>
        <v>0</v>
      </c>
      <c r="N275" s="1" t="str">
        <f t="shared" si="329"/>
        <v>0</v>
      </c>
      <c r="O275" s="1" t="str">
        <f>"9.85"</f>
        <v>9.85</v>
      </c>
    </row>
    <row r="276" s="1" customFormat="1" spans="1:15">
      <c r="A276" s="1" t="str">
        <f t="shared" si="316"/>
        <v>202406</v>
      </c>
      <c r="B276" s="1" t="str">
        <f t="shared" si="317"/>
        <v>150525100</v>
      </c>
      <c r="C276" s="1" t="str">
        <f>"1040682022"</f>
        <v>1040682022</v>
      </c>
      <c r="D276" s="1" t="str">
        <f>"152326195901050425"</f>
        <v>152326195901050425</v>
      </c>
      <c r="E276" s="1" t="s">
        <v>301</v>
      </c>
      <c r="F276" s="1" t="s">
        <v>16</v>
      </c>
      <c r="G276" s="1" t="s">
        <v>17</v>
      </c>
      <c r="H276" s="1" t="str">
        <f t="shared" ref="H276:H281" si="335">"66"</f>
        <v>66</v>
      </c>
      <c r="I276" s="1" t="str">
        <f>"156.86"</f>
        <v>156.86</v>
      </c>
      <c r="J276" s="1" t="str">
        <f t="shared" si="334"/>
        <v>0</v>
      </c>
      <c r="K276" s="1" t="str">
        <f t="shared" si="331"/>
        <v>103</v>
      </c>
      <c r="L276" s="1" t="str">
        <f t="shared" si="332"/>
        <v>47</v>
      </c>
      <c r="M276" s="1" t="str">
        <f t="shared" si="328"/>
        <v>0</v>
      </c>
      <c r="N276" s="1" t="str">
        <f t="shared" si="329"/>
        <v>0</v>
      </c>
      <c r="O276" s="1" t="str">
        <f>"6.86"</f>
        <v>6.86</v>
      </c>
    </row>
    <row r="277" s="1" customFormat="1" spans="1:15">
      <c r="A277" s="1" t="str">
        <f t="shared" si="316"/>
        <v>202406</v>
      </c>
      <c r="B277" s="1" t="str">
        <f t="shared" si="317"/>
        <v>150525100</v>
      </c>
      <c r="C277" s="1" t="str">
        <f>"1040681916"</f>
        <v>1040681916</v>
      </c>
      <c r="D277" s="1" t="str">
        <f>"152326195503070666"</f>
        <v>152326195503070666</v>
      </c>
      <c r="E277" s="1" t="s">
        <v>302</v>
      </c>
      <c r="F277" s="1" t="s">
        <v>16</v>
      </c>
      <c r="G277" s="1" t="s">
        <v>17</v>
      </c>
      <c r="H277" s="1" t="str">
        <f>"69"</f>
        <v>69</v>
      </c>
      <c r="I277" s="1" t="str">
        <f>"153.88"</f>
        <v>153.88</v>
      </c>
      <c r="J277" s="1" t="str">
        <f t="shared" si="334"/>
        <v>0</v>
      </c>
      <c r="K277" s="1" t="str">
        <f t="shared" si="331"/>
        <v>103</v>
      </c>
      <c r="L277" s="1" t="str">
        <f t="shared" si="332"/>
        <v>47</v>
      </c>
      <c r="M277" s="1" t="str">
        <f t="shared" si="328"/>
        <v>0</v>
      </c>
      <c r="N277" s="1" t="str">
        <f t="shared" si="329"/>
        <v>0</v>
      </c>
      <c r="O277" s="1" t="str">
        <f>"3.88"</f>
        <v>3.88</v>
      </c>
    </row>
    <row r="278" s="1" customFormat="1" spans="1:15">
      <c r="A278" s="1" t="str">
        <f t="shared" si="316"/>
        <v>202406</v>
      </c>
      <c r="B278" s="1" t="str">
        <f t="shared" si="317"/>
        <v>150525100</v>
      </c>
      <c r="C278" s="1" t="str">
        <f>"1040681918"</f>
        <v>1040681918</v>
      </c>
      <c r="D278" s="1" t="str">
        <f>"152326196002220667"</f>
        <v>152326196002220667</v>
      </c>
      <c r="E278" s="1" t="s">
        <v>303</v>
      </c>
      <c r="F278" s="1" t="s">
        <v>16</v>
      </c>
      <c r="G278" s="1" t="s">
        <v>17</v>
      </c>
      <c r="H278" s="1" t="str">
        <f>"64"</f>
        <v>64</v>
      </c>
      <c r="I278" s="1" t="str">
        <f>"158.71"</f>
        <v>158.71</v>
      </c>
      <c r="J278" s="1" t="str">
        <f t="shared" si="334"/>
        <v>0</v>
      </c>
      <c r="K278" s="1" t="str">
        <f t="shared" si="331"/>
        <v>103</v>
      </c>
      <c r="L278" s="1" t="str">
        <f t="shared" si="332"/>
        <v>47</v>
      </c>
      <c r="M278" s="1" t="str">
        <f t="shared" si="328"/>
        <v>0</v>
      </c>
      <c r="N278" s="1" t="str">
        <f t="shared" si="329"/>
        <v>0</v>
      </c>
      <c r="O278" s="1" t="str">
        <f>"8.71"</f>
        <v>8.71</v>
      </c>
    </row>
    <row r="279" s="1" customFormat="1" spans="1:15">
      <c r="A279" s="1" t="str">
        <f t="shared" si="316"/>
        <v>202406</v>
      </c>
      <c r="B279" s="1" t="str">
        <f t="shared" si="317"/>
        <v>150525100</v>
      </c>
      <c r="C279" s="1" t="str">
        <f>"1040681920"</f>
        <v>1040681920</v>
      </c>
      <c r="D279" s="1" t="str">
        <f>"152326195912260700"</f>
        <v>152326195912260700</v>
      </c>
      <c r="E279" s="1" t="s">
        <v>304</v>
      </c>
      <c r="F279" s="1" t="s">
        <v>16</v>
      </c>
      <c r="G279" s="1" t="s">
        <v>17</v>
      </c>
      <c r="H279" s="1" t="str">
        <f>"65"</f>
        <v>65</v>
      </c>
      <c r="I279" s="1" t="str">
        <f>"156.95"</f>
        <v>156.95</v>
      </c>
      <c r="J279" s="1" t="str">
        <f t="shared" si="334"/>
        <v>0</v>
      </c>
      <c r="K279" s="1" t="str">
        <f t="shared" si="331"/>
        <v>103</v>
      </c>
      <c r="L279" s="1" t="str">
        <f t="shared" si="332"/>
        <v>47</v>
      </c>
      <c r="M279" s="1" t="str">
        <f t="shared" si="328"/>
        <v>0</v>
      </c>
      <c r="N279" s="1" t="str">
        <f t="shared" si="329"/>
        <v>0</v>
      </c>
      <c r="O279" s="1" t="str">
        <f>"6.95"</f>
        <v>6.95</v>
      </c>
    </row>
    <row r="280" s="1" customFormat="1" spans="1:15">
      <c r="A280" s="1" t="str">
        <f t="shared" si="316"/>
        <v>202406</v>
      </c>
      <c r="B280" s="1" t="str">
        <f t="shared" si="317"/>
        <v>150525100</v>
      </c>
      <c r="C280" s="1" t="str">
        <f>"1040681923"</f>
        <v>1040681923</v>
      </c>
      <c r="D280" s="1" t="str">
        <f>"152326195802150666"</f>
        <v>152326195802150666</v>
      </c>
      <c r="E280" s="1" t="s">
        <v>305</v>
      </c>
      <c r="F280" s="1" t="s">
        <v>16</v>
      </c>
      <c r="G280" s="1" t="s">
        <v>17</v>
      </c>
      <c r="H280" s="1" t="str">
        <f t="shared" si="335"/>
        <v>66</v>
      </c>
      <c r="I280" s="1" t="str">
        <f>"155.84"</f>
        <v>155.84</v>
      </c>
      <c r="J280" s="1" t="str">
        <f t="shared" si="334"/>
        <v>0</v>
      </c>
      <c r="K280" s="1" t="str">
        <f t="shared" si="331"/>
        <v>103</v>
      </c>
      <c r="L280" s="1" t="str">
        <f t="shared" si="332"/>
        <v>47</v>
      </c>
      <c r="M280" s="1" t="str">
        <f t="shared" si="328"/>
        <v>0</v>
      </c>
      <c r="N280" s="1" t="str">
        <f t="shared" si="329"/>
        <v>0</v>
      </c>
      <c r="O280" s="1" t="str">
        <f>"5.84"</f>
        <v>5.84</v>
      </c>
    </row>
    <row r="281" s="1" customFormat="1" spans="1:15">
      <c r="A281" s="1" t="str">
        <f t="shared" si="316"/>
        <v>202406</v>
      </c>
      <c r="B281" s="1" t="str">
        <f t="shared" si="317"/>
        <v>150525100</v>
      </c>
      <c r="C281" s="1" t="str">
        <f>"1040681985"</f>
        <v>1040681985</v>
      </c>
      <c r="D281" s="1" t="str">
        <f>"152326195807273841"</f>
        <v>152326195807273841</v>
      </c>
      <c r="E281" s="1" t="s">
        <v>306</v>
      </c>
      <c r="F281" s="1" t="s">
        <v>16</v>
      </c>
      <c r="G281" s="1" t="s">
        <v>17</v>
      </c>
      <c r="H281" s="1" t="str">
        <f t="shared" si="335"/>
        <v>66</v>
      </c>
      <c r="I281" s="1" t="str">
        <f>"155.88"</f>
        <v>155.88</v>
      </c>
      <c r="J281" s="1" t="str">
        <f t="shared" si="334"/>
        <v>0</v>
      </c>
      <c r="K281" s="1" t="str">
        <f t="shared" si="331"/>
        <v>103</v>
      </c>
      <c r="L281" s="1" t="str">
        <f t="shared" si="332"/>
        <v>47</v>
      </c>
      <c r="M281" s="1" t="str">
        <f t="shared" si="328"/>
        <v>0</v>
      </c>
      <c r="N281" s="1" t="str">
        <f t="shared" si="329"/>
        <v>0</v>
      </c>
      <c r="O281" s="1" t="str">
        <f>"5.88"</f>
        <v>5.88</v>
      </c>
    </row>
    <row r="282" s="1" customFormat="1" spans="1:15">
      <c r="A282" s="1" t="str">
        <f t="shared" si="316"/>
        <v>202406</v>
      </c>
      <c r="B282" s="1" t="str">
        <f t="shared" si="317"/>
        <v>150525100</v>
      </c>
      <c r="C282" s="1" t="str">
        <f>"1040681997"</f>
        <v>1040681997</v>
      </c>
      <c r="D282" s="1" t="str">
        <f>"152326195601073828"</f>
        <v>152326195601073828</v>
      </c>
      <c r="E282" s="1" t="s">
        <v>307</v>
      </c>
      <c r="F282" s="1" t="s">
        <v>16</v>
      </c>
      <c r="G282" s="1" t="s">
        <v>17</v>
      </c>
      <c r="H282" s="1" t="str">
        <f>"69"</f>
        <v>69</v>
      </c>
      <c r="I282" s="1" t="str">
        <f>"928.92"</f>
        <v>928.92</v>
      </c>
      <c r="J282" s="1" t="str">
        <f>"774.1"</f>
        <v>774.1</v>
      </c>
      <c r="K282" s="1" t="str">
        <f>"618"</f>
        <v>618</v>
      </c>
      <c r="L282" s="1" t="str">
        <f>"282"</f>
        <v>282</v>
      </c>
      <c r="M282" s="1" t="str">
        <f t="shared" si="328"/>
        <v>0</v>
      </c>
      <c r="N282" s="1" t="str">
        <f t="shared" si="329"/>
        <v>0</v>
      </c>
      <c r="O282" s="1" t="str">
        <f>"28.92"</f>
        <v>28.92</v>
      </c>
    </row>
    <row r="283" s="1" customFormat="1" spans="1:15">
      <c r="A283" s="1" t="str">
        <f t="shared" si="316"/>
        <v>202406</v>
      </c>
      <c r="B283" s="1" t="str">
        <f t="shared" si="317"/>
        <v>150525100</v>
      </c>
      <c r="C283" s="1" t="str">
        <f>"1040682057"</f>
        <v>1040682057</v>
      </c>
      <c r="D283" s="1" t="s">
        <v>308</v>
      </c>
      <c r="E283" s="1" t="s">
        <v>309</v>
      </c>
      <c r="F283" s="1" t="s">
        <v>16</v>
      </c>
      <c r="G283" s="1" t="s">
        <v>19</v>
      </c>
      <c r="H283" s="1" t="str">
        <f>"64"</f>
        <v>64</v>
      </c>
      <c r="I283" s="1" t="str">
        <f>"157.91"</f>
        <v>157.91</v>
      </c>
      <c r="J283" s="1" t="str">
        <f t="shared" ref="J283:J286" si="336">"0"</f>
        <v>0</v>
      </c>
      <c r="K283" s="1" t="str">
        <f t="shared" ref="K283:K286" si="337">"103"</f>
        <v>103</v>
      </c>
      <c r="L283" s="1" t="str">
        <f t="shared" ref="L283:L286" si="338">"47"</f>
        <v>47</v>
      </c>
      <c r="M283" s="1" t="str">
        <f t="shared" si="328"/>
        <v>0</v>
      </c>
      <c r="N283" s="1" t="str">
        <f t="shared" si="329"/>
        <v>0</v>
      </c>
      <c r="O283" s="1" t="str">
        <f>"7.91"</f>
        <v>7.91</v>
      </c>
    </row>
    <row r="284" s="1" customFormat="1" spans="1:15">
      <c r="A284" s="1" t="str">
        <f t="shared" si="316"/>
        <v>202406</v>
      </c>
      <c r="B284" s="1" t="str">
        <f t="shared" si="317"/>
        <v>150525100</v>
      </c>
      <c r="C284" s="1" t="str">
        <f>"1040682070"</f>
        <v>1040682070</v>
      </c>
      <c r="D284" s="1" t="str">
        <f>"152326195210030943"</f>
        <v>152326195210030943</v>
      </c>
      <c r="E284" s="1" t="s">
        <v>310</v>
      </c>
      <c r="F284" s="1" t="s">
        <v>16</v>
      </c>
      <c r="G284" s="1" t="s">
        <v>19</v>
      </c>
      <c r="H284" s="1" t="str">
        <f>"72"</f>
        <v>72</v>
      </c>
      <c r="I284" s="1" t="str">
        <f>"161.47"</f>
        <v>161.47</v>
      </c>
      <c r="J284" s="1" t="str">
        <f t="shared" si="336"/>
        <v>0</v>
      </c>
      <c r="K284" s="1" t="str">
        <f t="shared" si="337"/>
        <v>103</v>
      </c>
      <c r="L284" s="1" t="str">
        <f t="shared" si="338"/>
        <v>47</v>
      </c>
      <c r="M284" s="1" t="str">
        <f t="shared" si="328"/>
        <v>0</v>
      </c>
      <c r="N284" s="1" t="str">
        <f t="shared" si="329"/>
        <v>0</v>
      </c>
      <c r="O284" s="1" t="str">
        <f>"1.47"</f>
        <v>1.47</v>
      </c>
    </row>
    <row r="285" s="1" customFormat="1" spans="1:15">
      <c r="A285" s="1" t="str">
        <f t="shared" si="316"/>
        <v>202406</v>
      </c>
      <c r="B285" s="1" t="str">
        <f t="shared" si="317"/>
        <v>150525100</v>
      </c>
      <c r="C285" s="1" t="str">
        <f>"1040682085"</f>
        <v>1040682085</v>
      </c>
      <c r="D285" s="1" t="str">
        <f>"152326195912100926"</f>
        <v>152326195912100926</v>
      </c>
      <c r="E285" s="1" t="s">
        <v>311</v>
      </c>
      <c r="F285" s="1" t="s">
        <v>16</v>
      </c>
      <c r="G285" s="1" t="s">
        <v>19</v>
      </c>
      <c r="H285" s="1" t="str">
        <f>"65"</f>
        <v>65</v>
      </c>
      <c r="I285" s="1" t="str">
        <f>"156.96"</f>
        <v>156.96</v>
      </c>
      <c r="J285" s="1" t="str">
        <f t="shared" si="336"/>
        <v>0</v>
      </c>
      <c r="K285" s="1" t="str">
        <f t="shared" si="337"/>
        <v>103</v>
      </c>
      <c r="L285" s="1" t="str">
        <f t="shared" si="338"/>
        <v>47</v>
      </c>
      <c r="M285" s="1" t="str">
        <f t="shared" si="328"/>
        <v>0</v>
      </c>
      <c r="N285" s="1" t="str">
        <f t="shared" si="329"/>
        <v>0</v>
      </c>
      <c r="O285" s="1" t="str">
        <f>"6.96"</f>
        <v>6.96</v>
      </c>
    </row>
    <row r="286" s="1" customFormat="1" spans="1:15">
      <c r="A286" s="1" t="str">
        <f t="shared" si="316"/>
        <v>202406</v>
      </c>
      <c r="B286" s="1" t="str">
        <f t="shared" si="317"/>
        <v>150525100</v>
      </c>
      <c r="C286" s="1" t="str">
        <f>"1040682109"</f>
        <v>1040682109</v>
      </c>
      <c r="D286" s="1" t="str">
        <f>"152326195903110428"</f>
        <v>152326195903110428</v>
      </c>
      <c r="E286" s="1" t="s">
        <v>312</v>
      </c>
      <c r="F286" s="1" t="s">
        <v>16</v>
      </c>
      <c r="G286" s="1" t="s">
        <v>17</v>
      </c>
      <c r="H286" s="1" t="str">
        <f>"65"</f>
        <v>65</v>
      </c>
      <c r="I286" s="1" t="str">
        <f>"156.88"</f>
        <v>156.88</v>
      </c>
      <c r="J286" s="1" t="str">
        <f t="shared" si="336"/>
        <v>0</v>
      </c>
      <c r="K286" s="1" t="str">
        <f t="shared" si="337"/>
        <v>103</v>
      </c>
      <c r="L286" s="1" t="str">
        <f t="shared" si="338"/>
        <v>47</v>
      </c>
      <c r="M286" s="1" t="str">
        <f t="shared" si="328"/>
        <v>0</v>
      </c>
      <c r="N286" s="1" t="str">
        <f t="shared" si="329"/>
        <v>0</v>
      </c>
      <c r="O286" s="1" t="str">
        <f>"6.88"</f>
        <v>6.88</v>
      </c>
    </row>
    <row r="287" s="1" customFormat="1" spans="1:15">
      <c r="A287" s="1" t="str">
        <f t="shared" si="316"/>
        <v>202406</v>
      </c>
      <c r="B287" s="1" t="str">
        <f t="shared" si="317"/>
        <v>150525100</v>
      </c>
      <c r="C287" s="1" t="str">
        <f>"1040682193"</f>
        <v>1040682193</v>
      </c>
      <c r="D287" s="1" t="str">
        <f>"152326195810080418"</f>
        <v>152326195810080418</v>
      </c>
      <c r="E287" s="1" t="s">
        <v>313</v>
      </c>
      <c r="F287" s="1" t="s">
        <v>25</v>
      </c>
      <c r="G287" s="1" t="s">
        <v>17</v>
      </c>
      <c r="H287" s="1" t="str">
        <f>"66"</f>
        <v>66</v>
      </c>
      <c r="I287" s="1" t="str">
        <f>"935.46"</f>
        <v>935.46</v>
      </c>
      <c r="J287" s="1" t="str">
        <f>"779.55"</f>
        <v>779.55</v>
      </c>
      <c r="K287" s="1" t="str">
        <f>"618"</f>
        <v>618</v>
      </c>
      <c r="L287" s="1" t="str">
        <f>"282"</f>
        <v>282</v>
      </c>
      <c r="M287" s="1" t="str">
        <f t="shared" si="328"/>
        <v>0</v>
      </c>
      <c r="N287" s="1" t="str">
        <f t="shared" si="329"/>
        <v>0</v>
      </c>
      <c r="O287" s="1" t="str">
        <f>"35.46"</f>
        <v>35.46</v>
      </c>
    </row>
    <row r="288" s="1" customFormat="1" spans="1:15">
      <c r="A288" s="1" t="str">
        <f t="shared" si="316"/>
        <v>202406</v>
      </c>
      <c r="B288" s="1" t="str">
        <f t="shared" si="317"/>
        <v>150525100</v>
      </c>
      <c r="C288" s="1" t="str">
        <f>"1040682202"</f>
        <v>1040682202</v>
      </c>
      <c r="D288" s="1" t="str">
        <f>"152326196308083087"</f>
        <v>152326196308083087</v>
      </c>
      <c r="E288" s="1" t="s">
        <v>314</v>
      </c>
      <c r="F288" s="1" t="s">
        <v>16</v>
      </c>
      <c r="G288" s="1" t="s">
        <v>19</v>
      </c>
      <c r="H288" s="1" t="str">
        <f t="shared" ref="H288:H293" si="339">"61"</f>
        <v>61</v>
      </c>
      <c r="I288" s="1" t="str">
        <f>"163.7"</f>
        <v>163.7</v>
      </c>
      <c r="J288" s="1" t="str">
        <f t="shared" ref="J288:J290" si="340">"0"</f>
        <v>0</v>
      </c>
      <c r="K288" s="1" t="str">
        <f t="shared" ref="K288:K290" si="341">"103"</f>
        <v>103</v>
      </c>
      <c r="L288" s="1" t="str">
        <f t="shared" ref="L288:L290" si="342">"47"</f>
        <v>47</v>
      </c>
      <c r="M288" s="1" t="str">
        <f t="shared" si="328"/>
        <v>0</v>
      </c>
      <c r="N288" s="1" t="str">
        <f t="shared" si="329"/>
        <v>0</v>
      </c>
      <c r="O288" s="1" t="str">
        <f>"13.7"</f>
        <v>13.7</v>
      </c>
    </row>
    <row r="289" s="1" customFormat="1" spans="1:15">
      <c r="A289" s="1" t="str">
        <f t="shared" si="316"/>
        <v>202406</v>
      </c>
      <c r="B289" s="1" t="str">
        <f t="shared" si="317"/>
        <v>150525100</v>
      </c>
      <c r="C289" s="1" t="str">
        <f>"1040682315"</f>
        <v>1040682315</v>
      </c>
      <c r="D289" s="1" t="str">
        <f>"152326195501130661"</f>
        <v>152326195501130661</v>
      </c>
      <c r="E289" s="1" t="s">
        <v>315</v>
      </c>
      <c r="F289" s="1" t="s">
        <v>16</v>
      </c>
      <c r="G289" s="1" t="s">
        <v>19</v>
      </c>
      <c r="H289" s="1" t="str">
        <f>"69"</f>
        <v>69</v>
      </c>
      <c r="I289" s="1" t="str">
        <f>"153.89"</f>
        <v>153.89</v>
      </c>
      <c r="J289" s="1" t="str">
        <f t="shared" si="340"/>
        <v>0</v>
      </c>
      <c r="K289" s="1" t="str">
        <f t="shared" si="341"/>
        <v>103</v>
      </c>
      <c r="L289" s="1" t="str">
        <f t="shared" si="342"/>
        <v>47</v>
      </c>
      <c r="M289" s="1" t="str">
        <f t="shared" si="328"/>
        <v>0</v>
      </c>
      <c r="N289" s="1" t="str">
        <f t="shared" si="329"/>
        <v>0</v>
      </c>
      <c r="O289" s="1" t="str">
        <f>"3.89"</f>
        <v>3.89</v>
      </c>
    </row>
    <row r="290" s="1" customFormat="1" spans="1:15">
      <c r="A290" s="1" t="str">
        <f t="shared" si="316"/>
        <v>202406</v>
      </c>
      <c r="B290" s="1" t="str">
        <f t="shared" si="317"/>
        <v>150525100</v>
      </c>
      <c r="C290" s="1" t="str">
        <f>"1040682277"</f>
        <v>1040682277</v>
      </c>
      <c r="D290" s="1" t="str">
        <f>"152326195210140413"</f>
        <v>152326195210140413</v>
      </c>
      <c r="E290" s="1" t="s">
        <v>316</v>
      </c>
      <c r="F290" s="1" t="s">
        <v>25</v>
      </c>
      <c r="G290" s="1" t="s">
        <v>17</v>
      </c>
      <c r="H290" s="1" t="str">
        <f>"72"</f>
        <v>72</v>
      </c>
      <c r="I290" s="1" t="str">
        <f>"161.48"</f>
        <v>161.48</v>
      </c>
      <c r="J290" s="1" t="str">
        <f t="shared" si="340"/>
        <v>0</v>
      </c>
      <c r="K290" s="1" t="str">
        <f t="shared" si="341"/>
        <v>103</v>
      </c>
      <c r="L290" s="1" t="str">
        <f t="shared" si="342"/>
        <v>47</v>
      </c>
      <c r="M290" s="1" t="str">
        <f t="shared" si="328"/>
        <v>0</v>
      </c>
      <c r="N290" s="1" t="str">
        <f t="shared" si="329"/>
        <v>0</v>
      </c>
      <c r="O290" s="1" t="str">
        <f>"1.48"</f>
        <v>1.48</v>
      </c>
    </row>
    <row r="291" s="1" customFormat="1" spans="1:15">
      <c r="A291" s="1" t="str">
        <f t="shared" si="316"/>
        <v>202406</v>
      </c>
      <c r="B291" s="1" t="str">
        <f t="shared" si="317"/>
        <v>150525100</v>
      </c>
      <c r="C291" s="1" t="str">
        <f>"1040682332"</f>
        <v>1040682332</v>
      </c>
      <c r="D291" s="1" t="str">
        <f>"152326196401046379"</f>
        <v>152326196401046379</v>
      </c>
      <c r="E291" s="1" t="s">
        <v>317</v>
      </c>
      <c r="F291" s="1" t="s">
        <v>25</v>
      </c>
      <c r="G291" s="1" t="s">
        <v>17</v>
      </c>
      <c r="H291" s="1" t="str">
        <f t="shared" si="339"/>
        <v>61</v>
      </c>
      <c r="I291" s="1" t="str">
        <f>"827.1"</f>
        <v>827.1</v>
      </c>
      <c r="J291" s="1" t="str">
        <f>"661.68"</f>
        <v>661.68</v>
      </c>
      <c r="K291" s="1" t="str">
        <f>"515"</f>
        <v>515</v>
      </c>
      <c r="L291" s="1" t="str">
        <f>"235"</f>
        <v>235</v>
      </c>
      <c r="M291" s="1" t="str">
        <f t="shared" si="328"/>
        <v>0</v>
      </c>
      <c r="N291" s="1" t="str">
        <f t="shared" si="329"/>
        <v>0</v>
      </c>
      <c r="O291" s="1" t="str">
        <f>"77.1"</f>
        <v>77.1</v>
      </c>
    </row>
    <row r="292" s="1" customFormat="1" spans="1:15">
      <c r="A292" s="1" t="str">
        <f t="shared" si="316"/>
        <v>202406</v>
      </c>
      <c r="B292" s="1" t="str">
        <f t="shared" si="317"/>
        <v>150525100</v>
      </c>
      <c r="C292" s="1" t="str">
        <f>"1040682407"</f>
        <v>1040682407</v>
      </c>
      <c r="D292" s="1" t="str">
        <f>"152326195505150416"</f>
        <v>152326195505150416</v>
      </c>
      <c r="E292" s="1" t="s">
        <v>318</v>
      </c>
      <c r="F292" s="1" t="s">
        <v>25</v>
      </c>
      <c r="G292" s="1" t="s">
        <v>17</v>
      </c>
      <c r="H292" s="1" t="str">
        <f>"69"</f>
        <v>69</v>
      </c>
      <c r="I292" s="1" t="str">
        <f>"153.89"</f>
        <v>153.89</v>
      </c>
      <c r="J292" s="1" t="str">
        <f t="shared" ref="J292:J304" si="343">"0"</f>
        <v>0</v>
      </c>
      <c r="K292" s="1" t="str">
        <f t="shared" ref="K292:K304" si="344">"103"</f>
        <v>103</v>
      </c>
      <c r="L292" s="1" t="str">
        <f t="shared" ref="L292:L304" si="345">"47"</f>
        <v>47</v>
      </c>
      <c r="M292" s="1" t="str">
        <f t="shared" si="328"/>
        <v>0</v>
      </c>
      <c r="N292" s="1" t="str">
        <f t="shared" si="329"/>
        <v>0</v>
      </c>
      <c r="O292" s="1" t="str">
        <f>"3.89"</f>
        <v>3.89</v>
      </c>
    </row>
    <row r="293" s="1" customFormat="1" spans="1:15">
      <c r="A293" s="1" t="str">
        <f t="shared" si="316"/>
        <v>202406</v>
      </c>
      <c r="B293" s="1" t="str">
        <f t="shared" si="317"/>
        <v>150525100</v>
      </c>
      <c r="C293" s="1" t="str">
        <f>"1040682425"</f>
        <v>1040682425</v>
      </c>
      <c r="D293" s="1" t="str">
        <f>"152326196301250444"</f>
        <v>152326196301250444</v>
      </c>
      <c r="E293" s="1" t="s">
        <v>319</v>
      </c>
      <c r="F293" s="1" t="s">
        <v>16</v>
      </c>
      <c r="G293" s="1" t="s">
        <v>17</v>
      </c>
      <c r="H293" s="1" t="str">
        <f t="shared" si="339"/>
        <v>61</v>
      </c>
      <c r="I293" s="1" t="str">
        <f>"166.05"</f>
        <v>166.05</v>
      </c>
      <c r="J293" s="1" t="str">
        <f t="shared" si="343"/>
        <v>0</v>
      </c>
      <c r="K293" s="1" t="str">
        <f t="shared" si="344"/>
        <v>103</v>
      </c>
      <c r="L293" s="1" t="str">
        <f t="shared" si="345"/>
        <v>47</v>
      </c>
      <c r="M293" s="1" t="str">
        <f t="shared" si="328"/>
        <v>0</v>
      </c>
      <c r="N293" s="1" t="str">
        <f t="shared" si="329"/>
        <v>0</v>
      </c>
      <c r="O293" s="1" t="str">
        <f>"16.05"</f>
        <v>16.05</v>
      </c>
    </row>
    <row r="294" s="1" customFormat="1" spans="1:15">
      <c r="A294" s="1" t="str">
        <f t="shared" si="316"/>
        <v>202406</v>
      </c>
      <c r="B294" s="1" t="str">
        <f t="shared" si="317"/>
        <v>150525100</v>
      </c>
      <c r="C294" s="1" t="str">
        <f>"1040682375"</f>
        <v>1040682375</v>
      </c>
      <c r="D294" s="1" t="str">
        <f>"152326195901200673"</f>
        <v>152326195901200673</v>
      </c>
      <c r="E294" s="1" t="s">
        <v>320</v>
      </c>
      <c r="F294" s="1" t="s">
        <v>25</v>
      </c>
      <c r="G294" s="1" t="s">
        <v>17</v>
      </c>
      <c r="H294" s="1" t="str">
        <f>"65"</f>
        <v>65</v>
      </c>
      <c r="I294" s="1" t="str">
        <f>"156.85"</f>
        <v>156.85</v>
      </c>
      <c r="J294" s="1" t="str">
        <f t="shared" si="343"/>
        <v>0</v>
      </c>
      <c r="K294" s="1" t="str">
        <f t="shared" si="344"/>
        <v>103</v>
      </c>
      <c r="L294" s="1" t="str">
        <f t="shared" si="345"/>
        <v>47</v>
      </c>
      <c r="M294" s="1" t="str">
        <f t="shared" si="328"/>
        <v>0</v>
      </c>
      <c r="N294" s="1" t="str">
        <f t="shared" si="329"/>
        <v>0</v>
      </c>
      <c r="O294" s="1" t="str">
        <f>"6.85"</f>
        <v>6.85</v>
      </c>
    </row>
    <row r="295" s="1" customFormat="1" spans="1:15">
      <c r="A295" s="1" t="str">
        <f t="shared" si="316"/>
        <v>202406</v>
      </c>
      <c r="B295" s="1" t="str">
        <f t="shared" si="317"/>
        <v>150525100</v>
      </c>
      <c r="C295" s="1" t="str">
        <f>"1040682394"</f>
        <v>1040682394</v>
      </c>
      <c r="D295" s="1" t="str">
        <f>"152326195710200435"</f>
        <v>152326195710200435</v>
      </c>
      <c r="E295" s="1" t="s">
        <v>321</v>
      </c>
      <c r="F295" s="1" t="s">
        <v>25</v>
      </c>
      <c r="G295" s="1" t="s">
        <v>17</v>
      </c>
      <c r="H295" s="1" t="str">
        <f>"67"</f>
        <v>67</v>
      </c>
      <c r="I295" s="1" t="str">
        <f>"155.83"</f>
        <v>155.83</v>
      </c>
      <c r="J295" s="1" t="str">
        <f t="shared" si="343"/>
        <v>0</v>
      </c>
      <c r="K295" s="1" t="str">
        <f t="shared" si="344"/>
        <v>103</v>
      </c>
      <c r="L295" s="1" t="str">
        <f t="shared" si="345"/>
        <v>47</v>
      </c>
      <c r="M295" s="1" t="str">
        <f t="shared" si="328"/>
        <v>0</v>
      </c>
      <c r="N295" s="1" t="str">
        <f t="shared" si="329"/>
        <v>0</v>
      </c>
      <c r="O295" s="1" t="str">
        <f>"5.83"</f>
        <v>5.83</v>
      </c>
    </row>
    <row r="296" s="1" customFormat="1" spans="1:15">
      <c r="A296" s="1" t="str">
        <f t="shared" si="316"/>
        <v>202406</v>
      </c>
      <c r="B296" s="1" t="str">
        <f t="shared" si="317"/>
        <v>150525100</v>
      </c>
      <c r="C296" s="1" t="str">
        <f>"1040689476"</f>
        <v>1040689476</v>
      </c>
      <c r="D296" s="1" t="str">
        <f>"152326195402013320"</f>
        <v>152326195402013320</v>
      </c>
      <c r="E296" s="1" t="s">
        <v>322</v>
      </c>
      <c r="F296" s="1" t="s">
        <v>16</v>
      </c>
      <c r="G296" s="1" t="s">
        <v>19</v>
      </c>
      <c r="H296" s="1" t="str">
        <f>"70"</f>
        <v>70</v>
      </c>
      <c r="I296" s="1" t="str">
        <f>"163.25"</f>
        <v>163.25</v>
      </c>
      <c r="J296" s="1" t="str">
        <f t="shared" si="343"/>
        <v>0</v>
      </c>
      <c r="K296" s="1" t="str">
        <f t="shared" si="344"/>
        <v>103</v>
      </c>
      <c r="L296" s="1" t="str">
        <f t="shared" si="345"/>
        <v>47</v>
      </c>
      <c r="M296" s="1" t="str">
        <f t="shared" si="328"/>
        <v>0</v>
      </c>
      <c r="N296" s="1" t="str">
        <f t="shared" si="329"/>
        <v>0</v>
      </c>
      <c r="O296" s="1" t="str">
        <f>"3.25"</f>
        <v>3.25</v>
      </c>
    </row>
    <row r="297" s="1" customFormat="1" spans="1:15">
      <c r="A297" s="1" t="str">
        <f t="shared" si="316"/>
        <v>202406</v>
      </c>
      <c r="B297" s="1" t="str">
        <f t="shared" si="317"/>
        <v>150525100</v>
      </c>
      <c r="C297" s="1" t="str">
        <f>"1040681295"</f>
        <v>1040681295</v>
      </c>
      <c r="D297" s="1" t="str">
        <f>"152326195610023080"</f>
        <v>152326195610023080</v>
      </c>
      <c r="E297" s="1" t="s">
        <v>323</v>
      </c>
      <c r="F297" s="1" t="s">
        <v>16</v>
      </c>
      <c r="G297" s="1" t="s">
        <v>17</v>
      </c>
      <c r="H297" s="1" t="str">
        <f t="shared" ref="H297:H303" si="346">"68"</f>
        <v>68</v>
      </c>
      <c r="I297" s="1" t="str">
        <f>"154.81"</f>
        <v>154.81</v>
      </c>
      <c r="J297" s="1" t="str">
        <f t="shared" si="343"/>
        <v>0</v>
      </c>
      <c r="K297" s="1" t="str">
        <f t="shared" si="344"/>
        <v>103</v>
      </c>
      <c r="L297" s="1" t="str">
        <f t="shared" si="345"/>
        <v>47</v>
      </c>
      <c r="M297" s="1" t="str">
        <f t="shared" si="328"/>
        <v>0</v>
      </c>
      <c r="N297" s="1" t="str">
        <f t="shared" si="329"/>
        <v>0</v>
      </c>
      <c r="O297" s="1" t="str">
        <f>"4.81"</f>
        <v>4.81</v>
      </c>
    </row>
    <row r="298" s="1" customFormat="1" spans="1:15">
      <c r="A298" s="1" t="str">
        <f t="shared" si="316"/>
        <v>202406</v>
      </c>
      <c r="B298" s="1" t="str">
        <f t="shared" si="317"/>
        <v>150525100</v>
      </c>
      <c r="C298" s="1" t="str">
        <f>"1040681332"</f>
        <v>1040681332</v>
      </c>
      <c r="D298" s="1" t="s">
        <v>324</v>
      </c>
      <c r="E298" s="1" t="s">
        <v>325</v>
      </c>
      <c r="F298" s="1" t="s">
        <v>25</v>
      </c>
      <c r="G298" s="1" t="s">
        <v>17</v>
      </c>
      <c r="H298" s="1" t="str">
        <f>"61"</f>
        <v>61</v>
      </c>
      <c r="I298" s="1" t="str">
        <f>"163.79"</f>
        <v>163.79</v>
      </c>
      <c r="J298" s="1" t="str">
        <f t="shared" si="343"/>
        <v>0</v>
      </c>
      <c r="K298" s="1" t="str">
        <f t="shared" si="344"/>
        <v>103</v>
      </c>
      <c r="L298" s="1" t="str">
        <f t="shared" si="345"/>
        <v>47</v>
      </c>
      <c r="M298" s="1" t="str">
        <f t="shared" si="328"/>
        <v>0</v>
      </c>
      <c r="N298" s="1" t="str">
        <f t="shared" si="329"/>
        <v>0</v>
      </c>
      <c r="O298" s="1" t="str">
        <f>"13.79"</f>
        <v>13.79</v>
      </c>
    </row>
    <row r="299" s="1" customFormat="1" spans="1:15">
      <c r="A299" s="1" t="str">
        <f t="shared" si="316"/>
        <v>202406</v>
      </c>
      <c r="B299" s="1" t="str">
        <f t="shared" si="317"/>
        <v>150525100</v>
      </c>
      <c r="C299" s="1" t="str">
        <f>"1040681357"</f>
        <v>1040681357</v>
      </c>
      <c r="D299" s="1" t="s">
        <v>326</v>
      </c>
      <c r="E299" s="1" t="s">
        <v>327</v>
      </c>
      <c r="F299" s="1" t="s">
        <v>25</v>
      </c>
      <c r="G299" s="1" t="s">
        <v>17</v>
      </c>
      <c r="H299" s="1" t="str">
        <f>"61"</f>
        <v>61</v>
      </c>
      <c r="I299" s="1" t="str">
        <f>"165.19"</f>
        <v>165.19</v>
      </c>
      <c r="J299" s="1" t="str">
        <f t="shared" si="343"/>
        <v>0</v>
      </c>
      <c r="K299" s="1" t="str">
        <f t="shared" si="344"/>
        <v>103</v>
      </c>
      <c r="L299" s="1" t="str">
        <f t="shared" si="345"/>
        <v>47</v>
      </c>
      <c r="M299" s="1" t="str">
        <f t="shared" si="328"/>
        <v>0</v>
      </c>
      <c r="N299" s="1" t="str">
        <f t="shared" si="329"/>
        <v>0</v>
      </c>
      <c r="O299" s="1" t="str">
        <f>"15.19"</f>
        <v>15.19</v>
      </c>
    </row>
    <row r="300" s="1" customFormat="1" spans="1:15">
      <c r="A300" s="1" t="str">
        <f t="shared" si="316"/>
        <v>202406</v>
      </c>
      <c r="B300" s="1" t="str">
        <f t="shared" si="317"/>
        <v>150525100</v>
      </c>
      <c r="C300" s="1" t="str">
        <f>"1040681412"</f>
        <v>1040681412</v>
      </c>
      <c r="D300" s="1" t="str">
        <f>"152326196205120682"</f>
        <v>152326196205120682</v>
      </c>
      <c r="E300" s="1" t="s">
        <v>328</v>
      </c>
      <c r="F300" s="1" t="s">
        <v>16</v>
      </c>
      <c r="G300" s="1" t="s">
        <v>17</v>
      </c>
      <c r="H300" s="1" t="str">
        <f>"62"</f>
        <v>62</v>
      </c>
      <c r="I300" s="1" t="str">
        <f>"161.68"</f>
        <v>161.68</v>
      </c>
      <c r="J300" s="1" t="str">
        <f t="shared" si="343"/>
        <v>0</v>
      </c>
      <c r="K300" s="1" t="str">
        <f t="shared" si="344"/>
        <v>103</v>
      </c>
      <c r="L300" s="1" t="str">
        <f t="shared" si="345"/>
        <v>47</v>
      </c>
      <c r="M300" s="1" t="str">
        <f t="shared" si="328"/>
        <v>0</v>
      </c>
      <c r="N300" s="1" t="str">
        <f t="shared" si="329"/>
        <v>0</v>
      </c>
      <c r="O300" s="1" t="str">
        <f>"11.68"</f>
        <v>11.68</v>
      </c>
    </row>
    <row r="301" s="1" customFormat="1" spans="1:15">
      <c r="A301" s="1" t="str">
        <f t="shared" si="316"/>
        <v>202406</v>
      </c>
      <c r="B301" s="1" t="str">
        <f t="shared" si="317"/>
        <v>150525100</v>
      </c>
      <c r="C301" s="1" t="str">
        <f>"1040681425"</f>
        <v>1040681425</v>
      </c>
      <c r="D301" s="1" t="str">
        <f>"152326195601090660"</f>
        <v>152326195601090660</v>
      </c>
      <c r="E301" s="1" t="s">
        <v>329</v>
      </c>
      <c r="F301" s="1" t="s">
        <v>16</v>
      </c>
      <c r="G301" s="1" t="s">
        <v>17</v>
      </c>
      <c r="H301" s="1" t="str">
        <f t="shared" si="346"/>
        <v>68</v>
      </c>
      <c r="I301" s="1" t="str">
        <f>"159.26"</f>
        <v>159.26</v>
      </c>
      <c r="J301" s="1" t="str">
        <f t="shared" si="343"/>
        <v>0</v>
      </c>
      <c r="K301" s="1" t="str">
        <f t="shared" si="344"/>
        <v>103</v>
      </c>
      <c r="L301" s="1" t="str">
        <f t="shared" si="345"/>
        <v>47</v>
      </c>
      <c r="M301" s="1" t="str">
        <f t="shared" si="328"/>
        <v>0</v>
      </c>
      <c r="N301" s="1" t="str">
        <f t="shared" si="329"/>
        <v>0</v>
      </c>
      <c r="O301" s="1" t="str">
        <f>"9.26"</f>
        <v>9.26</v>
      </c>
    </row>
    <row r="302" s="1" customFormat="1" spans="1:15">
      <c r="A302" s="1" t="str">
        <f t="shared" si="316"/>
        <v>202406</v>
      </c>
      <c r="B302" s="1" t="str">
        <f t="shared" si="317"/>
        <v>150525100</v>
      </c>
      <c r="C302" s="1" t="str">
        <f>"1040681427"</f>
        <v>1040681427</v>
      </c>
      <c r="D302" s="1" t="str">
        <f>"152326195610103814"</f>
        <v>152326195610103814</v>
      </c>
      <c r="E302" s="1" t="s">
        <v>330</v>
      </c>
      <c r="F302" s="1" t="s">
        <v>25</v>
      </c>
      <c r="G302" s="1" t="s">
        <v>17</v>
      </c>
      <c r="H302" s="1" t="str">
        <f t="shared" si="346"/>
        <v>68</v>
      </c>
      <c r="I302" s="1" t="str">
        <f>"154.87"</f>
        <v>154.87</v>
      </c>
      <c r="J302" s="1" t="str">
        <f t="shared" si="343"/>
        <v>0</v>
      </c>
      <c r="K302" s="1" t="str">
        <f t="shared" si="344"/>
        <v>103</v>
      </c>
      <c r="L302" s="1" t="str">
        <f t="shared" si="345"/>
        <v>47</v>
      </c>
      <c r="M302" s="1" t="str">
        <f t="shared" si="328"/>
        <v>0</v>
      </c>
      <c r="N302" s="1" t="str">
        <f t="shared" si="329"/>
        <v>0</v>
      </c>
      <c r="O302" s="1" t="str">
        <f>"4.87"</f>
        <v>4.87</v>
      </c>
    </row>
    <row r="303" s="1" customFormat="1" spans="1:15">
      <c r="A303" s="1" t="str">
        <f t="shared" si="316"/>
        <v>202406</v>
      </c>
      <c r="B303" s="1" t="str">
        <f t="shared" si="317"/>
        <v>150525100</v>
      </c>
      <c r="C303" s="1" t="str">
        <f>"1040682461"</f>
        <v>1040682461</v>
      </c>
      <c r="D303" s="1" t="str">
        <f>"152326195612180426"</f>
        <v>152326195612180426</v>
      </c>
      <c r="E303" s="1" t="s">
        <v>331</v>
      </c>
      <c r="F303" s="1" t="s">
        <v>16</v>
      </c>
      <c r="G303" s="1" t="s">
        <v>19</v>
      </c>
      <c r="H303" s="1" t="str">
        <f t="shared" si="346"/>
        <v>68</v>
      </c>
      <c r="I303" s="1" t="str">
        <f>"154.81"</f>
        <v>154.81</v>
      </c>
      <c r="J303" s="1" t="str">
        <f t="shared" si="343"/>
        <v>0</v>
      </c>
      <c r="K303" s="1" t="str">
        <f t="shared" si="344"/>
        <v>103</v>
      </c>
      <c r="L303" s="1" t="str">
        <f t="shared" si="345"/>
        <v>47</v>
      </c>
      <c r="M303" s="1" t="str">
        <f t="shared" si="328"/>
        <v>0</v>
      </c>
      <c r="N303" s="1" t="str">
        <f t="shared" si="329"/>
        <v>0</v>
      </c>
      <c r="O303" s="1" t="str">
        <f>"4.81"</f>
        <v>4.81</v>
      </c>
    </row>
    <row r="304" s="1" customFormat="1" spans="1:15">
      <c r="A304" s="1" t="str">
        <f t="shared" si="316"/>
        <v>202406</v>
      </c>
      <c r="B304" s="1" t="str">
        <f t="shared" si="317"/>
        <v>150525100</v>
      </c>
      <c r="C304" s="1" t="str">
        <f>"1040682437"</f>
        <v>1040682437</v>
      </c>
      <c r="D304" s="1" t="str">
        <f>"152326196112120448"</f>
        <v>152326196112120448</v>
      </c>
      <c r="E304" s="1" t="s">
        <v>332</v>
      </c>
      <c r="F304" s="1" t="s">
        <v>16</v>
      </c>
      <c r="G304" s="1" t="s">
        <v>17</v>
      </c>
      <c r="H304" s="1" t="str">
        <f>"63"</f>
        <v>63</v>
      </c>
      <c r="I304" s="1" t="str">
        <f>"159.85"</f>
        <v>159.85</v>
      </c>
      <c r="J304" s="1" t="str">
        <f t="shared" si="343"/>
        <v>0</v>
      </c>
      <c r="K304" s="1" t="str">
        <f t="shared" si="344"/>
        <v>103</v>
      </c>
      <c r="L304" s="1" t="str">
        <f t="shared" si="345"/>
        <v>47</v>
      </c>
      <c r="M304" s="1" t="str">
        <f t="shared" si="328"/>
        <v>0</v>
      </c>
      <c r="N304" s="1" t="str">
        <f t="shared" si="329"/>
        <v>0</v>
      </c>
      <c r="O304" s="1" t="str">
        <f>"9.85"</f>
        <v>9.85</v>
      </c>
    </row>
    <row r="305" s="1" customFormat="1" spans="1:15">
      <c r="A305" s="1" t="str">
        <f t="shared" si="316"/>
        <v>202406</v>
      </c>
      <c r="B305" s="1" t="str">
        <f t="shared" si="317"/>
        <v>150525100</v>
      </c>
      <c r="C305" s="1" t="str">
        <f>"1040682453"</f>
        <v>1040682453</v>
      </c>
      <c r="D305" s="1" t="str">
        <f>"152326195911270421"</f>
        <v>152326195911270421</v>
      </c>
      <c r="E305" s="1" t="s">
        <v>333</v>
      </c>
      <c r="F305" s="1" t="s">
        <v>16</v>
      </c>
      <c r="G305" s="1" t="s">
        <v>17</v>
      </c>
      <c r="H305" s="1" t="str">
        <f>"65"</f>
        <v>65</v>
      </c>
      <c r="I305" s="1" t="str">
        <f>"1567"</f>
        <v>1567</v>
      </c>
      <c r="J305" s="1" t="str">
        <f>"1410.3"</f>
        <v>1410.3</v>
      </c>
      <c r="K305" s="1" t="str">
        <f>"1030"</f>
        <v>1030</v>
      </c>
      <c r="L305" s="1" t="str">
        <f>"470"</f>
        <v>470</v>
      </c>
      <c r="M305" s="1" t="str">
        <f t="shared" si="328"/>
        <v>0</v>
      </c>
      <c r="N305" s="1" t="str">
        <f t="shared" si="329"/>
        <v>0</v>
      </c>
      <c r="O305" s="1" t="str">
        <f>"67"</f>
        <v>67</v>
      </c>
    </row>
    <row r="306" s="1" customFormat="1" spans="1:15">
      <c r="A306" s="1" t="str">
        <f t="shared" si="316"/>
        <v>202406</v>
      </c>
      <c r="B306" s="1" t="str">
        <f t="shared" si="317"/>
        <v>150525100</v>
      </c>
      <c r="C306" s="1" t="str">
        <f>"1040682456"</f>
        <v>1040682456</v>
      </c>
      <c r="D306" s="1" t="str">
        <f>"152326196101070414"</f>
        <v>152326196101070414</v>
      </c>
      <c r="E306" s="1" t="s">
        <v>334</v>
      </c>
      <c r="F306" s="1" t="s">
        <v>25</v>
      </c>
      <c r="G306" s="1" t="s">
        <v>17</v>
      </c>
      <c r="H306" s="1" t="str">
        <f>"64"</f>
        <v>64</v>
      </c>
      <c r="I306" s="1" t="str">
        <f>"190.72"</f>
        <v>190.72</v>
      </c>
      <c r="J306" s="1" t="str">
        <f t="shared" ref="J306:J369" si="347">"0"</f>
        <v>0</v>
      </c>
      <c r="K306" s="1" t="str">
        <f t="shared" ref="K306:K369" si="348">"103"</f>
        <v>103</v>
      </c>
      <c r="L306" s="1" t="str">
        <f t="shared" ref="L306:L369" si="349">"47"</f>
        <v>47</v>
      </c>
      <c r="M306" s="1" t="str">
        <f t="shared" si="328"/>
        <v>0</v>
      </c>
      <c r="N306" s="1" t="str">
        <f t="shared" si="329"/>
        <v>0</v>
      </c>
      <c r="O306" s="1" t="str">
        <f>"40.72"</f>
        <v>40.72</v>
      </c>
    </row>
    <row r="307" s="1" customFormat="1" spans="1:15">
      <c r="A307" s="1" t="str">
        <f t="shared" si="316"/>
        <v>202406</v>
      </c>
      <c r="B307" s="1" t="str">
        <f t="shared" si="317"/>
        <v>150525100</v>
      </c>
      <c r="C307" s="1" t="str">
        <f>"1040682503"</f>
        <v>1040682503</v>
      </c>
      <c r="D307" s="1" t="str">
        <f>"152326195611043825"</f>
        <v>152326195611043825</v>
      </c>
      <c r="E307" s="1" t="s">
        <v>335</v>
      </c>
      <c r="F307" s="1" t="s">
        <v>16</v>
      </c>
      <c r="G307" s="1" t="s">
        <v>17</v>
      </c>
      <c r="H307" s="1" t="str">
        <f t="shared" ref="H307:H312" si="350">"68"</f>
        <v>68</v>
      </c>
      <c r="I307" s="1" t="str">
        <f>"154.81"</f>
        <v>154.81</v>
      </c>
      <c r="J307" s="1" t="str">
        <f t="shared" si="347"/>
        <v>0</v>
      </c>
      <c r="K307" s="1" t="str">
        <f t="shared" si="348"/>
        <v>103</v>
      </c>
      <c r="L307" s="1" t="str">
        <f t="shared" si="349"/>
        <v>47</v>
      </c>
      <c r="M307" s="1" t="str">
        <f t="shared" si="328"/>
        <v>0</v>
      </c>
      <c r="N307" s="1" t="str">
        <f t="shared" si="329"/>
        <v>0</v>
      </c>
      <c r="O307" s="1" t="str">
        <f>"4.81"</f>
        <v>4.81</v>
      </c>
    </row>
    <row r="308" s="1" customFormat="1" spans="1:15">
      <c r="A308" s="1" t="str">
        <f t="shared" si="316"/>
        <v>202406</v>
      </c>
      <c r="B308" s="1" t="str">
        <f t="shared" si="317"/>
        <v>150525100</v>
      </c>
      <c r="C308" s="1" t="str">
        <f>"1040682515"</f>
        <v>1040682515</v>
      </c>
      <c r="D308" s="1" t="s">
        <v>336</v>
      </c>
      <c r="E308" s="1" t="s">
        <v>337</v>
      </c>
      <c r="F308" s="1" t="s">
        <v>25</v>
      </c>
      <c r="G308" s="1" t="s">
        <v>19</v>
      </c>
      <c r="H308" s="1" t="str">
        <f t="shared" si="350"/>
        <v>68</v>
      </c>
      <c r="I308" s="1" t="str">
        <f>"154.83"</f>
        <v>154.83</v>
      </c>
      <c r="J308" s="1" t="str">
        <f t="shared" si="347"/>
        <v>0</v>
      </c>
      <c r="K308" s="1" t="str">
        <f t="shared" si="348"/>
        <v>103</v>
      </c>
      <c r="L308" s="1" t="str">
        <f t="shared" si="349"/>
        <v>47</v>
      </c>
      <c r="M308" s="1" t="str">
        <f t="shared" si="328"/>
        <v>0</v>
      </c>
      <c r="N308" s="1" t="str">
        <f t="shared" si="329"/>
        <v>0</v>
      </c>
      <c r="O308" s="1" t="str">
        <f>"4.83"</f>
        <v>4.83</v>
      </c>
    </row>
    <row r="309" s="1" customFormat="1" spans="1:15">
      <c r="A309" s="1" t="str">
        <f t="shared" si="316"/>
        <v>202406</v>
      </c>
      <c r="B309" s="1" t="str">
        <f t="shared" si="317"/>
        <v>150525100</v>
      </c>
      <c r="C309" s="1" t="str">
        <f>"1040682520"</f>
        <v>1040682520</v>
      </c>
      <c r="D309" s="1" t="str">
        <f>"152326195509253316"</f>
        <v>152326195509253316</v>
      </c>
      <c r="E309" s="1" t="s">
        <v>338</v>
      </c>
      <c r="F309" s="1" t="s">
        <v>25</v>
      </c>
      <c r="G309" s="1" t="s">
        <v>17</v>
      </c>
      <c r="H309" s="1" t="str">
        <f>"69"</f>
        <v>69</v>
      </c>
      <c r="I309" s="1" t="str">
        <f>"153.89"</f>
        <v>153.89</v>
      </c>
      <c r="J309" s="1" t="str">
        <f t="shared" si="347"/>
        <v>0</v>
      </c>
      <c r="K309" s="1" t="str">
        <f t="shared" si="348"/>
        <v>103</v>
      </c>
      <c r="L309" s="1" t="str">
        <f t="shared" si="349"/>
        <v>47</v>
      </c>
      <c r="M309" s="1" t="str">
        <f t="shared" si="328"/>
        <v>0</v>
      </c>
      <c r="N309" s="1" t="str">
        <f t="shared" si="329"/>
        <v>0</v>
      </c>
      <c r="O309" s="1" t="str">
        <f>"3.89"</f>
        <v>3.89</v>
      </c>
    </row>
    <row r="310" s="1" customFormat="1" spans="1:15">
      <c r="A310" s="1" t="str">
        <f t="shared" si="316"/>
        <v>202406</v>
      </c>
      <c r="B310" s="1" t="str">
        <f t="shared" si="317"/>
        <v>150525100</v>
      </c>
      <c r="C310" s="1" t="str">
        <f>"1040682526"</f>
        <v>1040682526</v>
      </c>
      <c r="D310" s="1" t="str">
        <f>"152326196207133321"</f>
        <v>152326196207133321</v>
      </c>
      <c r="E310" s="1" t="s">
        <v>339</v>
      </c>
      <c r="F310" s="1" t="s">
        <v>16</v>
      </c>
      <c r="G310" s="1" t="s">
        <v>17</v>
      </c>
      <c r="H310" s="1" t="str">
        <f>"62"</f>
        <v>62</v>
      </c>
      <c r="I310" s="1" t="str">
        <f>"161.75"</f>
        <v>161.75</v>
      </c>
      <c r="J310" s="1" t="str">
        <f t="shared" si="347"/>
        <v>0</v>
      </c>
      <c r="K310" s="1" t="str">
        <f t="shared" si="348"/>
        <v>103</v>
      </c>
      <c r="L310" s="1" t="str">
        <f t="shared" si="349"/>
        <v>47</v>
      </c>
      <c r="M310" s="1" t="str">
        <f t="shared" si="328"/>
        <v>0</v>
      </c>
      <c r="N310" s="1" t="str">
        <f t="shared" si="329"/>
        <v>0</v>
      </c>
      <c r="O310" s="1" t="str">
        <f>"11.75"</f>
        <v>11.75</v>
      </c>
    </row>
    <row r="311" s="1" customFormat="1" spans="1:15">
      <c r="A311" s="1" t="str">
        <f t="shared" si="316"/>
        <v>202406</v>
      </c>
      <c r="B311" s="1" t="str">
        <f t="shared" si="317"/>
        <v>150525100</v>
      </c>
      <c r="C311" s="1" t="str">
        <f>"1040682534"</f>
        <v>1040682534</v>
      </c>
      <c r="D311" s="1" t="str">
        <f>"152326195708253319"</f>
        <v>152326195708253319</v>
      </c>
      <c r="E311" s="1" t="s">
        <v>340</v>
      </c>
      <c r="F311" s="1" t="s">
        <v>25</v>
      </c>
      <c r="G311" s="1" t="s">
        <v>19</v>
      </c>
      <c r="H311" s="1" t="str">
        <f>"67"</f>
        <v>67</v>
      </c>
      <c r="I311" s="1" t="str">
        <f>"154.87"</f>
        <v>154.87</v>
      </c>
      <c r="J311" s="1" t="str">
        <f t="shared" si="347"/>
        <v>0</v>
      </c>
      <c r="K311" s="1" t="str">
        <f t="shared" si="348"/>
        <v>103</v>
      </c>
      <c r="L311" s="1" t="str">
        <f t="shared" si="349"/>
        <v>47</v>
      </c>
      <c r="M311" s="1" t="str">
        <f t="shared" si="328"/>
        <v>0</v>
      </c>
      <c r="N311" s="1" t="str">
        <f t="shared" si="329"/>
        <v>0</v>
      </c>
      <c r="O311" s="1" t="str">
        <f>"4.87"</f>
        <v>4.87</v>
      </c>
    </row>
    <row r="312" s="1" customFormat="1" spans="1:15">
      <c r="A312" s="1" t="str">
        <f t="shared" si="316"/>
        <v>202406</v>
      </c>
      <c r="B312" s="1" t="str">
        <f t="shared" si="317"/>
        <v>150525100</v>
      </c>
      <c r="C312" s="1" t="str">
        <f>"1040682548"</f>
        <v>1040682548</v>
      </c>
      <c r="D312" s="1" t="str">
        <f>"152326195602013317"</f>
        <v>152326195602013317</v>
      </c>
      <c r="E312" s="1" t="s">
        <v>341</v>
      </c>
      <c r="F312" s="1" t="s">
        <v>25</v>
      </c>
      <c r="G312" s="1" t="s">
        <v>19</v>
      </c>
      <c r="H312" s="1" t="str">
        <f t="shared" si="350"/>
        <v>68</v>
      </c>
      <c r="I312" s="1" t="str">
        <f>"154.82"</f>
        <v>154.82</v>
      </c>
      <c r="J312" s="1" t="str">
        <f t="shared" si="347"/>
        <v>0</v>
      </c>
      <c r="K312" s="1" t="str">
        <f t="shared" si="348"/>
        <v>103</v>
      </c>
      <c r="L312" s="1" t="str">
        <f t="shared" si="349"/>
        <v>47</v>
      </c>
      <c r="M312" s="1" t="str">
        <f t="shared" si="328"/>
        <v>0</v>
      </c>
      <c r="N312" s="1" t="str">
        <f t="shared" si="329"/>
        <v>0</v>
      </c>
      <c r="O312" s="1" t="str">
        <f>"4.82"</f>
        <v>4.82</v>
      </c>
    </row>
    <row r="313" s="1" customFormat="1" spans="1:15">
      <c r="A313" s="1" t="str">
        <f t="shared" si="316"/>
        <v>202406</v>
      </c>
      <c r="B313" s="1" t="str">
        <f t="shared" si="317"/>
        <v>150525100</v>
      </c>
      <c r="C313" s="1" t="str">
        <f>"1040690393"</f>
        <v>1040690393</v>
      </c>
      <c r="D313" s="1" t="str">
        <f>"152326195311010669"</f>
        <v>152326195311010669</v>
      </c>
      <c r="E313" s="1" t="s">
        <v>342</v>
      </c>
      <c r="F313" s="1" t="s">
        <v>16</v>
      </c>
      <c r="G313" s="1" t="s">
        <v>19</v>
      </c>
      <c r="H313" s="1" t="str">
        <f>"71"</f>
        <v>71</v>
      </c>
      <c r="I313" s="1" t="str">
        <f>"162.25"</f>
        <v>162.25</v>
      </c>
      <c r="J313" s="1" t="str">
        <f t="shared" si="347"/>
        <v>0</v>
      </c>
      <c r="K313" s="1" t="str">
        <f t="shared" si="348"/>
        <v>103</v>
      </c>
      <c r="L313" s="1" t="str">
        <f t="shared" si="349"/>
        <v>47</v>
      </c>
      <c r="M313" s="1" t="str">
        <f t="shared" si="328"/>
        <v>0</v>
      </c>
      <c r="N313" s="1" t="str">
        <f t="shared" si="329"/>
        <v>0</v>
      </c>
      <c r="O313" s="1" t="str">
        <f>"2.25"</f>
        <v>2.25</v>
      </c>
    </row>
    <row r="314" s="1" customFormat="1" spans="1:15">
      <c r="A314" s="1" t="str">
        <f t="shared" si="316"/>
        <v>202406</v>
      </c>
      <c r="B314" s="1" t="str">
        <f t="shared" si="317"/>
        <v>150525100</v>
      </c>
      <c r="C314" s="1" t="str">
        <f>"1040689962"</f>
        <v>1040689962</v>
      </c>
      <c r="D314" s="1" t="str">
        <f>"152326195711013076"</f>
        <v>152326195711013076</v>
      </c>
      <c r="E314" s="1" t="s">
        <v>343</v>
      </c>
      <c r="F314" s="1" t="s">
        <v>25</v>
      </c>
      <c r="G314" s="1" t="s">
        <v>17</v>
      </c>
      <c r="H314" s="1" t="str">
        <f>"67"</f>
        <v>67</v>
      </c>
      <c r="I314" s="1" t="str">
        <f>"155.2"</f>
        <v>155.2</v>
      </c>
      <c r="J314" s="1" t="str">
        <f t="shared" si="347"/>
        <v>0</v>
      </c>
      <c r="K314" s="1" t="str">
        <f t="shared" si="348"/>
        <v>103</v>
      </c>
      <c r="L314" s="1" t="str">
        <f t="shared" si="349"/>
        <v>47</v>
      </c>
      <c r="M314" s="1" t="str">
        <f t="shared" si="328"/>
        <v>0</v>
      </c>
      <c r="N314" s="1" t="str">
        <f t="shared" si="329"/>
        <v>0</v>
      </c>
      <c r="O314" s="1" t="str">
        <f>"5.2"</f>
        <v>5.2</v>
      </c>
    </row>
    <row r="315" s="1" customFormat="1" spans="1:15">
      <c r="A315" s="1" t="str">
        <f t="shared" si="316"/>
        <v>202406</v>
      </c>
      <c r="B315" s="1" t="str">
        <f t="shared" si="317"/>
        <v>150525100</v>
      </c>
      <c r="C315" s="1" t="str">
        <f>"1040689964"</f>
        <v>1040689964</v>
      </c>
      <c r="D315" s="1" t="s">
        <v>344</v>
      </c>
      <c r="E315" s="1" t="s">
        <v>345</v>
      </c>
      <c r="F315" s="1" t="s">
        <v>25</v>
      </c>
      <c r="G315" s="1" t="s">
        <v>17</v>
      </c>
      <c r="H315" s="1" t="str">
        <f>"64"</f>
        <v>64</v>
      </c>
      <c r="I315" s="1" t="str">
        <f>"158.25"</f>
        <v>158.25</v>
      </c>
      <c r="J315" s="1" t="str">
        <f t="shared" si="347"/>
        <v>0</v>
      </c>
      <c r="K315" s="1" t="str">
        <f t="shared" si="348"/>
        <v>103</v>
      </c>
      <c r="L315" s="1" t="str">
        <f t="shared" si="349"/>
        <v>47</v>
      </c>
      <c r="M315" s="1" t="str">
        <f t="shared" si="328"/>
        <v>0</v>
      </c>
      <c r="N315" s="1" t="str">
        <f t="shared" si="329"/>
        <v>0</v>
      </c>
      <c r="O315" s="1" t="str">
        <f>"8.25"</f>
        <v>8.25</v>
      </c>
    </row>
    <row r="316" s="1" customFormat="1" spans="1:15">
      <c r="A316" s="1" t="str">
        <f t="shared" si="316"/>
        <v>202406</v>
      </c>
      <c r="B316" s="1" t="str">
        <f t="shared" si="317"/>
        <v>150525100</v>
      </c>
      <c r="C316" s="1" t="str">
        <f>"1040689980"</f>
        <v>1040689980</v>
      </c>
      <c r="D316" s="1" t="str">
        <f>"152326195411080912"</f>
        <v>152326195411080912</v>
      </c>
      <c r="E316" s="1" t="s">
        <v>346</v>
      </c>
      <c r="F316" s="1" t="s">
        <v>25</v>
      </c>
      <c r="G316" s="1" t="s">
        <v>19</v>
      </c>
      <c r="H316" s="1" t="str">
        <f>"70"</f>
        <v>70</v>
      </c>
      <c r="I316" s="1" t="str">
        <f>"153.25"</f>
        <v>153.25</v>
      </c>
      <c r="J316" s="1" t="str">
        <f t="shared" si="347"/>
        <v>0</v>
      </c>
      <c r="K316" s="1" t="str">
        <f t="shared" si="348"/>
        <v>103</v>
      </c>
      <c r="L316" s="1" t="str">
        <f t="shared" si="349"/>
        <v>47</v>
      </c>
      <c r="M316" s="1" t="str">
        <f t="shared" si="328"/>
        <v>0</v>
      </c>
      <c r="N316" s="1" t="str">
        <f t="shared" si="329"/>
        <v>0</v>
      </c>
      <c r="O316" s="1" t="str">
        <f>"3.25"</f>
        <v>3.25</v>
      </c>
    </row>
    <row r="317" s="1" customFormat="1" spans="1:15">
      <c r="A317" s="1" t="str">
        <f t="shared" si="316"/>
        <v>202406</v>
      </c>
      <c r="B317" s="1" t="str">
        <f t="shared" si="317"/>
        <v>150525100</v>
      </c>
      <c r="C317" s="1" t="str">
        <f>"1040690016"</f>
        <v>1040690016</v>
      </c>
      <c r="D317" s="1" t="s">
        <v>347</v>
      </c>
      <c r="E317" s="1" t="s">
        <v>348</v>
      </c>
      <c r="F317" s="1" t="s">
        <v>25</v>
      </c>
      <c r="G317" s="1" t="s">
        <v>19</v>
      </c>
      <c r="H317" s="1" t="str">
        <f>"69"</f>
        <v>69</v>
      </c>
      <c r="I317" s="1" t="str">
        <f>"154.2"</f>
        <v>154.2</v>
      </c>
      <c r="J317" s="1" t="str">
        <f t="shared" si="347"/>
        <v>0</v>
      </c>
      <c r="K317" s="1" t="str">
        <f t="shared" si="348"/>
        <v>103</v>
      </c>
      <c r="L317" s="1" t="str">
        <f t="shared" si="349"/>
        <v>47</v>
      </c>
      <c r="M317" s="1" t="str">
        <f t="shared" si="328"/>
        <v>0</v>
      </c>
      <c r="N317" s="1" t="str">
        <f t="shared" si="329"/>
        <v>0</v>
      </c>
      <c r="O317" s="1" t="str">
        <f>"4.2"</f>
        <v>4.2</v>
      </c>
    </row>
    <row r="318" s="1" customFormat="1" spans="1:15">
      <c r="A318" s="1" t="str">
        <f t="shared" si="316"/>
        <v>202406</v>
      </c>
      <c r="B318" s="1" t="str">
        <f t="shared" si="317"/>
        <v>150525100</v>
      </c>
      <c r="C318" s="1" t="str">
        <f>"1040690052"</f>
        <v>1040690052</v>
      </c>
      <c r="D318" s="1" t="str">
        <f>"152326196004060433"</f>
        <v>152326196004060433</v>
      </c>
      <c r="E318" s="1" t="s">
        <v>349</v>
      </c>
      <c r="F318" s="1" t="s">
        <v>25</v>
      </c>
      <c r="G318" s="1" t="s">
        <v>17</v>
      </c>
      <c r="H318" s="1" t="str">
        <f>"64"</f>
        <v>64</v>
      </c>
      <c r="I318" s="1" t="str">
        <f>"158.26"</f>
        <v>158.26</v>
      </c>
      <c r="J318" s="1" t="str">
        <f t="shared" si="347"/>
        <v>0</v>
      </c>
      <c r="K318" s="1" t="str">
        <f t="shared" si="348"/>
        <v>103</v>
      </c>
      <c r="L318" s="1" t="str">
        <f t="shared" si="349"/>
        <v>47</v>
      </c>
      <c r="M318" s="1" t="str">
        <f t="shared" si="328"/>
        <v>0</v>
      </c>
      <c r="N318" s="1" t="str">
        <f t="shared" si="329"/>
        <v>0</v>
      </c>
      <c r="O318" s="1" t="str">
        <f>"8.26"</f>
        <v>8.26</v>
      </c>
    </row>
    <row r="319" s="1" customFormat="1" spans="1:15">
      <c r="A319" s="1" t="str">
        <f t="shared" si="316"/>
        <v>202406</v>
      </c>
      <c r="B319" s="1" t="str">
        <f t="shared" si="317"/>
        <v>150525100</v>
      </c>
      <c r="C319" s="1" t="str">
        <f>"1040690365"</f>
        <v>1040690365</v>
      </c>
      <c r="D319" s="1" t="str">
        <f>"152326196203143071"</f>
        <v>152326196203143071</v>
      </c>
      <c r="E319" s="1" t="s">
        <v>350</v>
      </c>
      <c r="F319" s="1" t="s">
        <v>25</v>
      </c>
      <c r="G319" s="1" t="s">
        <v>19</v>
      </c>
      <c r="H319" s="1" t="str">
        <f>"62"</f>
        <v>62</v>
      </c>
      <c r="I319" s="1" t="str">
        <f>"161.71"</f>
        <v>161.71</v>
      </c>
      <c r="J319" s="1" t="str">
        <f t="shared" si="347"/>
        <v>0</v>
      </c>
      <c r="K319" s="1" t="str">
        <f t="shared" si="348"/>
        <v>103</v>
      </c>
      <c r="L319" s="1" t="str">
        <f t="shared" si="349"/>
        <v>47</v>
      </c>
      <c r="M319" s="1" t="str">
        <f t="shared" si="328"/>
        <v>0</v>
      </c>
      <c r="N319" s="1" t="str">
        <f t="shared" si="329"/>
        <v>0</v>
      </c>
      <c r="O319" s="1" t="str">
        <f>"11.71"</f>
        <v>11.71</v>
      </c>
    </row>
    <row r="320" s="1" customFormat="1" spans="1:15">
      <c r="A320" s="1" t="str">
        <f t="shared" si="316"/>
        <v>202406</v>
      </c>
      <c r="B320" s="1" t="str">
        <f t="shared" si="317"/>
        <v>150525100</v>
      </c>
      <c r="C320" s="1" t="str">
        <f>"1040690380"</f>
        <v>1040690380</v>
      </c>
      <c r="D320" s="1" t="str">
        <f>"152326195601013075"</f>
        <v>152326195601013075</v>
      </c>
      <c r="E320" s="1" t="s">
        <v>351</v>
      </c>
      <c r="F320" s="1" t="s">
        <v>25</v>
      </c>
      <c r="G320" s="1" t="s">
        <v>19</v>
      </c>
      <c r="H320" s="1" t="str">
        <f>"69"</f>
        <v>69</v>
      </c>
      <c r="I320" s="1" t="str">
        <f>"154.88"</f>
        <v>154.88</v>
      </c>
      <c r="J320" s="1" t="str">
        <f t="shared" si="347"/>
        <v>0</v>
      </c>
      <c r="K320" s="1" t="str">
        <f t="shared" si="348"/>
        <v>103</v>
      </c>
      <c r="L320" s="1" t="str">
        <f t="shared" si="349"/>
        <v>47</v>
      </c>
      <c r="M320" s="1" t="str">
        <f t="shared" si="328"/>
        <v>0</v>
      </c>
      <c r="N320" s="1" t="str">
        <f t="shared" si="329"/>
        <v>0</v>
      </c>
      <c r="O320" s="1" t="str">
        <f>"4.88"</f>
        <v>4.88</v>
      </c>
    </row>
    <row r="321" s="1" customFormat="1" spans="1:15">
      <c r="A321" s="1" t="str">
        <f t="shared" si="316"/>
        <v>202406</v>
      </c>
      <c r="B321" s="1" t="str">
        <f t="shared" si="317"/>
        <v>150525100</v>
      </c>
      <c r="C321" s="1" t="str">
        <f>"1042550913"</f>
        <v>1042550913</v>
      </c>
      <c r="D321" s="1" t="str">
        <f>"152326195908183810"</f>
        <v>152326195908183810</v>
      </c>
      <c r="E321" s="1" t="s">
        <v>352</v>
      </c>
      <c r="F321" s="1" t="s">
        <v>25</v>
      </c>
      <c r="G321" s="1" t="s">
        <v>17</v>
      </c>
      <c r="H321" s="1" t="str">
        <f>"65"</f>
        <v>65</v>
      </c>
      <c r="I321" s="1" t="str">
        <f>"156.48"</f>
        <v>156.48</v>
      </c>
      <c r="J321" s="1" t="str">
        <f t="shared" si="347"/>
        <v>0</v>
      </c>
      <c r="K321" s="1" t="str">
        <f t="shared" si="348"/>
        <v>103</v>
      </c>
      <c r="L321" s="1" t="str">
        <f t="shared" si="349"/>
        <v>47</v>
      </c>
      <c r="M321" s="1" t="str">
        <f t="shared" si="328"/>
        <v>0</v>
      </c>
      <c r="N321" s="1" t="str">
        <f t="shared" si="329"/>
        <v>0</v>
      </c>
      <c r="O321" s="1" t="str">
        <f>"6.48"</f>
        <v>6.48</v>
      </c>
    </row>
    <row r="322" s="1" customFormat="1" spans="1:15">
      <c r="A322" s="1" t="str">
        <f t="shared" ref="A322:A385" si="351">"202406"</f>
        <v>202406</v>
      </c>
      <c r="B322" s="1" t="str">
        <f t="shared" ref="B322:B385" si="352">"150525100"</f>
        <v>150525100</v>
      </c>
      <c r="C322" s="1" t="str">
        <f>"1040690500"</f>
        <v>1040690500</v>
      </c>
      <c r="D322" s="1" t="str">
        <f>"152326195910123083"</f>
        <v>152326195910123083</v>
      </c>
      <c r="E322" s="1" t="s">
        <v>353</v>
      </c>
      <c r="F322" s="1" t="s">
        <v>16</v>
      </c>
      <c r="G322" s="1" t="s">
        <v>19</v>
      </c>
      <c r="H322" s="1" t="str">
        <f>"65"</f>
        <v>65</v>
      </c>
      <c r="I322" s="1" t="str">
        <f>"157.01"</f>
        <v>157.01</v>
      </c>
      <c r="J322" s="1" t="str">
        <f t="shared" si="347"/>
        <v>0</v>
      </c>
      <c r="K322" s="1" t="str">
        <f t="shared" si="348"/>
        <v>103</v>
      </c>
      <c r="L322" s="1" t="str">
        <f t="shared" si="349"/>
        <v>47</v>
      </c>
      <c r="M322" s="1" t="str">
        <f t="shared" si="328"/>
        <v>0</v>
      </c>
      <c r="N322" s="1" t="str">
        <f t="shared" si="329"/>
        <v>0</v>
      </c>
      <c r="O322" s="1" t="str">
        <f>"7.01"</f>
        <v>7.01</v>
      </c>
    </row>
    <row r="323" s="1" customFormat="1" spans="1:15">
      <c r="A323" s="1" t="str">
        <f t="shared" si="351"/>
        <v>202406</v>
      </c>
      <c r="B323" s="1" t="str">
        <f t="shared" si="352"/>
        <v>150525100</v>
      </c>
      <c r="C323" s="1" t="str">
        <f>"1040690507"</f>
        <v>1040690507</v>
      </c>
      <c r="D323" s="1" t="str">
        <f>"152326196111203073"</f>
        <v>152326196111203073</v>
      </c>
      <c r="E323" s="1" t="s">
        <v>354</v>
      </c>
      <c r="F323" s="1" t="s">
        <v>25</v>
      </c>
      <c r="G323" s="1" t="s">
        <v>19</v>
      </c>
      <c r="H323" s="1" t="str">
        <f t="shared" ref="H323:H328" si="353">"63"</f>
        <v>63</v>
      </c>
      <c r="I323" s="1" t="str">
        <f>"159.92"</f>
        <v>159.92</v>
      </c>
      <c r="J323" s="1" t="str">
        <f t="shared" si="347"/>
        <v>0</v>
      </c>
      <c r="K323" s="1" t="str">
        <f t="shared" si="348"/>
        <v>103</v>
      </c>
      <c r="L323" s="1" t="str">
        <f t="shared" si="349"/>
        <v>47</v>
      </c>
      <c r="M323" s="1" t="str">
        <f t="shared" si="328"/>
        <v>0</v>
      </c>
      <c r="N323" s="1" t="str">
        <f t="shared" si="329"/>
        <v>0</v>
      </c>
      <c r="O323" s="1" t="str">
        <f>"9.92"</f>
        <v>9.92</v>
      </c>
    </row>
    <row r="324" s="1" customFormat="1" spans="1:15">
      <c r="A324" s="1" t="str">
        <f t="shared" si="351"/>
        <v>202406</v>
      </c>
      <c r="B324" s="1" t="str">
        <f t="shared" si="352"/>
        <v>150525100</v>
      </c>
      <c r="C324" s="1" t="str">
        <f>"1040690411"</f>
        <v>1040690411</v>
      </c>
      <c r="D324" s="1" t="str">
        <f>"152326196210170422"</f>
        <v>152326196210170422</v>
      </c>
      <c r="E324" s="1" t="s">
        <v>355</v>
      </c>
      <c r="F324" s="1" t="s">
        <v>16</v>
      </c>
      <c r="G324" s="1" t="s">
        <v>17</v>
      </c>
      <c r="H324" s="1" t="str">
        <f t="shared" ref="H324:H329" si="354">"62"</f>
        <v>62</v>
      </c>
      <c r="I324" s="1" t="str">
        <f>"161.9"</f>
        <v>161.9</v>
      </c>
      <c r="J324" s="1" t="str">
        <f t="shared" si="347"/>
        <v>0</v>
      </c>
      <c r="K324" s="1" t="str">
        <f t="shared" si="348"/>
        <v>103</v>
      </c>
      <c r="L324" s="1" t="str">
        <f t="shared" si="349"/>
        <v>47</v>
      </c>
      <c r="M324" s="1" t="str">
        <f t="shared" si="328"/>
        <v>0</v>
      </c>
      <c r="N324" s="1" t="str">
        <f t="shared" si="329"/>
        <v>0</v>
      </c>
      <c r="O324" s="1" t="str">
        <f>"11.9"</f>
        <v>11.9</v>
      </c>
    </row>
    <row r="325" s="1" customFormat="1" spans="1:15">
      <c r="A325" s="1" t="str">
        <f t="shared" si="351"/>
        <v>202406</v>
      </c>
      <c r="B325" s="1" t="str">
        <f t="shared" si="352"/>
        <v>150525100</v>
      </c>
      <c r="C325" s="1" t="str">
        <f>"1014572725"</f>
        <v>1014572725</v>
      </c>
      <c r="D325" s="1" t="str">
        <f>"152326196003210911"</f>
        <v>152326196003210911</v>
      </c>
      <c r="E325" s="1" t="s">
        <v>356</v>
      </c>
      <c r="F325" s="1" t="s">
        <v>25</v>
      </c>
      <c r="G325" s="1" t="s">
        <v>19</v>
      </c>
      <c r="H325" s="1" t="str">
        <f>"64"</f>
        <v>64</v>
      </c>
      <c r="I325" s="1" t="str">
        <f>"158.92"</f>
        <v>158.92</v>
      </c>
      <c r="J325" s="1" t="str">
        <f t="shared" si="347"/>
        <v>0</v>
      </c>
      <c r="K325" s="1" t="str">
        <f t="shared" si="348"/>
        <v>103</v>
      </c>
      <c r="L325" s="1" t="str">
        <f t="shared" si="349"/>
        <v>47</v>
      </c>
      <c r="M325" s="1" t="str">
        <f t="shared" si="328"/>
        <v>0</v>
      </c>
      <c r="N325" s="1" t="str">
        <f t="shared" si="329"/>
        <v>0</v>
      </c>
      <c r="O325" s="1" t="str">
        <f>"8.92"</f>
        <v>8.92</v>
      </c>
    </row>
    <row r="326" s="1" customFormat="1" spans="1:15">
      <c r="A326" s="1" t="str">
        <f t="shared" si="351"/>
        <v>202406</v>
      </c>
      <c r="B326" s="1" t="str">
        <f t="shared" si="352"/>
        <v>150525100</v>
      </c>
      <c r="C326" s="1" t="str">
        <f>"1014572742"</f>
        <v>1014572742</v>
      </c>
      <c r="D326" s="1" t="str">
        <f>"152326196211203126"</f>
        <v>152326196211203126</v>
      </c>
      <c r="E326" s="1" t="s">
        <v>357</v>
      </c>
      <c r="F326" s="1" t="s">
        <v>16</v>
      </c>
      <c r="G326" s="1" t="s">
        <v>19</v>
      </c>
      <c r="H326" s="1" t="str">
        <f t="shared" si="354"/>
        <v>62</v>
      </c>
      <c r="I326" s="1" t="str">
        <f>"162.59"</f>
        <v>162.59</v>
      </c>
      <c r="J326" s="1" t="str">
        <f t="shared" si="347"/>
        <v>0</v>
      </c>
      <c r="K326" s="1" t="str">
        <f t="shared" si="348"/>
        <v>103</v>
      </c>
      <c r="L326" s="1" t="str">
        <f t="shared" si="349"/>
        <v>47</v>
      </c>
      <c r="M326" s="1" t="str">
        <f t="shared" si="328"/>
        <v>0</v>
      </c>
      <c r="N326" s="1" t="str">
        <f t="shared" si="329"/>
        <v>0</v>
      </c>
      <c r="O326" s="1" t="str">
        <f>"12.59"</f>
        <v>12.59</v>
      </c>
    </row>
    <row r="327" s="1" customFormat="1" spans="1:15">
      <c r="A327" s="1" t="str">
        <f t="shared" si="351"/>
        <v>202406</v>
      </c>
      <c r="B327" s="1" t="str">
        <f t="shared" si="352"/>
        <v>150525100</v>
      </c>
      <c r="C327" s="1" t="str">
        <f>"1014575567"</f>
        <v>1014575567</v>
      </c>
      <c r="D327" s="1" t="str">
        <f>"152326196106270677"</f>
        <v>152326196106270677</v>
      </c>
      <c r="E327" s="1" t="s">
        <v>358</v>
      </c>
      <c r="F327" s="1" t="s">
        <v>25</v>
      </c>
      <c r="G327" s="1" t="s">
        <v>17</v>
      </c>
      <c r="H327" s="1" t="str">
        <f t="shared" si="353"/>
        <v>63</v>
      </c>
      <c r="I327" s="1" t="str">
        <f>"186.44"</f>
        <v>186.44</v>
      </c>
      <c r="J327" s="1" t="str">
        <f t="shared" si="347"/>
        <v>0</v>
      </c>
      <c r="K327" s="1" t="str">
        <f t="shared" si="348"/>
        <v>103</v>
      </c>
      <c r="L327" s="1" t="str">
        <f t="shared" si="349"/>
        <v>47</v>
      </c>
      <c r="M327" s="1" t="str">
        <f t="shared" si="328"/>
        <v>0</v>
      </c>
      <c r="N327" s="1" t="str">
        <f t="shared" si="329"/>
        <v>0</v>
      </c>
      <c r="O327" s="1" t="str">
        <f>"36.44"</f>
        <v>36.44</v>
      </c>
    </row>
    <row r="328" s="1" customFormat="1" spans="1:15">
      <c r="A328" s="1" t="str">
        <f t="shared" si="351"/>
        <v>202406</v>
      </c>
      <c r="B328" s="1" t="str">
        <f t="shared" si="352"/>
        <v>150525100</v>
      </c>
      <c r="C328" s="1" t="str">
        <f>"1014575569"</f>
        <v>1014575569</v>
      </c>
      <c r="D328" s="1" t="str">
        <f>"152326196110210669"</f>
        <v>152326196110210669</v>
      </c>
      <c r="E328" s="1" t="s">
        <v>359</v>
      </c>
      <c r="F328" s="1" t="s">
        <v>16</v>
      </c>
      <c r="G328" s="1" t="s">
        <v>17</v>
      </c>
      <c r="H328" s="1" t="str">
        <f t="shared" si="353"/>
        <v>63</v>
      </c>
      <c r="I328" s="1" t="str">
        <f>"161.92"</f>
        <v>161.92</v>
      </c>
      <c r="J328" s="1" t="str">
        <f t="shared" si="347"/>
        <v>0</v>
      </c>
      <c r="K328" s="1" t="str">
        <f t="shared" si="348"/>
        <v>103</v>
      </c>
      <c r="L328" s="1" t="str">
        <f t="shared" si="349"/>
        <v>47</v>
      </c>
      <c r="M328" s="1" t="str">
        <f t="shared" si="328"/>
        <v>0</v>
      </c>
      <c r="N328" s="1" t="str">
        <f t="shared" si="329"/>
        <v>0</v>
      </c>
      <c r="O328" s="1" t="str">
        <f>"11.92"</f>
        <v>11.92</v>
      </c>
    </row>
    <row r="329" s="1" customFormat="1" spans="1:15">
      <c r="A329" s="1" t="str">
        <f t="shared" si="351"/>
        <v>202406</v>
      </c>
      <c r="B329" s="1" t="str">
        <f t="shared" si="352"/>
        <v>150525100</v>
      </c>
      <c r="C329" s="1" t="str">
        <f>"1014575576"</f>
        <v>1014575576</v>
      </c>
      <c r="D329" s="1" t="str">
        <f>"152326196204100671"</f>
        <v>152326196204100671</v>
      </c>
      <c r="E329" s="1" t="s">
        <v>360</v>
      </c>
      <c r="F329" s="1" t="s">
        <v>25</v>
      </c>
      <c r="G329" s="1" t="s">
        <v>17</v>
      </c>
      <c r="H329" s="1" t="str">
        <f t="shared" si="354"/>
        <v>62</v>
      </c>
      <c r="I329" s="1" t="str">
        <f>"162.99"</f>
        <v>162.99</v>
      </c>
      <c r="J329" s="1" t="str">
        <f t="shared" si="347"/>
        <v>0</v>
      </c>
      <c r="K329" s="1" t="str">
        <f t="shared" si="348"/>
        <v>103</v>
      </c>
      <c r="L329" s="1" t="str">
        <f t="shared" si="349"/>
        <v>47</v>
      </c>
      <c r="M329" s="1" t="str">
        <f t="shared" si="328"/>
        <v>0</v>
      </c>
      <c r="N329" s="1" t="str">
        <f t="shared" si="329"/>
        <v>0</v>
      </c>
      <c r="O329" s="1" t="str">
        <f>"12.99"</f>
        <v>12.99</v>
      </c>
    </row>
    <row r="330" s="1" customFormat="1" spans="1:15">
      <c r="A330" s="1" t="str">
        <f t="shared" si="351"/>
        <v>202406</v>
      </c>
      <c r="B330" s="1" t="str">
        <f t="shared" si="352"/>
        <v>150525100</v>
      </c>
      <c r="C330" s="1" t="str">
        <f>"1014575786"</f>
        <v>1014575786</v>
      </c>
      <c r="D330" s="1" t="s">
        <v>361</v>
      </c>
      <c r="E330" s="1" t="s">
        <v>362</v>
      </c>
      <c r="F330" s="1" t="s">
        <v>25</v>
      </c>
      <c r="G330" s="1" t="s">
        <v>17</v>
      </c>
      <c r="H330" s="1" t="str">
        <f t="shared" ref="H330:H332" si="355">"65"</f>
        <v>65</v>
      </c>
      <c r="I330" s="1" t="str">
        <f>"158.11"</f>
        <v>158.11</v>
      </c>
      <c r="J330" s="1" t="str">
        <f t="shared" si="347"/>
        <v>0</v>
      </c>
      <c r="K330" s="1" t="str">
        <f t="shared" si="348"/>
        <v>103</v>
      </c>
      <c r="L330" s="1" t="str">
        <f t="shared" si="349"/>
        <v>47</v>
      </c>
      <c r="M330" s="1" t="str">
        <f t="shared" si="328"/>
        <v>0</v>
      </c>
      <c r="N330" s="1" t="str">
        <f t="shared" si="329"/>
        <v>0</v>
      </c>
      <c r="O330" s="1" t="str">
        <f>"8.11"</f>
        <v>8.11</v>
      </c>
    </row>
    <row r="331" s="1" customFormat="1" spans="1:15">
      <c r="A331" s="1" t="str">
        <f t="shared" si="351"/>
        <v>202406</v>
      </c>
      <c r="B331" s="1" t="str">
        <f t="shared" si="352"/>
        <v>150525100</v>
      </c>
      <c r="C331" s="1" t="str">
        <f>"1014575787"</f>
        <v>1014575787</v>
      </c>
      <c r="D331" s="1" t="str">
        <f>"152326195905160680"</f>
        <v>152326195905160680</v>
      </c>
      <c r="E331" s="1" t="s">
        <v>363</v>
      </c>
      <c r="F331" s="1" t="s">
        <v>16</v>
      </c>
      <c r="G331" s="1" t="s">
        <v>17</v>
      </c>
      <c r="H331" s="1" t="str">
        <f t="shared" si="355"/>
        <v>65</v>
      </c>
      <c r="I331" s="1" t="str">
        <f>"158.14"</f>
        <v>158.14</v>
      </c>
      <c r="J331" s="1" t="str">
        <f t="shared" si="347"/>
        <v>0</v>
      </c>
      <c r="K331" s="1" t="str">
        <f t="shared" si="348"/>
        <v>103</v>
      </c>
      <c r="L331" s="1" t="str">
        <f t="shared" si="349"/>
        <v>47</v>
      </c>
      <c r="M331" s="1" t="str">
        <f t="shared" si="328"/>
        <v>0</v>
      </c>
      <c r="N331" s="1" t="str">
        <f t="shared" si="329"/>
        <v>0</v>
      </c>
      <c r="O331" s="1" t="str">
        <f>"8.14"</f>
        <v>8.14</v>
      </c>
    </row>
    <row r="332" s="1" customFormat="1" spans="1:15">
      <c r="A332" s="1" t="str">
        <f t="shared" si="351"/>
        <v>202406</v>
      </c>
      <c r="B332" s="1" t="str">
        <f t="shared" si="352"/>
        <v>150525100</v>
      </c>
      <c r="C332" s="1" t="str">
        <f>"1014575788"</f>
        <v>1014575788</v>
      </c>
      <c r="D332" s="1" t="str">
        <f>"152326195905200662"</f>
        <v>152326195905200662</v>
      </c>
      <c r="E332" s="1" t="s">
        <v>364</v>
      </c>
      <c r="F332" s="1" t="s">
        <v>16</v>
      </c>
      <c r="G332" s="1" t="s">
        <v>17</v>
      </c>
      <c r="H332" s="1" t="str">
        <f t="shared" si="355"/>
        <v>65</v>
      </c>
      <c r="I332" s="1" t="str">
        <f>"159.85"</f>
        <v>159.85</v>
      </c>
      <c r="J332" s="1" t="str">
        <f t="shared" si="347"/>
        <v>0</v>
      </c>
      <c r="K332" s="1" t="str">
        <f t="shared" si="348"/>
        <v>103</v>
      </c>
      <c r="L332" s="1" t="str">
        <f t="shared" si="349"/>
        <v>47</v>
      </c>
      <c r="M332" s="1" t="str">
        <f t="shared" ref="M332:M395" si="356">"0"</f>
        <v>0</v>
      </c>
      <c r="N332" s="1" t="str">
        <f t="shared" ref="N332:N395" si="357">"0"</f>
        <v>0</v>
      </c>
      <c r="O332" s="1" t="str">
        <f>"9.85"</f>
        <v>9.85</v>
      </c>
    </row>
    <row r="333" s="1" customFormat="1" spans="1:15">
      <c r="A333" s="1" t="str">
        <f t="shared" si="351"/>
        <v>202406</v>
      </c>
      <c r="B333" s="1" t="str">
        <f t="shared" si="352"/>
        <v>150525100</v>
      </c>
      <c r="C333" s="1" t="str">
        <f>"1014576591"</f>
        <v>1014576591</v>
      </c>
      <c r="D333" s="1" t="s">
        <v>365</v>
      </c>
      <c r="E333" s="1" t="s">
        <v>366</v>
      </c>
      <c r="F333" s="1" t="s">
        <v>25</v>
      </c>
      <c r="G333" s="1" t="s">
        <v>17</v>
      </c>
      <c r="H333" s="1" t="str">
        <f>"68"</f>
        <v>68</v>
      </c>
      <c r="I333" s="1" t="str">
        <f>"156.01"</f>
        <v>156.01</v>
      </c>
      <c r="J333" s="1" t="str">
        <f t="shared" si="347"/>
        <v>0</v>
      </c>
      <c r="K333" s="1" t="str">
        <f t="shared" si="348"/>
        <v>103</v>
      </c>
      <c r="L333" s="1" t="str">
        <f t="shared" si="349"/>
        <v>47</v>
      </c>
      <c r="M333" s="1" t="str">
        <f t="shared" si="356"/>
        <v>0</v>
      </c>
      <c r="N333" s="1" t="str">
        <f t="shared" si="357"/>
        <v>0</v>
      </c>
      <c r="O333" s="1" t="str">
        <f>"6.01"</f>
        <v>6.01</v>
      </c>
    </row>
    <row r="334" s="1" customFormat="1" spans="1:15">
      <c r="A334" s="1" t="str">
        <f t="shared" si="351"/>
        <v>202406</v>
      </c>
      <c r="B334" s="1" t="str">
        <f t="shared" si="352"/>
        <v>150525100</v>
      </c>
      <c r="C334" s="1" t="str">
        <f>"1014576821"</f>
        <v>1014576821</v>
      </c>
      <c r="D334" s="1" t="str">
        <f>"152326195603100703"</f>
        <v>152326195603100703</v>
      </c>
      <c r="E334" s="1" t="s">
        <v>367</v>
      </c>
      <c r="F334" s="1" t="s">
        <v>16</v>
      </c>
      <c r="G334" s="1" t="s">
        <v>19</v>
      </c>
      <c r="H334" s="1" t="str">
        <f>"68"</f>
        <v>68</v>
      </c>
      <c r="I334" s="1" t="str">
        <f>"156.02"</f>
        <v>156.02</v>
      </c>
      <c r="J334" s="1" t="str">
        <f t="shared" si="347"/>
        <v>0</v>
      </c>
      <c r="K334" s="1" t="str">
        <f t="shared" si="348"/>
        <v>103</v>
      </c>
      <c r="L334" s="1" t="str">
        <f t="shared" si="349"/>
        <v>47</v>
      </c>
      <c r="M334" s="1" t="str">
        <f t="shared" si="356"/>
        <v>0</v>
      </c>
      <c r="N334" s="1" t="str">
        <f t="shared" si="357"/>
        <v>0</v>
      </c>
      <c r="O334" s="1" t="str">
        <f>"6.02"</f>
        <v>6.02</v>
      </c>
    </row>
    <row r="335" s="1" customFormat="1" spans="1:15">
      <c r="A335" s="1" t="str">
        <f t="shared" si="351"/>
        <v>202406</v>
      </c>
      <c r="B335" s="1" t="str">
        <f t="shared" si="352"/>
        <v>150525100</v>
      </c>
      <c r="C335" s="1" t="str">
        <f>"1014572751"</f>
        <v>1014572751</v>
      </c>
      <c r="D335" s="1" t="str">
        <f>"152326196309170924"</f>
        <v>152326196309170924</v>
      </c>
      <c r="E335" s="1" t="s">
        <v>368</v>
      </c>
      <c r="F335" s="1" t="s">
        <v>16</v>
      </c>
      <c r="G335" s="1" t="s">
        <v>19</v>
      </c>
      <c r="H335" s="1" t="str">
        <f>"61"</f>
        <v>61</v>
      </c>
      <c r="I335" s="1" t="str">
        <f>"164.78"</f>
        <v>164.78</v>
      </c>
      <c r="J335" s="1" t="str">
        <f t="shared" si="347"/>
        <v>0</v>
      </c>
      <c r="K335" s="1" t="str">
        <f t="shared" si="348"/>
        <v>103</v>
      </c>
      <c r="L335" s="1" t="str">
        <f t="shared" si="349"/>
        <v>47</v>
      </c>
      <c r="M335" s="1" t="str">
        <f t="shared" si="356"/>
        <v>0</v>
      </c>
      <c r="N335" s="1" t="str">
        <f t="shared" si="357"/>
        <v>0</v>
      </c>
      <c r="O335" s="1" t="str">
        <f>"14.78"</f>
        <v>14.78</v>
      </c>
    </row>
    <row r="336" s="1" customFormat="1" spans="1:15">
      <c r="A336" s="1" t="str">
        <f t="shared" si="351"/>
        <v>202406</v>
      </c>
      <c r="B336" s="1" t="str">
        <f t="shared" si="352"/>
        <v>150525100</v>
      </c>
      <c r="C336" s="1" t="str">
        <f>"1014572755"</f>
        <v>1014572755</v>
      </c>
      <c r="D336" s="1" t="str">
        <f>"152326195312213089"</f>
        <v>152326195312213089</v>
      </c>
      <c r="E336" s="1" t="s">
        <v>369</v>
      </c>
      <c r="F336" s="1" t="s">
        <v>16</v>
      </c>
      <c r="G336" s="1" t="s">
        <v>17</v>
      </c>
      <c r="H336" s="1" t="str">
        <f>"71"</f>
        <v>71</v>
      </c>
      <c r="I336" s="1" t="str">
        <f>"176.18"</f>
        <v>176.18</v>
      </c>
      <c r="J336" s="1" t="str">
        <f t="shared" si="347"/>
        <v>0</v>
      </c>
      <c r="K336" s="1" t="str">
        <f t="shared" si="348"/>
        <v>103</v>
      </c>
      <c r="L336" s="1" t="str">
        <f t="shared" si="349"/>
        <v>47</v>
      </c>
      <c r="M336" s="1" t="str">
        <f t="shared" si="356"/>
        <v>0</v>
      </c>
      <c r="N336" s="1" t="str">
        <f t="shared" si="357"/>
        <v>0</v>
      </c>
      <c r="O336" s="1" t="str">
        <f>"16.18"</f>
        <v>16.18</v>
      </c>
    </row>
    <row r="337" s="1" customFormat="1" spans="1:15">
      <c r="A337" s="1" t="str">
        <f t="shared" si="351"/>
        <v>202406</v>
      </c>
      <c r="B337" s="1" t="str">
        <f t="shared" si="352"/>
        <v>150525100</v>
      </c>
      <c r="C337" s="1" t="str">
        <f>"1014572778"</f>
        <v>1014572778</v>
      </c>
      <c r="D337" s="1" t="str">
        <f>"152326195409300023"</f>
        <v>152326195409300023</v>
      </c>
      <c r="E337" s="1" t="s">
        <v>370</v>
      </c>
      <c r="F337" s="1" t="s">
        <v>16</v>
      </c>
      <c r="G337" s="1" t="s">
        <v>17</v>
      </c>
      <c r="H337" s="1" t="str">
        <f>"70"</f>
        <v>70</v>
      </c>
      <c r="I337" s="1" t="str">
        <f>"154.14"</f>
        <v>154.14</v>
      </c>
      <c r="J337" s="1" t="str">
        <f t="shared" si="347"/>
        <v>0</v>
      </c>
      <c r="K337" s="1" t="str">
        <f t="shared" si="348"/>
        <v>103</v>
      </c>
      <c r="L337" s="1" t="str">
        <f t="shared" si="349"/>
        <v>47</v>
      </c>
      <c r="M337" s="1" t="str">
        <f t="shared" si="356"/>
        <v>0</v>
      </c>
      <c r="N337" s="1" t="str">
        <f t="shared" si="357"/>
        <v>0</v>
      </c>
      <c r="O337" s="1" t="str">
        <f>"4.14"</f>
        <v>4.14</v>
      </c>
    </row>
    <row r="338" s="1" customFormat="1" spans="1:15">
      <c r="A338" s="1" t="str">
        <f t="shared" si="351"/>
        <v>202406</v>
      </c>
      <c r="B338" s="1" t="str">
        <f t="shared" si="352"/>
        <v>150525100</v>
      </c>
      <c r="C338" s="1" t="str">
        <f>"1014573296"</f>
        <v>1014573296</v>
      </c>
      <c r="D338" s="1" t="str">
        <f>"152326195712153089"</f>
        <v>152326195712153089</v>
      </c>
      <c r="E338" s="1" t="s">
        <v>371</v>
      </c>
      <c r="F338" s="1" t="s">
        <v>16</v>
      </c>
      <c r="G338" s="1" t="s">
        <v>17</v>
      </c>
      <c r="H338" s="1" t="str">
        <f t="shared" ref="H338:H342" si="358">"67"</f>
        <v>67</v>
      </c>
      <c r="I338" s="1" t="str">
        <f>"166"</f>
        <v>166</v>
      </c>
      <c r="J338" s="1" t="str">
        <f t="shared" si="347"/>
        <v>0</v>
      </c>
      <c r="K338" s="1" t="str">
        <f t="shared" si="348"/>
        <v>103</v>
      </c>
      <c r="L338" s="1" t="str">
        <f t="shared" si="349"/>
        <v>47</v>
      </c>
      <c r="M338" s="1" t="str">
        <f t="shared" si="356"/>
        <v>0</v>
      </c>
      <c r="N338" s="1" t="str">
        <f t="shared" si="357"/>
        <v>0</v>
      </c>
      <c r="O338" s="1" t="str">
        <f>"16"</f>
        <v>16</v>
      </c>
    </row>
    <row r="339" s="1" customFormat="1" spans="1:15">
      <c r="A339" s="1" t="str">
        <f t="shared" si="351"/>
        <v>202406</v>
      </c>
      <c r="B339" s="1" t="str">
        <f t="shared" si="352"/>
        <v>150525100</v>
      </c>
      <c r="C339" s="1" t="str">
        <f>"1014575594"</f>
        <v>1014575594</v>
      </c>
      <c r="D339" s="1" t="str">
        <f>"152326196307020666"</f>
        <v>152326196307020666</v>
      </c>
      <c r="E339" s="1" t="s">
        <v>372</v>
      </c>
      <c r="F339" s="1" t="s">
        <v>16</v>
      </c>
      <c r="G339" s="1" t="s">
        <v>17</v>
      </c>
      <c r="H339" s="1" t="str">
        <f>"61"</f>
        <v>61</v>
      </c>
      <c r="I339" s="1" t="str">
        <f>"165.06"</f>
        <v>165.06</v>
      </c>
      <c r="J339" s="1" t="str">
        <f t="shared" si="347"/>
        <v>0</v>
      </c>
      <c r="K339" s="1" t="str">
        <f t="shared" si="348"/>
        <v>103</v>
      </c>
      <c r="L339" s="1" t="str">
        <f t="shared" si="349"/>
        <v>47</v>
      </c>
      <c r="M339" s="1" t="str">
        <f t="shared" si="356"/>
        <v>0</v>
      </c>
      <c r="N339" s="1" t="str">
        <f t="shared" si="357"/>
        <v>0</v>
      </c>
      <c r="O339" s="1" t="str">
        <f>"15.06"</f>
        <v>15.06</v>
      </c>
    </row>
    <row r="340" s="1" customFormat="1" spans="1:15">
      <c r="A340" s="1" t="str">
        <f t="shared" si="351"/>
        <v>202406</v>
      </c>
      <c r="B340" s="1" t="str">
        <f t="shared" si="352"/>
        <v>150525100</v>
      </c>
      <c r="C340" s="1" t="str">
        <f>"1014575824"</f>
        <v>1014575824</v>
      </c>
      <c r="D340" s="1" t="s">
        <v>373</v>
      </c>
      <c r="E340" s="1" t="s">
        <v>374</v>
      </c>
      <c r="F340" s="1" t="s">
        <v>16</v>
      </c>
      <c r="G340" s="1" t="s">
        <v>17</v>
      </c>
      <c r="H340" s="1" t="str">
        <f>"69"</f>
        <v>69</v>
      </c>
      <c r="I340" s="1" t="str">
        <f>"155.09"</f>
        <v>155.09</v>
      </c>
      <c r="J340" s="1" t="str">
        <f t="shared" si="347"/>
        <v>0</v>
      </c>
      <c r="K340" s="1" t="str">
        <f t="shared" si="348"/>
        <v>103</v>
      </c>
      <c r="L340" s="1" t="str">
        <f t="shared" si="349"/>
        <v>47</v>
      </c>
      <c r="M340" s="1" t="str">
        <f t="shared" si="356"/>
        <v>0</v>
      </c>
      <c r="N340" s="1" t="str">
        <f t="shared" si="357"/>
        <v>0</v>
      </c>
      <c r="O340" s="1" t="str">
        <f>"5.09"</f>
        <v>5.09</v>
      </c>
    </row>
    <row r="341" s="1" customFormat="1" spans="1:15">
      <c r="A341" s="1" t="str">
        <f t="shared" si="351"/>
        <v>202406</v>
      </c>
      <c r="B341" s="1" t="str">
        <f t="shared" si="352"/>
        <v>150525100</v>
      </c>
      <c r="C341" s="1" t="str">
        <f>"1014576833"</f>
        <v>1014576833</v>
      </c>
      <c r="D341" s="1" t="str">
        <f>"152326195702120689"</f>
        <v>152326195702120689</v>
      </c>
      <c r="E341" s="1" t="s">
        <v>375</v>
      </c>
      <c r="F341" s="1" t="s">
        <v>16</v>
      </c>
      <c r="G341" s="1" t="s">
        <v>19</v>
      </c>
      <c r="H341" s="1" t="str">
        <f t="shared" si="358"/>
        <v>67</v>
      </c>
      <c r="I341" s="1" t="str">
        <f>"156.04"</f>
        <v>156.04</v>
      </c>
      <c r="J341" s="1" t="str">
        <f t="shared" si="347"/>
        <v>0</v>
      </c>
      <c r="K341" s="1" t="str">
        <f t="shared" si="348"/>
        <v>103</v>
      </c>
      <c r="L341" s="1" t="str">
        <f t="shared" si="349"/>
        <v>47</v>
      </c>
      <c r="M341" s="1" t="str">
        <f t="shared" si="356"/>
        <v>0</v>
      </c>
      <c r="N341" s="1" t="str">
        <f t="shared" si="357"/>
        <v>0</v>
      </c>
      <c r="O341" s="1" t="str">
        <f>"6.04"</f>
        <v>6.04</v>
      </c>
    </row>
    <row r="342" s="1" customFormat="1" spans="1:15">
      <c r="A342" s="1" t="str">
        <f t="shared" si="351"/>
        <v>202406</v>
      </c>
      <c r="B342" s="1" t="str">
        <f t="shared" si="352"/>
        <v>150525100</v>
      </c>
      <c r="C342" s="1" t="str">
        <f>"1014576836"</f>
        <v>1014576836</v>
      </c>
      <c r="D342" s="1" t="str">
        <f>"152326195702280690"</f>
        <v>152326195702280690</v>
      </c>
      <c r="E342" s="1" t="s">
        <v>376</v>
      </c>
      <c r="F342" s="1" t="s">
        <v>25</v>
      </c>
      <c r="G342" s="1" t="s">
        <v>17</v>
      </c>
      <c r="H342" s="1" t="str">
        <f t="shared" si="358"/>
        <v>67</v>
      </c>
      <c r="I342" s="1" t="str">
        <f>"164.72"</f>
        <v>164.72</v>
      </c>
      <c r="J342" s="1" t="str">
        <f t="shared" si="347"/>
        <v>0</v>
      </c>
      <c r="K342" s="1" t="str">
        <f t="shared" si="348"/>
        <v>103</v>
      </c>
      <c r="L342" s="1" t="str">
        <f t="shared" si="349"/>
        <v>47</v>
      </c>
      <c r="M342" s="1" t="str">
        <f t="shared" si="356"/>
        <v>0</v>
      </c>
      <c r="N342" s="1" t="str">
        <f t="shared" si="357"/>
        <v>0</v>
      </c>
      <c r="O342" s="1" t="str">
        <f>"14.72"</f>
        <v>14.72</v>
      </c>
    </row>
    <row r="343" s="1" customFormat="1" spans="1:15">
      <c r="A343" s="1" t="str">
        <f t="shared" si="351"/>
        <v>202406</v>
      </c>
      <c r="B343" s="1" t="str">
        <f t="shared" si="352"/>
        <v>150525100</v>
      </c>
      <c r="C343" s="1" t="str">
        <f>"1014576854"</f>
        <v>1014576854</v>
      </c>
      <c r="D343" s="1" t="str">
        <f>"152326195802210040"</f>
        <v>152326195802210040</v>
      </c>
      <c r="E343" s="1" t="s">
        <v>377</v>
      </c>
      <c r="F343" s="1" t="s">
        <v>16</v>
      </c>
      <c r="G343" s="1" t="s">
        <v>17</v>
      </c>
      <c r="H343" s="1" t="str">
        <f>"66"</f>
        <v>66</v>
      </c>
      <c r="I343" s="1" t="str">
        <f>"157.07"</f>
        <v>157.07</v>
      </c>
      <c r="J343" s="1" t="str">
        <f t="shared" si="347"/>
        <v>0</v>
      </c>
      <c r="K343" s="1" t="str">
        <f t="shared" si="348"/>
        <v>103</v>
      </c>
      <c r="L343" s="1" t="str">
        <f t="shared" si="349"/>
        <v>47</v>
      </c>
      <c r="M343" s="1" t="str">
        <f t="shared" si="356"/>
        <v>0</v>
      </c>
      <c r="N343" s="1" t="str">
        <f t="shared" si="357"/>
        <v>0</v>
      </c>
      <c r="O343" s="1" t="str">
        <f>"7.07"</f>
        <v>7.07</v>
      </c>
    </row>
    <row r="344" s="1" customFormat="1" spans="1:15">
      <c r="A344" s="1" t="str">
        <f t="shared" si="351"/>
        <v>202406</v>
      </c>
      <c r="B344" s="1" t="str">
        <f t="shared" si="352"/>
        <v>150525100</v>
      </c>
      <c r="C344" s="1" t="str">
        <f>"1014552199"</f>
        <v>1014552199</v>
      </c>
      <c r="D344" s="1" t="str">
        <f>"152326195511303829"</f>
        <v>152326195511303829</v>
      </c>
      <c r="E344" s="1" t="s">
        <v>378</v>
      </c>
      <c r="F344" s="1" t="s">
        <v>16</v>
      </c>
      <c r="G344" s="1" t="s">
        <v>17</v>
      </c>
      <c r="H344" s="1" t="str">
        <f>"69"</f>
        <v>69</v>
      </c>
      <c r="I344" s="1" t="str">
        <f>"154.86"</f>
        <v>154.86</v>
      </c>
      <c r="J344" s="1" t="str">
        <f t="shared" si="347"/>
        <v>0</v>
      </c>
      <c r="K344" s="1" t="str">
        <f t="shared" si="348"/>
        <v>103</v>
      </c>
      <c r="L344" s="1" t="str">
        <f t="shared" si="349"/>
        <v>47</v>
      </c>
      <c r="M344" s="1" t="str">
        <f t="shared" si="356"/>
        <v>0</v>
      </c>
      <c r="N344" s="1" t="str">
        <f t="shared" si="357"/>
        <v>0</v>
      </c>
      <c r="O344" s="1" t="str">
        <f>"4.86"</f>
        <v>4.86</v>
      </c>
    </row>
    <row r="345" s="1" customFormat="1" spans="1:15">
      <c r="A345" s="1" t="str">
        <f t="shared" si="351"/>
        <v>202406</v>
      </c>
      <c r="B345" s="1" t="str">
        <f t="shared" si="352"/>
        <v>150525100</v>
      </c>
      <c r="C345" s="1" t="str">
        <f>"1014552203"</f>
        <v>1014552203</v>
      </c>
      <c r="D345" s="1" t="str">
        <f>"152326195711263817"</f>
        <v>152326195711263817</v>
      </c>
      <c r="E345" s="1" t="s">
        <v>379</v>
      </c>
      <c r="F345" s="1" t="s">
        <v>25</v>
      </c>
      <c r="G345" s="1" t="s">
        <v>17</v>
      </c>
      <c r="H345" s="1" t="str">
        <f>"67"</f>
        <v>67</v>
      </c>
      <c r="I345" s="1" t="str">
        <f>"155.87"</f>
        <v>155.87</v>
      </c>
      <c r="J345" s="1" t="str">
        <f t="shared" si="347"/>
        <v>0</v>
      </c>
      <c r="K345" s="1" t="str">
        <f t="shared" si="348"/>
        <v>103</v>
      </c>
      <c r="L345" s="1" t="str">
        <f t="shared" si="349"/>
        <v>47</v>
      </c>
      <c r="M345" s="1" t="str">
        <f t="shared" si="356"/>
        <v>0</v>
      </c>
      <c r="N345" s="1" t="str">
        <f t="shared" si="357"/>
        <v>0</v>
      </c>
      <c r="O345" s="1" t="str">
        <f>"5.87"</f>
        <v>5.87</v>
      </c>
    </row>
    <row r="346" s="1" customFormat="1" spans="1:15">
      <c r="A346" s="1" t="str">
        <f t="shared" si="351"/>
        <v>202406</v>
      </c>
      <c r="B346" s="1" t="str">
        <f t="shared" si="352"/>
        <v>150525100</v>
      </c>
      <c r="C346" s="1" t="str">
        <f>"1014572789"</f>
        <v>1014572789</v>
      </c>
      <c r="D346" s="1" t="str">
        <f>"152326195411213076"</f>
        <v>152326195411213076</v>
      </c>
      <c r="E346" s="1" t="s">
        <v>380</v>
      </c>
      <c r="F346" s="1" t="s">
        <v>25</v>
      </c>
      <c r="G346" s="1" t="s">
        <v>17</v>
      </c>
      <c r="H346" s="1" t="str">
        <f>"70"</f>
        <v>70</v>
      </c>
      <c r="I346" s="1" t="str">
        <f>"154.14"</f>
        <v>154.14</v>
      </c>
      <c r="J346" s="1" t="str">
        <f t="shared" si="347"/>
        <v>0</v>
      </c>
      <c r="K346" s="1" t="str">
        <f t="shared" si="348"/>
        <v>103</v>
      </c>
      <c r="L346" s="1" t="str">
        <f t="shared" si="349"/>
        <v>47</v>
      </c>
      <c r="M346" s="1" t="str">
        <f t="shared" si="356"/>
        <v>0</v>
      </c>
      <c r="N346" s="1" t="str">
        <f t="shared" si="357"/>
        <v>0</v>
      </c>
      <c r="O346" s="1" t="str">
        <f>"4.14"</f>
        <v>4.14</v>
      </c>
    </row>
    <row r="347" s="1" customFormat="1" spans="1:15">
      <c r="A347" s="1" t="str">
        <f t="shared" si="351"/>
        <v>202406</v>
      </c>
      <c r="B347" s="1" t="str">
        <f t="shared" si="352"/>
        <v>150525100</v>
      </c>
      <c r="C347" s="1" t="str">
        <f>"1014572792"</f>
        <v>1014572792</v>
      </c>
      <c r="D347" s="1" t="str">
        <f>"152326195412120429"</f>
        <v>152326195412120429</v>
      </c>
      <c r="E347" s="1" t="s">
        <v>381</v>
      </c>
      <c r="F347" s="1" t="s">
        <v>16</v>
      </c>
      <c r="G347" s="1" t="s">
        <v>17</v>
      </c>
      <c r="H347" s="1" t="str">
        <f>"70"</f>
        <v>70</v>
      </c>
      <c r="I347" s="1" t="str">
        <f>"154.14"</f>
        <v>154.14</v>
      </c>
      <c r="J347" s="1" t="str">
        <f t="shared" si="347"/>
        <v>0</v>
      </c>
      <c r="K347" s="1" t="str">
        <f t="shared" si="348"/>
        <v>103</v>
      </c>
      <c r="L347" s="1" t="str">
        <f t="shared" si="349"/>
        <v>47</v>
      </c>
      <c r="M347" s="1" t="str">
        <f t="shared" si="356"/>
        <v>0</v>
      </c>
      <c r="N347" s="1" t="str">
        <f t="shared" si="357"/>
        <v>0</v>
      </c>
      <c r="O347" s="1" t="str">
        <f>"4.14"</f>
        <v>4.14</v>
      </c>
    </row>
    <row r="348" s="1" customFormat="1" spans="1:15">
      <c r="A348" s="1" t="str">
        <f t="shared" si="351"/>
        <v>202406</v>
      </c>
      <c r="B348" s="1" t="str">
        <f t="shared" si="352"/>
        <v>150525100</v>
      </c>
      <c r="C348" s="1" t="str">
        <f>"1014572896"</f>
        <v>1014572896</v>
      </c>
      <c r="D348" s="1" t="str">
        <f>"152326195503163088"</f>
        <v>152326195503163088</v>
      </c>
      <c r="E348" s="1" t="s">
        <v>382</v>
      </c>
      <c r="F348" s="1" t="s">
        <v>16</v>
      </c>
      <c r="G348" s="1" t="s">
        <v>17</v>
      </c>
      <c r="H348" s="1" t="str">
        <f>"69"</f>
        <v>69</v>
      </c>
      <c r="I348" s="1" t="str">
        <f>"154.86"</f>
        <v>154.86</v>
      </c>
      <c r="J348" s="1" t="str">
        <f t="shared" si="347"/>
        <v>0</v>
      </c>
      <c r="K348" s="1" t="str">
        <f t="shared" si="348"/>
        <v>103</v>
      </c>
      <c r="L348" s="1" t="str">
        <f t="shared" si="349"/>
        <v>47</v>
      </c>
      <c r="M348" s="1" t="str">
        <f t="shared" si="356"/>
        <v>0</v>
      </c>
      <c r="N348" s="1" t="str">
        <f t="shared" si="357"/>
        <v>0</v>
      </c>
      <c r="O348" s="1" t="str">
        <f>"4.86"</f>
        <v>4.86</v>
      </c>
    </row>
    <row r="349" s="1" customFormat="1" spans="1:15">
      <c r="A349" s="1" t="str">
        <f t="shared" si="351"/>
        <v>202406</v>
      </c>
      <c r="B349" s="1" t="str">
        <f t="shared" si="352"/>
        <v>150525100</v>
      </c>
      <c r="C349" s="1" t="str">
        <f>"1014573028"</f>
        <v>1014573028</v>
      </c>
      <c r="D349" s="1" t="str">
        <f>"152326196311253083"</f>
        <v>152326196311253083</v>
      </c>
      <c r="E349" s="1" t="s">
        <v>383</v>
      </c>
      <c r="F349" s="1" t="s">
        <v>16</v>
      </c>
      <c r="G349" s="1" t="s">
        <v>17</v>
      </c>
      <c r="H349" s="1" t="str">
        <f>"61"</f>
        <v>61</v>
      </c>
      <c r="I349" s="1" t="str">
        <f>"165.08"</f>
        <v>165.08</v>
      </c>
      <c r="J349" s="1" t="str">
        <f t="shared" si="347"/>
        <v>0</v>
      </c>
      <c r="K349" s="1" t="str">
        <f t="shared" si="348"/>
        <v>103</v>
      </c>
      <c r="L349" s="1" t="str">
        <f t="shared" si="349"/>
        <v>47</v>
      </c>
      <c r="M349" s="1" t="str">
        <f t="shared" si="356"/>
        <v>0</v>
      </c>
      <c r="N349" s="1" t="str">
        <f t="shared" si="357"/>
        <v>0</v>
      </c>
      <c r="O349" s="1" t="str">
        <f>"15.08"</f>
        <v>15.08</v>
      </c>
    </row>
    <row r="350" s="1" customFormat="1" spans="1:15">
      <c r="A350" s="1" t="str">
        <f t="shared" si="351"/>
        <v>202406</v>
      </c>
      <c r="B350" s="1" t="str">
        <f t="shared" si="352"/>
        <v>150525100</v>
      </c>
      <c r="C350" s="1" t="str">
        <f>"1014573186"</f>
        <v>1014573186</v>
      </c>
      <c r="D350" s="1" t="str">
        <f>"152326195706230025"</f>
        <v>152326195706230025</v>
      </c>
      <c r="E350" s="1" t="s">
        <v>384</v>
      </c>
      <c r="F350" s="1" t="s">
        <v>16</v>
      </c>
      <c r="G350" s="1" t="s">
        <v>17</v>
      </c>
      <c r="H350" s="1" t="str">
        <f>"67"</f>
        <v>67</v>
      </c>
      <c r="I350" s="1" t="str">
        <f>"175.78"</f>
        <v>175.78</v>
      </c>
      <c r="J350" s="1" t="str">
        <f t="shared" si="347"/>
        <v>0</v>
      </c>
      <c r="K350" s="1" t="str">
        <f t="shared" si="348"/>
        <v>103</v>
      </c>
      <c r="L350" s="1" t="str">
        <f t="shared" si="349"/>
        <v>47</v>
      </c>
      <c r="M350" s="1" t="str">
        <f t="shared" si="356"/>
        <v>0</v>
      </c>
      <c r="N350" s="1" t="str">
        <f t="shared" si="357"/>
        <v>0</v>
      </c>
      <c r="O350" s="1" t="str">
        <f>"25.78"</f>
        <v>25.78</v>
      </c>
    </row>
    <row r="351" s="1" customFormat="1" spans="1:15">
      <c r="A351" s="1" t="str">
        <f t="shared" si="351"/>
        <v>202406</v>
      </c>
      <c r="B351" s="1" t="str">
        <f t="shared" si="352"/>
        <v>150525100</v>
      </c>
      <c r="C351" s="1" t="str">
        <f>"1014573189"</f>
        <v>1014573189</v>
      </c>
      <c r="D351" s="1" t="str">
        <f>"152326195806110020"</f>
        <v>152326195806110020</v>
      </c>
      <c r="E351" s="1" t="s">
        <v>385</v>
      </c>
      <c r="F351" s="1" t="s">
        <v>16</v>
      </c>
      <c r="G351" s="1" t="s">
        <v>19</v>
      </c>
      <c r="H351" s="1" t="str">
        <f t="shared" ref="H351:H354" si="359">"66"</f>
        <v>66</v>
      </c>
      <c r="I351" s="1" t="str">
        <f>"180.11"</f>
        <v>180.11</v>
      </c>
      <c r="J351" s="1" t="str">
        <f t="shared" si="347"/>
        <v>0</v>
      </c>
      <c r="K351" s="1" t="str">
        <f t="shared" si="348"/>
        <v>103</v>
      </c>
      <c r="L351" s="1" t="str">
        <f t="shared" si="349"/>
        <v>47</v>
      </c>
      <c r="M351" s="1" t="str">
        <f t="shared" si="356"/>
        <v>0</v>
      </c>
      <c r="N351" s="1" t="str">
        <f t="shared" si="357"/>
        <v>0</v>
      </c>
      <c r="O351" s="1" t="str">
        <f>"30.11"</f>
        <v>30.11</v>
      </c>
    </row>
    <row r="352" s="1" customFormat="1" spans="1:15">
      <c r="A352" s="1" t="str">
        <f t="shared" si="351"/>
        <v>202406</v>
      </c>
      <c r="B352" s="1" t="str">
        <f t="shared" si="352"/>
        <v>150525100</v>
      </c>
      <c r="C352" s="1" t="str">
        <f>"1014573190"</f>
        <v>1014573190</v>
      </c>
      <c r="D352" s="1" t="str">
        <f>"152326195808150042"</f>
        <v>152326195808150042</v>
      </c>
      <c r="E352" s="1" t="s">
        <v>63</v>
      </c>
      <c r="F352" s="1" t="s">
        <v>16</v>
      </c>
      <c r="G352" s="1" t="s">
        <v>17</v>
      </c>
      <c r="H352" s="1" t="str">
        <f t="shared" si="359"/>
        <v>66</v>
      </c>
      <c r="I352" s="1" t="str">
        <f>"180.31"</f>
        <v>180.31</v>
      </c>
      <c r="J352" s="1" t="str">
        <f t="shared" si="347"/>
        <v>0</v>
      </c>
      <c r="K352" s="1" t="str">
        <f t="shared" si="348"/>
        <v>103</v>
      </c>
      <c r="L352" s="1" t="str">
        <f t="shared" si="349"/>
        <v>47</v>
      </c>
      <c r="M352" s="1" t="str">
        <f t="shared" si="356"/>
        <v>0</v>
      </c>
      <c r="N352" s="1" t="str">
        <f t="shared" si="357"/>
        <v>0</v>
      </c>
      <c r="O352" s="1" t="str">
        <f>"30.31"</f>
        <v>30.31</v>
      </c>
    </row>
    <row r="353" s="1" customFormat="1" spans="1:15">
      <c r="A353" s="1" t="str">
        <f t="shared" si="351"/>
        <v>202406</v>
      </c>
      <c r="B353" s="1" t="str">
        <f t="shared" si="352"/>
        <v>150525100</v>
      </c>
      <c r="C353" s="1" t="str">
        <f>"1014573191"</f>
        <v>1014573191</v>
      </c>
      <c r="D353" s="1" t="str">
        <f>"152326195809060049"</f>
        <v>152326195809060049</v>
      </c>
      <c r="E353" s="1" t="s">
        <v>386</v>
      </c>
      <c r="F353" s="1" t="s">
        <v>16</v>
      </c>
      <c r="G353" s="1" t="s">
        <v>17</v>
      </c>
      <c r="H353" s="1" t="str">
        <f t="shared" si="359"/>
        <v>66</v>
      </c>
      <c r="I353" s="1" t="str">
        <f>"180.35"</f>
        <v>180.35</v>
      </c>
      <c r="J353" s="1" t="str">
        <f t="shared" si="347"/>
        <v>0</v>
      </c>
      <c r="K353" s="1" t="str">
        <f t="shared" si="348"/>
        <v>103</v>
      </c>
      <c r="L353" s="1" t="str">
        <f t="shared" si="349"/>
        <v>47</v>
      </c>
      <c r="M353" s="1" t="str">
        <f t="shared" si="356"/>
        <v>0</v>
      </c>
      <c r="N353" s="1" t="str">
        <f t="shared" si="357"/>
        <v>0</v>
      </c>
      <c r="O353" s="1" t="str">
        <f>"30.35"</f>
        <v>30.35</v>
      </c>
    </row>
    <row r="354" s="1" customFormat="1" spans="1:15">
      <c r="A354" s="1" t="str">
        <f t="shared" si="351"/>
        <v>202406</v>
      </c>
      <c r="B354" s="1" t="str">
        <f t="shared" si="352"/>
        <v>150525100</v>
      </c>
      <c r="C354" s="1" t="str">
        <f>"1014573192"</f>
        <v>1014573192</v>
      </c>
      <c r="D354" s="1" t="str">
        <f>"152326195811120020"</f>
        <v>152326195811120020</v>
      </c>
      <c r="E354" s="1" t="s">
        <v>387</v>
      </c>
      <c r="F354" s="1" t="s">
        <v>16</v>
      </c>
      <c r="G354" s="1" t="s">
        <v>17</v>
      </c>
      <c r="H354" s="1" t="str">
        <f t="shared" si="359"/>
        <v>66</v>
      </c>
      <c r="I354" s="1" t="str">
        <f>"181.36"</f>
        <v>181.36</v>
      </c>
      <c r="J354" s="1" t="str">
        <f t="shared" si="347"/>
        <v>0</v>
      </c>
      <c r="K354" s="1" t="str">
        <f t="shared" si="348"/>
        <v>103</v>
      </c>
      <c r="L354" s="1" t="str">
        <f t="shared" si="349"/>
        <v>47</v>
      </c>
      <c r="M354" s="1" t="str">
        <f t="shared" si="356"/>
        <v>0</v>
      </c>
      <c r="N354" s="1" t="str">
        <f t="shared" si="357"/>
        <v>0</v>
      </c>
      <c r="O354" s="1" t="str">
        <f>"31.36"</f>
        <v>31.36</v>
      </c>
    </row>
    <row r="355" s="1" customFormat="1" spans="1:15">
      <c r="A355" s="1" t="str">
        <f t="shared" si="351"/>
        <v>202406</v>
      </c>
      <c r="B355" s="1" t="str">
        <f t="shared" si="352"/>
        <v>150525100</v>
      </c>
      <c r="C355" s="1" t="str">
        <f>"1014573194"</f>
        <v>1014573194</v>
      </c>
      <c r="D355" s="1" t="str">
        <f>"152326196012150025"</f>
        <v>152326196012150025</v>
      </c>
      <c r="E355" s="1" t="s">
        <v>388</v>
      </c>
      <c r="F355" s="1" t="s">
        <v>16</v>
      </c>
      <c r="G355" s="1" t="s">
        <v>17</v>
      </c>
      <c r="H355" s="1" t="str">
        <f>"64"</f>
        <v>64</v>
      </c>
      <c r="I355" s="1" t="str">
        <f>"186.27"</f>
        <v>186.27</v>
      </c>
      <c r="J355" s="1" t="str">
        <f t="shared" si="347"/>
        <v>0</v>
      </c>
      <c r="K355" s="1" t="str">
        <f t="shared" si="348"/>
        <v>103</v>
      </c>
      <c r="L355" s="1" t="str">
        <f t="shared" si="349"/>
        <v>47</v>
      </c>
      <c r="M355" s="1" t="str">
        <f t="shared" si="356"/>
        <v>0</v>
      </c>
      <c r="N355" s="1" t="str">
        <f t="shared" si="357"/>
        <v>0</v>
      </c>
      <c r="O355" s="1" t="str">
        <f>"36.27"</f>
        <v>36.27</v>
      </c>
    </row>
    <row r="356" s="1" customFormat="1" spans="1:15">
      <c r="A356" s="1" t="str">
        <f t="shared" si="351"/>
        <v>202406</v>
      </c>
      <c r="B356" s="1" t="str">
        <f t="shared" si="352"/>
        <v>150525100</v>
      </c>
      <c r="C356" s="1" t="str">
        <f>"1014573196"</f>
        <v>1014573196</v>
      </c>
      <c r="D356" s="1" t="str">
        <f>"152326196112250058"</f>
        <v>152326196112250058</v>
      </c>
      <c r="E356" s="1" t="s">
        <v>389</v>
      </c>
      <c r="F356" s="1" t="s">
        <v>25</v>
      </c>
      <c r="G356" s="1" t="s">
        <v>17</v>
      </c>
      <c r="H356" s="1" t="str">
        <f>"63"</f>
        <v>63</v>
      </c>
      <c r="I356" s="1" t="str">
        <f>"194.73"</f>
        <v>194.73</v>
      </c>
      <c r="J356" s="1" t="str">
        <f t="shared" si="347"/>
        <v>0</v>
      </c>
      <c r="K356" s="1" t="str">
        <f t="shared" si="348"/>
        <v>103</v>
      </c>
      <c r="L356" s="1" t="str">
        <f t="shared" si="349"/>
        <v>47</v>
      </c>
      <c r="M356" s="1" t="str">
        <f t="shared" si="356"/>
        <v>0</v>
      </c>
      <c r="N356" s="1" t="str">
        <f t="shared" si="357"/>
        <v>0</v>
      </c>
      <c r="O356" s="1" t="str">
        <f>"44.73"</f>
        <v>44.73</v>
      </c>
    </row>
    <row r="357" s="1" customFormat="1" spans="1:15">
      <c r="A357" s="1" t="str">
        <f t="shared" si="351"/>
        <v>202406</v>
      </c>
      <c r="B357" s="1" t="str">
        <f t="shared" si="352"/>
        <v>150525100</v>
      </c>
      <c r="C357" s="1" t="str">
        <f>"1014573198"</f>
        <v>1014573198</v>
      </c>
      <c r="D357" s="1" t="str">
        <f>"152326195606040048"</f>
        <v>152326195606040048</v>
      </c>
      <c r="E357" s="1" t="s">
        <v>390</v>
      </c>
      <c r="F357" s="1" t="s">
        <v>16</v>
      </c>
      <c r="G357" s="1" t="s">
        <v>17</v>
      </c>
      <c r="H357" s="1" t="str">
        <f>"68"</f>
        <v>68</v>
      </c>
      <c r="I357" s="1" t="str">
        <f>"156.01"</f>
        <v>156.01</v>
      </c>
      <c r="J357" s="1" t="str">
        <f t="shared" si="347"/>
        <v>0</v>
      </c>
      <c r="K357" s="1" t="str">
        <f t="shared" si="348"/>
        <v>103</v>
      </c>
      <c r="L357" s="1" t="str">
        <f t="shared" si="349"/>
        <v>47</v>
      </c>
      <c r="M357" s="1" t="str">
        <f t="shared" si="356"/>
        <v>0</v>
      </c>
      <c r="N357" s="1" t="str">
        <f t="shared" si="357"/>
        <v>0</v>
      </c>
      <c r="O357" s="1" t="str">
        <f>"6.01"</f>
        <v>6.01</v>
      </c>
    </row>
    <row r="358" s="1" customFormat="1" spans="1:15">
      <c r="A358" s="1" t="str">
        <f t="shared" si="351"/>
        <v>202406</v>
      </c>
      <c r="B358" s="1" t="str">
        <f t="shared" si="352"/>
        <v>150525100</v>
      </c>
      <c r="C358" s="1" t="str">
        <f>"1014573308"</f>
        <v>1014573308</v>
      </c>
      <c r="D358" s="1" t="str">
        <f>"152326195805193071"</f>
        <v>152326195805193071</v>
      </c>
      <c r="E358" s="1" t="s">
        <v>391</v>
      </c>
      <c r="F358" s="1" t="s">
        <v>25</v>
      </c>
      <c r="G358" s="1" t="s">
        <v>17</v>
      </c>
      <c r="H358" s="1" t="str">
        <f t="shared" ref="H358:H360" si="360">"66"</f>
        <v>66</v>
      </c>
      <c r="I358" s="1" t="str">
        <f>"157.09"</f>
        <v>157.09</v>
      </c>
      <c r="J358" s="1" t="str">
        <f t="shared" si="347"/>
        <v>0</v>
      </c>
      <c r="K358" s="1" t="str">
        <f t="shared" si="348"/>
        <v>103</v>
      </c>
      <c r="L358" s="1" t="str">
        <f t="shared" si="349"/>
        <v>47</v>
      </c>
      <c r="M358" s="1" t="str">
        <f t="shared" si="356"/>
        <v>0</v>
      </c>
      <c r="N358" s="1" t="str">
        <f t="shared" si="357"/>
        <v>0</v>
      </c>
      <c r="O358" s="1" t="str">
        <f>"7.09"</f>
        <v>7.09</v>
      </c>
    </row>
    <row r="359" s="1" customFormat="1" spans="1:15">
      <c r="A359" s="1" t="str">
        <f t="shared" si="351"/>
        <v>202406</v>
      </c>
      <c r="B359" s="1" t="str">
        <f t="shared" si="352"/>
        <v>150525100</v>
      </c>
      <c r="C359" s="1" t="str">
        <f>"1014573315"</f>
        <v>1014573315</v>
      </c>
      <c r="D359" s="1" t="str">
        <f>"152326195809080429"</f>
        <v>152326195809080429</v>
      </c>
      <c r="E359" s="1" t="s">
        <v>392</v>
      </c>
      <c r="F359" s="1" t="s">
        <v>16</v>
      </c>
      <c r="G359" s="1" t="s">
        <v>17</v>
      </c>
      <c r="H359" s="1" t="str">
        <f t="shared" si="360"/>
        <v>66</v>
      </c>
      <c r="I359" s="1" t="str">
        <f>"157.13"</f>
        <v>157.13</v>
      </c>
      <c r="J359" s="1" t="str">
        <f t="shared" si="347"/>
        <v>0</v>
      </c>
      <c r="K359" s="1" t="str">
        <f t="shared" si="348"/>
        <v>103</v>
      </c>
      <c r="L359" s="1" t="str">
        <f t="shared" si="349"/>
        <v>47</v>
      </c>
      <c r="M359" s="1" t="str">
        <f t="shared" si="356"/>
        <v>0</v>
      </c>
      <c r="N359" s="1" t="str">
        <f t="shared" si="357"/>
        <v>0</v>
      </c>
      <c r="O359" s="1" t="str">
        <f>"7.13"</f>
        <v>7.13</v>
      </c>
    </row>
    <row r="360" s="1" customFormat="1" spans="1:15">
      <c r="A360" s="1" t="str">
        <f t="shared" si="351"/>
        <v>202406</v>
      </c>
      <c r="B360" s="1" t="str">
        <f t="shared" si="352"/>
        <v>150525100</v>
      </c>
      <c r="C360" s="1" t="str">
        <f>"1014573320"</f>
        <v>1014573320</v>
      </c>
      <c r="D360" s="1" t="str">
        <f>"152326195812150045"</f>
        <v>152326195812150045</v>
      </c>
      <c r="E360" s="1" t="s">
        <v>393</v>
      </c>
      <c r="F360" s="1" t="s">
        <v>16</v>
      </c>
      <c r="G360" s="1" t="s">
        <v>17</v>
      </c>
      <c r="H360" s="1" t="str">
        <f t="shared" si="360"/>
        <v>66</v>
      </c>
      <c r="I360" s="1" t="str">
        <f>"157.15"</f>
        <v>157.15</v>
      </c>
      <c r="J360" s="1" t="str">
        <f t="shared" si="347"/>
        <v>0</v>
      </c>
      <c r="K360" s="1" t="str">
        <f t="shared" si="348"/>
        <v>103</v>
      </c>
      <c r="L360" s="1" t="str">
        <f t="shared" si="349"/>
        <v>47</v>
      </c>
      <c r="M360" s="1" t="str">
        <f t="shared" si="356"/>
        <v>0</v>
      </c>
      <c r="N360" s="1" t="str">
        <f t="shared" si="357"/>
        <v>0</v>
      </c>
      <c r="O360" s="1" t="str">
        <f>"7.15"</f>
        <v>7.15</v>
      </c>
    </row>
    <row r="361" s="1" customFormat="1" spans="1:15">
      <c r="A361" s="1" t="str">
        <f t="shared" si="351"/>
        <v>202406</v>
      </c>
      <c r="B361" s="1" t="str">
        <f t="shared" si="352"/>
        <v>150525100</v>
      </c>
      <c r="C361" s="1" t="str">
        <f>"1014573481"</f>
        <v>1014573481</v>
      </c>
      <c r="D361" s="1" t="str">
        <f>"152326196208173085"</f>
        <v>152326196208173085</v>
      </c>
      <c r="E361" s="1" t="s">
        <v>394</v>
      </c>
      <c r="F361" s="1" t="s">
        <v>16</v>
      </c>
      <c r="G361" s="1" t="s">
        <v>17</v>
      </c>
      <c r="H361" s="1" t="str">
        <f t="shared" ref="H361:H365" si="361">"62"</f>
        <v>62</v>
      </c>
      <c r="I361" s="1" t="str">
        <f>"163.09"</f>
        <v>163.09</v>
      </c>
      <c r="J361" s="1" t="str">
        <f t="shared" si="347"/>
        <v>0</v>
      </c>
      <c r="K361" s="1" t="str">
        <f t="shared" si="348"/>
        <v>103</v>
      </c>
      <c r="L361" s="1" t="str">
        <f t="shared" si="349"/>
        <v>47</v>
      </c>
      <c r="M361" s="1" t="str">
        <f t="shared" si="356"/>
        <v>0</v>
      </c>
      <c r="N361" s="1" t="str">
        <f t="shared" si="357"/>
        <v>0</v>
      </c>
      <c r="O361" s="1" t="str">
        <f>"13.09"</f>
        <v>13.09</v>
      </c>
    </row>
    <row r="362" s="1" customFormat="1" spans="1:15">
      <c r="A362" s="1" t="str">
        <f t="shared" si="351"/>
        <v>202406</v>
      </c>
      <c r="B362" s="1" t="str">
        <f t="shared" si="352"/>
        <v>150525100</v>
      </c>
      <c r="C362" s="1" t="str">
        <f>"1014573492"</f>
        <v>1014573492</v>
      </c>
      <c r="D362" s="1" t="str">
        <f>"152326196211060022"</f>
        <v>152326196211060022</v>
      </c>
      <c r="E362" s="1" t="s">
        <v>395</v>
      </c>
      <c r="F362" s="1" t="s">
        <v>16</v>
      </c>
      <c r="G362" s="1" t="s">
        <v>17</v>
      </c>
      <c r="H362" s="1" t="str">
        <f t="shared" si="361"/>
        <v>62</v>
      </c>
      <c r="I362" s="1" t="str">
        <f>"163.67"</f>
        <v>163.67</v>
      </c>
      <c r="J362" s="1" t="str">
        <f t="shared" si="347"/>
        <v>0</v>
      </c>
      <c r="K362" s="1" t="str">
        <f t="shared" si="348"/>
        <v>103</v>
      </c>
      <c r="L362" s="1" t="str">
        <f t="shared" si="349"/>
        <v>47</v>
      </c>
      <c r="M362" s="1" t="str">
        <f t="shared" si="356"/>
        <v>0</v>
      </c>
      <c r="N362" s="1" t="str">
        <f t="shared" si="357"/>
        <v>0</v>
      </c>
      <c r="O362" s="1" t="str">
        <f>"13.67"</f>
        <v>13.67</v>
      </c>
    </row>
    <row r="363" s="1" customFormat="1" spans="1:15">
      <c r="A363" s="1" t="str">
        <f t="shared" si="351"/>
        <v>202406</v>
      </c>
      <c r="B363" s="1" t="str">
        <f t="shared" si="352"/>
        <v>150525100</v>
      </c>
      <c r="C363" s="1" t="str">
        <f>"1014575848"</f>
        <v>1014575848</v>
      </c>
      <c r="D363" s="1" t="str">
        <f>"152326196102280667"</f>
        <v>152326196102280667</v>
      </c>
      <c r="E363" s="1" t="s">
        <v>396</v>
      </c>
      <c r="F363" s="1" t="s">
        <v>16</v>
      </c>
      <c r="G363" s="1" t="s">
        <v>17</v>
      </c>
      <c r="H363" s="1" t="str">
        <f>"63"</f>
        <v>63</v>
      </c>
      <c r="I363" s="1" t="str">
        <f>"161.01"</f>
        <v>161.01</v>
      </c>
      <c r="J363" s="1" t="str">
        <f t="shared" si="347"/>
        <v>0</v>
      </c>
      <c r="K363" s="1" t="str">
        <f t="shared" si="348"/>
        <v>103</v>
      </c>
      <c r="L363" s="1" t="str">
        <f t="shared" si="349"/>
        <v>47</v>
      </c>
      <c r="M363" s="1" t="str">
        <f t="shared" si="356"/>
        <v>0</v>
      </c>
      <c r="N363" s="1" t="str">
        <f t="shared" si="357"/>
        <v>0</v>
      </c>
      <c r="O363" s="1" t="str">
        <f>"11.01"</f>
        <v>11.01</v>
      </c>
    </row>
    <row r="364" s="1" customFormat="1" spans="1:15">
      <c r="A364" s="1" t="str">
        <f t="shared" si="351"/>
        <v>202406</v>
      </c>
      <c r="B364" s="1" t="str">
        <f t="shared" si="352"/>
        <v>150525100</v>
      </c>
      <c r="C364" s="1" t="str">
        <f>"1014575852"</f>
        <v>1014575852</v>
      </c>
      <c r="D364" s="1" t="str">
        <f>"152326196207130673"</f>
        <v>152326196207130673</v>
      </c>
      <c r="E364" s="1" t="s">
        <v>397</v>
      </c>
      <c r="F364" s="1" t="s">
        <v>25</v>
      </c>
      <c r="G364" s="1" t="s">
        <v>17</v>
      </c>
      <c r="H364" s="1" t="str">
        <f t="shared" si="361"/>
        <v>62</v>
      </c>
      <c r="I364" s="1" t="str">
        <f>"163.06"</f>
        <v>163.06</v>
      </c>
      <c r="J364" s="1" t="str">
        <f t="shared" si="347"/>
        <v>0</v>
      </c>
      <c r="K364" s="1" t="str">
        <f t="shared" si="348"/>
        <v>103</v>
      </c>
      <c r="L364" s="1" t="str">
        <f t="shared" si="349"/>
        <v>47</v>
      </c>
      <c r="M364" s="1" t="str">
        <f t="shared" si="356"/>
        <v>0</v>
      </c>
      <c r="N364" s="1" t="str">
        <f t="shared" si="357"/>
        <v>0</v>
      </c>
      <c r="O364" s="1" t="str">
        <f>"13.06"</f>
        <v>13.06</v>
      </c>
    </row>
    <row r="365" s="1" customFormat="1" spans="1:15">
      <c r="A365" s="1" t="str">
        <f t="shared" si="351"/>
        <v>202406</v>
      </c>
      <c r="B365" s="1" t="str">
        <f t="shared" si="352"/>
        <v>150525100</v>
      </c>
      <c r="C365" s="1" t="str">
        <f>"1014575859"</f>
        <v>1014575859</v>
      </c>
      <c r="D365" s="1" t="str">
        <f>"152326196210110665"</f>
        <v>152326196210110665</v>
      </c>
      <c r="E365" s="1" t="s">
        <v>398</v>
      </c>
      <c r="F365" s="1" t="s">
        <v>16</v>
      </c>
      <c r="G365" s="1" t="s">
        <v>17</v>
      </c>
      <c r="H365" s="1" t="str">
        <f t="shared" si="361"/>
        <v>62</v>
      </c>
      <c r="I365" s="1" t="str">
        <f>"163.15"</f>
        <v>163.15</v>
      </c>
      <c r="J365" s="1" t="str">
        <f t="shared" si="347"/>
        <v>0</v>
      </c>
      <c r="K365" s="1" t="str">
        <f t="shared" si="348"/>
        <v>103</v>
      </c>
      <c r="L365" s="1" t="str">
        <f t="shared" si="349"/>
        <v>47</v>
      </c>
      <c r="M365" s="1" t="str">
        <f t="shared" si="356"/>
        <v>0</v>
      </c>
      <c r="N365" s="1" t="str">
        <f t="shared" si="357"/>
        <v>0</v>
      </c>
      <c r="O365" s="1" t="str">
        <f>"13.15"</f>
        <v>13.15</v>
      </c>
    </row>
    <row r="366" s="1" customFormat="1" spans="1:15">
      <c r="A366" s="1" t="str">
        <f t="shared" si="351"/>
        <v>202406</v>
      </c>
      <c r="B366" s="1" t="str">
        <f t="shared" si="352"/>
        <v>150525100</v>
      </c>
      <c r="C366" s="1" t="str">
        <f>"1014548418"</f>
        <v>1014548418</v>
      </c>
      <c r="D366" s="1" t="str">
        <f>"152326195503260689"</f>
        <v>152326195503260689</v>
      </c>
      <c r="E366" s="1" t="s">
        <v>399</v>
      </c>
      <c r="F366" s="1" t="s">
        <v>16</v>
      </c>
      <c r="G366" s="1" t="s">
        <v>17</v>
      </c>
      <c r="H366" s="1" t="str">
        <f t="shared" ref="H366:H369" si="362">"69"</f>
        <v>69</v>
      </c>
      <c r="I366" s="1" t="str">
        <f>"155.1"</f>
        <v>155.1</v>
      </c>
      <c r="J366" s="1" t="str">
        <f t="shared" si="347"/>
        <v>0</v>
      </c>
      <c r="K366" s="1" t="str">
        <f t="shared" si="348"/>
        <v>103</v>
      </c>
      <c r="L366" s="1" t="str">
        <f t="shared" si="349"/>
        <v>47</v>
      </c>
      <c r="M366" s="1" t="str">
        <f t="shared" si="356"/>
        <v>0</v>
      </c>
      <c r="N366" s="1" t="str">
        <f t="shared" si="357"/>
        <v>0</v>
      </c>
      <c r="O366" s="1" t="str">
        <f>"5.1"</f>
        <v>5.1</v>
      </c>
    </row>
    <row r="367" s="1" customFormat="1" spans="1:15">
      <c r="A367" s="1" t="str">
        <f t="shared" si="351"/>
        <v>202406</v>
      </c>
      <c r="B367" s="1" t="str">
        <f t="shared" si="352"/>
        <v>150525100</v>
      </c>
      <c r="C367" s="1" t="str">
        <f>"1014548419"</f>
        <v>1014548419</v>
      </c>
      <c r="D367" s="1" t="str">
        <f>"152326195504170669"</f>
        <v>152326195504170669</v>
      </c>
      <c r="E367" s="1" t="s">
        <v>400</v>
      </c>
      <c r="F367" s="1" t="s">
        <v>16</v>
      </c>
      <c r="G367" s="1" t="s">
        <v>17</v>
      </c>
      <c r="H367" s="1" t="str">
        <f t="shared" si="362"/>
        <v>69</v>
      </c>
      <c r="I367" s="1" t="str">
        <f>"155.1"</f>
        <v>155.1</v>
      </c>
      <c r="J367" s="1" t="str">
        <f t="shared" si="347"/>
        <v>0</v>
      </c>
      <c r="K367" s="1" t="str">
        <f t="shared" si="348"/>
        <v>103</v>
      </c>
      <c r="L367" s="1" t="str">
        <f t="shared" si="349"/>
        <v>47</v>
      </c>
      <c r="M367" s="1" t="str">
        <f t="shared" si="356"/>
        <v>0</v>
      </c>
      <c r="N367" s="1" t="str">
        <f t="shared" si="357"/>
        <v>0</v>
      </c>
      <c r="O367" s="1" t="str">
        <f>"5.1"</f>
        <v>5.1</v>
      </c>
    </row>
    <row r="368" s="1" customFormat="1" spans="1:15">
      <c r="A368" s="1" t="str">
        <f t="shared" si="351"/>
        <v>202406</v>
      </c>
      <c r="B368" s="1" t="str">
        <f t="shared" si="352"/>
        <v>150525100</v>
      </c>
      <c r="C368" s="1" t="str">
        <f>"1014548423"</f>
        <v>1014548423</v>
      </c>
      <c r="D368" s="1" t="str">
        <f>"152326195509040687"</f>
        <v>152326195509040687</v>
      </c>
      <c r="E368" s="1" t="s">
        <v>401</v>
      </c>
      <c r="F368" s="1" t="s">
        <v>16</v>
      </c>
      <c r="G368" s="1" t="s">
        <v>17</v>
      </c>
      <c r="H368" s="1" t="str">
        <f t="shared" si="362"/>
        <v>69</v>
      </c>
      <c r="I368" s="1" t="str">
        <f>"154.84"</f>
        <v>154.84</v>
      </c>
      <c r="J368" s="1" t="str">
        <f t="shared" si="347"/>
        <v>0</v>
      </c>
      <c r="K368" s="1" t="str">
        <f t="shared" si="348"/>
        <v>103</v>
      </c>
      <c r="L368" s="1" t="str">
        <f t="shared" si="349"/>
        <v>47</v>
      </c>
      <c r="M368" s="1" t="str">
        <f t="shared" si="356"/>
        <v>0</v>
      </c>
      <c r="N368" s="1" t="str">
        <f t="shared" si="357"/>
        <v>0</v>
      </c>
      <c r="O368" s="1" t="str">
        <f>"4.84"</f>
        <v>4.84</v>
      </c>
    </row>
    <row r="369" s="1" customFormat="1" spans="1:15">
      <c r="A369" s="1" t="str">
        <f t="shared" si="351"/>
        <v>202406</v>
      </c>
      <c r="B369" s="1" t="str">
        <f t="shared" si="352"/>
        <v>150525100</v>
      </c>
      <c r="C369" s="1" t="str">
        <f>"1014572915"</f>
        <v>1014572915</v>
      </c>
      <c r="D369" s="1" t="str">
        <f>"152326195510170024"</f>
        <v>152326195510170024</v>
      </c>
      <c r="E369" s="1" t="s">
        <v>402</v>
      </c>
      <c r="F369" s="1" t="s">
        <v>16</v>
      </c>
      <c r="G369" s="1" t="s">
        <v>17</v>
      </c>
      <c r="H369" s="1" t="str">
        <f t="shared" si="362"/>
        <v>69</v>
      </c>
      <c r="I369" s="1" t="str">
        <f>"155.09"</f>
        <v>155.09</v>
      </c>
      <c r="J369" s="1" t="str">
        <f t="shared" si="347"/>
        <v>0</v>
      </c>
      <c r="K369" s="1" t="str">
        <f t="shared" si="348"/>
        <v>103</v>
      </c>
      <c r="L369" s="1" t="str">
        <f t="shared" si="349"/>
        <v>47</v>
      </c>
      <c r="M369" s="1" t="str">
        <f t="shared" si="356"/>
        <v>0</v>
      </c>
      <c r="N369" s="1" t="str">
        <f t="shared" si="357"/>
        <v>0</v>
      </c>
      <c r="O369" s="1" t="str">
        <f>"5.09"</f>
        <v>5.09</v>
      </c>
    </row>
    <row r="370" s="1" customFormat="1" spans="1:15">
      <c r="A370" s="1" t="str">
        <f t="shared" si="351"/>
        <v>202406</v>
      </c>
      <c r="B370" s="1" t="str">
        <f t="shared" si="352"/>
        <v>150525100</v>
      </c>
      <c r="C370" s="1" t="str">
        <f>"1014573204"</f>
        <v>1014573204</v>
      </c>
      <c r="D370" s="1" t="str">
        <f>"152326195607250012"</f>
        <v>152326195607250012</v>
      </c>
      <c r="E370" s="1" t="s">
        <v>403</v>
      </c>
      <c r="F370" s="1" t="s">
        <v>25</v>
      </c>
      <c r="G370" s="1" t="s">
        <v>17</v>
      </c>
      <c r="H370" s="1" t="str">
        <f>"68"</f>
        <v>68</v>
      </c>
      <c r="I370" s="1" t="str">
        <f>"156.01"</f>
        <v>156.01</v>
      </c>
      <c r="J370" s="1" t="str">
        <f t="shared" ref="J370:J373" si="363">"0"</f>
        <v>0</v>
      </c>
      <c r="K370" s="1" t="str">
        <f t="shared" ref="K370:K373" si="364">"103"</f>
        <v>103</v>
      </c>
      <c r="L370" s="1" t="str">
        <f t="shared" ref="L370:L373" si="365">"47"</f>
        <v>47</v>
      </c>
      <c r="M370" s="1" t="str">
        <f t="shared" si="356"/>
        <v>0</v>
      </c>
      <c r="N370" s="1" t="str">
        <f t="shared" si="357"/>
        <v>0</v>
      </c>
      <c r="O370" s="1" t="str">
        <f>"6.01"</f>
        <v>6.01</v>
      </c>
    </row>
    <row r="371" s="1" customFormat="1" spans="1:15">
      <c r="A371" s="1" t="str">
        <f t="shared" si="351"/>
        <v>202406</v>
      </c>
      <c r="B371" s="1" t="str">
        <f t="shared" si="352"/>
        <v>150525100</v>
      </c>
      <c r="C371" s="1" t="str">
        <f>"1014573503"</f>
        <v>1014573503</v>
      </c>
      <c r="D371" s="1" t="str">
        <f>"152326196301280416"</f>
        <v>152326196301280416</v>
      </c>
      <c r="E371" s="1" t="s">
        <v>404</v>
      </c>
      <c r="F371" s="1" t="s">
        <v>25</v>
      </c>
      <c r="G371" s="1" t="s">
        <v>17</v>
      </c>
      <c r="H371" s="1" t="str">
        <f>"61"</f>
        <v>61</v>
      </c>
      <c r="I371" s="1" t="str">
        <f>"164.92"</f>
        <v>164.92</v>
      </c>
      <c r="J371" s="1" t="str">
        <f t="shared" si="363"/>
        <v>0</v>
      </c>
      <c r="K371" s="1" t="str">
        <f t="shared" si="364"/>
        <v>103</v>
      </c>
      <c r="L371" s="1" t="str">
        <f t="shared" si="365"/>
        <v>47</v>
      </c>
      <c r="M371" s="1" t="str">
        <f t="shared" si="356"/>
        <v>0</v>
      </c>
      <c r="N371" s="1" t="str">
        <f t="shared" si="357"/>
        <v>0</v>
      </c>
      <c r="O371" s="1" t="str">
        <f>"14.92"</f>
        <v>14.92</v>
      </c>
    </row>
    <row r="372" s="1" customFormat="1" spans="1:15">
      <c r="A372" s="1" t="str">
        <f t="shared" si="351"/>
        <v>202406</v>
      </c>
      <c r="B372" s="1" t="str">
        <f t="shared" si="352"/>
        <v>150525100</v>
      </c>
      <c r="C372" s="1" t="str">
        <f>"1014573509"</f>
        <v>1014573509</v>
      </c>
      <c r="D372" s="1" t="str">
        <f>"152326196304130042"</f>
        <v>152326196304130042</v>
      </c>
      <c r="E372" s="1" t="s">
        <v>405</v>
      </c>
      <c r="F372" s="1" t="s">
        <v>16</v>
      </c>
      <c r="G372" s="1" t="s">
        <v>17</v>
      </c>
      <c r="H372" s="1" t="str">
        <f>"61"</f>
        <v>61</v>
      </c>
      <c r="I372" s="1" t="str">
        <f>"169.59"</f>
        <v>169.59</v>
      </c>
      <c r="J372" s="1" t="str">
        <f t="shared" si="363"/>
        <v>0</v>
      </c>
      <c r="K372" s="1" t="str">
        <f t="shared" si="364"/>
        <v>103</v>
      </c>
      <c r="L372" s="1" t="str">
        <f t="shared" si="365"/>
        <v>47</v>
      </c>
      <c r="M372" s="1" t="str">
        <f t="shared" si="356"/>
        <v>0</v>
      </c>
      <c r="N372" s="1" t="str">
        <f t="shared" si="357"/>
        <v>0</v>
      </c>
      <c r="O372" s="1" t="str">
        <f>"19.59"</f>
        <v>19.59</v>
      </c>
    </row>
    <row r="373" s="1" customFormat="1" spans="1:15">
      <c r="A373" s="1" t="str">
        <f t="shared" si="351"/>
        <v>202406</v>
      </c>
      <c r="B373" s="1" t="str">
        <f t="shared" si="352"/>
        <v>150525100</v>
      </c>
      <c r="C373" s="1" t="str">
        <f>"1014573515"</f>
        <v>1014573515</v>
      </c>
      <c r="D373" s="1" t="str">
        <f>"152326195812283083"</f>
        <v>152326195812283083</v>
      </c>
      <c r="E373" s="1" t="s">
        <v>406</v>
      </c>
      <c r="F373" s="1" t="s">
        <v>16</v>
      </c>
      <c r="G373" s="1" t="s">
        <v>17</v>
      </c>
      <c r="H373" s="1" t="str">
        <f>"66"</f>
        <v>66</v>
      </c>
      <c r="I373" s="1" t="str">
        <f>"170.33"</f>
        <v>170.33</v>
      </c>
      <c r="J373" s="1" t="str">
        <f t="shared" si="363"/>
        <v>0</v>
      </c>
      <c r="K373" s="1" t="str">
        <f t="shared" si="364"/>
        <v>103</v>
      </c>
      <c r="L373" s="1" t="str">
        <f t="shared" si="365"/>
        <v>47</v>
      </c>
      <c r="M373" s="1" t="str">
        <f t="shared" si="356"/>
        <v>0</v>
      </c>
      <c r="N373" s="1" t="str">
        <f t="shared" si="357"/>
        <v>0</v>
      </c>
      <c r="O373" s="1" t="str">
        <f>"20.33"</f>
        <v>20.33</v>
      </c>
    </row>
    <row r="374" s="1" customFormat="1" spans="1:15">
      <c r="A374" s="1" t="str">
        <f t="shared" si="351"/>
        <v>202406</v>
      </c>
      <c r="B374" s="1" t="str">
        <f t="shared" si="352"/>
        <v>150525100</v>
      </c>
      <c r="C374" s="1" t="str">
        <f>"1014575643"</f>
        <v>1014575643</v>
      </c>
      <c r="D374" s="1" t="str">
        <f>"152326195708243073"</f>
        <v>152326195708243073</v>
      </c>
      <c r="E374" s="1" t="s">
        <v>407</v>
      </c>
      <c r="F374" s="1" t="s">
        <v>25</v>
      </c>
      <c r="G374" s="1" t="s">
        <v>17</v>
      </c>
      <c r="H374" s="1" t="str">
        <f t="shared" ref="H374:H380" si="366">"67"</f>
        <v>67</v>
      </c>
      <c r="I374" s="1" t="str">
        <f>"1092.56"</f>
        <v>1092.56</v>
      </c>
      <c r="J374" s="1" t="str">
        <f>"936.48"</f>
        <v>936.48</v>
      </c>
      <c r="K374" s="1" t="str">
        <f>"721"</f>
        <v>721</v>
      </c>
      <c r="L374" s="1" t="str">
        <f>"329"</f>
        <v>329</v>
      </c>
      <c r="M374" s="1" t="str">
        <f t="shared" si="356"/>
        <v>0</v>
      </c>
      <c r="N374" s="1" t="str">
        <f t="shared" si="357"/>
        <v>0</v>
      </c>
      <c r="O374" s="1" t="str">
        <f>"42.56"</f>
        <v>42.56</v>
      </c>
    </row>
    <row r="375" s="1" customFormat="1" spans="1:15">
      <c r="A375" s="1" t="str">
        <f t="shared" si="351"/>
        <v>202406</v>
      </c>
      <c r="B375" s="1" t="str">
        <f t="shared" si="352"/>
        <v>150525100</v>
      </c>
      <c r="C375" s="1" t="str">
        <f>"1014548444"</f>
        <v>1014548444</v>
      </c>
      <c r="D375" s="1" t="str">
        <f>"152326195711190662"</f>
        <v>152326195711190662</v>
      </c>
      <c r="E375" s="1" t="s">
        <v>408</v>
      </c>
      <c r="F375" s="1" t="s">
        <v>16</v>
      </c>
      <c r="G375" s="1" t="s">
        <v>17</v>
      </c>
      <c r="H375" s="1" t="str">
        <f t="shared" si="366"/>
        <v>67</v>
      </c>
      <c r="I375" s="1" t="str">
        <f>"155.85"</f>
        <v>155.85</v>
      </c>
      <c r="J375" s="1" t="str">
        <f t="shared" ref="J375:J438" si="367">"0"</f>
        <v>0</v>
      </c>
      <c r="K375" s="1" t="str">
        <f t="shared" ref="K375:K410" si="368">"103"</f>
        <v>103</v>
      </c>
      <c r="L375" s="1" t="str">
        <f t="shared" ref="L375:L410" si="369">"47"</f>
        <v>47</v>
      </c>
      <c r="M375" s="1" t="str">
        <f t="shared" si="356"/>
        <v>0</v>
      </c>
      <c r="N375" s="1" t="str">
        <f t="shared" si="357"/>
        <v>0</v>
      </c>
      <c r="O375" s="1" t="str">
        <f>"5.85"</f>
        <v>5.85</v>
      </c>
    </row>
    <row r="376" s="1" customFormat="1" spans="1:15">
      <c r="A376" s="1" t="str">
        <f t="shared" si="351"/>
        <v>202406</v>
      </c>
      <c r="B376" s="1" t="str">
        <f t="shared" si="352"/>
        <v>150525100</v>
      </c>
      <c r="C376" s="1" t="str">
        <f>"1014548468"</f>
        <v>1014548468</v>
      </c>
      <c r="D376" s="1" t="str">
        <f>"152326195411033104"</f>
        <v>152326195411033104</v>
      </c>
      <c r="E376" s="1" t="s">
        <v>409</v>
      </c>
      <c r="F376" s="1" t="s">
        <v>16</v>
      </c>
      <c r="G376" s="1" t="s">
        <v>19</v>
      </c>
      <c r="H376" s="1" t="str">
        <f>"70"</f>
        <v>70</v>
      </c>
      <c r="I376" s="1" t="str">
        <f>"157.49"</f>
        <v>157.49</v>
      </c>
      <c r="J376" s="1" t="str">
        <f t="shared" si="367"/>
        <v>0</v>
      </c>
      <c r="K376" s="1" t="str">
        <f t="shared" si="368"/>
        <v>103</v>
      </c>
      <c r="L376" s="1" t="str">
        <f t="shared" si="369"/>
        <v>47</v>
      </c>
      <c r="M376" s="1" t="str">
        <f t="shared" si="356"/>
        <v>0</v>
      </c>
      <c r="N376" s="1" t="str">
        <f t="shared" si="357"/>
        <v>0</v>
      </c>
      <c r="O376" s="1" t="str">
        <f>"7.49"</f>
        <v>7.49</v>
      </c>
    </row>
    <row r="377" s="1" customFormat="1" spans="1:15">
      <c r="A377" s="1" t="str">
        <f t="shared" si="351"/>
        <v>202406</v>
      </c>
      <c r="B377" s="1" t="str">
        <f t="shared" si="352"/>
        <v>150525100</v>
      </c>
      <c r="C377" s="1" t="str">
        <f>"1014573073"</f>
        <v>1014573073</v>
      </c>
      <c r="D377" s="1" t="str">
        <f>"152326195404160033"</f>
        <v>152326195404160033</v>
      </c>
      <c r="E377" s="1" t="s">
        <v>410</v>
      </c>
      <c r="F377" s="1" t="s">
        <v>25</v>
      </c>
      <c r="G377" s="1" t="s">
        <v>17</v>
      </c>
      <c r="H377" s="1" t="str">
        <f>"70"</f>
        <v>70</v>
      </c>
      <c r="I377" s="1" t="str">
        <f>"169.09"</f>
        <v>169.09</v>
      </c>
      <c r="J377" s="1" t="str">
        <f t="shared" si="367"/>
        <v>0</v>
      </c>
      <c r="K377" s="1" t="str">
        <f t="shared" si="368"/>
        <v>103</v>
      </c>
      <c r="L377" s="1" t="str">
        <f t="shared" si="369"/>
        <v>47</v>
      </c>
      <c r="M377" s="1" t="str">
        <f t="shared" si="356"/>
        <v>0</v>
      </c>
      <c r="N377" s="1" t="str">
        <f t="shared" si="357"/>
        <v>0</v>
      </c>
      <c r="O377" s="1" t="str">
        <f>"9.09"</f>
        <v>9.09</v>
      </c>
    </row>
    <row r="378" s="1" customFormat="1" spans="1:15">
      <c r="A378" s="1" t="str">
        <f t="shared" si="351"/>
        <v>202406</v>
      </c>
      <c r="B378" s="1" t="str">
        <f t="shared" si="352"/>
        <v>150525100</v>
      </c>
      <c r="C378" s="1" t="str">
        <f>"1014573075"</f>
        <v>1014573075</v>
      </c>
      <c r="D378" s="1" t="str">
        <f>"152326195502110013"</f>
        <v>152326195502110013</v>
      </c>
      <c r="E378" s="1" t="s">
        <v>316</v>
      </c>
      <c r="F378" s="1" t="s">
        <v>25</v>
      </c>
      <c r="G378" s="1" t="s">
        <v>17</v>
      </c>
      <c r="H378" s="1" t="str">
        <f>"69"</f>
        <v>69</v>
      </c>
      <c r="I378" s="1" t="str">
        <f>"159.2"</f>
        <v>159.2</v>
      </c>
      <c r="J378" s="1" t="str">
        <f t="shared" si="367"/>
        <v>0</v>
      </c>
      <c r="K378" s="1" t="str">
        <f t="shared" si="368"/>
        <v>103</v>
      </c>
      <c r="L378" s="1" t="str">
        <f t="shared" si="369"/>
        <v>47</v>
      </c>
      <c r="M378" s="1" t="str">
        <f t="shared" si="356"/>
        <v>0</v>
      </c>
      <c r="N378" s="1" t="str">
        <f t="shared" si="357"/>
        <v>0</v>
      </c>
      <c r="O378" s="1" t="str">
        <f>"9.2"</f>
        <v>9.2</v>
      </c>
    </row>
    <row r="379" s="1" customFormat="1" spans="1:15">
      <c r="A379" s="1" t="str">
        <f t="shared" si="351"/>
        <v>202406</v>
      </c>
      <c r="B379" s="1" t="str">
        <f t="shared" si="352"/>
        <v>150525100</v>
      </c>
      <c r="C379" s="1" t="str">
        <f>"1014573237"</f>
        <v>1014573237</v>
      </c>
      <c r="D379" s="1" t="str">
        <f>"152326195706283071"</f>
        <v>152326195706283071</v>
      </c>
      <c r="E379" s="1" t="s">
        <v>411</v>
      </c>
      <c r="F379" s="1" t="s">
        <v>25</v>
      </c>
      <c r="G379" s="1" t="s">
        <v>17</v>
      </c>
      <c r="H379" s="1" t="str">
        <f t="shared" si="366"/>
        <v>67</v>
      </c>
      <c r="I379" s="1" t="str">
        <f>"156.06"</f>
        <v>156.06</v>
      </c>
      <c r="J379" s="1" t="str">
        <f t="shared" si="367"/>
        <v>0</v>
      </c>
      <c r="K379" s="1" t="str">
        <f t="shared" si="368"/>
        <v>103</v>
      </c>
      <c r="L379" s="1" t="str">
        <f t="shared" si="369"/>
        <v>47</v>
      </c>
      <c r="M379" s="1" t="str">
        <f t="shared" si="356"/>
        <v>0</v>
      </c>
      <c r="N379" s="1" t="str">
        <f t="shared" si="357"/>
        <v>0</v>
      </c>
      <c r="O379" s="1" t="str">
        <f>"6.06"</f>
        <v>6.06</v>
      </c>
    </row>
    <row r="380" s="1" customFormat="1" spans="1:15">
      <c r="A380" s="1" t="str">
        <f t="shared" si="351"/>
        <v>202406</v>
      </c>
      <c r="B380" s="1" t="str">
        <f t="shared" si="352"/>
        <v>150525100</v>
      </c>
      <c r="C380" s="1" t="str">
        <f>"1014573238"</f>
        <v>1014573238</v>
      </c>
      <c r="D380" s="1" t="str">
        <f>"152326195707050026"</f>
        <v>152326195707050026</v>
      </c>
      <c r="E380" s="1" t="s">
        <v>412</v>
      </c>
      <c r="F380" s="1" t="s">
        <v>16</v>
      </c>
      <c r="G380" s="1" t="s">
        <v>17</v>
      </c>
      <c r="H380" s="1" t="str">
        <f t="shared" si="366"/>
        <v>67</v>
      </c>
      <c r="I380" s="1" t="str">
        <f>"156.07"</f>
        <v>156.07</v>
      </c>
      <c r="J380" s="1" t="str">
        <f t="shared" si="367"/>
        <v>0</v>
      </c>
      <c r="K380" s="1" t="str">
        <f t="shared" si="368"/>
        <v>103</v>
      </c>
      <c r="L380" s="1" t="str">
        <f t="shared" si="369"/>
        <v>47</v>
      </c>
      <c r="M380" s="1" t="str">
        <f t="shared" si="356"/>
        <v>0</v>
      </c>
      <c r="N380" s="1" t="str">
        <f t="shared" si="357"/>
        <v>0</v>
      </c>
      <c r="O380" s="1" t="str">
        <f>"6.07"</f>
        <v>6.07</v>
      </c>
    </row>
    <row r="381" s="1" customFormat="1" spans="1:15">
      <c r="A381" s="1" t="str">
        <f t="shared" si="351"/>
        <v>202406</v>
      </c>
      <c r="B381" s="1" t="str">
        <f t="shared" si="352"/>
        <v>150525100</v>
      </c>
      <c r="C381" s="1" t="str">
        <f>"1014573535"</f>
        <v>1014573535</v>
      </c>
      <c r="D381" s="1" t="str">
        <f>"152326195310063080"</f>
        <v>152326195310063080</v>
      </c>
      <c r="E381" s="1" t="s">
        <v>413</v>
      </c>
      <c r="F381" s="1" t="s">
        <v>16</v>
      </c>
      <c r="G381" s="1" t="s">
        <v>17</v>
      </c>
      <c r="H381" s="1" t="str">
        <f>"71"</f>
        <v>71</v>
      </c>
      <c r="I381" s="1" t="str">
        <f>"173.84"</f>
        <v>173.84</v>
      </c>
      <c r="J381" s="1" t="str">
        <f t="shared" si="367"/>
        <v>0</v>
      </c>
      <c r="K381" s="1" t="str">
        <f t="shared" si="368"/>
        <v>103</v>
      </c>
      <c r="L381" s="1" t="str">
        <f t="shared" si="369"/>
        <v>47</v>
      </c>
      <c r="M381" s="1" t="str">
        <f t="shared" si="356"/>
        <v>0</v>
      </c>
      <c r="N381" s="1" t="str">
        <f t="shared" si="357"/>
        <v>0</v>
      </c>
      <c r="O381" s="1" t="str">
        <f>"13.84"</f>
        <v>13.84</v>
      </c>
    </row>
    <row r="382" s="1" customFormat="1" spans="1:15">
      <c r="A382" s="1" t="str">
        <f t="shared" si="351"/>
        <v>202406</v>
      </c>
      <c r="B382" s="1" t="str">
        <f t="shared" si="352"/>
        <v>150525100</v>
      </c>
      <c r="C382" s="1" t="str">
        <f>"1014575661"</f>
        <v>1014575661</v>
      </c>
      <c r="D382" s="1" t="str">
        <f>"152326196004053081"</f>
        <v>152326196004053081</v>
      </c>
      <c r="E382" s="1" t="s">
        <v>414</v>
      </c>
      <c r="F382" s="1" t="s">
        <v>16</v>
      </c>
      <c r="G382" s="1" t="s">
        <v>17</v>
      </c>
      <c r="H382" s="1" t="str">
        <f>"64"</f>
        <v>64</v>
      </c>
      <c r="I382" s="1" t="str">
        <f>"159.21"</f>
        <v>159.21</v>
      </c>
      <c r="J382" s="1" t="str">
        <f t="shared" si="367"/>
        <v>0</v>
      </c>
      <c r="K382" s="1" t="str">
        <f t="shared" si="368"/>
        <v>103</v>
      </c>
      <c r="L382" s="1" t="str">
        <f t="shared" si="369"/>
        <v>47</v>
      </c>
      <c r="M382" s="1" t="str">
        <f t="shared" si="356"/>
        <v>0</v>
      </c>
      <c r="N382" s="1" t="str">
        <f t="shared" si="357"/>
        <v>0</v>
      </c>
      <c r="O382" s="1" t="str">
        <f>"9.21"</f>
        <v>9.21</v>
      </c>
    </row>
    <row r="383" s="1" customFormat="1" spans="1:15">
      <c r="A383" s="1" t="str">
        <f t="shared" si="351"/>
        <v>202406</v>
      </c>
      <c r="B383" s="1" t="str">
        <f t="shared" si="352"/>
        <v>150525100</v>
      </c>
      <c r="C383" s="1" t="str">
        <f>"1014575670"</f>
        <v>1014575670</v>
      </c>
      <c r="D383" s="1" t="str">
        <f>"152326196207063087"</f>
        <v>152326196207063087</v>
      </c>
      <c r="E383" s="1" t="s">
        <v>415</v>
      </c>
      <c r="F383" s="1" t="s">
        <v>16</v>
      </c>
      <c r="G383" s="1" t="s">
        <v>17</v>
      </c>
      <c r="H383" s="1" t="str">
        <f>"62"</f>
        <v>62</v>
      </c>
      <c r="I383" s="1" t="str">
        <f>"165.07"</f>
        <v>165.07</v>
      </c>
      <c r="J383" s="1" t="str">
        <f t="shared" si="367"/>
        <v>0</v>
      </c>
      <c r="K383" s="1" t="str">
        <f t="shared" si="368"/>
        <v>103</v>
      </c>
      <c r="L383" s="1" t="str">
        <f t="shared" si="369"/>
        <v>47</v>
      </c>
      <c r="M383" s="1" t="str">
        <f t="shared" si="356"/>
        <v>0</v>
      </c>
      <c r="N383" s="1" t="str">
        <f t="shared" si="357"/>
        <v>0</v>
      </c>
      <c r="O383" s="1" t="str">
        <f>"15.07"</f>
        <v>15.07</v>
      </c>
    </row>
    <row r="384" s="1" customFormat="1" spans="1:15">
      <c r="A384" s="1" t="str">
        <f t="shared" si="351"/>
        <v>202406</v>
      </c>
      <c r="B384" s="1" t="str">
        <f t="shared" si="352"/>
        <v>150525100</v>
      </c>
      <c r="C384" s="1" t="str">
        <f>"1014575673"</f>
        <v>1014575673</v>
      </c>
      <c r="D384" s="1" t="str">
        <f>"152326196208133083"</f>
        <v>152326196208133083</v>
      </c>
      <c r="E384" s="1" t="s">
        <v>416</v>
      </c>
      <c r="F384" s="1" t="s">
        <v>16</v>
      </c>
      <c r="G384" s="1" t="s">
        <v>17</v>
      </c>
      <c r="H384" s="1" t="str">
        <f>"62"</f>
        <v>62</v>
      </c>
      <c r="I384" s="1" t="str">
        <f>"166.34"</f>
        <v>166.34</v>
      </c>
      <c r="J384" s="1" t="str">
        <f t="shared" si="367"/>
        <v>0</v>
      </c>
      <c r="K384" s="1" t="str">
        <f t="shared" si="368"/>
        <v>103</v>
      </c>
      <c r="L384" s="1" t="str">
        <f t="shared" si="369"/>
        <v>47</v>
      </c>
      <c r="M384" s="1" t="str">
        <f t="shared" si="356"/>
        <v>0</v>
      </c>
      <c r="N384" s="1" t="str">
        <f t="shared" si="357"/>
        <v>0</v>
      </c>
      <c r="O384" s="1" t="str">
        <f>"16.34"</f>
        <v>16.34</v>
      </c>
    </row>
    <row r="385" s="1" customFormat="1" spans="1:15">
      <c r="A385" s="1" t="str">
        <f t="shared" si="351"/>
        <v>202406</v>
      </c>
      <c r="B385" s="1" t="str">
        <f t="shared" si="352"/>
        <v>150525100</v>
      </c>
      <c r="C385" s="1" t="str">
        <f>"1014576238"</f>
        <v>1014576238</v>
      </c>
      <c r="D385" s="1" t="str">
        <f>"152326195412146127"</f>
        <v>152326195412146127</v>
      </c>
      <c r="E385" s="1" t="s">
        <v>417</v>
      </c>
      <c r="F385" s="1" t="s">
        <v>16</v>
      </c>
      <c r="G385" s="1" t="s">
        <v>17</v>
      </c>
      <c r="H385" s="1" t="str">
        <f>"70"</f>
        <v>70</v>
      </c>
      <c r="I385" s="1" t="str">
        <f>"154.14"</f>
        <v>154.14</v>
      </c>
      <c r="J385" s="1" t="str">
        <f t="shared" si="367"/>
        <v>0</v>
      </c>
      <c r="K385" s="1" t="str">
        <f t="shared" si="368"/>
        <v>103</v>
      </c>
      <c r="L385" s="1" t="str">
        <f t="shared" si="369"/>
        <v>47</v>
      </c>
      <c r="M385" s="1" t="str">
        <f t="shared" si="356"/>
        <v>0</v>
      </c>
      <c r="N385" s="1" t="str">
        <f t="shared" si="357"/>
        <v>0</v>
      </c>
      <c r="O385" s="1" t="str">
        <f>"4.14"</f>
        <v>4.14</v>
      </c>
    </row>
    <row r="386" s="1" customFormat="1" spans="1:15">
      <c r="A386" s="1" t="str">
        <f t="shared" ref="A386:A449" si="370">"202406"</f>
        <v>202406</v>
      </c>
      <c r="B386" s="1" t="str">
        <f t="shared" ref="B386:B449" si="371">"150525100"</f>
        <v>150525100</v>
      </c>
      <c r="C386" s="1" t="str">
        <f>"1014576243"</f>
        <v>1014576243</v>
      </c>
      <c r="D386" s="1" t="str">
        <f>"152326195510136125"</f>
        <v>152326195510136125</v>
      </c>
      <c r="E386" s="1" t="s">
        <v>418</v>
      </c>
      <c r="F386" s="1" t="s">
        <v>16</v>
      </c>
      <c r="G386" s="1" t="s">
        <v>17</v>
      </c>
      <c r="H386" s="1" t="str">
        <f>"69"</f>
        <v>69</v>
      </c>
      <c r="I386" s="1" t="str">
        <f>"155.09"</f>
        <v>155.09</v>
      </c>
      <c r="J386" s="1" t="str">
        <f t="shared" si="367"/>
        <v>0</v>
      </c>
      <c r="K386" s="1" t="str">
        <f t="shared" si="368"/>
        <v>103</v>
      </c>
      <c r="L386" s="1" t="str">
        <f t="shared" si="369"/>
        <v>47</v>
      </c>
      <c r="M386" s="1" t="str">
        <f t="shared" si="356"/>
        <v>0</v>
      </c>
      <c r="N386" s="1" t="str">
        <f t="shared" si="357"/>
        <v>0</v>
      </c>
      <c r="O386" s="1" t="str">
        <f>"5.09"</f>
        <v>5.09</v>
      </c>
    </row>
    <row r="387" s="1" customFormat="1" spans="1:15">
      <c r="A387" s="1" t="str">
        <f t="shared" si="370"/>
        <v>202406</v>
      </c>
      <c r="B387" s="1" t="str">
        <f t="shared" si="371"/>
        <v>150525100</v>
      </c>
      <c r="C387" s="1" t="str">
        <f>"1014576244"</f>
        <v>1014576244</v>
      </c>
      <c r="D387" s="1" t="str">
        <f>"152326195604216388"</f>
        <v>152326195604216388</v>
      </c>
      <c r="E387" s="1" t="s">
        <v>419</v>
      </c>
      <c r="F387" s="1" t="s">
        <v>16</v>
      </c>
      <c r="G387" s="1" t="s">
        <v>17</v>
      </c>
      <c r="H387" s="1" t="str">
        <f t="shared" ref="H387:H389" si="372">"68"</f>
        <v>68</v>
      </c>
      <c r="I387" s="1" t="str">
        <f>"156.01"</f>
        <v>156.01</v>
      </c>
      <c r="J387" s="1" t="str">
        <f t="shared" si="367"/>
        <v>0</v>
      </c>
      <c r="K387" s="1" t="str">
        <f t="shared" si="368"/>
        <v>103</v>
      </c>
      <c r="L387" s="1" t="str">
        <f t="shared" si="369"/>
        <v>47</v>
      </c>
      <c r="M387" s="1" t="str">
        <f t="shared" si="356"/>
        <v>0</v>
      </c>
      <c r="N387" s="1" t="str">
        <f t="shared" si="357"/>
        <v>0</v>
      </c>
      <c r="O387" s="1" t="str">
        <f>"6.01"</f>
        <v>6.01</v>
      </c>
    </row>
    <row r="388" s="1" customFormat="1" spans="1:15">
      <c r="A388" s="1" t="str">
        <f t="shared" si="370"/>
        <v>202406</v>
      </c>
      <c r="B388" s="1" t="str">
        <f t="shared" si="371"/>
        <v>150525100</v>
      </c>
      <c r="C388" s="1" t="str">
        <f>"1014576247"</f>
        <v>1014576247</v>
      </c>
      <c r="D388" s="1" t="str">
        <f>"152326195609136387"</f>
        <v>152326195609136387</v>
      </c>
      <c r="E388" s="1" t="s">
        <v>420</v>
      </c>
      <c r="F388" s="1" t="s">
        <v>16</v>
      </c>
      <c r="G388" s="1" t="s">
        <v>17</v>
      </c>
      <c r="H388" s="1" t="str">
        <f t="shared" si="372"/>
        <v>68</v>
      </c>
      <c r="I388" s="1" t="str">
        <f>"156.01"</f>
        <v>156.01</v>
      </c>
      <c r="J388" s="1" t="str">
        <f t="shared" si="367"/>
        <v>0</v>
      </c>
      <c r="K388" s="1" t="str">
        <f t="shared" si="368"/>
        <v>103</v>
      </c>
      <c r="L388" s="1" t="str">
        <f t="shared" si="369"/>
        <v>47</v>
      </c>
      <c r="M388" s="1" t="str">
        <f t="shared" si="356"/>
        <v>0</v>
      </c>
      <c r="N388" s="1" t="str">
        <f t="shared" si="357"/>
        <v>0</v>
      </c>
      <c r="O388" s="1" t="str">
        <f>"6.01"</f>
        <v>6.01</v>
      </c>
    </row>
    <row r="389" s="1" customFormat="1" spans="1:15">
      <c r="A389" s="1" t="str">
        <f t="shared" si="370"/>
        <v>202406</v>
      </c>
      <c r="B389" s="1" t="str">
        <f t="shared" si="371"/>
        <v>150525100</v>
      </c>
      <c r="C389" s="1" t="str">
        <f>"1014576249"</f>
        <v>1014576249</v>
      </c>
      <c r="D389" s="1" t="str">
        <f>"152326195701066115"</f>
        <v>152326195701066115</v>
      </c>
      <c r="E389" s="1" t="s">
        <v>421</v>
      </c>
      <c r="F389" s="1" t="s">
        <v>25</v>
      </c>
      <c r="G389" s="1" t="s">
        <v>17</v>
      </c>
      <c r="H389" s="1" t="str">
        <f t="shared" si="372"/>
        <v>68</v>
      </c>
      <c r="I389" s="1" t="str">
        <f>"156.03"</f>
        <v>156.03</v>
      </c>
      <c r="J389" s="1" t="str">
        <f t="shared" si="367"/>
        <v>0</v>
      </c>
      <c r="K389" s="1" t="str">
        <f t="shared" si="368"/>
        <v>103</v>
      </c>
      <c r="L389" s="1" t="str">
        <f t="shared" si="369"/>
        <v>47</v>
      </c>
      <c r="M389" s="1" t="str">
        <f t="shared" si="356"/>
        <v>0</v>
      </c>
      <c r="N389" s="1" t="str">
        <f t="shared" si="357"/>
        <v>0</v>
      </c>
      <c r="O389" s="1" t="str">
        <f>"6.03"</f>
        <v>6.03</v>
      </c>
    </row>
    <row r="390" s="1" customFormat="1" spans="1:15">
      <c r="A390" s="1" t="str">
        <f t="shared" si="370"/>
        <v>202406</v>
      </c>
      <c r="B390" s="1" t="str">
        <f t="shared" si="371"/>
        <v>150525100</v>
      </c>
      <c r="C390" s="1" t="str">
        <f>"1014576862"</f>
        <v>1014576862</v>
      </c>
      <c r="D390" s="1" t="str">
        <f>"152326195901150661"</f>
        <v>152326195901150661</v>
      </c>
      <c r="E390" s="1" t="s">
        <v>422</v>
      </c>
      <c r="F390" s="1" t="s">
        <v>16</v>
      </c>
      <c r="G390" s="1" t="s">
        <v>17</v>
      </c>
      <c r="H390" s="1" t="str">
        <f>"65"</f>
        <v>65</v>
      </c>
      <c r="I390" s="1" t="str">
        <f>"158.11"</f>
        <v>158.11</v>
      </c>
      <c r="J390" s="1" t="str">
        <f t="shared" si="367"/>
        <v>0</v>
      </c>
      <c r="K390" s="1" t="str">
        <f t="shared" si="368"/>
        <v>103</v>
      </c>
      <c r="L390" s="1" t="str">
        <f t="shared" si="369"/>
        <v>47</v>
      </c>
      <c r="M390" s="1" t="str">
        <f t="shared" si="356"/>
        <v>0</v>
      </c>
      <c r="N390" s="1" t="str">
        <f t="shared" si="357"/>
        <v>0</v>
      </c>
      <c r="O390" s="1" t="str">
        <f>"8.11"</f>
        <v>8.11</v>
      </c>
    </row>
    <row r="391" s="1" customFormat="1" spans="1:15">
      <c r="A391" s="1" t="str">
        <f t="shared" si="370"/>
        <v>202406</v>
      </c>
      <c r="B391" s="1" t="str">
        <f t="shared" si="371"/>
        <v>150525100</v>
      </c>
      <c r="C391" s="1" t="str">
        <f>"1014576874"</f>
        <v>1014576874</v>
      </c>
      <c r="D391" s="1" t="str">
        <f>"152326195901040665"</f>
        <v>152326195901040665</v>
      </c>
      <c r="E391" s="1" t="s">
        <v>423</v>
      </c>
      <c r="F391" s="1" t="s">
        <v>16</v>
      </c>
      <c r="G391" s="1" t="s">
        <v>17</v>
      </c>
      <c r="H391" s="1" t="str">
        <f>"66"</f>
        <v>66</v>
      </c>
      <c r="I391" s="1" t="str">
        <f>"164.65"</f>
        <v>164.65</v>
      </c>
      <c r="J391" s="1" t="str">
        <f t="shared" si="367"/>
        <v>0</v>
      </c>
      <c r="K391" s="1" t="str">
        <f t="shared" si="368"/>
        <v>103</v>
      </c>
      <c r="L391" s="1" t="str">
        <f t="shared" si="369"/>
        <v>47</v>
      </c>
      <c r="M391" s="1" t="str">
        <f t="shared" si="356"/>
        <v>0</v>
      </c>
      <c r="N391" s="1" t="str">
        <f t="shared" si="357"/>
        <v>0</v>
      </c>
      <c r="O391" s="1" t="str">
        <f>"14.65"</f>
        <v>14.65</v>
      </c>
    </row>
    <row r="392" s="1" customFormat="1" spans="1:15">
      <c r="A392" s="1" t="str">
        <f t="shared" si="370"/>
        <v>202406</v>
      </c>
      <c r="B392" s="1" t="str">
        <f t="shared" si="371"/>
        <v>150525100</v>
      </c>
      <c r="C392" s="1" t="str">
        <f>"1014552216"</f>
        <v>1014552216</v>
      </c>
      <c r="D392" s="1" t="str">
        <f>"152326196102123813"</f>
        <v>152326196102123813</v>
      </c>
      <c r="E392" s="1" t="s">
        <v>424</v>
      </c>
      <c r="F392" s="1" t="s">
        <v>25</v>
      </c>
      <c r="G392" s="1" t="s">
        <v>17</v>
      </c>
      <c r="H392" s="1" t="str">
        <f>"63"</f>
        <v>63</v>
      </c>
      <c r="I392" s="1" t="str">
        <f>"160.76"</f>
        <v>160.76</v>
      </c>
      <c r="J392" s="1" t="str">
        <f t="shared" si="367"/>
        <v>0</v>
      </c>
      <c r="K392" s="1" t="str">
        <f t="shared" si="368"/>
        <v>103</v>
      </c>
      <c r="L392" s="1" t="str">
        <f t="shared" si="369"/>
        <v>47</v>
      </c>
      <c r="M392" s="1" t="str">
        <f t="shared" si="356"/>
        <v>0</v>
      </c>
      <c r="N392" s="1" t="str">
        <f t="shared" si="357"/>
        <v>0</v>
      </c>
      <c r="O392" s="1" t="str">
        <f>"10.76"</f>
        <v>10.76</v>
      </c>
    </row>
    <row r="393" s="1" customFormat="1" spans="1:15">
      <c r="A393" s="1" t="str">
        <f t="shared" si="370"/>
        <v>202406</v>
      </c>
      <c r="B393" s="1" t="str">
        <f t="shared" si="371"/>
        <v>150525100</v>
      </c>
      <c r="C393" s="1" t="str">
        <f>"1014552217"</f>
        <v>1014552217</v>
      </c>
      <c r="D393" s="1" t="str">
        <f>"152326196108073829"</f>
        <v>152326196108073829</v>
      </c>
      <c r="E393" s="1" t="s">
        <v>425</v>
      </c>
      <c r="F393" s="1" t="s">
        <v>16</v>
      </c>
      <c r="G393" s="1" t="s">
        <v>17</v>
      </c>
      <c r="H393" s="1" t="str">
        <f>"63"</f>
        <v>63</v>
      </c>
      <c r="I393" s="1" t="str">
        <f>"160.84"</f>
        <v>160.84</v>
      </c>
      <c r="J393" s="1" t="str">
        <f t="shared" si="367"/>
        <v>0</v>
      </c>
      <c r="K393" s="1" t="str">
        <f t="shared" si="368"/>
        <v>103</v>
      </c>
      <c r="L393" s="1" t="str">
        <f t="shared" si="369"/>
        <v>47</v>
      </c>
      <c r="M393" s="1" t="str">
        <f t="shared" si="356"/>
        <v>0</v>
      </c>
      <c r="N393" s="1" t="str">
        <f t="shared" si="357"/>
        <v>0</v>
      </c>
      <c r="O393" s="1" t="str">
        <f>"10.84"</f>
        <v>10.84</v>
      </c>
    </row>
    <row r="394" s="1" customFormat="1" spans="1:15">
      <c r="A394" s="1" t="str">
        <f t="shared" si="370"/>
        <v>202406</v>
      </c>
      <c r="B394" s="1" t="str">
        <f t="shared" si="371"/>
        <v>150525100</v>
      </c>
      <c r="C394" s="1" t="str">
        <f>"1014552220"</f>
        <v>1014552220</v>
      </c>
      <c r="D394" s="1" t="str">
        <f>"152326196212283834"</f>
        <v>152326196212283834</v>
      </c>
      <c r="E394" s="1" t="s">
        <v>426</v>
      </c>
      <c r="F394" s="1" t="s">
        <v>25</v>
      </c>
      <c r="G394" s="1" t="s">
        <v>17</v>
      </c>
      <c r="H394" s="1" t="str">
        <f>"62"</f>
        <v>62</v>
      </c>
      <c r="I394" s="1" t="str">
        <f>"162.94"</f>
        <v>162.94</v>
      </c>
      <c r="J394" s="1" t="str">
        <f t="shared" si="367"/>
        <v>0</v>
      </c>
      <c r="K394" s="1" t="str">
        <f t="shared" si="368"/>
        <v>103</v>
      </c>
      <c r="L394" s="1" t="str">
        <f t="shared" si="369"/>
        <v>47</v>
      </c>
      <c r="M394" s="1" t="str">
        <f t="shared" si="356"/>
        <v>0</v>
      </c>
      <c r="N394" s="1" t="str">
        <f t="shared" si="357"/>
        <v>0</v>
      </c>
      <c r="O394" s="1" t="str">
        <f>"12.94"</f>
        <v>12.94</v>
      </c>
    </row>
    <row r="395" s="1" customFormat="1" spans="1:15">
      <c r="A395" s="1" t="str">
        <f t="shared" si="370"/>
        <v>202406</v>
      </c>
      <c r="B395" s="1" t="str">
        <f t="shared" si="371"/>
        <v>150525100</v>
      </c>
      <c r="C395" s="1" t="str">
        <f>"1014552225"</f>
        <v>1014552225</v>
      </c>
      <c r="D395" s="1" t="str">
        <f>"152326196402253820"</f>
        <v>152326196402253820</v>
      </c>
      <c r="E395" s="1" t="s">
        <v>427</v>
      </c>
      <c r="F395" s="1" t="s">
        <v>16</v>
      </c>
      <c r="G395" s="1" t="s">
        <v>17</v>
      </c>
      <c r="H395" s="1" t="str">
        <f>"60"</f>
        <v>60</v>
      </c>
      <c r="I395" s="1" t="str">
        <f>"166.53"</f>
        <v>166.53</v>
      </c>
      <c r="J395" s="1" t="str">
        <f t="shared" si="367"/>
        <v>0</v>
      </c>
      <c r="K395" s="1" t="str">
        <f t="shared" si="368"/>
        <v>103</v>
      </c>
      <c r="L395" s="1" t="str">
        <f t="shared" si="369"/>
        <v>47</v>
      </c>
      <c r="M395" s="1" t="str">
        <f t="shared" si="356"/>
        <v>0</v>
      </c>
      <c r="N395" s="1" t="str">
        <f t="shared" si="357"/>
        <v>0</v>
      </c>
      <c r="O395" s="1" t="str">
        <f>"16.53"</f>
        <v>16.53</v>
      </c>
    </row>
    <row r="396" s="1" customFormat="1" spans="1:15">
      <c r="A396" s="1" t="str">
        <f t="shared" si="370"/>
        <v>202406</v>
      </c>
      <c r="B396" s="1" t="str">
        <f t="shared" si="371"/>
        <v>150525100</v>
      </c>
      <c r="C396" s="1" t="str">
        <f>"1014573400"</f>
        <v>1014573400</v>
      </c>
      <c r="D396" s="1" t="str">
        <f>"152326196007053079"</f>
        <v>152326196007053079</v>
      </c>
      <c r="E396" s="1" t="s">
        <v>428</v>
      </c>
      <c r="F396" s="1" t="s">
        <v>25</v>
      </c>
      <c r="G396" s="1" t="s">
        <v>17</v>
      </c>
      <c r="H396" s="1" t="str">
        <f t="shared" ref="H396:H398" si="373">"64"</f>
        <v>64</v>
      </c>
      <c r="I396" s="1" t="str">
        <f>"159.23"</f>
        <v>159.23</v>
      </c>
      <c r="J396" s="1" t="str">
        <f t="shared" si="367"/>
        <v>0</v>
      </c>
      <c r="K396" s="1" t="str">
        <f t="shared" si="368"/>
        <v>103</v>
      </c>
      <c r="L396" s="1" t="str">
        <f t="shared" si="369"/>
        <v>47</v>
      </c>
      <c r="M396" s="1" t="str">
        <f t="shared" ref="M396:M459" si="374">"0"</f>
        <v>0</v>
      </c>
      <c r="N396" s="1" t="str">
        <f t="shared" ref="N396:N459" si="375">"0"</f>
        <v>0</v>
      </c>
      <c r="O396" s="1" t="str">
        <f>"9.23"</f>
        <v>9.23</v>
      </c>
    </row>
    <row r="397" s="1" customFormat="1" spans="1:15">
      <c r="A397" s="1" t="str">
        <f t="shared" si="370"/>
        <v>202406</v>
      </c>
      <c r="B397" s="1" t="str">
        <f t="shared" si="371"/>
        <v>150525100</v>
      </c>
      <c r="C397" s="1" t="str">
        <f>"1014573405"</f>
        <v>1014573405</v>
      </c>
      <c r="D397" s="1" t="str">
        <f>"152326196009200423"</f>
        <v>152326196009200423</v>
      </c>
      <c r="E397" s="1" t="s">
        <v>429</v>
      </c>
      <c r="F397" s="1" t="s">
        <v>16</v>
      </c>
      <c r="G397" s="1" t="s">
        <v>17</v>
      </c>
      <c r="H397" s="1" t="str">
        <f t="shared" si="373"/>
        <v>64</v>
      </c>
      <c r="I397" s="1" t="str">
        <f>"159.26"</f>
        <v>159.26</v>
      </c>
      <c r="J397" s="1" t="str">
        <f t="shared" si="367"/>
        <v>0</v>
      </c>
      <c r="K397" s="1" t="str">
        <f t="shared" si="368"/>
        <v>103</v>
      </c>
      <c r="L397" s="1" t="str">
        <f t="shared" si="369"/>
        <v>47</v>
      </c>
      <c r="M397" s="1" t="str">
        <f t="shared" si="374"/>
        <v>0</v>
      </c>
      <c r="N397" s="1" t="str">
        <f t="shared" si="375"/>
        <v>0</v>
      </c>
      <c r="O397" s="1" t="str">
        <f>"9.26"</f>
        <v>9.26</v>
      </c>
    </row>
    <row r="398" s="1" customFormat="1" spans="1:15">
      <c r="A398" s="1" t="str">
        <f t="shared" si="370"/>
        <v>202406</v>
      </c>
      <c r="B398" s="1" t="str">
        <f t="shared" si="371"/>
        <v>150525100</v>
      </c>
      <c r="C398" s="1" t="str">
        <f>"1014573410"</f>
        <v>1014573410</v>
      </c>
      <c r="D398" s="1" t="str">
        <f>"152326196012300011"</f>
        <v>152326196012300011</v>
      </c>
      <c r="E398" s="1" t="s">
        <v>430</v>
      </c>
      <c r="F398" s="1" t="s">
        <v>25</v>
      </c>
      <c r="G398" s="1" t="s">
        <v>17</v>
      </c>
      <c r="H398" s="1" t="str">
        <f t="shared" si="373"/>
        <v>64</v>
      </c>
      <c r="I398" s="1" t="str">
        <f>"160.09"</f>
        <v>160.09</v>
      </c>
      <c r="J398" s="1" t="str">
        <f t="shared" si="367"/>
        <v>0</v>
      </c>
      <c r="K398" s="1" t="str">
        <f t="shared" si="368"/>
        <v>103</v>
      </c>
      <c r="L398" s="1" t="str">
        <f t="shared" si="369"/>
        <v>47</v>
      </c>
      <c r="M398" s="1" t="str">
        <f t="shared" si="374"/>
        <v>0</v>
      </c>
      <c r="N398" s="1" t="str">
        <f t="shared" si="375"/>
        <v>0</v>
      </c>
      <c r="O398" s="1" t="str">
        <f>"10.09"</f>
        <v>10.09</v>
      </c>
    </row>
    <row r="399" s="1" customFormat="1" spans="1:15">
      <c r="A399" s="1" t="str">
        <f t="shared" si="370"/>
        <v>202406</v>
      </c>
      <c r="B399" s="1" t="str">
        <f t="shared" si="371"/>
        <v>150525100</v>
      </c>
      <c r="C399" s="1" t="str">
        <f>"1014575904"</f>
        <v>1014575904</v>
      </c>
      <c r="D399" s="1" t="str">
        <f>"152326196208280673"</f>
        <v>152326196208280673</v>
      </c>
      <c r="E399" s="1" t="s">
        <v>431</v>
      </c>
      <c r="F399" s="1" t="s">
        <v>25</v>
      </c>
      <c r="G399" s="1" t="s">
        <v>96</v>
      </c>
      <c r="H399" s="1" t="str">
        <f>"62"</f>
        <v>62</v>
      </c>
      <c r="I399" s="1" t="str">
        <f>"163.13"</f>
        <v>163.13</v>
      </c>
      <c r="J399" s="1" t="str">
        <f t="shared" si="367"/>
        <v>0</v>
      </c>
      <c r="K399" s="1" t="str">
        <f t="shared" si="368"/>
        <v>103</v>
      </c>
      <c r="L399" s="1" t="str">
        <f t="shared" si="369"/>
        <v>47</v>
      </c>
      <c r="M399" s="1" t="str">
        <f t="shared" si="374"/>
        <v>0</v>
      </c>
      <c r="N399" s="1" t="str">
        <f t="shared" si="375"/>
        <v>0</v>
      </c>
      <c r="O399" s="1" t="str">
        <f>"13.13"</f>
        <v>13.13</v>
      </c>
    </row>
    <row r="400" s="1" customFormat="1" spans="1:15">
      <c r="A400" s="1" t="str">
        <f t="shared" si="370"/>
        <v>202406</v>
      </c>
      <c r="B400" s="1" t="str">
        <f t="shared" si="371"/>
        <v>150525100</v>
      </c>
      <c r="C400" s="1" t="str">
        <f>"1014575907"</f>
        <v>1014575907</v>
      </c>
      <c r="D400" s="1" t="str">
        <f>"152326196309250676"</f>
        <v>152326196309250676</v>
      </c>
      <c r="E400" s="1" t="s">
        <v>432</v>
      </c>
      <c r="F400" s="1" t="s">
        <v>25</v>
      </c>
      <c r="G400" s="1" t="s">
        <v>96</v>
      </c>
      <c r="H400" s="1" t="str">
        <f>"61"</f>
        <v>61</v>
      </c>
      <c r="I400" s="1" t="str">
        <f>"165.1"</f>
        <v>165.1</v>
      </c>
      <c r="J400" s="1" t="str">
        <f t="shared" si="367"/>
        <v>0</v>
      </c>
      <c r="K400" s="1" t="str">
        <f t="shared" si="368"/>
        <v>103</v>
      </c>
      <c r="L400" s="1" t="str">
        <f t="shared" si="369"/>
        <v>47</v>
      </c>
      <c r="M400" s="1" t="str">
        <f t="shared" si="374"/>
        <v>0</v>
      </c>
      <c r="N400" s="1" t="str">
        <f t="shared" si="375"/>
        <v>0</v>
      </c>
      <c r="O400" s="1" t="str">
        <f>"15.1"</f>
        <v>15.1</v>
      </c>
    </row>
    <row r="401" s="1" customFormat="1" spans="1:15">
      <c r="A401" s="1" t="str">
        <f t="shared" si="370"/>
        <v>202406</v>
      </c>
      <c r="B401" s="1" t="str">
        <f t="shared" si="371"/>
        <v>150525100</v>
      </c>
      <c r="C401" s="1" t="str">
        <f>"1014549512"</f>
        <v>1014549512</v>
      </c>
      <c r="D401" s="1" t="s">
        <v>433</v>
      </c>
      <c r="E401" s="1" t="s">
        <v>434</v>
      </c>
      <c r="F401" s="1" t="s">
        <v>25</v>
      </c>
      <c r="G401" s="1" t="s">
        <v>96</v>
      </c>
      <c r="H401" s="1" t="str">
        <f>"70"</f>
        <v>70</v>
      </c>
      <c r="I401" s="1" t="str">
        <f>"154.15"</f>
        <v>154.15</v>
      </c>
      <c r="J401" s="1" t="str">
        <f t="shared" si="367"/>
        <v>0</v>
      </c>
      <c r="K401" s="1" t="str">
        <f t="shared" si="368"/>
        <v>103</v>
      </c>
      <c r="L401" s="1" t="str">
        <f t="shared" si="369"/>
        <v>47</v>
      </c>
      <c r="M401" s="1" t="str">
        <f t="shared" si="374"/>
        <v>0</v>
      </c>
      <c r="N401" s="1" t="str">
        <f t="shared" si="375"/>
        <v>0</v>
      </c>
      <c r="O401" s="1" t="str">
        <f>"4.15"</f>
        <v>4.15</v>
      </c>
    </row>
    <row r="402" s="1" customFormat="1" spans="1:15">
      <c r="A402" s="1" t="str">
        <f t="shared" si="370"/>
        <v>202406</v>
      </c>
      <c r="B402" s="1" t="str">
        <f t="shared" si="371"/>
        <v>150525100</v>
      </c>
      <c r="C402" s="1" t="str">
        <f>"1014571775"</f>
        <v>1014571775</v>
      </c>
      <c r="D402" s="1" t="str">
        <f>"211319195702116112"</f>
        <v>211319195702116112</v>
      </c>
      <c r="E402" s="1" t="s">
        <v>435</v>
      </c>
      <c r="F402" s="1" t="s">
        <v>25</v>
      </c>
      <c r="G402" s="1" t="s">
        <v>17</v>
      </c>
      <c r="H402" s="1" t="str">
        <f>"67"</f>
        <v>67</v>
      </c>
      <c r="I402" s="1" t="str">
        <f>"175.14"</f>
        <v>175.14</v>
      </c>
      <c r="J402" s="1" t="str">
        <f t="shared" si="367"/>
        <v>0</v>
      </c>
      <c r="K402" s="1" t="str">
        <f t="shared" si="368"/>
        <v>103</v>
      </c>
      <c r="L402" s="1" t="str">
        <f t="shared" si="369"/>
        <v>47</v>
      </c>
      <c r="M402" s="1" t="str">
        <f t="shared" si="374"/>
        <v>0</v>
      </c>
      <c r="N402" s="1" t="str">
        <f t="shared" si="375"/>
        <v>0</v>
      </c>
      <c r="O402" s="1" t="str">
        <f>"25.14"</f>
        <v>25.14</v>
      </c>
    </row>
    <row r="403" s="1" customFormat="1" spans="1:15">
      <c r="A403" s="1" t="str">
        <f t="shared" si="370"/>
        <v>202406</v>
      </c>
      <c r="B403" s="1" t="str">
        <f t="shared" si="371"/>
        <v>150525100</v>
      </c>
      <c r="C403" s="1" t="str">
        <f>"1014571789"</f>
        <v>1014571789</v>
      </c>
      <c r="D403" s="1" t="str">
        <f>"152326196008130013"</f>
        <v>152326196008130013</v>
      </c>
      <c r="E403" s="1" t="s">
        <v>436</v>
      </c>
      <c r="F403" s="1" t="s">
        <v>25</v>
      </c>
      <c r="G403" s="1" t="s">
        <v>96</v>
      </c>
      <c r="H403" s="1" t="str">
        <f>"64"</f>
        <v>64</v>
      </c>
      <c r="I403" s="1" t="str">
        <f>"186.09"</f>
        <v>186.09</v>
      </c>
      <c r="J403" s="1" t="str">
        <f t="shared" si="367"/>
        <v>0</v>
      </c>
      <c r="K403" s="1" t="str">
        <f t="shared" si="368"/>
        <v>103</v>
      </c>
      <c r="L403" s="1" t="str">
        <f t="shared" si="369"/>
        <v>47</v>
      </c>
      <c r="M403" s="1" t="str">
        <f t="shared" si="374"/>
        <v>0</v>
      </c>
      <c r="N403" s="1" t="str">
        <f t="shared" si="375"/>
        <v>0</v>
      </c>
      <c r="O403" s="1" t="str">
        <f>"36.09"</f>
        <v>36.09</v>
      </c>
    </row>
    <row r="404" s="1" customFormat="1" spans="1:15">
      <c r="A404" s="1" t="str">
        <f t="shared" si="370"/>
        <v>202406</v>
      </c>
      <c r="B404" s="1" t="str">
        <f t="shared" si="371"/>
        <v>150525100</v>
      </c>
      <c r="C404" s="1" t="str">
        <f>"1014571797"</f>
        <v>1014571797</v>
      </c>
      <c r="D404" s="1" t="str">
        <f>"152326195604070024"</f>
        <v>152326195604070024</v>
      </c>
      <c r="E404" s="1" t="s">
        <v>437</v>
      </c>
      <c r="F404" s="1" t="s">
        <v>16</v>
      </c>
      <c r="G404" s="1" t="s">
        <v>19</v>
      </c>
      <c r="H404" s="1" t="str">
        <f>"68"</f>
        <v>68</v>
      </c>
      <c r="I404" s="1" t="str">
        <f>"175.59"</f>
        <v>175.59</v>
      </c>
      <c r="J404" s="1" t="str">
        <f t="shared" si="367"/>
        <v>0</v>
      </c>
      <c r="K404" s="1" t="str">
        <f t="shared" si="368"/>
        <v>103</v>
      </c>
      <c r="L404" s="1" t="str">
        <f t="shared" si="369"/>
        <v>47</v>
      </c>
      <c r="M404" s="1" t="str">
        <f t="shared" si="374"/>
        <v>0</v>
      </c>
      <c r="N404" s="1" t="str">
        <f t="shared" si="375"/>
        <v>0</v>
      </c>
      <c r="O404" s="1" t="str">
        <f>"25.59"</f>
        <v>25.59</v>
      </c>
    </row>
    <row r="405" s="1" customFormat="1" spans="1:15">
      <c r="A405" s="1" t="str">
        <f t="shared" si="370"/>
        <v>202406</v>
      </c>
      <c r="B405" s="1" t="str">
        <f t="shared" si="371"/>
        <v>150525100</v>
      </c>
      <c r="C405" s="1" t="str">
        <f>"1014575534"</f>
        <v>1014575534</v>
      </c>
      <c r="D405" s="1" t="str">
        <f>"152326195301103087"</f>
        <v>152326195301103087</v>
      </c>
      <c r="E405" s="1" t="s">
        <v>438</v>
      </c>
      <c r="F405" s="1" t="s">
        <v>16</v>
      </c>
      <c r="G405" s="1" t="s">
        <v>17</v>
      </c>
      <c r="H405" s="1" t="str">
        <f t="shared" ref="H405:H409" si="376">"71"</f>
        <v>71</v>
      </c>
      <c r="I405" s="1" t="str">
        <f>"163.16"</f>
        <v>163.16</v>
      </c>
      <c r="J405" s="1" t="str">
        <f t="shared" si="367"/>
        <v>0</v>
      </c>
      <c r="K405" s="1" t="str">
        <f t="shared" si="368"/>
        <v>103</v>
      </c>
      <c r="L405" s="1" t="str">
        <f t="shared" si="369"/>
        <v>47</v>
      </c>
      <c r="M405" s="1" t="str">
        <f t="shared" si="374"/>
        <v>0</v>
      </c>
      <c r="N405" s="1" t="str">
        <f t="shared" si="375"/>
        <v>0</v>
      </c>
      <c r="O405" s="1" t="str">
        <f>"3.16"</f>
        <v>3.16</v>
      </c>
    </row>
    <row r="406" s="1" customFormat="1" spans="1:15">
      <c r="A406" s="1" t="str">
        <f t="shared" si="370"/>
        <v>202406</v>
      </c>
      <c r="B406" s="1" t="str">
        <f t="shared" si="371"/>
        <v>150525100</v>
      </c>
      <c r="C406" s="1" t="str">
        <f>"1014575549"</f>
        <v>1014575549</v>
      </c>
      <c r="D406" s="1" t="str">
        <f>"152326195609293075"</f>
        <v>152326195609293075</v>
      </c>
      <c r="E406" s="1" t="s">
        <v>439</v>
      </c>
      <c r="F406" s="1" t="s">
        <v>25</v>
      </c>
      <c r="G406" s="1" t="s">
        <v>17</v>
      </c>
      <c r="H406" s="1" t="str">
        <f>"68"</f>
        <v>68</v>
      </c>
      <c r="I406" s="1" t="str">
        <f>"156.01"</f>
        <v>156.01</v>
      </c>
      <c r="J406" s="1" t="str">
        <f t="shared" si="367"/>
        <v>0</v>
      </c>
      <c r="K406" s="1" t="str">
        <f t="shared" si="368"/>
        <v>103</v>
      </c>
      <c r="L406" s="1" t="str">
        <f t="shared" si="369"/>
        <v>47</v>
      </c>
      <c r="M406" s="1" t="str">
        <f t="shared" si="374"/>
        <v>0</v>
      </c>
      <c r="N406" s="1" t="str">
        <f t="shared" si="375"/>
        <v>0</v>
      </c>
      <c r="O406" s="1" t="str">
        <f>"6.01"</f>
        <v>6.01</v>
      </c>
    </row>
    <row r="407" s="1" customFormat="1" spans="1:15">
      <c r="A407" s="1" t="str">
        <f t="shared" si="370"/>
        <v>202406</v>
      </c>
      <c r="B407" s="1" t="str">
        <f t="shared" si="371"/>
        <v>150525100</v>
      </c>
      <c r="C407" s="1" t="str">
        <f>"1014575688"</f>
        <v>1014575688</v>
      </c>
      <c r="D407" s="1" t="str">
        <f>"152326196310210663"</f>
        <v>152326196310210663</v>
      </c>
      <c r="E407" s="1" t="s">
        <v>440</v>
      </c>
      <c r="F407" s="1" t="s">
        <v>16</v>
      </c>
      <c r="G407" s="1" t="s">
        <v>17</v>
      </c>
      <c r="H407" s="1" t="str">
        <f>"61"</f>
        <v>61</v>
      </c>
      <c r="I407" s="1" t="str">
        <f>"166.81"</f>
        <v>166.81</v>
      </c>
      <c r="J407" s="1" t="str">
        <f t="shared" si="367"/>
        <v>0</v>
      </c>
      <c r="K407" s="1" t="str">
        <f t="shared" si="368"/>
        <v>103</v>
      </c>
      <c r="L407" s="1" t="str">
        <f t="shared" si="369"/>
        <v>47</v>
      </c>
      <c r="M407" s="1" t="str">
        <f t="shared" si="374"/>
        <v>0</v>
      </c>
      <c r="N407" s="1" t="str">
        <f t="shared" si="375"/>
        <v>0</v>
      </c>
      <c r="O407" s="1" t="str">
        <f>"16.81"</f>
        <v>16.81</v>
      </c>
    </row>
    <row r="408" s="1" customFormat="1" spans="1:15">
      <c r="A408" s="1" t="str">
        <f t="shared" si="370"/>
        <v>202406</v>
      </c>
      <c r="B408" s="1" t="str">
        <f t="shared" si="371"/>
        <v>150525100</v>
      </c>
      <c r="C408" s="1" t="str">
        <f>"1014576619"</f>
        <v>1014576619</v>
      </c>
      <c r="D408" s="1" t="str">
        <f>"152326195302050669"</f>
        <v>152326195302050669</v>
      </c>
      <c r="E408" s="1" t="s">
        <v>441</v>
      </c>
      <c r="F408" s="1" t="s">
        <v>16</v>
      </c>
      <c r="G408" s="1" t="s">
        <v>19</v>
      </c>
      <c r="H408" s="1" t="str">
        <f t="shared" si="376"/>
        <v>71</v>
      </c>
      <c r="I408" s="1" t="str">
        <f>"163.16"</f>
        <v>163.16</v>
      </c>
      <c r="J408" s="1" t="str">
        <f t="shared" si="367"/>
        <v>0</v>
      </c>
      <c r="K408" s="1" t="str">
        <f t="shared" si="368"/>
        <v>103</v>
      </c>
      <c r="L408" s="1" t="str">
        <f t="shared" si="369"/>
        <v>47</v>
      </c>
      <c r="M408" s="1" t="str">
        <f t="shared" si="374"/>
        <v>0</v>
      </c>
      <c r="N408" s="1" t="str">
        <f t="shared" si="375"/>
        <v>0</v>
      </c>
      <c r="O408" s="1" t="str">
        <f>"3.16"</f>
        <v>3.16</v>
      </c>
    </row>
    <row r="409" s="1" customFormat="1" spans="1:15">
      <c r="A409" s="1" t="str">
        <f t="shared" si="370"/>
        <v>202406</v>
      </c>
      <c r="B409" s="1" t="str">
        <f t="shared" si="371"/>
        <v>150525100</v>
      </c>
      <c r="C409" s="1" t="str">
        <f>"1040690095"</f>
        <v>1040690095</v>
      </c>
      <c r="D409" s="1" t="s">
        <v>442</v>
      </c>
      <c r="E409" s="1" t="s">
        <v>443</v>
      </c>
      <c r="F409" s="1" t="s">
        <v>25</v>
      </c>
      <c r="G409" s="1" t="s">
        <v>17</v>
      </c>
      <c r="H409" s="1" t="str">
        <f t="shared" si="376"/>
        <v>71</v>
      </c>
      <c r="I409" s="1" t="str">
        <f>"163.22"</f>
        <v>163.22</v>
      </c>
      <c r="J409" s="1" t="str">
        <f t="shared" si="367"/>
        <v>0</v>
      </c>
      <c r="K409" s="1" t="str">
        <f t="shared" si="368"/>
        <v>103</v>
      </c>
      <c r="L409" s="1" t="str">
        <f t="shared" si="369"/>
        <v>47</v>
      </c>
      <c r="M409" s="1" t="str">
        <f t="shared" si="374"/>
        <v>0</v>
      </c>
      <c r="N409" s="1" t="str">
        <f t="shared" si="375"/>
        <v>0</v>
      </c>
      <c r="O409" s="1" t="str">
        <f>"3.22"</f>
        <v>3.22</v>
      </c>
    </row>
    <row r="410" s="1" customFormat="1" spans="1:15">
      <c r="A410" s="1" t="str">
        <f t="shared" si="370"/>
        <v>202406</v>
      </c>
      <c r="B410" s="1" t="str">
        <f t="shared" si="371"/>
        <v>150525100</v>
      </c>
      <c r="C410" s="1" t="str">
        <f>"1040690108"</f>
        <v>1040690108</v>
      </c>
      <c r="D410" s="1" t="str">
        <f>"152326195712160924"</f>
        <v>152326195712160924</v>
      </c>
      <c r="E410" s="1" t="s">
        <v>444</v>
      </c>
      <c r="F410" s="1" t="s">
        <v>16</v>
      </c>
      <c r="G410" s="1" t="s">
        <v>19</v>
      </c>
      <c r="H410" s="1" t="str">
        <f>"67"</f>
        <v>67</v>
      </c>
      <c r="I410" s="1" t="str">
        <f>"159.52"</f>
        <v>159.52</v>
      </c>
      <c r="J410" s="1" t="str">
        <f t="shared" si="367"/>
        <v>0</v>
      </c>
      <c r="K410" s="1" t="str">
        <f t="shared" si="368"/>
        <v>103</v>
      </c>
      <c r="L410" s="1" t="str">
        <f t="shared" si="369"/>
        <v>47</v>
      </c>
      <c r="M410" s="1" t="str">
        <f t="shared" si="374"/>
        <v>0</v>
      </c>
      <c r="N410" s="1" t="str">
        <f t="shared" si="375"/>
        <v>0</v>
      </c>
      <c r="O410" s="1" t="str">
        <f>"9.52"</f>
        <v>9.52</v>
      </c>
    </row>
    <row r="411" s="1" customFormat="1" spans="1:15">
      <c r="A411" s="1" t="str">
        <f t="shared" si="370"/>
        <v>202406</v>
      </c>
      <c r="B411" s="1" t="str">
        <f t="shared" si="371"/>
        <v>150525100</v>
      </c>
      <c r="C411" s="1" t="str">
        <f>"1014547950"</f>
        <v>1014547950</v>
      </c>
      <c r="D411" s="1" t="s">
        <v>445</v>
      </c>
      <c r="E411" s="1" t="s">
        <v>257</v>
      </c>
      <c r="F411" s="1" t="s">
        <v>16</v>
      </c>
      <c r="G411" s="1" t="s">
        <v>17</v>
      </c>
      <c r="H411" s="1" t="str">
        <f>"69"</f>
        <v>69</v>
      </c>
      <c r="I411" s="1" t="str">
        <f>"1959.94"</f>
        <v>1959.94</v>
      </c>
      <c r="J411" s="1" t="str">
        <f t="shared" si="367"/>
        <v>0</v>
      </c>
      <c r="K411" s="1" t="str">
        <f t="shared" ref="K411:O411" si="377">"0"</f>
        <v>0</v>
      </c>
      <c r="L411" s="1" t="str">
        <f t="shared" si="377"/>
        <v>0</v>
      </c>
      <c r="M411" s="1" t="str">
        <f t="shared" si="374"/>
        <v>0</v>
      </c>
      <c r="N411" s="1" t="str">
        <f t="shared" si="375"/>
        <v>0</v>
      </c>
      <c r="O411" s="1" t="str">
        <f t="shared" si="377"/>
        <v>0</v>
      </c>
    </row>
    <row r="412" s="1" customFormat="1" spans="1:15">
      <c r="A412" s="1" t="str">
        <f t="shared" si="370"/>
        <v>202406</v>
      </c>
      <c r="B412" s="1" t="str">
        <f t="shared" si="371"/>
        <v>150525100</v>
      </c>
      <c r="C412" s="1" t="str">
        <f>"1014547966"</f>
        <v>1014547966</v>
      </c>
      <c r="D412" s="1" t="str">
        <f>"152326195910020666"</f>
        <v>152326195910020666</v>
      </c>
      <c r="E412" s="1" t="s">
        <v>446</v>
      </c>
      <c r="F412" s="1" t="s">
        <v>16</v>
      </c>
      <c r="G412" s="1" t="s">
        <v>19</v>
      </c>
      <c r="H412" s="1" t="str">
        <f>"65"</f>
        <v>65</v>
      </c>
      <c r="I412" s="1" t="str">
        <f>"158.98"</f>
        <v>158.98</v>
      </c>
      <c r="J412" s="1" t="str">
        <f t="shared" si="367"/>
        <v>0</v>
      </c>
      <c r="K412" s="1" t="str">
        <f t="shared" ref="K412:K424" si="378">"103"</f>
        <v>103</v>
      </c>
      <c r="L412" s="1" t="str">
        <f t="shared" ref="L412:L424" si="379">"47"</f>
        <v>47</v>
      </c>
      <c r="M412" s="1" t="str">
        <f t="shared" si="374"/>
        <v>0</v>
      </c>
      <c r="N412" s="1" t="str">
        <f t="shared" si="375"/>
        <v>0</v>
      </c>
      <c r="O412" s="1" t="str">
        <f>"8.98"</f>
        <v>8.98</v>
      </c>
    </row>
    <row r="413" s="1" customFormat="1" spans="1:15">
      <c r="A413" s="1" t="str">
        <f t="shared" si="370"/>
        <v>202406</v>
      </c>
      <c r="B413" s="1" t="str">
        <f t="shared" si="371"/>
        <v>150525100</v>
      </c>
      <c r="C413" s="1" t="str">
        <f>"1014571938"</f>
        <v>1014571938</v>
      </c>
      <c r="D413" s="1" t="s">
        <v>447</v>
      </c>
      <c r="E413" s="1" t="s">
        <v>448</v>
      </c>
      <c r="F413" s="1" t="s">
        <v>16</v>
      </c>
      <c r="G413" s="1" t="s">
        <v>17</v>
      </c>
      <c r="H413" s="1" t="str">
        <f>"70"</f>
        <v>70</v>
      </c>
      <c r="I413" s="1" t="str">
        <f>"164.14"</f>
        <v>164.14</v>
      </c>
      <c r="J413" s="1" t="str">
        <f t="shared" si="367"/>
        <v>0</v>
      </c>
      <c r="K413" s="1" t="str">
        <f t="shared" si="378"/>
        <v>103</v>
      </c>
      <c r="L413" s="1" t="str">
        <f t="shared" si="379"/>
        <v>47</v>
      </c>
      <c r="M413" s="1" t="str">
        <f t="shared" si="374"/>
        <v>0</v>
      </c>
      <c r="N413" s="1" t="str">
        <f t="shared" si="375"/>
        <v>0</v>
      </c>
      <c r="O413" s="1" t="str">
        <f>"4.14"</f>
        <v>4.14</v>
      </c>
    </row>
    <row r="414" s="1" customFormat="1" spans="1:15">
      <c r="A414" s="1" t="str">
        <f t="shared" si="370"/>
        <v>202406</v>
      </c>
      <c r="B414" s="1" t="str">
        <f t="shared" si="371"/>
        <v>150525100</v>
      </c>
      <c r="C414" s="1" t="str">
        <f>"1014571946"</f>
        <v>1014571946</v>
      </c>
      <c r="D414" s="1" t="s">
        <v>449</v>
      </c>
      <c r="E414" s="1" t="s">
        <v>450</v>
      </c>
      <c r="F414" s="1" t="s">
        <v>16</v>
      </c>
      <c r="G414" s="1" t="s">
        <v>17</v>
      </c>
      <c r="H414" s="1" t="str">
        <f>"68"</f>
        <v>68</v>
      </c>
      <c r="I414" s="1" t="str">
        <f>"156.01"</f>
        <v>156.01</v>
      </c>
      <c r="J414" s="1" t="str">
        <f t="shared" si="367"/>
        <v>0</v>
      </c>
      <c r="K414" s="1" t="str">
        <f t="shared" si="378"/>
        <v>103</v>
      </c>
      <c r="L414" s="1" t="str">
        <f t="shared" si="379"/>
        <v>47</v>
      </c>
      <c r="M414" s="1" t="str">
        <f t="shared" si="374"/>
        <v>0</v>
      </c>
      <c r="N414" s="1" t="str">
        <f t="shared" si="375"/>
        <v>0</v>
      </c>
      <c r="O414" s="1" t="str">
        <f>"6.01"</f>
        <v>6.01</v>
      </c>
    </row>
    <row r="415" s="1" customFormat="1" spans="1:15">
      <c r="A415" s="1" t="str">
        <f t="shared" si="370"/>
        <v>202406</v>
      </c>
      <c r="B415" s="1" t="str">
        <f t="shared" si="371"/>
        <v>150525100</v>
      </c>
      <c r="C415" s="1" t="str">
        <f>"1014571955"</f>
        <v>1014571955</v>
      </c>
      <c r="D415" s="1" t="s">
        <v>451</v>
      </c>
      <c r="E415" s="1" t="s">
        <v>452</v>
      </c>
      <c r="F415" s="1" t="s">
        <v>25</v>
      </c>
      <c r="G415" s="1" t="s">
        <v>17</v>
      </c>
      <c r="H415" s="1" t="str">
        <f>"61"</f>
        <v>61</v>
      </c>
      <c r="I415" s="1" t="str">
        <f>"224.52"</f>
        <v>224.52</v>
      </c>
      <c r="J415" s="1" t="str">
        <f t="shared" si="367"/>
        <v>0</v>
      </c>
      <c r="K415" s="1" t="str">
        <f t="shared" si="378"/>
        <v>103</v>
      </c>
      <c r="L415" s="1" t="str">
        <f t="shared" si="379"/>
        <v>47</v>
      </c>
      <c r="M415" s="1" t="str">
        <f t="shared" si="374"/>
        <v>0</v>
      </c>
      <c r="N415" s="1" t="str">
        <f t="shared" si="375"/>
        <v>0</v>
      </c>
      <c r="O415" s="1" t="str">
        <f>"74.52"</f>
        <v>74.52</v>
      </c>
    </row>
    <row r="416" s="1" customFormat="1" spans="1:15">
      <c r="A416" s="1" t="str">
        <f t="shared" si="370"/>
        <v>202406</v>
      </c>
      <c r="B416" s="1" t="str">
        <f t="shared" si="371"/>
        <v>150525100</v>
      </c>
      <c r="C416" s="1" t="str">
        <f>"1014552287"</f>
        <v>1014552287</v>
      </c>
      <c r="D416" s="1" t="str">
        <f>"152326195801243828"</f>
        <v>152326195801243828</v>
      </c>
      <c r="E416" s="1" t="s">
        <v>453</v>
      </c>
      <c r="F416" s="1" t="s">
        <v>16</v>
      </c>
      <c r="G416" s="1" t="s">
        <v>19</v>
      </c>
      <c r="H416" s="1" t="str">
        <f>"66"</f>
        <v>66</v>
      </c>
      <c r="I416" s="1" t="str">
        <f>"179.16"</f>
        <v>179.16</v>
      </c>
      <c r="J416" s="1" t="str">
        <f t="shared" si="367"/>
        <v>0</v>
      </c>
      <c r="K416" s="1" t="str">
        <f t="shared" si="378"/>
        <v>103</v>
      </c>
      <c r="L416" s="1" t="str">
        <f t="shared" si="379"/>
        <v>47</v>
      </c>
      <c r="M416" s="1" t="str">
        <f t="shared" si="374"/>
        <v>0</v>
      </c>
      <c r="N416" s="1" t="str">
        <f t="shared" si="375"/>
        <v>0</v>
      </c>
      <c r="O416" s="1" t="str">
        <f>"29.16"</f>
        <v>29.16</v>
      </c>
    </row>
    <row r="417" s="1" customFormat="1" spans="1:15">
      <c r="A417" s="1" t="str">
        <f t="shared" si="370"/>
        <v>202406</v>
      </c>
      <c r="B417" s="1" t="str">
        <f t="shared" si="371"/>
        <v>150525100</v>
      </c>
      <c r="C417" s="1" t="str">
        <f>"1014552295"</f>
        <v>1014552295</v>
      </c>
      <c r="D417" s="1" t="str">
        <f>"152326195702033833"</f>
        <v>152326195702033833</v>
      </c>
      <c r="E417" s="1" t="s">
        <v>454</v>
      </c>
      <c r="F417" s="1" t="s">
        <v>25</v>
      </c>
      <c r="G417" s="1" t="s">
        <v>17</v>
      </c>
      <c r="H417" s="1" t="str">
        <f>"67"</f>
        <v>67</v>
      </c>
      <c r="I417" s="1" t="str">
        <f>"199.43"</f>
        <v>199.43</v>
      </c>
      <c r="J417" s="1" t="str">
        <f t="shared" si="367"/>
        <v>0</v>
      </c>
      <c r="K417" s="1" t="str">
        <f t="shared" si="378"/>
        <v>103</v>
      </c>
      <c r="L417" s="1" t="str">
        <f t="shared" si="379"/>
        <v>47</v>
      </c>
      <c r="M417" s="1" t="str">
        <f t="shared" si="374"/>
        <v>0</v>
      </c>
      <c r="N417" s="1" t="str">
        <f t="shared" si="375"/>
        <v>0</v>
      </c>
      <c r="O417" s="1" t="str">
        <f>"49.43"</f>
        <v>49.43</v>
      </c>
    </row>
    <row r="418" s="1" customFormat="1" spans="1:15">
      <c r="A418" s="1" t="str">
        <f t="shared" si="370"/>
        <v>202406</v>
      </c>
      <c r="B418" s="1" t="str">
        <f t="shared" si="371"/>
        <v>150525100</v>
      </c>
      <c r="C418" s="1" t="str">
        <f>"1014576270"</f>
        <v>1014576270</v>
      </c>
      <c r="D418" s="1" t="str">
        <f>"152326195604020668"</f>
        <v>152326195604020668</v>
      </c>
      <c r="E418" s="1" t="s">
        <v>455</v>
      </c>
      <c r="F418" s="1" t="s">
        <v>16</v>
      </c>
      <c r="G418" s="1" t="s">
        <v>19</v>
      </c>
      <c r="H418" s="1" t="str">
        <f>"68"</f>
        <v>68</v>
      </c>
      <c r="I418" s="1" t="str">
        <f>"155.96"</f>
        <v>155.96</v>
      </c>
      <c r="J418" s="1" t="str">
        <f t="shared" si="367"/>
        <v>0</v>
      </c>
      <c r="K418" s="1" t="str">
        <f t="shared" si="378"/>
        <v>103</v>
      </c>
      <c r="L418" s="1" t="str">
        <f t="shared" si="379"/>
        <v>47</v>
      </c>
      <c r="M418" s="1" t="str">
        <f t="shared" si="374"/>
        <v>0</v>
      </c>
      <c r="N418" s="1" t="str">
        <f t="shared" si="375"/>
        <v>0</v>
      </c>
      <c r="O418" s="1" t="str">
        <f>"5.96"</f>
        <v>5.96</v>
      </c>
    </row>
    <row r="419" s="1" customFormat="1" spans="1:15">
      <c r="A419" s="1" t="str">
        <f t="shared" si="370"/>
        <v>202406</v>
      </c>
      <c r="B419" s="1" t="str">
        <f t="shared" si="371"/>
        <v>150525100</v>
      </c>
      <c r="C419" s="1" t="str">
        <f>"1014576272"</f>
        <v>1014576272</v>
      </c>
      <c r="D419" s="1" t="str">
        <f>"152326195705130671"</f>
        <v>152326195705130671</v>
      </c>
      <c r="E419" s="1" t="s">
        <v>456</v>
      </c>
      <c r="F419" s="1" t="s">
        <v>25</v>
      </c>
      <c r="G419" s="1" t="s">
        <v>19</v>
      </c>
      <c r="H419" s="1" t="str">
        <f>"67"</f>
        <v>67</v>
      </c>
      <c r="I419" s="1" t="str">
        <f>"156.05"</f>
        <v>156.05</v>
      </c>
      <c r="J419" s="1" t="str">
        <f t="shared" si="367"/>
        <v>0</v>
      </c>
      <c r="K419" s="1" t="str">
        <f t="shared" si="378"/>
        <v>103</v>
      </c>
      <c r="L419" s="1" t="str">
        <f t="shared" si="379"/>
        <v>47</v>
      </c>
      <c r="M419" s="1" t="str">
        <f t="shared" si="374"/>
        <v>0</v>
      </c>
      <c r="N419" s="1" t="str">
        <f t="shared" si="375"/>
        <v>0</v>
      </c>
      <c r="O419" s="1" t="str">
        <f>"6.05"</f>
        <v>6.05</v>
      </c>
    </row>
    <row r="420" s="1" customFormat="1" spans="1:15">
      <c r="A420" s="1" t="str">
        <f t="shared" si="370"/>
        <v>202406</v>
      </c>
      <c r="B420" s="1" t="str">
        <f t="shared" si="371"/>
        <v>150525100</v>
      </c>
      <c r="C420" s="1" t="str">
        <f>"1014576275"</f>
        <v>1014576275</v>
      </c>
      <c r="D420" s="1" t="str">
        <f>"152326196104290674"</f>
        <v>152326196104290674</v>
      </c>
      <c r="E420" s="1" t="s">
        <v>457</v>
      </c>
      <c r="F420" s="1" t="s">
        <v>25</v>
      </c>
      <c r="G420" s="1" t="s">
        <v>19</v>
      </c>
      <c r="H420" s="1" t="str">
        <f>"63"</f>
        <v>63</v>
      </c>
      <c r="I420" s="1" t="str">
        <f>"161.04"</f>
        <v>161.04</v>
      </c>
      <c r="J420" s="1" t="str">
        <f t="shared" si="367"/>
        <v>0</v>
      </c>
      <c r="K420" s="1" t="str">
        <f t="shared" si="378"/>
        <v>103</v>
      </c>
      <c r="L420" s="1" t="str">
        <f t="shared" si="379"/>
        <v>47</v>
      </c>
      <c r="M420" s="1" t="str">
        <f t="shared" si="374"/>
        <v>0</v>
      </c>
      <c r="N420" s="1" t="str">
        <f t="shared" si="375"/>
        <v>0</v>
      </c>
      <c r="O420" s="1" t="str">
        <f>"11.04"</f>
        <v>11.04</v>
      </c>
    </row>
    <row r="421" s="1" customFormat="1" spans="1:15">
      <c r="A421" s="1" t="str">
        <f t="shared" si="370"/>
        <v>202406</v>
      </c>
      <c r="B421" s="1" t="str">
        <f t="shared" si="371"/>
        <v>150525100</v>
      </c>
      <c r="C421" s="1" t="str">
        <f>"1014547976"</f>
        <v>1014547976</v>
      </c>
      <c r="D421" s="1" t="str">
        <f>"152326195911190675"</f>
        <v>152326195911190675</v>
      </c>
      <c r="E421" s="1" t="s">
        <v>458</v>
      </c>
      <c r="F421" s="1" t="s">
        <v>25</v>
      </c>
      <c r="G421" s="1" t="s">
        <v>17</v>
      </c>
      <c r="H421" s="1" t="str">
        <f>"65"</f>
        <v>65</v>
      </c>
      <c r="I421" s="1" t="str">
        <f>"158.2"</f>
        <v>158.2</v>
      </c>
      <c r="J421" s="1" t="str">
        <f t="shared" si="367"/>
        <v>0</v>
      </c>
      <c r="K421" s="1" t="str">
        <f t="shared" si="378"/>
        <v>103</v>
      </c>
      <c r="L421" s="1" t="str">
        <f t="shared" si="379"/>
        <v>47</v>
      </c>
      <c r="M421" s="1" t="str">
        <f t="shared" si="374"/>
        <v>0</v>
      </c>
      <c r="N421" s="1" t="str">
        <f t="shared" si="375"/>
        <v>0</v>
      </c>
      <c r="O421" s="1" t="str">
        <f>"8.2"</f>
        <v>8.2</v>
      </c>
    </row>
    <row r="422" s="1" customFormat="1" spans="1:15">
      <c r="A422" s="1" t="str">
        <f t="shared" si="370"/>
        <v>202406</v>
      </c>
      <c r="B422" s="1" t="str">
        <f t="shared" si="371"/>
        <v>150525100</v>
      </c>
      <c r="C422" s="1" t="str">
        <f>"1014547993"</f>
        <v>1014547993</v>
      </c>
      <c r="D422" s="1" t="str">
        <f>"152326196304140689"</f>
        <v>152326196304140689</v>
      </c>
      <c r="E422" s="1" t="s">
        <v>459</v>
      </c>
      <c r="F422" s="1" t="s">
        <v>16</v>
      </c>
      <c r="G422" s="1" t="s">
        <v>17</v>
      </c>
      <c r="H422" s="1" t="str">
        <f>"61"</f>
        <v>61</v>
      </c>
      <c r="I422" s="1" t="str">
        <f>"164.97"</f>
        <v>164.97</v>
      </c>
      <c r="J422" s="1" t="str">
        <f t="shared" si="367"/>
        <v>0</v>
      </c>
      <c r="K422" s="1" t="str">
        <f t="shared" si="378"/>
        <v>103</v>
      </c>
      <c r="L422" s="1" t="str">
        <f t="shared" si="379"/>
        <v>47</v>
      </c>
      <c r="M422" s="1" t="str">
        <f t="shared" si="374"/>
        <v>0</v>
      </c>
      <c r="N422" s="1" t="str">
        <f t="shared" si="375"/>
        <v>0</v>
      </c>
      <c r="O422" s="1" t="str">
        <f>"14.97"</f>
        <v>14.97</v>
      </c>
    </row>
    <row r="423" s="1" customFormat="1" spans="1:15">
      <c r="A423" s="1" t="str">
        <f t="shared" si="370"/>
        <v>202406</v>
      </c>
      <c r="B423" s="1" t="str">
        <f t="shared" si="371"/>
        <v>150525100</v>
      </c>
      <c r="C423" s="1" t="str">
        <f>"1014572103"</f>
        <v>1014572103</v>
      </c>
      <c r="D423" s="1" t="s">
        <v>460</v>
      </c>
      <c r="E423" s="1" t="s">
        <v>461</v>
      </c>
      <c r="F423" s="1" t="s">
        <v>16</v>
      </c>
      <c r="G423" s="1" t="s">
        <v>17</v>
      </c>
      <c r="H423" s="1" t="str">
        <f>"62"</f>
        <v>62</v>
      </c>
      <c r="I423" s="1" t="str">
        <f>"164.87"</f>
        <v>164.87</v>
      </c>
      <c r="J423" s="1" t="str">
        <f t="shared" si="367"/>
        <v>0</v>
      </c>
      <c r="K423" s="1" t="str">
        <f t="shared" si="378"/>
        <v>103</v>
      </c>
      <c r="L423" s="1" t="str">
        <f t="shared" si="379"/>
        <v>47</v>
      </c>
      <c r="M423" s="1" t="str">
        <f t="shared" si="374"/>
        <v>0</v>
      </c>
      <c r="N423" s="1" t="str">
        <f t="shared" si="375"/>
        <v>0</v>
      </c>
      <c r="O423" s="1" t="str">
        <f>"14.87"</f>
        <v>14.87</v>
      </c>
    </row>
    <row r="424" s="1" customFormat="1" spans="1:15">
      <c r="A424" s="1" t="str">
        <f t="shared" si="370"/>
        <v>202406</v>
      </c>
      <c r="B424" s="1" t="str">
        <f t="shared" si="371"/>
        <v>150525100</v>
      </c>
      <c r="C424" s="1" t="str">
        <f>"1040689500"</f>
        <v>1040689500</v>
      </c>
      <c r="D424" s="1" t="str">
        <f>"152326195510013811"</f>
        <v>152326195510013811</v>
      </c>
      <c r="E424" s="1" t="s">
        <v>462</v>
      </c>
      <c r="F424" s="1" t="s">
        <v>25</v>
      </c>
      <c r="G424" s="1" t="s">
        <v>17</v>
      </c>
      <c r="H424" s="1" t="str">
        <f>"69"</f>
        <v>69</v>
      </c>
      <c r="I424" s="1" t="str">
        <f>"154.21"</f>
        <v>154.21</v>
      </c>
      <c r="J424" s="1" t="str">
        <f t="shared" si="367"/>
        <v>0</v>
      </c>
      <c r="K424" s="1" t="str">
        <f t="shared" si="378"/>
        <v>103</v>
      </c>
      <c r="L424" s="1" t="str">
        <f t="shared" si="379"/>
        <v>47</v>
      </c>
      <c r="M424" s="1" t="str">
        <f t="shared" si="374"/>
        <v>0</v>
      </c>
      <c r="N424" s="1" t="str">
        <f t="shared" si="375"/>
        <v>0</v>
      </c>
      <c r="O424" s="1" t="str">
        <f>"4.21"</f>
        <v>4.21</v>
      </c>
    </row>
    <row r="425" s="1" customFormat="1" spans="1:15">
      <c r="A425" s="1" t="str">
        <f t="shared" si="370"/>
        <v>202406</v>
      </c>
      <c r="B425" s="1" t="str">
        <f t="shared" si="371"/>
        <v>150525100</v>
      </c>
      <c r="C425" s="1" t="str">
        <f>"1040690468"</f>
        <v>1040690468</v>
      </c>
      <c r="D425" s="1" t="str">
        <f>"152326195403090678"</f>
        <v>152326195403090678</v>
      </c>
      <c r="E425" s="1" t="s">
        <v>463</v>
      </c>
      <c r="F425" s="1" t="s">
        <v>25</v>
      </c>
      <c r="G425" s="1" t="s">
        <v>17</v>
      </c>
      <c r="H425" s="1" t="str">
        <f>"70"</f>
        <v>70</v>
      </c>
      <c r="I425" s="1" t="str">
        <f>"1934.94"</f>
        <v>1934.94</v>
      </c>
      <c r="J425" s="1" t="str">
        <f t="shared" si="367"/>
        <v>0</v>
      </c>
      <c r="K425" s="1" t="str">
        <f t="shared" ref="K425:O425" si="380">"0"</f>
        <v>0</v>
      </c>
      <c r="L425" s="1" t="str">
        <f t="shared" si="380"/>
        <v>0</v>
      </c>
      <c r="M425" s="1" t="str">
        <f t="shared" si="374"/>
        <v>0</v>
      </c>
      <c r="N425" s="1" t="str">
        <f t="shared" si="375"/>
        <v>0</v>
      </c>
      <c r="O425" s="1" t="str">
        <f t="shared" si="380"/>
        <v>0</v>
      </c>
    </row>
    <row r="426" s="1" customFormat="1" spans="1:15">
      <c r="A426" s="1" t="str">
        <f t="shared" si="370"/>
        <v>202406</v>
      </c>
      <c r="B426" s="1" t="str">
        <f t="shared" si="371"/>
        <v>150525100</v>
      </c>
      <c r="C426" s="1" t="str">
        <f>"1040689753"</f>
        <v>1040689753</v>
      </c>
      <c r="D426" s="1" t="s">
        <v>464</v>
      </c>
      <c r="E426" s="1" t="s">
        <v>465</v>
      </c>
      <c r="F426" s="1" t="s">
        <v>16</v>
      </c>
      <c r="G426" s="1" t="s">
        <v>19</v>
      </c>
      <c r="H426" s="1" t="str">
        <f>"69"</f>
        <v>69</v>
      </c>
      <c r="I426" s="1" t="str">
        <f>"154.21"</f>
        <v>154.21</v>
      </c>
      <c r="J426" s="1" t="str">
        <f t="shared" si="367"/>
        <v>0</v>
      </c>
      <c r="K426" s="1" t="str">
        <f t="shared" ref="K426:K481" si="381">"103"</f>
        <v>103</v>
      </c>
      <c r="L426" s="1" t="str">
        <f t="shared" ref="L426:L481" si="382">"47"</f>
        <v>47</v>
      </c>
      <c r="M426" s="1" t="str">
        <f t="shared" si="374"/>
        <v>0</v>
      </c>
      <c r="N426" s="1" t="str">
        <f t="shared" si="375"/>
        <v>0</v>
      </c>
      <c r="O426" s="1" t="str">
        <f>"4.21"</f>
        <v>4.21</v>
      </c>
    </row>
    <row r="427" s="1" customFormat="1" spans="1:15">
      <c r="A427" s="1" t="str">
        <f t="shared" si="370"/>
        <v>202406</v>
      </c>
      <c r="B427" s="1" t="str">
        <f t="shared" si="371"/>
        <v>150525100</v>
      </c>
      <c r="C427" s="1" t="str">
        <f>"1040689415"</f>
        <v>1040689415</v>
      </c>
      <c r="D427" s="1" t="str">
        <f>"152326196002210661"</f>
        <v>152326196002210661</v>
      </c>
      <c r="E427" s="1" t="s">
        <v>466</v>
      </c>
      <c r="F427" s="1" t="s">
        <v>16</v>
      </c>
      <c r="G427" s="1" t="s">
        <v>17</v>
      </c>
      <c r="H427" s="1" t="str">
        <f>"64"</f>
        <v>64</v>
      </c>
      <c r="I427" s="1" t="str">
        <f>"158.26"</f>
        <v>158.26</v>
      </c>
      <c r="J427" s="1" t="str">
        <f t="shared" si="367"/>
        <v>0</v>
      </c>
      <c r="K427" s="1" t="str">
        <f t="shared" si="381"/>
        <v>103</v>
      </c>
      <c r="L427" s="1" t="str">
        <f t="shared" si="382"/>
        <v>47</v>
      </c>
      <c r="M427" s="1" t="str">
        <f t="shared" si="374"/>
        <v>0</v>
      </c>
      <c r="N427" s="1" t="str">
        <f t="shared" si="375"/>
        <v>0</v>
      </c>
      <c r="O427" s="1" t="str">
        <f>"8.26"</f>
        <v>8.26</v>
      </c>
    </row>
    <row r="428" s="1" customFormat="1" spans="1:15">
      <c r="A428" s="1" t="str">
        <f t="shared" si="370"/>
        <v>202406</v>
      </c>
      <c r="B428" s="1" t="str">
        <f t="shared" si="371"/>
        <v>150525100</v>
      </c>
      <c r="C428" s="1" t="str">
        <f>"1040689418"</f>
        <v>1040689418</v>
      </c>
      <c r="D428" s="1" t="str">
        <f>"152326195411220671"</f>
        <v>152326195411220671</v>
      </c>
      <c r="E428" s="1" t="s">
        <v>467</v>
      </c>
      <c r="F428" s="1" t="s">
        <v>25</v>
      </c>
      <c r="G428" s="1" t="s">
        <v>17</v>
      </c>
      <c r="H428" s="1" t="str">
        <f>"70"</f>
        <v>70</v>
      </c>
      <c r="I428" s="1" t="str">
        <f>"153.26"</f>
        <v>153.26</v>
      </c>
      <c r="J428" s="1" t="str">
        <f t="shared" si="367"/>
        <v>0</v>
      </c>
      <c r="K428" s="1" t="str">
        <f t="shared" si="381"/>
        <v>103</v>
      </c>
      <c r="L428" s="1" t="str">
        <f t="shared" si="382"/>
        <v>47</v>
      </c>
      <c r="M428" s="1" t="str">
        <f t="shared" si="374"/>
        <v>0</v>
      </c>
      <c r="N428" s="1" t="str">
        <f t="shared" si="375"/>
        <v>0</v>
      </c>
      <c r="O428" s="1" t="str">
        <f>"3.26"</f>
        <v>3.26</v>
      </c>
    </row>
    <row r="429" s="1" customFormat="1" spans="1:15">
      <c r="A429" s="1" t="str">
        <f t="shared" si="370"/>
        <v>202406</v>
      </c>
      <c r="B429" s="1" t="str">
        <f t="shared" si="371"/>
        <v>150525100</v>
      </c>
      <c r="C429" s="1" t="str">
        <f>"1040689602"</f>
        <v>1040689602</v>
      </c>
      <c r="D429" s="1" t="str">
        <f>"152326195306293086"</f>
        <v>152326195306293086</v>
      </c>
      <c r="E429" s="1" t="s">
        <v>468</v>
      </c>
      <c r="F429" s="1" t="s">
        <v>16</v>
      </c>
      <c r="G429" s="1" t="s">
        <v>17</v>
      </c>
      <c r="H429" s="1" t="str">
        <f>"71"</f>
        <v>71</v>
      </c>
      <c r="I429" s="1" t="str">
        <f>"162.26"</f>
        <v>162.26</v>
      </c>
      <c r="J429" s="1" t="str">
        <f t="shared" si="367"/>
        <v>0</v>
      </c>
      <c r="K429" s="1" t="str">
        <f t="shared" si="381"/>
        <v>103</v>
      </c>
      <c r="L429" s="1" t="str">
        <f t="shared" si="382"/>
        <v>47</v>
      </c>
      <c r="M429" s="1" t="str">
        <f t="shared" si="374"/>
        <v>0</v>
      </c>
      <c r="N429" s="1" t="str">
        <f t="shared" si="375"/>
        <v>0</v>
      </c>
      <c r="O429" s="1" t="str">
        <f>"2.26"</f>
        <v>2.26</v>
      </c>
    </row>
    <row r="430" s="1" customFormat="1" spans="1:15">
      <c r="A430" s="1" t="str">
        <f t="shared" si="370"/>
        <v>202406</v>
      </c>
      <c r="B430" s="1" t="str">
        <f t="shared" si="371"/>
        <v>150525100</v>
      </c>
      <c r="C430" s="1" t="str">
        <f>"1040689657"</f>
        <v>1040689657</v>
      </c>
      <c r="D430" s="1" t="str">
        <f>"152326195612153081"</f>
        <v>152326195612153081</v>
      </c>
      <c r="E430" s="1" t="s">
        <v>469</v>
      </c>
      <c r="F430" s="1" t="s">
        <v>16</v>
      </c>
      <c r="G430" s="1" t="s">
        <v>17</v>
      </c>
      <c r="H430" s="1" t="str">
        <f>"68"</f>
        <v>68</v>
      </c>
      <c r="I430" s="1" t="str">
        <f>"155.13"</f>
        <v>155.13</v>
      </c>
      <c r="J430" s="1" t="str">
        <f t="shared" si="367"/>
        <v>0</v>
      </c>
      <c r="K430" s="1" t="str">
        <f t="shared" si="381"/>
        <v>103</v>
      </c>
      <c r="L430" s="1" t="str">
        <f t="shared" si="382"/>
        <v>47</v>
      </c>
      <c r="M430" s="1" t="str">
        <f t="shared" si="374"/>
        <v>0</v>
      </c>
      <c r="N430" s="1" t="str">
        <f t="shared" si="375"/>
        <v>0</v>
      </c>
      <c r="O430" s="1" t="str">
        <f>"5.13"</f>
        <v>5.13</v>
      </c>
    </row>
    <row r="431" s="1" customFormat="1" spans="1:15">
      <c r="A431" s="1" t="str">
        <f t="shared" si="370"/>
        <v>202406</v>
      </c>
      <c r="B431" s="1" t="str">
        <f t="shared" si="371"/>
        <v>150525100</v>
      </c>
      <c r="C431" s="1" t="str">
        <f>"1040689792"</f>
        <v>1040689792</v>
      </c>
      <c r="D431" s="1" t="str">
        <f>"152326195409303822"</f>
        <v>152326195409303822</v>
      </c>
      <c r="E431" s="1" t="s">
        <v>470</v>
      </c>
      <c r="F431" s="1" t="s">
        <v>16</v>
      </c>
      <c r="G431" s="1" t="s">
        <v>17</v>
      </c>
      <c r="H431" s="1" t="str">
        <f>"70"</f>
        <v>70</v>
      </c>
      <c r="I431" s="1" t="str">
        <f>"153.25"</f>
        <v>153.25</v>
      </c>
      <c r="J431" s="1" t="str">
        <f t="shared" si="367"/>
        <v>0</v>
      </c>
      <c r="K431" s="1" t="str">
        <f t="shared" si="381"/>
        <v>103</v>
      </c>
      <c r="L431" s="1" t="str">
        <f t="shared" si="382"/>
        <v>47</v>
      </c>
      <c r="M431" s="1" t="str">
        <f t="shared" si="374"/>
        <v>0</v>
      </c>
      <c r="N431" s="1" t="str">
        <f t="shared" si="375"/>
        <v>0</v>
      </c>
      <c r="O431" s="1" t="str">
        <f>"3.25"</f>
        <v>3.25</v>
      </c>
    </row>
    <row r="432" s="1" customFormat="1" spans="1:15">
      <c r="A432" s="1" t="str">
        <f t="shared" si="370"/>
        <v>202406</v>
      </c>
      <c r="B432" s="1" t="str">
        <f t="shared" si="371"/>
        <v>150525100</v>
      </c>
      <c r="C432" s="1" t="str">
        <f>"1040689422"</f>
        <v>1040689422</v>
      </c>
      <c r="D432" s="1" t="str">
        <f>"152326196109070670"</f>
        <v>152326196109070670</v>
      </c>
      <c r="E432" s="1" t="s">
        <v>471</v>
      </c>
      <c r="F432" s="1" t="s">
        <v>25</v>
      </c>
      <c r="G432" s="1" t="s">
        <v>17</v>
      </c>
      <c r="H432" s="1" t="str">
        <f>"63"</f>
        <v>63</v>
      </c>
      <c r="I432" s="1" t="str">
        <f>"162.18"</f>
        <v>162.18</v>
      </c>
      <c r="J432" s="1" t="str">
        <f t="shared" si="367"/>
        <v>0</v>
      </c>
      <c r="K432" s="1" t="str">
        <f t="shared" si="381"/>
        <v>103</v>
      </c>
      <c r="L432" s="1" t="str">
        <f t="shared" si="382"/>
        <v>47</v>
      </c>
      <c r="M432" s="1" t="str">
        <f t="shared" si="374"/>
        <v>0</v>
      </c>
      <c r="N432" s="1" t="str">
        <f t="shared" si="375"/>
        <v>0</v>
      </c>
      <c r="O432" s="1" t="str">
        <f>"12.18"</f>
        <v>12.18</v>
      </c>
    </row>
    <row r="433" s="1" customFormat="1" spans="1:15">
      <c r="A433" s="1" t="str">
        <f t="shared" si="370"/>
        <v>202406</v>
      </c>
      <c r="B433" s="1" t="str">
        <f t="shared" si="371"/>
        <v>150525100</v>
      </c>
      <c r="C433" s="1" t="str">
        <f>"1040689510"</f>
        <v>1040689510</v>
      </c>
      <c r="D433" s="1" t="s">
        <v>472</v>
      </c>
      <c r="E433" s="1" t="s">
        <v>473</v>
      </c>
      <c r="F433" s="1" t="s">
        <v>25</v>
      </c>
      <c r="G433" s="1" t="s">
        <v>17</v>
      </c>
      <c r="H433" s="1" t="str">
        <f>"66"</f>
        <v>66</v>
      </c>
      <c r="I433" s="1" t="str">
        <f>"185.61"</f>
        <v>185.61</v>
      </c>
      <c r="J433" s="1" t="str">
        <f t="shared" si="367"/>
        <v>0</v>
      </c>
      <c r="K433" s="1" t="str">
        <f t="shared" si="381"/>
        <v>103</v>
      </c>
      <c r="L433" s="1" t="str">
        <f t="shared" si="382"/>
        <v>47</v>
      </c>
      <c r="M433" s="1" t="str">
        <f t="shared" si="374"/>
        <v>0</v>
      </c>
      <c r="N433" s="1" t="str">
        <f t="shared" si="375"/>
        <v>0</v>
      </c>
      <c r="O433" s="1" t="str">
        <f>"35.61"</f>
        <v>35.61</v>
      </c>
    </row>
    <row r="434" s="1" customFormat="1" spans="1:15">
      <c r="A434" s="1" t="str">
        <f t="shared" si="370"/>
        <v>202406</v>
      </c>
      <c r="B434" s="1" t="str">
        <f t="shared" si="371"/>
        <v>150525100</v>
      </c>
      <c r="C434" s="1" t="str">
        <f>"1040689372"</f>
        <v>1040689372</v>
      </c>
      <c r="D434" s="1" t="str">
        <f>"152326195601100945"</f>
        <v>152326195601100945</v>
      </c>
      <c r="E434" s="1" t="s">
        <v>474</v>
      </c>
      <c r="F434" s="1" t="s">
        <v>16</v>
      </c>
      <c r="G434" s="1" t="s">
        <v>19</v>
      </c>
      <c r="H434" s="1" t="str">
        <f>"68"</f>
        <v>68</v>
      </c>
      <c r="I434" s="1" t="str">
        <f>"155.13"</f>
        <v>155.13</v>
      </c>
      <c r="J434" s="1" t="str">
        <f t="shared" si="367"/>
        <v>0</v>
      </c>
      <c r="K434" s="1" t="str">
        <f t="shared" si="381"/>
        <v>103</v>
      </c>
      <c r="L434" s="1" t="str">
        <f t="shared" si="382"/>
        <v>47</v>
      </c>
      <c r="M434" s="1" t="str">
        <f t="shared" si="374"/>
        <v>0</v>
      </c>
      <c r="N434" s="1" t="str">
        <f t="shared" si="375"/>
        <v>0</v>
      </c>
      <c r="O434" s="1" t="str">
        <f>"5.13"</f>
        <v>5.13</v>
      </c>
    </row>
    <row r="435" s="1" customFormat="1" spans="1:15">
      <c r="A435" s="1" t="str">
        <f t="shared" si="370"/>
        <v>202406</v>
      </c>
      <c r="B435" s="1" t="str">
        <f t="shared" si="371"/>
        <v>150525100</v>
      </c>
      <c r="C435" s="1" t="str">
        <f>"1040689533"</f>
        <v>1040689533</v>
      </c>
      <c r="D435" s="1" t="str">
        <f>"152326195702270679"</f>
        <v>152326195702270679</v>
      </c>
      <c r="E435" s="1" t="s">
        <v>475</v>
      </c>
      <c r="F435" s="1" t="s">
        <v>25</v>
      </c>
      <c r="G435" s="1" t="s">
        <v>17</v>
      </c>
      <c r="H435" s="1" t="str">
        <f>"67"</f>
        <v>67</v>
      </c>
      <c r="I435" s="1" t="str">
        <f>"155.15"</f>
        <v>155.15</v>
      </c>
      <c r="J435" s="1" t="str">
        <f t="shared" si="367"/>
        <v>0</v>
      </c>
      <c r="K435" s="1" t="str">
        <f t="shared" si="381"/>
        <v>103</v>
      </c>
      <c r="L435" s="1" t="str">
        <f t="shared" si="382"/>
        <v>47</v>
      </c>
      <c r="M435" s="1" t="str">
        <f t="shared" si="374"/>
        <v>0</v>
      </c>
      <c r="N435" s="1" t="str">
        <f t="shared" si="375"/>
        <v>0</v>
      </c>
      <c r="O435" s="1" t="str">
        <f>"5.15"</f>
        <v>5.15</v>
      </c>
    </row>
    <row r="436" s="1" customFormat="1" spans="1:15">
      <c r="A436" s="1" t="str">
        <f t="shared" si="370"/>
        <v>202406</v>
      </c>
      <c r="B436" s="1" t="str">
        <f t="shared" si="371"/>
        <v>150525100</v>
      </c>
      <c r="C436" s="1" t="str">
        <f>"1040689543"</f>
        <v>1040689543</v>
      </c>
      <c r="D436" s="1" t="str">
        <f>"152326196212160666"</f>
        <v>152326196212160666</v>
      </c>
      <c r="E436" s="1" t="s">
        <v>476</v>
      </c>
      <c r="F436" s="1" t="s">
        <v>16</v>
      </c>
      <c r="G436" s="1" t="s">
        <v>17</v>
      </c>
      <c r="H436" s="1" t="str">
        <f>"62"</f>
        <v>62</v>
      </c>
      <c r="I436" s="1" t="str">
        <f>"163.98"</f>
        <v>163.98</v>
      </c>
      <c r="J436" s="1" t="str">
        <f t="shared" si="367"/>
        <v>0</v>
      </c>
      <c r="K436" s="1" t="str">
        <f t="shared" si="381"/>
        <v>103</v>
      </c>
      <c r="L436" s="1" t="str">
        <f t="shared" si="382"/>
        <v>47</v>
      </c>
      <c r="M436" s="1" t="str">
        <f t="shared" si="374"/>
        <v>0</v>
      </c>
      <c r="N436" s="1" t="str">
        <f t="shared" si="375"/>
        <v>0</v>
      </c>
      <c r="O436" s="1" t="str">
        <f>"13.98"</f>
        <v>13.98</v>
      </c>
    </row>
    <row r="437" s="1" customFormat="1" spans="1:15">
      <c r="A437" s="1" t="str">
        <f t="shared" si="370"/>
        <v>202406</v>
      </c>
      <c r="B437" s="1" t="str">
        <f t="shared" si="371"/>
        <v>150525100</v>
      </c>
      <c r="C437" s="1" t="str">
        <f>"1040689546"</f>
        <v>1040689546</v>
      </c>
      <c r="D437" s="1" t="str">
        <f>"152326195503090667"</f>
        <v>152326195503090667</v>
      </c>
      <c r="E437" s="1" t="s">
        <v>477</v>
      </c>
      <c r="F437" s="1" t="s">
        <v>16</v>
      </c>
      <c r="G437" s="1" t="s">
        <v>19</v>
      </c>
      <c r="H437" s="1" t="str">
        <f>"69"</f>
        <v>69</v>
      </c>
      <c r="I437" s="1" t="str">
        <f>"154.21"</f>
        <v>154.21</v>
      </c>
      <c r="J437" s="1" t="str">
        <f t="shared" si="367"/>
        <v>0</v>
      </c>
      <c r="K437" s="1" t="str">
        <f t="shared" si="381"/>
        <v>103</v>
      </c>
      <c r="L437" s="1" t="str">
        <f t="shared" si="382"/>
        <v>47</v>
      </c>
      <c r="M437" s="1" t="str">
        <f t="shared" si="374"/>
        <v>0</v>
      </c>
      <c r="N437" s="1" t="str">
        <f t="shared" si="375"/>
        <v>0</v>
      </c>
      <c r="O437" s="1" t="str">
        <f>"4.21"</f>
        <v>4.21</v>
      </c>
    </row>
    <row r="438" s="1" customFormat="1" spans="1:15">
      <c r="A438" s="1" t="str">
        <f t="shared" si="370"/>
        <v>202406</v>
      </c>
      <c r="B438" s="1" t="str">
        <f t="shared" si="371"/>
        <v>150525100</v>
      </c>
      <c r="C438" s="1" t="str">
        <f>"1040689679"</f>
        <v>1040689679</v>
      </c>
      <c r="D438" s="1" t="str">
        <f>"152326196003240678"</f>
        <v>152326196003240678</v>
      </c>
      <c r="E438" s="1" t="s">
        <v>478</v>
      </c>
      <c r="F438" s="1" t="s">
        <v>25</v>
      </c>
      <c r="G438" s="1" t="s">
        <v>17</v>
      </c>
      <c r="H438" s="1" t="str">
        <f>"64"</f>
        <v>64</v>
      </c>
      <c r="I438" s="1" t="str">
        <f>"158.25"</f>
        <v>158.25</v>
      </c>
      <c r="J438" s="1" t="str">
        <f t="shared" si="367"/>
        <v>0</v>
      </c>
      <c r="K438" s="1" t="str">
        <f t="shared" si="381"/>
        <v>103</v>
      </c>
      <c r="L438" s="1" t="str">
        <f t="shared" si="382"/>
        <v>47</v>
      </c>
      <c r="M438" s="1" t="str">
        <f t="shared" si="374"/>
        <v>0</v>
      </c>
      <c r="N438" s="1" t="str">
        <f t="shared" si="375"/>
        <v>0</v>
      </c>
      <c r="O438" s="1" t="str">
        <f>"8.25"</f>
        <v>8.25</v>
      </c>
    </row>
    <row r="439" s="1" customFormat="1" spans="1:15">
      <c r="A439" s="1" t="str">
        <f t="shared" si="370"/>
        <v>202406</v>
      </c>
      <c r="B439" s="1" t="str">
        <f t="shared" si="371"/>
        <v>150525100</v>
      </c>
      <c r="C439" s="1" t="str">
        <f>"1040689683"</f>
        <v>1040689683</v>
      </c>
      <c r="D439" s="1" t="str">
        <f>"152326196008250736"</f>
        <v>152326196008250736</v>
      </c>
      <c r="E439" s="1" t="s">
        <v>479</v>
      </c>
      <c r="F439" s="1" t="s">
        <v>25</v>
      </c>
      <c r="G439" s="1" t="s">
        <v>17</v>
      </c>
      <c r="H439" s="1" t="str">
        <f>"64"</f>
        <v>64</v>
      </c>
      <c r="I439" s="1" t="str">
        <f>"158.36"</f>
        <v>158.36</v>
      </c>
      <c r="J439" s="1" t="str">
        <f t="shared" ref="J439:J481" si="383">"0"</f>
        <v>0</v>
      </c>
      <c r="K439" s="1" t="str">
        <f t="shared" si="381"/>
        <v>103</v>
      </c>
      <c r="L439" s="1" t="str">
        <f t="shared" si="382"/>
        <v>47</v>
      </c>
      <c r="M439" s="1" t="str">
        <f t="shared" si="374"/>
        <v>0</v>
      </c>
      <c r="N439" s="1" t="str">
        <f t="shared" si="375"/>
        <v>0</v>
      </c>
      <c r="O439" s="1" t="str">
        <f>"8.36"</f>
        <v>8.36</v>
      </c>
    </row>
    <row r="440" s="1" customFormat="1" spans="1:15">
      <c r="A440" s="1" t="str">
        <f t="shared" si="370"/>
        <v>202406</v>
      </c>
      <c r="B440" s="1" t="str">
        <f t="shared" si="371"/>
        <v>150525100</v>
      </c>
      <c r="C440" s="1" t="str">
        <f>"1040689701"</f>
        <v>1040689701</v>
      </c>
      <c r="D440" s="1" t="str">
        <f>"152326195708080665"</f>
        <v>152326195708080665</v>
      </c>
      <c r="E440" s="1" t="s">
        <v>480</v>
      </c>
      <c r="F440" s="1" t="s">
        <v>16</v>
      </c>
      <c r="G440" s="1" t="s">
        <v>17</v>
      </c>
      <c r="H440" s="1" t="str">
        <f>"67"</f>
        <v>67</v>
      </c>
      <c r="I440" s="1" t="str">
        <f>"155.19"</f>
        <v>155.19</v>
      </c>
      <c r="J440" s="1" t="str">
        <f t="shared" si="383"/>
        <v>0</v>
      </c>
      <c r="K440" s="1" t="str">
        <f t="shared" si="381"/>
        <v>103</v>
      </c>
      <c r="L440" s="1" t="str">
        <f t="shared" si="382"/>
        <v>47</v>
      </c>
      <c r="M440" s="1" t="str">
        <f t="shared" si="374"/>
        <v>0</v>
      </c>
      <c r="N440" s="1" t="str">
        <f t="shared" si="375"/>
        <v>0</v>
      </c>
      <c r="O440" s="1" t="str">
        <f>"5.19"</f>
        <v>5.19</v>
      </c>
    </row>
    <row r="441" s="1" customFormat="1" spans="1:15">
      <c r="A441" s="1" t="str">
        <f t="shared" si="370"/>
        <v>202406</v>
      </c>
      <c r="B441" s="1" t="str">
        <f t="shared" si="371"/>
        <v>150525100</v>
      </c>
      <c r="C441" s="1" t="str">
        <f>"1040693336"</f>
        <v>1040693336</v>
      </c>
      <c r="D441" s="1" t="str">
        <f>"152326195508243810"</f>
        <v>152326195508243810</v>
      </c>
      <c r="E441" s="1" t="s">
        <v>481</v>
      </c>
      <c r="F441" s="1" t="s">
        <v>25</v>
      </c>
      <c r="G441" s="1" t="s">
        <v>19</v>
      </c>
      <c r="H441" s="1" t="str">
        <f>"69"</f>
        <v>69</v>
      </c>
      <c r="I441" s="1" t="str">
        <f>"153.9"</f>
        <v>153.9</v>
      </c>
      <c r="J441" s="1" t="str">
        <f t="shared" si="383"/>
        <v>0</v>
      </c>
      <c r="K441" s="1" t="str">
        <f t="shared" si="381"/>
        <v>103</v>
      </c>
      <c r="L441" s="1" t="str">
        <f t="shared" si="382"/>
        <v>47</v>
      </c>
      <c r="M441" s="1" t="str">
        <f t="shared" si="374"/>
        <v>0</v>
      </c>
      <c r="N441" s="1" t="str">
        <f t="shared" si="375"/>
        <v>0</v>
      </c>
      <c r="O441" s="1" t="str">
        <f>"3.9"</f>
        <v>3.9</v>
      </c>
    </row>
    <row r="442" s="1" customFormat="1" spans="1:15">
      <c r="A442" s="1" t="str">
        <f t="shared" si="370"/>
        <v>202406</v>
      </c>
      <c r="B442" s="1" t="str">
        <f t="shared" si="371"/>
        <v>150525100</v>
      </c>
      <c r="C442" s="1" t="str">
        <f>"1014268435"</f>
        <v>1014268435</v>
      </c>
      <c r="D442" s="1" t="str">
        <f>"152326196205106901"</f>
        <v>152326196205106901</v>
      </c>
      <c r="E442" s="1" t="s">
        <v>482</v>
      </c>
      <c r="F442" s="1" t="s">
        <v>16</v>
      </c>
      <c r="G442" s="1" t="s">
        <v>17</v>
      </c>
      <c r="H442" s="1" t="str">
        <f>"62"</f>
        <v>62</v>
      </c>
      <c r="I442" s="1" t="str">
        <f>"172.37"</f>
        <v>172.37</v>
      </c>
      <c r="J442" s="1" t="str">
        <f t="shared" si="383"/>
        <v>0</v>
      </c>
      <c r="K442" s="1" t="str">
        <f t="shared" si="381"/>
        <v>103</v>
      </c>
      <c r="L442" s="1" t="str">
        <f t="shared" si="382"/>
        <v>47</v>
      </c>
      <c r="M442" s="1" t="str">
        <f t="shared" si="374"/>
        <v>0</v>
      </c>
      <c r="N442" s="1" t="str">
        <f t="shared" si="375"/>
        <v>0</v>
      </c>
      <c r="O442" s="1" t="str">
        <f>"22.37"</f>
        <v>22.37</v>
      </c>
    </row>
    <row r="443" s="1" customFormat="1" spans="1:15">
      <c r="A443" s="1" t="str">
        <f t="shared" si="370"/>
        <v>202406</v>
      </c>
      <c r="B443" s="1" t="str">
        <f t="shared" si="371"/>
        <v>150525100</v>
      </c>
      <c r="C443" s="1" t="str">
        <f>"1015311654"</f>
        <v>1015311654</v>
      </c>
      <c r="D443" s="1" t="str">
        <f>"152326195310220920"</f>
        <v>152326195310220920</v>
      </c>
      <c r="E443" s="1" t="s">
        <v>483</v>
      </c>
      <c r="F443" s="1" t="s">
        <v>16</v>
      </c>
      <c r="G443" s="1" t="s">
        <v>19</v>
      </c>
      <c r="H443" s="1" t="str">
        <f>"71"</f>
        <v>71</v>
      </c>
      <c r="I443" s="1" t="str">
        <f>"162.3"</f>
        <v>162.3</v>
      </c>
      <c r="J443" s="1" t="str">
        <f t="shared" si="383"/>
        <v>0</v>
      </c>
      <c r="K443" s="1" t="str">
        <f t="shared" si="381"/>
        <v>103</v>
      </c>
      <c r="L443" s="1" t="str">
        <f t="shared" si="382"/>
        <v>47</v>
      </c>
      <c r="M443" s="1" t="str">
        <f t="shared" si="374"/>
        <v>0</v>
      </c>
      <c r="N443" s="1" t="str">
        <f t="shared" si="375"/>
        <v>0</v>
      </c>
      <c r="O443" s="1" t="str">
        <f>"2.3"</f>
        <v>2.3</v>
      </c>
    </row>
    <row r="444" s="1" customFormat="1" spans="1:15">
      <c r="A444" s="1" t="str">
        <f t="shared" si="370"/>
        <v>202406</v>
      </c>
      <c r="B444" s="1" t="str">
        <f t="shared" si="371"/>
        <v>150525100</v>
      </c>
      <c r="C444" s="1" t="str">
        <f>"1008932574"</f>
        <v>1008932574</v>
      </c>
      <c r="D444" s="1" t="str">
        <f>"152103196010104249"</f>
        <v>152103196010104249</v>
      </c>
      <c r="E444" s="1" t="s">
        <v>395</v>
      </c>
      <c r="F444" s="1" t="s">
        <v>16</v>
      </c>
      <c r="G444" s="1" t="s">
        <v>17</v>
      </c>
      <c r="H444" s="1" t="str">
        <f>"64"</f>
        <v>64</v>
      </c>
      <c r="I444" s="1" t="str">
        <f>"167.41"</f>
        <v>167.41</v>
      </c>
      <c r="J444" s="1" t="str">
        <f t="shared" si="383"/>
        <v>0</v>
      </c>
      <c r="K444" s="1" t="str">
        <f t="shared" si="381"/>
        <v>103</v>
      </c>
      <c r="L444" s="1" t="str">
        <f t="shared" si="382"/>
        <v>47</v>
      </c>
      <c r="M444" s="1" t="str">
        <f t="shared" si="374"/>
        <v>0</v>
      </c>
      <c r="N444" s="1" t="str">
        <f t="shared" si="375"/>
        <v>0</v>
      </c>
      <c r="O444" s="1" t="str">
        <f>"17.41"</f>
        <v>17.41</v>
      </c>
    </row>
    <row r="445" s="1" customFormat="1" spans="1:15">
      <c r="A445" s="1" t="str">
        <f t="shared" si="370"/>
        <v>202406</v>
      </c>
      <c r="B445" s="1" t="str">
        <f t="shared" si="371"/>
        <v>150525100</v>
      </c>
      <c r="C445" s="1" t="str">
        <f>"1014625009"</f>
        <v>1014625009</v>
      </c>
      <c r="D445" s="1" t="s">
        <v>484</v>
      </c>
      <c r="E445" s="1" t="s">
        <v>485</v>
      </c>
      <c r="F445" s="1" t="s">
        <v>25</v>
      </c>
      <c r="G445" s="1" t="s">
        <v>19</v>
      </c>
      <c r="H445" s="1" t="str">
        <f>"75"</f>
        <v>75</v>
      </c>
      <c r="I445" s="1" t="str">
        <f t="shared" ref="I445:I449" si="384">"160"</f>
        <v>160</v>
      </c>
      <c r="J445" s="1" t="str">
        <f t="shared" si="383"/>
        <v>0</v>
      </c>
      <c r="K445" s="1" t="str">
        <f t="shared" si="381"/>
        <v>103</v>
      </c>
      <c r="L445" s="1" t="str">
        <f t="shared" si="382"/>
        <v>47</v>
      </c>
      <c r="M445" s="1" t="str">
        <f t="shared" si="374"/>
        <v>0</v>
      </c>
      <c r="N445" s="1" t="str">
        <f t="shared" si="375"/>
        <v>0</v>
      </c>
      <c r="O445" s="1" t="str">
        <f t="shared" ref="O445:O482" si="385">"0"</f>
        <v>0</v>
      </c>
    </row>
    <row r="446" s="1" customFormat="1" spans="1:15">
      <c r="A446" s="1" t="str">
        <f t="shared" si="370"/>
        <v>202406</v>
      </c>
      <c r="B446" s="1" t="str">
        <f t="shared" si="371"/>
        <v>150525100</v>
      </c>
      <c r="C446" s="1" t="str">
        <f>"1014625021"</f>
        <v>1014625021</v>
      </c>
      <c r="D446" s="1" t="str">
        <f>"152326194806273829"</f>
        <v>152326194806273829</v>
      </c>
      <c r="E446" s="1" t="s">
        <v>486</v>
      </c>
      <c r="F446" s="1" t="s">
        <v>16</v>
      </c>
      <c r="G446" s="1" t="s">
        <v>17</v>
      </c>
      <c r="H446" s="1" t="str">
        <f t="shared" ref="H446:H451" si="386">"76"</f>
        <v>76</v>
      </c>
      <c r="I446" s="1" t="str">
        <f t="shared" si="384"/>
        <v>160</v>
      </c>
      <c r="J446" s="1" t="str">
        <f t="shared" si="383"/>
        <v>0</v>
      </c>
      <c r="K446" s="1" t="str">
        <f t="shared" si="381"/>
        <v>103</v>
      </c>
      <c r="L446" s="1" t="str">
        <f t="shared" si="382"/>
        <v>47</v>
      </c>
      <c r="M446" s="1" t="str">
        <f t="shared" si="374"/>
        <v>0</v>
      </c>
      <c r="N446" s="1" t="str">
        <f t="shared" si="375"/>
        <v>0</v>
      </c>
      <c r="O446" s="1" t="str">
        <f t="shared" si="385"/>
        <v>0</v>
      </c>
    </row>
    <row r="447" s="1" customFormat="1" spans="1:15">
      <c r="A447" s="1" t="str">
        <f t="shared" si="370"/>
        <v>202406</v>
      </c>
      <c r="B447" s="1" t="str">
        <f t="shared" si="371"/>
        <v>150525100</v>
      </c>
      <c r="C447" s="1" t="str">
        <f>"1042701319"</f>
        <v>1042701319</v>
      </c>
      <c r="D447" s="1" t="s">
        <v>487</v>
      </c>
      <c r="E447" s="1" t="s">
        <v>488</v>
      </c>
      <c r="F447" s="1" t="s">
        <v>16</v>
      </c>
      <c r="G447" s="1" t="s">
        <v>17</v>
      </c>
      <c r="H447" s="1" t="str">
        <f>"61"</f>
        <v>61</v>
      </c>
      <c r="I447" s="1" t="str">
        <f>"161.5"</f>
        <v>161.5</v>
      </c>
      <c r="J447" s="1" t="str">
        <f t="shared" si="383"/>
        <v>0</v>
      </c>
      <c r="K447" s="1" t="str">
        <f t="shared" si="381"/>
        <v>103</v>
      </c>
      <c r="L447" s="1" t="str">
        <f t="shared" si="382"/>
        <v>47</v>
      </c>
      <c r="M447" s="1" t="str">
        <f t="shared" si="374"/>
        <v>0</v>
      </c>
      <c r="N447" s="1" t="str">
        <f t="shared" si="375"/>
        <v>0</v>
      </c>
      <c r="O447" s="1" t="str">
        <f>"11.5"</f>
        <v>11.5</v>
      </c>
    </row>
    <row r="448" s="1" customFormat="1" spans="1:15">
      <c r="A448" s="1" t="str">
        <f t="shared" si="370"/>
        <v>202406</v>
      </c>
      <c r="B448" s="1" t="str">
        <f t="shared" si="371"/>
        <v>150525100</v>
      </c>
      <c r="C448" s="1" t="str">
        <f>"1014630248"</f>
        <v>1014630248</v>
      </c>
      <c r="D448" s="1" t="str">
        <f>"152326194907103829"</f>
        <v>152326194907103829</v>
      </c>
      <c r="E448" s="1" t="s">
        <v>489</v>
      </c>
      <c r="F448" s="1" t="s">
        <v>16</v>
      </c>
      <c r="G448" s="1" t="s">
        <v>17</v>
      </c>
      <c r="H448" s="1" t="str">
        <f>"75"</f>
        <v>75</v>
      </c>
      <c r="I448" s="1" t="str">
        <f t="shared" si="384"/>
        <v>160</v>
      </c>
      <c r="J448" s="1" t="str">
        <f t="shared" si="383"/>
        <v>0</v>
      </c>
      <c r="K448" s="1" t="str">
        <f t="shared" si="381"/>
        <v>103</v>
      </c>
      <c r="L448" s="1" t="str">
        <f t="shared" si="382"/>
        <v>47</v>
      </c>
      <c r="M448" s="1" t="str">
        <f t="shared" si="374"/>
        <v>0</v>
      </c>
      <c r="N448" s="1" t="str">
        <f t="shared" si="375"/>
        <v>0</v>
      </c>
      <c r="O448" s="1" t="str">
        <f t="shared" si="385"/>
        <v>0</v>
      </c>
    </row>
    <row r="449" s="1" customFormat="1" spans="1:15">
      <c r="A449" s="1" t="str">
        <f t="shared" si="370"/>
        <v>202406</v>
      </c>
      <c r="B449" s="1" t="str">
        <f t="shared" si="371"/>
        <v>150525100</v>
      </c>
      <c r="C449" s="1" t="str">
        <f>"1014630260"</f>
        <v>1014630260</v>
      </c>
      <c r="D449" s="1" t="str">
        <f>"152326194809163844"</f>
        <v>152326194809163844</v>
      </c>
      <c r="E449" s="1" t="s">
        <v>490</v>
      </c>
      <c r="F449" s="1" t="s">
        <v>16</v>
      </c>
      <c r="G449" s="1" t="s">
        <v>17</v>
      </c>
      <c r="H449" s="1" t="str">
        <f t="shared" si="386"/>
        <v>76</v>
      </c>
      <c r="I449" s="1" t="str">
        <f t="shared" si="384"/>
        <v>160</v>
      </c>
      <c r="J449" s="1" t="str">
        <f t="shared" si="383"/>
        <v>0</v>
      </c>
      <c r="K449" s="1" t="str">
        <f t="shared" si="381"/>
        <v>103</v>
      </c>
      <c r="L449" s="1" t="str">
        <f t="shared" si="382"/>
        <v>47</v>
      </c>
      <c r="M449" s="1" t="str">
        <f t="shared" si="374"/>
        <v>0</v>
      </c>
      <c r="N449" s="1" t="str">
        <f t="shared" si="375"/>
        <v>0</v>
      </c>
      <c r="O449" s="1" t="str">
        <f t="shared" si="385"/>
        <v>0</v>
      </c>
    </row>
    <row r="450" s="1" customFormat="1" spans="1:15">
      <c r="A450" s="1" t="str">
        <f t="shared" ref="A450:A513" si="387">"202406"</f>
        <v>202406</v>
      </c>
      <c r="B450" s="1" t="str">
        <f t="shared" ref="B450:B513" si="388">"150525100"</f>
        <v>150525100</v>
      </c>
      <c r="C450" s="1" t="str">
        <f>"1014625079"</f>
        <v>1014625079</v>
      </c>
      <c r="D450" s="1" t="str">
        <f>"152326194107013825"</f>
        <v>152326194107013825</v>
      </c>
      <c r="E450" s="1" t="s">
        <v>491</v>
      </c>
      <c r="F450" s="1" t="s">
        <v>16</v>
      </c>
      <c r="G450" s="1" t="s">
        <v>17</v>
      </c>
      <c r="H450" s="1" t="str">
        <f>"83"</f>
        <v>83</v>
      </c>
      <c r="I450" s="1" t="str">
        <f>"170"</f>
        <v>170</v>
      </c>
      <c r="J450" s="1" t="str">
        <f t="shared" si="383"/>
        <v>0</v>
      </c>
      <c r="K450" s="1" t="str">
        <f t="shared" si="381"/>
        <v>103</v>
      </c>
      <c r="L450" s="1" t="str">
        <f t="shared" si="382"/>
        <v>47</v>
      </c>
      <c r="M450" s="1" t="str">
        <f t="shared" si="374"/>
        <v>0</v>
      </c>
      <c r="N450" s="1" t="str">
        <f t="shared" si="375"/>
        <v>0</v>
      </c>
      <c r="O450" s="1" t="str">
        <f t="shared" si="385"/>
        <v>0</v>
      </c>
    </row>
    <row r="451" s="1" customFormat="1" spans="1:15">
      <c r="A451" s="1" t="str">
        <f t="shared" si="387"/>
        <v>202406</v>
      </c>
      <c r="B451" s="1" t="str">
        <f t="shared" si="388"/>
        <v>150525100</v>
      </c>
      <c r="C451" s="1" t="str">
        <f>"1014625082"</f>
        <v>1014625082</v>
      </c>
      <c r="D451" s="1" t="str">
        <f>"152326194808123824"</f>
        <v>152326194808123824</v>
      </c>
      <c r="E451" s="1" t="s">
        <v>492</v>
      </c>
      <c r="F451" s="1" t="s">
        <v>16</v>
      </c>
      <c r="G451" s="1" t="s">
        <v>17</v>
      </c>
      <c r="H451" s="1" t="str">
        <f t="shared" si="386"/>
        <v>76</v>
      </c>
      <c r="I451" s="1" t="str">
        <f t="shared" ref="I451:I464" si="389">"160"</f>
        <v>160</v>
      </c>
      <c r="J451" s="1" t="str">
        <f t="shared" si="383"/>
        <v>0</v>
      </c>
      <c r="K451" s="1" t="str">
        <f t="shared" si="381"/>
        <v>103</v>
      </c>
      <c r="L451" s="1" t="str">
        <f t="shared" si="382"/>
        <v>47</v>
      </c>
      <c r="M451" s="1" t="str">
        <f t="shared" si="374"/>
        <v>0</v>
      </c>
      <c r="N451" s="1" t="str">
        <f t="shared" si="375"/>
        <v>0</v>
      </c>
      <c r="O451" s="1" t="str">
        <f t="shared" si="385"/>
        <v>0</v>
      </c>
    </row>
    <row r="452" s="1" customFormat="1" spans="1:15">
      <c r="A452" s="1" t="str">
        <f t="shared" si="387"/>
        <v>202406</v>
      </c>
      <c r="B452" s="1" t="str">
        <f t="shared" si="388"/>
        <v>150525100</v>
      </c>
      <c r="C452" s="1" t="str">
        <f>"1014625094"</f>
        <v>1014625094</v>
      </c>
      <c r="D452" s="1" t="str">
        <f>"152326195108200440"</f>
        <v>152326195108200440</v>
      </c>
      <c r="E452" s="1" t="s">
        <v>493</v>
      </c>
      <c r="F452" s="1" t="s">
        <v>16</v>
      </c>
      <c r="G452" s="1" t="s">
        <v>96</v>
      </c>
      <c r="H452" s="1" t="str">
        <f>"73"</f>
        <v>73</v>
      </c>
      <c r="I452" s="1" t="str">
        <f t="shared" si="389"/>
        <v>160</v>
      </c>
      <c r="J452" s="1" t="str">
        <f t="shared" si="383"/>
        <v>0</v>
      </c>
      <c r="K452" s="1" t="str">
        <f t="shared" si="381"/>
        <v>103</v>
      </c>
      <c r="L452" s="1" t="str">
        <f t="shared" si="382"/>
        <v>47</v>
      </c>
      <c r="M452" s="1" t="str">
        <f t="shared" si="374"/>
        <v>0</v>
      </c>
      <c r="N452" s="1" t="str">
        <f t="shared" si="375"/>
        <v>0</v>
      </c>
      <c r="O452" s="1" t="str">
        <f t="shared" si="385"/>
        <v>0</v>
      </c>
    </row>
    <row r="453" s="1" customFormat="1" spans="1:15">
      <c r="A453" s="1" t="str">
        <f t="shared" si="387"/>
        <v>202406</v>
      </c>
      <c r="B453" s="1" t="str">
        <f t="shared" si="388"/>
        <v>150525100</v>
      </c>
      <c r="C453" s="1" t="str">
        <f>"1014625100"</f>
        <v>1014625100</v>
      </c>
      <c r="D453" s="1" t="str">
        <f>"152326193902040422"</f>
        <v>152326193902040422</v>
      </c>
      <c r="E453" s="1" t="s">
        <v>494</v>
      </c>
      <c r="F453" s="1" t="s">
        <v>16</v>
      </c>
      <c r="G453" s="1" t="s">
        <v>17</v>
      </c>
      <c r="H453" s="1" t="str">
        <f>"85"</f>
        <v>85</v>
      </c>
      <c r="I453" s="1" t="str">
        <f>"170"</f>
        <v>170</v>
      </c>
      <c r="J453" s="1" t="str">
        <f t="shared" si="383"/>
        <v>0</v>
      </c>
      <c r="K453" s="1" t="str">
        <f t="shared" si="381"/>
        <v>103</v>
      </c>
      <c r="L453" s="1" t="str">
        <f t="shared" si="382"/>
        <v>47</v>
      </c>
      <c r="M453" s="1" t="str">
        <f t="shared" si="374"/>
        <v>0</v>
      </c>
      <c r="N453" s="1" t="str">
        <f t="shared" si="375"/>
        <v>0</v>
      </c>
      <c r="O453" s="1" t="str">
        <f t="shared" si="385"/>
        <v>0</v>
      </c>
    </row>
    <row r="454" s="1" customFormat="1" spans="1:15">
      <c r="A454" s="1" t="str">
        <f t="shared" si="387"/>
        <v>202406</v>
      </c>
      <c r="B454" s="1" t="str">
        <f t="shared" si="388"/>
        <v>150525100</v>
      </c>
      <c r="C454" s="1" t="str">
        <f>"1014625119"</f>
        <v>1014625119</v>
      </c>
      <c r="D454" s="1" t="str">
        <f>"152326195105040429"</f>
        <v>152326195105040429</v>
      </c>
      <c r="E454" s="1" t="s">
        <v>495</v>
      </c>
      <c r="F454" s="1" t="s">
        <v>16</v>
      </c>
      <c r="G454" s="1" t="s">
        <v>17</v>
      </c>
      <c r="H454" s="1" t="str">
        <f>"73"</f>
        <v>73</v>
      </c>
      <c r="I454" s="1" t="str">
        <f t="shared" si="389"/>
        <v>160</v>
      </c>
      <c r="J454" s="1" t="str">
        <f t="shared" si="383"/>
        <v>0</v>
      </c>
      <c r="K454" s="1" t="str">
        <f t="shared" si="381"/>
        <v>103</v>
      </c>
      <c r="L454" s="1" t="str">
        <f t="shared" si="382"/>
        <v>47</v>
      </c>
      <c r="M454" s="1" t="str">
        <f t="shared" si="374"/>
        <v>0</v>
      </c>
      <c r="N454" s="1" t="str">
        <f t="shared" si="375"/>
        <v>0</v>
      </c>
      <c r="O454" s="1" t="str">
        <f t="shared" si="385"/>
        <v>0</v>
      </c>
    </row>
    <row r="455" s="1" customFormat="1" spans="1:15">
      <c r="A455" s="1" t="str">
        <f t="shared" si="387"/>
        <v>202406</v>
      </c>
      <c r="B455" s="1" t="str">
        <f t="shared" si="388"/>
        <v>150525100</v>
      </c>
      <c r="C455" s="1" t="str">
        <f>"1014625132"</f>
        <v>1014625132</v>
      </c>
      <c r="D455" s="1" t="str">
        <f>"152326194912160422"</f>
        <v>152326194912160422</v>
      </c>
      <c r="E455" s="1" t="s">
        <v>496</v>
      </c>
      <c r="F455" s="1" t="s">
        <v>16</v>
      </c>
      <c r="G455" s="1" t="s">
        <v>17</v>
      </c>
      <c r="H455" s="1" t="str">
        <f>"75"</f>
        <v>75</v>
      </c>
      <c r="I455" s="1" t="str">
        <f t="shared" si="389"/>
        <v>160</v>
      </c>
      <c r="J455" s="1" t="str">
        <f t="shared" si="383"/>
        <v>0</v>
      </c>
      <c r="K455" s="1" t="str">
        <f t="shared" si="381"/>
        <v>103</v>
      </c>
      <c r="L455" s="1" t="str">
        <f t="shared" si="382"/>
        <v>47</v>
      </c>
      <c r="M455" s="1" t="str">
        <f t="shared" si="374"/>
        <v>0</v>
      </c>
      <c r="N455" s="1" t="str">
        <f t="shared" si="375"/>
        <v>0</v>
      </c>
      <c r="O455" s="1" t="str">
        <f t="shared" si="385"/>
        <v>0</v>
      </c>
    </row>
    <row r="456" s="1" customFormat="1" spans="1:15">
      <c r="A456" s="1" t="str">
        <f t="shared" si="387"/>
        <v>202406</v>
      </c>
      <c r="B456" s="1" t="str">
        <f t="shared" si="388"/>
        <v>150525100</v>
      </c>
      <c r="C456" s="1" t="str">
        <f>"1014625138"</f>
        <v>1014625138</v>
      </c>
      <c r="D456" s="1" t="str">
        <f>"152326194711290423"</f>
        <v>152326194711290423</v>
      </c>
      <c r="E456" s="1" t="s">
        <v>497</v>
      </c>
      <c r="F456" s="1" t="s">
        <v>16</v>
      </c>
      <c r="G456" s="1" t="s">
        <v>17</v>
      </c>
      <c r="H456" s="1" t="str">
        <f>"77"</f>
        <v>77</v>
      </c>
      <c r="I456" s="1" t="str">
        <f t="shared" si="389"/>
        <v>160</v>
      </c>
      <c r="J456" s="1" t="str">
        <f t="shared" si="383"/>
        <v>0</v>
      </c>
      <c r="K456" s="1" t="str">
        <f t="shared" si="381"/>
        <v>103</v>
      </c>
      <c r="L456" s="1" t="str">
        <f t="shared" si="382"/>
        <v>47</v>
      </c>
      <c r="M456" s="1" t="str">
        <f t="shared" si="374"/>
        <v>0</v>
      </c>
      <c r="N456" s="1" t="str">
        <f t="shared" si="375"/>
        <v>0</v>
      </c>
      <c r="O456" s="1" t="str">
        <f t="shared" si="385"/>
        <v>0</v>
      </c>
    </row>
    <row r="457" s="1" customFormat="1" spans="1:15">
      <c r="A457" s="1" t="str">
        <f t="shared" si="387"/>
        <v>202406</v>
      </c>
      <c r="B457" s="1" t="str">
        <f t="shared" si="388"/>
        <v>150525100</v>
      </c>
      <c r="C457" s="1" t="str">
        <f>"1014625183"</f>
        <v>1014625183</v>
      </c>
      <c r="D457" s="1" t="str">
        <f>"152326195006090666"</f>
        <v>152326195006090666</v>
      </c>
      <c r="E457" s="1" t="s">
        <v>498</v>
      </c>
      <c r="F457" s="1" t="s">
        <v>16</v>
      </c>
      <c r="G457" s="1" t="s">
        <v>17</v>
      </c>
      <c r="H457" s="1" t="str">
        <f t="shared" ref="H457:H461" si="390">"74"</f>
        <v>74</v>
      </c>
      <c r="I457" s="1" t="str">
        <f t="shared" si="389"/>
        <v>160</v>
      </c>
      <c r="J457" s="1" t="str">
        <f t="shared" si="383"/>
        <v>0</v>
      </c>
      <c r="K457" s="1" t="str">
        <f t="shared" si="381"/>
        <v>103</v>
      </c>
      <c r="L457" s="1" t="str">
        <f t="shared" si="382"/>
        <v>47</v>
      </c>
      <c r="M457" s="1" t="str">
        <f t="shared" si="374"/>
        <v>0</v>
      </c>
      <c r="N457" s="1" t="str">
        <f t="shared" si="375"/>
        <v>0</v>
      </c>
      <c r="O457" s="1" t="str">
        <f t="shared" si="385"/>
        <v>0</v>
      </c>
    </row>
    <row r="458" s="1" customFormat="1" spans="1:15">
      <c r="A458" s="1" t="str">
        <f t="shared" si="387"/>
        <v>202406</v>
      </c>
      <c r="B458" s="1" t="str">
        <f t="shared" si="388"/>
        <v>150525100</v>
      </c>
      <c r="C458" s="1" t="str">
        <f>"1014625187"</f>
        <v>1014625187</v>
      </c>
      <c r="D458" s="1" t="str">
        <f>"152326195001110664"</f>
        <v>152326195001110664</v>
      </c>
      <c r="E458" s="1" t="s">
        <v>499</v>
      </c>
      <c r="F458" s="1" t="s">
        <v>16</v>
      </c>
      <c r="G458" s="1" t="s">
        <v>19</v>
      </c>
      <c r="H458" s="1" t="str">
        <f t="shared" si="390"/>
        <v>74</v>
      </c>
      <c r="I458" s="1" t="str">
        <f t="shared" si="389"/>
        <v>160</v>
      </c>
      <c r="J458" s="1" t="str">
        <f t="shared" si="383"/>
        <v>0</v>
      </c>
      <c r="K458" s="1" t="str">
        <f t="shared" si="381"/>
        <v>103</v>
      </c>
      <c r="L458" s="1" t="str">
        <f t="shared" si="382"/>
        <v>47</v>
      </c>
      <c r="M458" s="1" t="str">
        <f t="shared" si="374"/>
        <v>0</v>
      </c>
      <c r="N458" s="1" t="str">
        <f t="shared" si="375"/>
        <v>0</v>
      </c>
      <c r="O458" s="1" t="str">
        <f t="shared" si="385"/>
        <v>0</v>
      </c>
    </row>
    <row r="459" s="1" customFormat="1" spans="1:15">
      <c r="A459" s="1" t="str">
        <f t="shared" si="387"/>
        <v>202406</v>
      </c>
      <c r="B459" s="1" t="str">
        <f t="shared" si="388"/>
        <v>150525100</v>
      </c>
      <c r="C459" s="1" t="str">
        <f>"1014625197"</f>
        <v>1014625197</v>
      </c>
      <c r="D459" s="1" t="str">
        <f>"152326194601090666"</f>
        <v>152326194601090666</v>
      </c>
      <c r="E459" s="1" t="s">
        <v>500</v>
      </c>
      <c r="F459" s="1" t="s">
        <v>16</v>
      </c>
      <c r="G459" s="1" t="s">
        <v>19</v>
      </c>
      <c r="H459" s="1" t="str">
        <f>"78"</f>
        <v>78</v>
      </c>
      <c r="I459" s="1" t="str">
        <f t="shared" si="389"/>
        <v>160</v>
      </c>
      <c r="J459" s="1" t="str">
        <f t="shared" si="383"/>
        <v>0</v>
      </c>
      <c r="K459" s="1" t="str">
        <f t="shared" si="381"/>
        <v>103</v>
      </c>
      <c r="L459" s="1" t="str">
        <f t="shared" si="382"/>
        <v>47</v>
      </c>
      <c r="M459" s="1" t="str">
        <f t="shared" si="374"/>
        <v>0</v>
      </c>
      <c r="N459" s="1" t="str">
        <f t="shared" si="375"/>
        <v>0</v>
      </c>
      <c r="O459" s="1" t="str">
        <f t="shared" si="385"/>
        <v>0</v>
      </c>
    </row>
    <row r="460" s="1" customFormat="1" spans="1:15">
      <c r="A460" s="1" t="str">
        <f t="shared" si="387"/>
        <v>202406</v>
      </c>
      <c r="B460" s="1" t="str">
        <f t="shared" si="388"/>
        <v>150525100</v>
      </c>
      <c r="C460" s="1" t="str">
        <f>"1014625225"</f>
        <v>1014625225</v>
      </c>
      <c r="D460" s="1" t="str">
        <f>"152326194809300669"</f>
        <v>152326194809300669</v>
      </c>
      <c r="E460" s="1" t="s">
        <v>501</v>
      </c>
      <c r="F460" s="1" t="s">
        <v>16</v>
      </c>
      <c r="G460" s="1" t="s">
        <v>19</v>
      </c>
      <c r="H460" s="1" t="str">
        <f>"76"</f>
        <v>76</v>
      </c>
      <c r="I460" s="1" t="str">
        <f t="shared" si="389"/>
        <v>160</v>
      </c>
      <c r="J460" s="1" t="str">
        <f t="shared" si="383"/>
        <v>0</v>
      </c>
      <c r="K460" s="1" t="str">
        <f t="shared" si="381"/>
        <v>103</v>
      </c>
      <c r="L460" s="1" t="str">
        <f t="shared" si="382"/>
        <v>47</v>
      </c>
      <c r="M460" s="1" t="str">
        <f t="shared" ref="M460:M523" si="391">"0"</f>
        <v>0</v>
      </c>
      <c r="N460" s="1" t="str">
        <f t="shared" ref="N460:N523" si="392">"0"</f>
        <v>0</v>
      </c>
      <c r="O460" s="1" t="str">
        <f t="shared" si="385"/>
        <v>0</v>
      </c>
    </row>
    <row r="461" s="1" customFormat="1" spans="1:15">
      <c r="A461" s="1" t="str">
        <f t="shared" si="387"/>
        <v>202406</v>
      </c>
      <c r="B461" s="1" t="str">
        <f t="shared" si="388"/>
        <v>150525100</v>
      </c>
      <c r="C461" s="1" t="str">
        <f>"1014613384"</f>
        <v>1014613384</v>
      </c>
      <c r="D461" s="1" t="str">
        <f>"152326195012203313"</f>
        <v>152326195012203313</v>
      </c>
      <c r="E461" s="1" t="s">
        <v>502</v>
      </c>
      <c r="F461" s="1" t="s">
        <v>25</v>
      </c>
      <c r="G461" s="1" t="s">
        <v>17</v>
      </c>
      <c r="H461" s="1" t="str">
        <f t="shared" si="390"/>
        <v>74</v>
      </c>
      <c r="I461" s="1" t="str">
        <f t="shared" si="389"/>
        <v>160</v>
      </c>
      <c r="J461" s="1" t="str">
        <f t="shared" si="383"/>
        <v>0</v>
      </c>
      <c r="K461" s="1" t="str">
        <f t="shared" si="381"/>
        <v>103</v>
      </c>
      <c r="L461" s="1" t="str">
        <f t="shared" si="382"/>
        <v>47</v>
      </c>
      <c r="M461" s="1" t="str">
        <f t="shared" si="391"/>
        <v>0</v>
      </c>
      <c r="N461" s="1" t="str">
        <f t="shared" si="392"/>
        <v>0</v>
      </c>
      <c r="O461" s="1" t="str">
        <f t="shared" si="385"/>
        <v>0</v>
      </c>
    </row>
    <row r="462" s="1" customFormat="1" spans="1:15">
      <c r="A462" s="1" t="str">
        <f t="shared" si="387"/>
        <v>202406</v>
      </c>
      <c r="B462" s="1" t="str">
        <f t="shared" si="388"/>
        <v>150525100</v>
      </c>
      <c r="C462" s="1" t="str">
        <f>"1014613409"</f>
        <v>1014613409</v>
      </c>
      <c r="D462" s="1" t="str">
        <f>"152326194910110413"</f>
        <v>152326194910110413</v>
      </c>
      <c r="E462" s="1" t="s">
        <v>503</v>
      </c>
      <c r="F462" s="1" t="s">
        <v>25</v>
      </c>
      <c r="G462" s="1" t="s">
        <v>17</v>
      </c>
      <c r="H462" s="1" t="str">
        <f>"75"</f>
        <v>75</v>
      </c>
      <c r="I462" s="1" t="str">
        <f t="shared" si="389"/>
        <v>160</v>
      </c>
      <c r="J462" s="1" t="str">
        <f t="shared" si="383"/>
        <v>0</v>
      </c>
      <c r="K462" s="1" t="str">
        <f t="shared" si="381"/>
        <v>103</v>
      </c>
      <c r="L462" s="1" t="str">
        <f t="shared" si="382"/>
        <v>47</v>
      </c>
      <c r="M462" s="1" t="str">
        <f t="shared" si="391"/>
        <v>0</v>
      </c>
      <c r="N462" s="1" t="str">
        <f t="shared" si="392"/>
        <v>0</v>
      </c>
      <c r="O462" s="1" t="str">
        <f t="shared" si="385"/>
        <v>0</v>
      </c>
    </row>
    <row r="463" s="1" customFormat="1" spans="1:15">
      <c r="A463" s="1" t="str">
        <f t="shared" si="387"/>
        <v>202406</v>
      </c>
      <c r="B463" s="1" t="str">
        <f t="shared" si="388"/>
        <v>150525100</v>
      </c>
      <c r="C463" s="1" t="str">
        <f>"1014622427"</f>
        <v>1014622427</v>
      </c>
      <c r="D463" s="1" t="str">
        <f>"152326194708290668"</f>
        <v>152326194708290668</v>
      </c>
      <c r="E463" s="1" t="s">
        <v>504</v>
      </c>
      <c r="F463" s="1" t="s">
        <v>16</v>
      </c>
      <c r="G463" s="1" t="s">
        <v>17</v>
      </c>
      <c r="H463" s="1" t="str">
        <f>"77"</f>
        <v>77</v>
      </c>
      <c r="I463" s="1" t="str">
        <f t="shared" si="389"/>
        <v>160</v>
      </c>
      <c r="J463" s="1" t="str">
        <f t="shared" si="383"/>
        <v>0</v>
      </c>
      <c r="K463" s="1" t="str">
        <f t="shared" si="381"/>
        <v>103</v>
      </c>
      <c r="L463" s="1" t="str">
        <f t="shared" si="382"/>
        <v>47</v>
      </c>
      <c r="M463" s="1" t="str">
        <f t="shared" si="391"/>
        <v>0</v>
      </c>
      <c r="N463" s="1" t="str">
        <f t="shared" si="392"/>
        <v>0</v>
      </c>
      <c r="O463" s="1" t="str">
        <f t="shared" si="385"/>
        <v>0</v>
      </c>
    </row>
    <row r="464" s="1" customFormat="1" spans="1:15">
      <c r="A464" s="1" t="str">
        <f t="shared" si="387"/>
        <v>202406</v>
      </c>
      <c r="B464" s="1" t="str">
        <f t="shared" si="388"/>
        <v>150525100</v>
      </c>
      <c r="C464" s="1" t="str">
        <f>"1014622429"</f>
        <v>1014622429</v>
      </c>
      <c r="D464" s="1" t="str">
        <f>"152326194806060663"</f>
        <v>152326194806060663</v>
      </c>
      <c r="E464" s="1" t="s">
        <v>505</v>
      </c>
      <c r="F464" s="1" t="s">
        <v>16</v>
      </c>
      <c r="G464" s="1" t="s">
        <v>17</v>
      </c>
      <c r="H464" s="1" t="str">
        <f>"76"</f>
        <v>76</v>
      </c>
      <c r="I464" s="1" t="str">
        <f t="shared" si="389"/>
        <v>160</v>
      </c>
      <c r="J464" s="1" t="str">
        <f t="shared" si="383"/>
        <v>0</v>
      </c>
      <c r="K464" s="1" t="str">
        <f t="shared" si="381"/>
        <v>103</v>
      </c>
      <c r="L464" s="1" t="str">
        <f t="shared" si="382"/>
        <v>47</v>
      </c>
      <c r="M464" s="1" t="str">
        <f t="shared" si="391"/>
        <v>0</v>
      </c>
      <c r="N464" s="1" t="str">
        <f t="shared" si="392"/>
        <v>0</v>
      </c>
      <c r="O464" s="1" t="str">
        <f t="shared" si="385"/>
        <v>0</v>
      </c>
    </row>
    <row r="465" s="1" customFormat="1" spans="1:15">
      <c r="A465" s="1" t="str">
        <f t="shared" si="387"/>
        <v>202406</v>
      </c>
      <c r="B465" s="1" t="str">
        <f t="shared" si="388"/>
        <v>150525100</v>
      </c>
      <c r="C465" s="1" t="str">
        <f>"1015302864"</f>
        <v>1015302864</v>
      </c>
      <c r="D465" s="1" t="str">
        <f>"152326194206200028"</f>
        <v>152326194206200028</v>
      </c>
      <c r="E465" s="1" t="s">
        <v>506</v>
      </c>
      <c r="F465" s="1" t="s">
        <v>16</v>
      </c>
      <c r="G465" s="1" t="s">
        <v>17</v>
      </c>
      <c r="H465" s="1" t="str">
        <f>"82"</f>
        <v>82</v>
      </c>
      <c r="I465" s="1" t="str">
        <f t="shared" ref="I465:I468" si="393">"170"</f>
        <v>170</v>
      </c>
      <c r="J465" s="1" t="str">
        <f t="shared" si="383"/>
        <v>0</v>
      </c>
      <c r="K465" s="1" t="str">
        <f t="shared" si="381"/>
        <v>103</v>
      </c>
      <c r="L465" s="1" t="str">
        <f t="shared" si="382"/>
        <v>47</v>
      </c>
      <c r="M465" s="1" t="str">
        <f t="shared" si="391"/>
        <v>0</v>
      </c>
      <c r="N465" s="1" t="str">
        <f t="shared" si="392"/>
        <v>0</v>
      </c>
      <c r="O465" s="1" t="str">
        <f t="shared" si="385"/>
        <v>0</v>
      </c>
    </row>
    <row r="466" s="1" customFormat="1" spans="1:15">
      <c r="A466" s="1" t="str">
        <f t="shared" si="387"/>
        <v>202406</v>
      </c>
      <c r="B466" s="1" t="str">
        <f t="shared" si="388"/>
        <v>150525100</v>
      </c>
      <c r="C466" s="1" t="str">
        <f>"1014613044"</f>
        <v>1014613044</v>
      </c>
      <c r="D466" s="1" t="str">
        <f>"152326194810113828"</f>
        <v>152326194810113828</v>
      </c>
      <c r="E466" s="1" t="s">
        <v>507</v>
      </c>
      <c r="F466" s="1" t="s">
        <v>16</v>
      </c>
      <c r="G466" s="1" t="s">
        <v>19</v>
      </c>
      <c r="H466" s="1" t="str">
        <f>"76"</f>
        <v>76</v>
      </c>
      <c r="I466" s="1" t="str">
        <f t="shared" ref="I466:I470" si="394">"160"</f>
        <v>160</v>
      </c>
      <c r="J466" s="1" t="str">
        <f t="shared" si="383"/>
        <v>0</v>
      </c>
      <c r="K466" s="1" t="str">
        <f t="shared" si="381"/>
        <v>103</v>
      </c>
      <c r="L466" s="1" t="str">
        <f t="shared" si="382"/>
        <v>47</v>
      </c>
      <c r="M466" s="1" t="str">
        <f t="shared" si="391"/>
        <v>0</v>
      </c>
      <c r="N466" s="1" t="str">
        <f t="shared" si="392"/>
        <v>0</v>
      </c>
      <c r="O466" s="1" t="str">
        <f t="shared" si="385"/>
        <v>0</v>
      </c>
    </row>
    <row r="467" s="1" customFormat="1" spans="1:15">
      <c r="A467" s="1" t="str">
        <f t="shared" si="387"/>
        <v>202406</v>
      </c>
      <c r="B467" s="1" t="str">
        <f t="shared" si="388"/>
        <v>150525100</v>
      </c>
      <c r="C467" s="1" t="str">
        <f>"1014613048"</f>
        <v>1014613048</v>
      </c>
      <c r="D467" s="1" t="str">
        <f>"152326193712130929"</f>
        <v>152326193712130929</v>
      </c>
      <c r="E467" s="1" t="s">
        <v>508</v>
      </c>
      <c r="F467" s="1" t="s">
        <v>16</v>
      </c>
      <c r="G467" s="1" t="s">
        <v>19</v>
      </c>
      <c r="H467" s="1" t="str">
        <f>"87"</f>
        <v>87</v>
      </c>
      <c r="I467" s="1" t="str">
        <f t="shared" si="393"/>
        <v>170</v>
      </c>
      <c r="J467" s="1" t="str">
        <f t="shared" si="383"/>
        <v>0</v>
      </c>
      <c r="K467" s="1" t="str">
        <f t="shared" si="381"/>
        <v>103</v>
      </c>
      <c r="L467" s="1" t="str">
        <f t="shared" si="382"/>
        <v>47</v>
      </c>
      <c r="M467" s="1" t="str">
        <f t="shared" si="391"/>
        <v>0</v>
      </c>
      <c r="N467" s="1" t="str">
        <f t="shared" si="392"/>
        <v>0</v>
      </c>
      <c r="O467" s="1" t="str">
        <f t="shared" si="385"/>
        <v>0</v>
      </c>
    </row>
    <row r="468" s="1" customFormat="1" spans="1:15">
      <c r="A468" s="1" t="str">
        <f t="shared" si="387"/>
        <v>202406</v>
      </c>
      <c r="B468" s="1" t="str">
        <f t="shared" si="388"/>
        <v>150525100</v>
      </c>
      <c r="C468" s="1" t="str">
        <f>"1014613052"</f>
        <v>1014613052</v>
      </c>
      <c r="D468" s="1" t="str">
        <f>"152326194106100927"</f>
        <v>152326194106100927</v>
      </c>
      <c r="E468" s="1" t="s">
        <v>509</v>
      </c>
      <c r="F468" s="1" t="s">
        <v>16</v>
      </c>
      <c r="G468" s="1" t="s">
        <v>17</v>
      </c>
      <c r="H468" s="1" t="str">
        <f>"83"</f>
        <v>83</v>
      </c>
      <c r="I468" s="1" t="str">
        <f t="shared" si="393"/>
        <v>170</v>
      </c>
      <c r="J468" s="1" t="str">
        <f t="shared" si="383"/>
        <v>0</v>
      </c>
      <c r="K468" s="1" t="str">
        <f t="shared" si="381"/>
        <v>103</v>
      </c>
      <c r="L468" s="1" t="str">
        <f t="shared" si="382"/>
        <v>47</v>
      </c>
      <c r="M468" s="1" t="str">
        <f t="shared" si="391"/>
        <v>0</v>
      </c>
      <c r="N468" s="1" t="str">
        <f t="shared" si="392"/>
        <v>0</v>
      </c>
      <c r="O468" s="1" t="str">
        <f t="shared" si="385"/>
        <v>0</v>
      </c>
    </row>
    <row r="469" s="1" customFormat="1" spans="1:15">
      <c r="A469" s="1" t="str">
        <f t="shared" si="387"/>
        <v>202406</v>
      </c>
      <c r="B469" s="1" t="str">
        <f t="shared" si="388"/>
        <v>150525100</v>
      </c>
      <c r="C469" s="1" t="str">
        <f>"1014613061"</f>
        <v>1014613061</v>
      </c>
      <c r="D469" s="1" t="str">
        <f>"152326194909293822"</f>
        <v>152326194909293822</v>
      </c>
      <c r="E469" s="1" t="s">
        <v>510</v>
      </c>
      <c r="F469" s="1" t="s">
        <v>16</v>
      </c>
      <c r="G469" s="1" t="s">
        <v>19</v>
      </c>
      <c r="H469" s="1" t="str">
        <f t="shared" ref="H469:H475" si="395">"75"</f>
        <v>75</v>
      </c>
      <c r="I469" s="1" t="str">
        <f t="shared" si="394"/>
        <v>160</v>
      </c>
      <c r="J469" s="1" t="str">
        <f t="shared" si="383"/>
        <v>0</v>
      </c>
      <c r="K469" s="1" t="str">
        <f t="shared" si="381"/>
        <v>103</v>
      </c>
      <c r="L469" s="1" t="str">
        <f t="shared" si="382"/>
        <v>47</v>
      </c>
      <c r="M469" s="1" t="str">
        <f t="shared" si="391"/>
        <v>0</v>
      </c>
      <c r="N469" s="1" t="str">
        <f t="shared" si="392"/>
        <v>0</v>
      </c>
      <c r="O469" s="1" t="str">
        <f t="shared" si="385"/>
        <v>0</v>
      </c>
    </row>
    <row r="470" s="1" customFormat="1" spans="1:15">
      <c r="A470" s="1" t="str">
        <f t="shared" si="387"/>
        <v>202406</v>
      </c>
      <c r="B470" s="1" t="str">
        <f t="shared" si="388"/>
        <v>150525100</v>
      </c>
      <c r="C470" s="1" t="str">
        <f>"1014613064"</f>
        <v>1014613064</v>
      </c>
      <c r="D470" s="1" t="str">
        <f>"152326194911163824"</f>
        <v>152326194911163824</v>
      </c>
      <c r="E470" s="1" t="s">
        <v>511</v>
      </c>
      <c r="F470" s="1" t="s">
        <v>16</v>
      </c>
      <c r="G470" s="1" t="s">
        <v>19</v>
      </c>
      <c r="H470" s="1" t="str">
        <f t="shared" si="395"/>
        <v>75</v>
      </c>
      <c r="I470" s="1" t="str">
        <f t="shared" si="394"/>
        <v>160</v>
      </c>
      <c r="J470" s="1" t="str">
        <f t="shared" si="383"/>
        <v>0</v>
      </c>
      <c r="K470" s="1" t="str">
        <f t="shared" si="381"/>
        <v>103</v>
      </c>
      <c r="L470" s="1" t="str">
        <f t="shared" si="382"/>
        <v>47</v>
      </c>
      <c r="M470" s="1" t="str">
        <f t="shared" si="391"/>
        <v>0</v>
      </c>
      <c r="N470" s="1" t="str">
        <f t="shared" si="392"/>
        <v>0</v>
      </c>
      <c r="O470" s="1" t="str">
        <f t="shared" si="385"/>
        <v>0</v>
      </c>
    </row>
    <row r="471" s="1" customFormat="1" spans="1:15">
      <c r="A471" s="1" t="str">
        <f t="shared" si="387"/>
        <v>202406</v>
      </c>
      <c r="B471" s="1" t="str">
        <f t="shared" si="388"/>
        <v>150525100</v>
      </c>
      <c r="C471" s="1" t="str">
        <f>"1014613067"</f>
        <v>1014613067</v>
      </c>
      <c r="D471" s="1" t="str">
        <f>"152326193712110418"</f>
        <v>152326193712110418</v>
      </c>
      <c r="E471" s="1" t="s">
        <v>512</v>
      </c>
      <c r="F471" s="1" t="s">
        <v>25</v>
      </c>
      <c r="G471" s="1" t="s">
        <v>17</v>
      </c>
      <c r="H471" s="1" t="str">
        <f>"87"</f>
        <v>87</v>
      </c>
      <c r="I471" s="1" t="str">
        <f t="shared" ref="I471:I477" si="396">"170"</f>
        <v>170</v>
      </c>
      <c r="J471" s="1" t="str">
        <f t="shared" si="383"/>
        <v>0</v>
      </c>
      <c r="K471" s="1" t="str">
        <f t="shared" si="381"/>
        <v>103</v>
      </c>
      <c r="L471" s="1" t="str">
        <f t="shared" si="382"/>
        <v>47</v>
      </c>
      <c r="M471" s="1" t="str">
        <f t="shared" si="391"/>
        <v>0</v>
      </c>
      <c r="N471" s="1" t="str">
        <f t="shared" si="392"/>
        <v>0</v>
      </c>
      <c r="O471" s="1" t="str">
        <f t="shared" si="385"/>
        <v>0</v>
      </c>
    </row>
    <row r="472" s="1" customFormat="1" spans="1:15">
      <c r="A472" s="1" t="str">
        <f t="shared" si="387"/>
        <v>202406</v>
      </c>
      <c r="B472" s="1" t="str">
        <f t="shared" si="388"/>
        <v>150525100</v>
      </c>
      <c r="C472" s="1" t="str">
        <f>"1014613328"</f>
        <v>1014613328</v>
      </c>
      <c r="D472" s="1" t="str">
        <f>"152326194305280414"</f>
        <v>152326194305280414</v>
      </c>
      <c r="E472" s="1" t="s">
        <v>513</v>
      </c>
      <c r="F472" s="1" t="s">
        <v>25</v>
      </c>
      <c r="G472" s="1" t="s">
        <v>17</v>
      </c>
      <c r="H472" s="1" t="str">
        <f>"81"</f>
        <v>81</v>
      </c>
      <c r="I472" s="1" t="str">
        <f t="shared" si="396"/>
        <v>170</v>
      </c>
      <c r="J472" s="1" t="str">
        <f t="shared" si="383"/>
        <v>0</v>
      </c>
      <c r="K472" s="1" t="str">
        <f t="shared" si="381"/>
        <v>103</v>
      </c>
      <c r="L472" s="1" t="str">
        <f t="shared" si="382"/>
        <v>47</v>
      </c>
      <c r="M472" s="1" t="str">
        <f t="shared" si="391"/>
        <v>0</v>
      </c>
      <c r="N472" s="1" t="str">
        <f t="shared" si="392"/>
        <v>0</v>
      </c>
      <c r="O472" s="1" t="str">
        <f t="shared" si="385"/>
        <v>0</v>
      </c>
    </row>
    <row r="473" s="1" customFormat="1" spans="1:15">
      <c r="A473" s="1" t="str">
        <f t="shared" si="387"/>
        <v>202406</v>
      </c>
      <c r="B473" s="1" t="str">
        <f t="shared" si="388"/>
        <v>150525100</v>
      </c>
      <c r="C473" s="1" t="str">
        <f>"1014613340"</f>
        <v>1014613340</v>
      </c>
      <c r="D473" s="1" t="str">
        <f>"152326195110160433"</f>
        <v>152326195110160433</v>
      </c>
      <c r="E473" s="1" t="s">
        <v>514</v>
      </c>
      <c r="F473" s="1" t="s">
        <v>25</v>
      </c>
      <c r="G473" s="1" t="s">
        <v>17</v>
      </c>
      <c r="H473" s="1" t="str">
        <f>"73"</f>
        <v>73</v>
      </c>
      <c r="I473" s="1" t="str">
        <f t="shared" ref="I473:I475" si="397">"160"</f>
        <v>160</v>
      </c>
      <c r="J473" s="1" t="str">
        <f t="shared" si="383"/>
        <v>0</v>
      </c>
      <c r="K473" s="1" t="str">
        <f t="shared" si="381"/>
        <v>103</v>
      </c>
      <c r="L473" s="1" t="str">
        <f t="shared" si="382"/>
        <v>47</v>
      </c>
      <c r="M473" s="1" t="str">
        <f t="shared" si="391"/>
        <v>0</v>
      </c>
      <c r="N473" s="1" t="str">
        <f t="shared" si="392"/>
        <v>0</v>
      </c>
      <c r="O473" s="1" t="str">
        <f t="shared" si="385"/>
        <v>0</v>
      </c>
    </row>
    <row r="474" s="1" customFormat="1" spans="1:15">
      <c r="A474" s="1" t="str">
        <f t="shared" si="387"/>
        <v>202406</v>
      </c>
      <c r="B474" s="1" t="str">
        <f t="shared" si="388"/>
        <v>150525100</v>
      </c>
      <c r="C474" s="1" t="str">
        <f>"1014613346"</f>
        <v>1014613346</v>
      </c>
      <c r="D474" s="1" t="str">
        <f>"152326194912243818"</f>
        <v>152326194912243818</v>
      </c>
      <c r="E474" s="1" t="s">
        <v>515</v>
      </c>
      <c r="F474" s="1" t="s">
        <v>25</v>
      </c>
      <c r="G474" s="1" t="s">
        <v>17</v>
      </c>
      <c r="H474" s="1" t="str">
        <f t="shared" si="395"/>
        <v>75</v>
      </c>
      <c r="I474" s="1" t="str">
        <f t="shared" si="397"/>
        <v>160</v>
      </c>
      <c r="J474" s="1" t="str">
        <f t="shared" si="383"/>
        <v>0</v>
      </c>
      <c r="K474" s="1" t="str">
        <f t="shared" si="381"/>
        <v>103</v>
      </c>
      <c r="L474" s="1" t="str">
        <f t="shared" si="382"/>
        <v>47</v>
      </c>
      <c r="M474" s="1" t="str">
        <f t="shared" si="391"/>
        <v>0</v>
      </c>
      <c r="N474" s="1" t="str">
        <f t="shared" si="392"/>
        <v>0</v>
      </c>
      <c r="O474" s="1" t="str">
        <f t="shared" si="385"/>
        <v>0</v>
      </c>
    </row>
    <row r="475" s="1" customFormat="1" spans="1:15">
      <c r="A475" s="1" t="str">
        <f t="shared" si="387"/>
        <v>202406</v>
      </c>
      <c r="B475" s="1" t="str">
        <f t="shared" si="388"/>
        <v>150525100</v>
      </c>
      <c r="C475" s="1" t="str">
        <f>"1014621979"</f>
        <v>1014621979</v>
      </c>
      <c r="D475" s="1" t="str">
        <f>"152326194907063310"</f>
        <v>152326194907063310</v>
      </c>
      <c r="E475" s="1" t="s">
        <v>516</v>
      </c>
      <c r="F475" s="1" t="s">
        <v>25</v>
      </c>
      <c r="G475" s="1" t="s">
        <v>17</v>
      </c>
      <c r="H475" s="1" t="str">
        <f t="shared" si="395"/>
        <v>75</v>
      </c>
      <c r="I475" s="1" t="str">
        <f t="shared" si="397"/>
        <v>160</v>
      </c>
      <c r="J475" s="1" t="str">
        <f t="shared" si="383"/>
        <v>0</v>
      </c>
      <c r="K475" s="1" t="str">
        <f t="shared" si="381"/>
        <v>103</v>
      </c>
      <c r="L475" s="1" t="str">
        <f t="shared" si="382"/>
        <v>47</v>
      </c>
      <c r="M475" s="1" t="str">
        <f t="shared" si="391"/>
        <v>0</v>
      </c>
      <c r="N475" s="1" t="str">
        <f t="shared" si="392"/>
        <v>0</v>
      </c>
      <c r="O475" s="1" t="str">
        <f t="shared" si="385"/>
        <v>0</v>
      </c>
    </row>
    <row r="476" s="1" customFormat="1" spans="1:15">
      <c r="A476" s="1" t="str">
        <f t="shared" si="387"/>
        <v>202406</v>
      </c>
      <c r="B476" s="1" t="str">
        <f t="shared" si="388"/>
        <v>150525100</v>
      </c>
      <c r="C476" s="1" t="str">
        <f>"1014622395"</f>
        <v>1014622395</v>
      </c>
      <c r="D476" s="1" t="str">
        <f>"152326194105240661"</f>
        <v>152326194105240661</v>
      </c>
      <c r="E476" s="1" t="s">
        <v>517</v>
      </c>
      <c r="F476" s="1" t="s">
        <v>16</v>
      </c>
      <c r="G476" s="1" t="s">
        <v>96</v>
      </c>
      <c r="H476" s="1" t="str">
        <f>"83"</f>
        <v>83</v>
      </c>
      <c r="I476" s="1" t="str">
        <f t="shared" si="396"/>
        <v>170</v>
      </c>
      <c r="J476" s="1" t="str">
        <f t="shared" si="383"/>
        <v>0</v>
      </c>
      <c r="K476" s="1" t="str">
        <f t="shared" si="381"/>
        <v>103</v>
      </c>
      <c r="L476" s="1" t="str">
        <f t="shared" si="382"/>
        <v>47</v>
      </c>
      <c r="M476" s="1" t="str">
        <f t="shared" si="391"/>
        <v>0</v>
      </c>
      <c r="N476" s="1" t="str">
        <f t="shared" si="392"/>
        <v>0</v>
      </c>
      <c r="O476" s="1" t="str">
        <f t="shared" si="385"/>
        <v>0</v>
      </c>
    </row>
    <row r="477" s="1" customFormat="1" spans="1:15">
      <c r="A477" s="1" t="str">
        <f t="shared" si="387"/>
        <v>202406</v>
      </c>
      <c r="B477" s="1" t="str">
        <f t="shared" si="388"/>
        <v>150525100</v>
      </c>
      <c r="C477" s="1" t="str">
        <f>"1014624138"</f>
        <v>1014624138</v>
      </c>
      <c r="D477" s="1" t="str">
        <f>"152326193411113084"</f>
        <v>152326193411113084</v>
      </c>
      <c r="E477" s="1" t="s">
        <v>518</v>
      </c>
      <c r="F477" s="1" t="s">
        <v>16</v>
      </c>
      <c r="G477" s="1" t="s">
        <v>17</v>
      </c>
      <c r="H477" s="1" t="str">
        <f>"90"</f>
        <v>90</v>
      </c>
      <c r="I477" s="1" t="str">
        <f t="shared" si="396"/>
        <v>170</v>
      </c>
      <c r="J477" s="1" t="str">
        <f t="shared" si="383"/>
        <v>0</v>
      </c>
      <c r="K477" s="1" t="str">
        <f t="shared" si="381"/>
        <v>103</v>
      </c>
      <c r="L477" s="1" t="str">
        <f t="shared" si="382"/>
        <v>47</v>
      </c>
      <c r="M477" s="1" t="str">
        <f t="shared" si="391"/>
        <v>0</v>
      </c>
      <c r="N477" s="1" t="str">
        <f t="shared" si="392"/>
        <v>0</v>
      </c>
      <c r="O477" s="1" t="str">
        <f t="shared" si="385"/>
        <v>0</v>
      </c>
    </row>
    <row r="478" s="1" customFormat="1" spans="1:15">
      <c r="A478" s="1" t="str">
        <f t="shared" si="387"/>
        <v>202406</v>
      </c>
      <c r="B478" s="1" t="str">
        <f t="shared" si="388"/>
        <v>150525100</v>
      </c>
      <c r="C478" s="1" t="str">
        <f>"1014619615"</f>
        <v>1014619615</v>
      </c>
      <c r="D478" s="1" t="str">
        <f>"152326194710010426"</f>
        <v>152326194710010426</v>
      </c>
      <c r="E478" s="1" t="s">
        <v>519</v>
      </c>
      <c r="F478" s="1" t="s">
        <v>16</v>
      </c>
      <c r="G478" s="1" t="s">
        <v>17</v>
      </c>
      <c r="H478" s="1" t="str">
        <f>"77"</f>
        <v>77</v>
      </c>
      <c r="I478" s="1" t="str">
        <f t="shared" ref="I478:I481" si="398">"160"</f>
        <v>160</v>
      </c>
      <c r="J478" s="1" t="str">
        <f t="shared" si="383"/>
        <v>0</v>
      </c>
      <c r="K478" s="1" t="str">
        <f t="shared" si="381"/>
        <v>103</v>
      </c>
      <c r="L478" s="1" t="str">
        <f t="shared" si="382"/>
        <v>47</v>
      </c>
      <c r="M478" s="1" t="str">
        <f t="shared" si="391"/>
        <v>0</v>
      </c>
      <c r="N478" s="1" t="str">
        <f t="shared" si="392"/>
        <v>0</v>
      </c>
      <c r="O478" s="1" t="str">
        <f t="shared" si="385"/>
        <v>0</v>
      </c>
    </row>
    <row r="479" s="1" customFormat="1" spans="1:15">
      <c r="A479" s="1" t="str">
        <f t="shared" si="387"/>
        <v>202406</v>
      </c>
      <c r="B479" s="1" t="str">
        <f t="shared" si="388"/>
        <v>150525100</v>
      </c>
      <c r="C479" s="1" t="str">
        <f>"1014619635"</f>
        <v>1014619635</v>
      </c>
      <c r="D479" s="1" t="str">
        <f>"152326193812113085"</f>
        <v>152326193812113085</v>
      </c>
      <c r="E479" s="1" t="s">
        <v>520</v>
      </c>
      <c r="F479" s="1" t="s">
        <v>16</v>
      </c>
      <c r="G479" s="1" t="s">
        <v>17</v>
      </c>
      <c r="H479" s="1" t="str">
        <f>"86"</f>
        <v>86</v>
      </c>
      <c r="I479" s="1" t="str">
        <f>"170"</f>
        <v>170</v>
      </c>
      <c r="J479" s="1" t="str">
        <f t="shared" si="383"/>
        <v>0</v>
      </c>
      <c r="K479" s="1" t="str">
        <f t="shared" si="381"/>
        <v>103</v>
      </c>
      <c r="L479" s="1" t="str">
        <f t="shared" si="382"/>
        <v>47</v>
      </c>
      <c r="M479" s="1" t="str">
        <f t="shared" si="391"/>
        <v>0</v>
      </c>
      <c r="N479" s="1" t="str">
        <f t="shared" si="392"/>
        <v>0</v>
      </c>
      <c r="O479" s="1" t="str">
        <f t="shared" si="385"/>
        <v>0</v>
      </c>
    </row>
    <row r="480" s="1" customFormat="1" spans="1:15">
      <c r="A480" s="1" t="str">
        <f t="shared" si="387"/>
        <v>202406</v>
      </c>
      <c r="B480" s="1" t="str">
        <f t="shared" si="388"/>
        <v>150525100</v>
      </c>
      <c r="C480" s="1" t="str">
        <f>"1014619769"</f>
        <v>1014619769</v>
      </c>
      <c r="D480" s="1" t="str">
        <f>"152326194801200671"</f>
        <v>152326194801200671</v>
      </c>
      <c r="E480" s="1" t="s">
        <v>521</v>
      </c>
      <c r="F480" s="1" t="s">
        <v>25</v>
      </c>
      <c r="G480" s="1" t="s">
        <v>96</v>
      </c>
      <c r="H480" s="1" t="str">
        <f>"76"</f>
        <v>76</v>
      </c>
      <c r="I480" s="1" t="str">
        <f t="shared" si="398"/>
        <v>160</v>
      </c>
      <c r="J480" s="1" t="str">
        <f t="shared" si="383"/>
        <v>0</v>
      </c>
      <c r="K480" s="1" t="str">
        <f t="shared" si="381"/>
        <v>103</v>
      </c>
      <c r="L480" s="1" t="str">
        <f t="shared" si="382"/>
        <v>47</v>
      </c>
      <c r="M480" s="1" t="str">
        <f t="shared" si="391"/>
        <v>0</v>
      </c>
      <c r="N480" s="1" t="str">
        <f t="shared" si="392"/>
        <v>0</v>
      </c>
      <c r="O480" s="1" t="str">
        <f t="shared" si="385"/>
        <v>0</v>
      </c>
    </row>
    <row r="481" s="1" customFormat="1" spans="1:15">
      <c r="A481" s="1" t="str">
        <f t="shared" si="387"/>
        <v>202406</v>
      </c>
      <c r="B481" s="1" t="str">
        <f t="shared" si="388"/>
        <v>150525100</v>
      </c>
      <c r="C481" s="1" t="str">
        <f>"1014619781"</f>
        <v>1014619781</v>
      </c>
      <c r="D481" s="1" t="str">
        <f>"152326194502176122"</f>
        <v>152326194502176122</v>
      </c>
      <c r="E481" s="1" t="s">
        <v>522</v>
      </c>
      <c r="F481" s="1" t="s">
        <v>16</v>
      </c>
      <c r="G481" s="1" t="s">
        <v>19</v>
      </c>
      <c r="H481" s="1" t="str">
        <f>"79"</f>
        <v>79</v>
      </c>
      <c r="I481" s="1" t="str">
        <f t="shared" si="398"/>
        <v>160</v>
      </c>
      <c r="J481" s="1" t="str">
        <f t="shared" si="383"/>
        <v>0</v>
      </c>
      <c r="K481" s="1" t="str">
        <f t="shared" si="381"/>
        <v>103</v>
      </c>
      <c r="L481" s="1" t="str">
        <f t="shared" si="382"/>
        <v>47</v>
      </c>
      <c r="M481" s="1" t="str">
        <f t="shared" si="391"/>
        <v>0</v>
      </c>
      <c r="N481" s="1" t="str">
        <f t="shared" si="392"/>
        <v>0</v>
      </c>
      <c r="O481" s="1" t="str">
        <f t="shared" si="385"/>
        <v>0</v>
      </c>
    </row>
    <row r="482" s="1" customFormat="1" spans="1:15">
      <c r="A482" s="1" t="str">
        <f t="shared" si="387"/>
        <v>202406</v>
      </c>
      <c r="B482" s="1" t="str">
        <f t="shared" si="388"/>
        <v>150525100</v>
      </c>
      <c r="C482" s="1" t="str">
        <f>"1014619794"</f>
        <v>1014619794</v>
      </c>
      <c r="D482" s="1" t="s">
        <v>523</v>
      </c>
      <c r="E482" s="1" t="s">
        <v>524</v>
      </c>
      <c r="F482" s="1" t="s">
        <v>25</v>
      </c>
      <c r="G482" s="1" t="s">
        <v>19</v>
      </c>
      <c r="H482" s="1" t="str">
        <f>"77"</f>
        <v>77</v>
      </c>
      <c r="I482" s="1" t="str">
        <f>"960"</f>
        <v>960</v>
      </c>
      <c r="J482" s="1" t="str">
        <f>"800"</f>
        <v>800</v>
      </c>
      <c r="K482" s="1" t="str">
        <f>"618"</f>
        <v>618</v>
      </c>
      <c r="L482" s="1" t="str">
        <f>"282"</f>
        <v>282</v>
      </c>
      <c r="M482" s="1" t="str">
        <f t="shared" si="391"/>
        <v>0</v>
      </c>
      <c r="N482" s="1" t="str">
        <f t="shared" si="392"/>
        <v>0</v>
      </c>
      <c r="O482" s="1" t="str">
        <f t="shared" si="385"/>
        <v>0</v>
      </c>
    </row>
    <row r="483" s="1" customFormat="1" spans="1:15">
      <c r="A483" s="1" t="str">
        <f t="shared" si="387"/>
        <v>202406</v>
      </c>
      <c r="B483" s="1" t="str">
        <f t="shared" si="388"/>
        <v>150525100</v>
      </c>
      <c r="C483" s="1" t="str">
        <f>"1014589218"</f>
        <v>1014589218</v>
      </c>
      <c r="D483" s="1" t="str">
        <f>"152326196102230424"</f>
        <v>152326196102230424</v>
      </c>
      <c r="E483" s="1" t="s">
        <v>15</v>
      </c>
      <c r="F483" s="1" t="s">
        <v>16</v>
      </c>
      <c r="G483" s="1" t="s">
        <v>17</v>
      </c>
      <c r="H483" s="1" t="str">
        <f>"63"</f>
        <v>63</v>
      </c>
      <c r="I483" s="1" t="str">
        <f>"161.01"</f>
        <v>161.01</v>
      </c>
      <c r="J483" s="1" t="str">
        <f t="shared" ref="J483:J498" si="399">"0"</f>
        <v>0</v>
      </c>
      <c r="K483" s="1" t="str">
        <f t="shared" ref="K483:K489" si="400">"103"</f>
        <v>103</v>
      </c>
      <c r="L483" s="1" t="str">
        <f t="shared" ref="L483:L489" si="401">"47"</f>
        <v>47</v>
      </c>
      <c r="M483" s="1" t="str">
        <f t="shared" si="391"/>
        <v>0</v>
      </c>
      <c r="N483" s="1" t="str">
        <f t="shared" si="392"/>
        <v>0</v>
      </c>
      <c r="O483" s="1" t="str">
        <f>"11.01"</f>
        <v>11.01</v>
      </c>
    </row>
    <row r="484" s="1" customFormat="1" spans="1:15">
      <c r="A484" s="1" t="str">
        <f t="shared" si="387"/>
        <v>202406</v>
      </c>
      <c r="B484" s="1" t="str">
        <f t="shared" si="388"/>
        <v>150525100</v>
      </c>
      <c r="C484" s="1" t="str">
        <f>"1014589220"</f>
        <v>1014589220</v>
      </c>
      <c r="D484" s="1" t="str">
        <f>"152326195301100425"</f>
        <v>152326195301100425</v>
      </c>
      <c r="E484" s="1" t="s">
        <v>525</v>
      </c>
      <c r="F484" s="1" t="s">
        <v>16</v>
      </c>
      <c r="G484" s="1" t="s">
        <v>17</v>
      </c>
      <c r="H484" s="1" t="str">
        <f>"71"</f>
        <v>71</v>
      </c>
      <c r="I484" s="1" t="str">
        <f>"163.16"</f>
        <v>163.16</v>
      </c>
      <c r="J484" s="1" t="str">
        <f t="shared" si="399"/>
        <v>0</v>
      </c>
      <c r="K484" s="1" t="str">
        <f t="shared" si="400"/>
        <v>103</v>
      </c>
      <c r="L484" s="1" t="str">
        <f t="shared" si="401"/>
        <v>47</v>
      </c>
      <c r="M484" s="1" t="str">
        <f t="shared" si="391"/>
        <v>0</v>
      </c>
      <c r="N484" s="1" t="str">
        <f t="shared" si="392"/>
        <v>0</v>
      </c>
      <c r="O484" s="1" t="str">
        <f>"3.16"</f>
        <v>3.16</v>
      </c>
    </row>
    <row r="485" s="1" customFormat="1" spans="1:15">
      <c r="A485" s="1" t="str">
        <f t="shared" si="387"/>
        <v>202406</v>
      </c>
      <c r="B485" s="1" t="str">
        <f t="shared" si="388"/>
        <v>150525100</v>
      </c>
      <c r="C485" s="1" t="str">
        <f>"1014613363"</f>
        <v>1014613363</v>
      </c>
      <c r="D485" s="1" t="str">
        <f>"152326194306103815"</f>
        <v>152326194306103815</v>
      </c>
      <c r="E485" s="1" t="s">
        <v>526</v>
      </c>
      <c r="F485" s="1" t="s">
        <v>25</v>
      </c>
      <c r="G485" s="1" t="s">
        <v>17</v>
      </c>
      <c r="H485" s="1" t="str">
        <f>"81"</f>
        <v>81</v>
      </c>
      <c r="I485" s="1" t="str">
        <f t="shared" ref="I485:I489" si="402">"170"</f>
        <v>170</v>
      </c>
      <c r="J485" s="1" t="str">
        <f t="shared" si="399"/>
        <v>0</v>
      </c>
      <c r="K485" s="1" t="str">
        <f t="shared" si="400"/>
        <v>103</v>
      </c>
      <c r="L485" s="1" t="str">
        <f t="shared" si="401"/>
        <v>47</v>
      </c>
      <c r="M485" s="1" t="str">
        <f t="shared" si="391"/>
        <v>0</v>
      </c>
      <c r="N485" s="1" t="str">
        <f t="shared" si="392"/>
        <v>0</v>
      </c>
      <c r="O485" s="1" t="str">
        <f t="shared" ref="O485:O492" si="403">"0"</f>
        <v>0</v>
      </c>
    </row>
    <row r="486" s="1" customFormat="1" spans="1:15">
      <c r="A486" s="1" t="str">
        <f t="shared" si="387"/>
        <v>202406</v>
      </c>
      <c r="B486" s="1" t="str">
        <f t="shared" si="388"/>
        <v>150525100</v>
      </c>
      <c r="C486" s="1" t="str">
        <f>"1014613371"</f>
        <v>1014613371</v>
      </c>
      <c r="D486" s="1" t="str">
        <f>"152326194705073318"</f>
        <v>152326194705073318</v>
      </c>
      <c r="E486" s="1" t="s">
        <v>527</v>
      </c>
      <c r="F486" s="1" t="s">
        <v>25</v>
      </c>
      <c r="G486" s="1" t="s">
        <v>17</v>
      </c>
      <c r="H486" s="1" t="str">
        <f>"77"</f>
        <v>77</v>
      </c>
      <c r="I486" s="1" t="str">
        <f t="shared" ref="I486:I492" si="404">"160"</f>
        <v>160</v>
      </c>
      <c r="J486" s="1" t="str">
        <f t="shared" si="399"/>
        <v>0</v>
      </c>
      <c r="K486" s="1" t="str">
        <f t="shared" si="400"/>
        <v>103</v>
      </c>
      <c r="L486" s="1" t="str">
        <f t="shared" si="401"/>
        <v>47</v>
      </c>
      <c r="M486" s="1" t="str">
        <f t="shared" si="391"/>
        <v>0</v>
      </c>
      <c r="N486" s="1" t="str">
        <f t="shared" si="392"/>
        <v>0</v>
      </c>
      <c r="O486" s="1" t="str">
        <f t="shared" si="403"/>
        <v>0</v>
      </c>
    </row>
    <row r="487" s="1" customFormat="1" spans="1:15">
      <c r="A487" s="1" t="str">
        <f t="shared" si="387"/>
        <v>202406</v>
      </c>
      <c r="B487" s="1" t="str">
        <f t="shared" si="388"/>
        <v>150525100</v>
      </c>
      <c r="C487" s="1" t="str">
        <f>"1014622398"</f>
        <v>1014622398</v>
      </c>
      <c r="D487" s="1" t="str">
        <f>"152326194310200669"</f>
        <v>152326194310200669</v>
      </c>
      <c r="E487" s="1" t="s">
        <v>528</v>
      </c>
      <c r="F487" s="1" t="s">
        <v>16</v>
      </c>
      <c r="G487" s="1" t="s">
        <v>96</v>
      </c>
      <c r="H487" s="1" t="str">
        <f>"81"</f>
        <v>81</v>
      </c>
      <c r="I487" s="1" t="str">
        <f t="shared" si="402"/>
        <v>170</v>
      </c>
      <c r="J487" s="1" t="str">
        <f t="shared" si="399"/>
        <v>0</v>
      </c>
      <c r="K487" s="1" t="str">
        <f t="shared" si="400"/>
        <v>103</v>
      </c>
      <c r="L487" s="1" t="str">
        <f t="shared" si="401"/>
        <v>47</v>
      </c>
      <c r="M487" s="1" t="str">
        <f t="shared" si="391"/>
        <v>0</v>
      </c>
      <c r="N487" s="1" t="str">
        <f t="shared" si="392"/>
        <v>0</v>
      </c>
      <c r="O487" s="1" t="str">
        <f t="shared" si="403"/>
        <v>0</v>
      </c>
    </row>
    <row r="488" s="1" customFormat="1" spans="1:15">
      <c r="A488" s="1" t="str">
        <f t="shared" si="387"/>
        <v>202406</v>
      </c>
      <c r="B488" s="1" t="str">
        <f t="shared" si="388"/>
        <v>150525100</v>
      </c>
      <c r="C488" s="1" t="str">
        <f>"1014622407"</f>
        <v>1014622407</v>
      </c>
      <c r="D488" s="1" t="str">
        <f>"152326194604090661"</f>
        <v>152326194604090661</v>
      </c>
      <c r="E488" s="1" t="s">
        <v>529</v>
      </c>
      <c r="F488" s="1" t="s">
        <v>16</v>
      </c>
      <c r="G488" s="1" t="s">
        <v>19</v>
      </c>
      <c r="H488" s="1" t="str">
        <f>"78"</f>
        <v>78</v>
      </c>
      <c r="I488" s="1" t="str">
        <f t="shared" si="404"/>
        <v>160</v>
      </c>
      <c r="J488" s="1" t="str">
        <f t="shared" si="399"/>
        <v>0</v>
      </c>
      <c r="K488" s="1" t="str">
        <f t="shared" si="400"/>
        <v>103</v>
      </c>
      <c r="L488" s="1" t="str">
        <f t="shared" si="401"/>
        <v>47</v>
      </c>
      <c r="M488" s="1" t="str">
        <f t="shared" si="391"/>
        <v>0</v>
      </c>
      <c r="N488" s="1" t="str">
        <f t="shared" si="392"/>
        <v>0</v>
      </c>
      <c r="O488" s="1" t="str">
        <f t="shared" si="403"/>
        <v>0</v>
      </c>
    </row>
    <row r="489" s="1" customFormat="1" spans="1:15">
      <c r="A489" s="1" t="str">
        <f t="shared" si="387"/>
        <v>202406</v>
      </c>
      <c r="B489" s="1" t="str">
        <f t="shared" si="388"/>
        <v>150525100</v>
      </c>
      <c r="C489" s="1" t="str">
        <f>"1014624178"</f>
        <v>1014624178</v>
      </c>
      <c r="D489" s="1" t="str">
        <f>"152326194210053825"</f>
        <v>152326194210053825</v>
      </c>
      <c r="E489" s="1" t="s">
        <v>530</v>
      </c>
      <c r="F489" s="1" t="s">
        <v>16</v>
      </c>
      <c r="G489" s="1" t="s">
        <v>17</v>
      </c>
      <c r="H489" s="1" t="str">
        <f>"82"</f>
        <v>82</v>
      </c>
      <c r="I489" s="1" t="str">
        <f t="shared" si="402"/>
        <v>170</v>
      </c>
      <c r="J489" s="1" t="str">
        <f t="shared" si="399"/>
        <v>0</v>
      </c>
      <c r="K489" s="1" t="str">
        <f t="shared" si="400"/>
        <v>103</v>
      </c>
      <c r="L489" s="1" t="str">
        <f t="shared" si="401"/>
        <v>47</v>
      </c>
      <c r="M489" s="1" t="str">
        <f t="shared" si="391"/>
        <v>0</v>
      </c>
      <c r="N489" s="1" t="str">
        <f t="shared" si="392"/>
        <v>0</v>
      </c>
      <c r="O489" s="1" t="str">
        <f t="shared" si="403"/>
        <v>0</v>
      </c>
    </row>
    <row r="490" s="1" customFormat="1" spans="1:15">
      <c r="A490" s="1" t="str">
        <f t="shared" si="387"/>
        <v>202406</v>
      </c>
      <c r="B490" s="1" t="str">
        <f t="shared" si="388"/>
        <v>150525100</v>
      </c>
      <c r="C490" s="1" t="str">
        <f>"1014623179"</f>
        <v>1014623179</v>
      </c>
      <c r="D490" s="1" t="str">
        <f>"152326194011090412"</f>
        <v>152326194011090412</v>
      </c>
      <c r="E490" s="1" t="s">
        <v>531</v>
      </c>
      <c r="F490" s="1" t="s">
        <v>25</v>
      </c>
      <c r="G490" s="1" t="s">
        <v>17</v>
      </c>
      <c r="H490" s="1" t="str">
        <f>"84"</f>
        <v>84</v>
      </c>
      <c r="I490" s="1" t="str">
        <f>"1800"</f>
        <v>1800</v>
      </c>
      <c r="J490" s="1" t="str">
        <f t="shared" si="399"/>
        <v>0</v>
      </c>
      <c r="K490" s="1" t="str">
        <f>"0"</f>
        <v>0</v>
      </c>
      <c r="L490" s="1" t="str">
        <f>"0"</f>
        <v>0</v>
      </c>
      <c r="M490" s="1" t="str">
        <f t="shared" si="391"/>
        <v>0</v>
      </c>
      <c r="N490" s="1" t="str">
        <f t="shared" si="392"/>
        <v>0</v>
      </c>
      <c r="O490" s="1" t="str">
        <f t="shared" si="403"/>
        <v>0</v>
      </c>
    </row>
    <row r="491" s="1" customFormat="1" spans="1:15">
      <c r="A491" s="1" t="str">
        <f t="shared" si="387"/>
        <v>202406</v>
      </c>
      <c r="B491" s="1" t="str">
        <f t="shared" si="388"/>
        <v>150525100</v>
      </c>
      <c r="C491" s="1" t="str">
        <f>"1014619206"</f>
        <v>1014619206</v>
      </c>
      <c r="D491" s="1" t="str">
        <f>"152326194701150689"</f>
        <v>152326194701150689</v>
      </c>
      <c r="E491" s="1" t="s">
        <v>367</v>
      </c>
      <c r="F491" s="1" t="s">
        <v>16</v>
      </c>
      <c r="G491" s="1" t="s">
        <v>17</v>
      </c>
      <c r="H491" s="1" t="str">
        <f>"77"</f>
        <v>77</v>
      </c>
      <c r="I491" s="1" t="str">
        <f t="shared" si="404"/>
        <v>160</v>
      </c>
      <c r="J491" s="1" t="str">
        <f t="shared" si="399"/>
        <v>0</v>
      </c>
      <c r="K491" s="1" t="str">
        <f t="shared" ref="K491:K498" si="405">"103"</f>
        <v>103</v>
      </c>
      <c r="L491" s="1" t="str">
        <f t="shared" ref="L491:L498" si="406">"47"</f>
        <v>47</v>
      </c>
      <c r="M491" s="1" t="str">
        <f t="shared" si="391"/>
        <v>0</v>
      </c>
      <c r="N491" s="1" t="str">
        <f t="shared" si="392"/>
        <v>0</v>
      </c>
      <c r="O491" s="1" t="str">
        <f t="shared" si="403"/>
        <v>0</v>
      </c>
    </row>
    <row r="492" s="1" customFormat="1" spans="1:15">
      <c r="A492" s="1" t="str">
        <f t="shared" si="387"/>
        <v>202406</v>
      </c>
      <c r="B492" s="1" t="str">
        <f t="shared" si="388"/>
        <v>150525100</v>
      </c>
      <c r="C492" s="1" t="str">
        <f>"1014623196"</f>
        <v>1014623196</v>
      </c>
      <c r="D492" s="1" t="str">
        <f>"152326194803133070"</f>
        <v>152326194803133070</v>
      </c>
      <c r="E492" s="1" t="s">
        <v>532</v>
      </c>
      <c r="F492" s="1" t="s">
        <v>25</v>
      </c>
      <c r="G492" s="1" t="s">
        <v>17</v>
      </c>
      <c r="H492" s="1" t="str">
        <f t="shared" ref="H492:H495" si="407">"76"</f>
        <v>76</v>
      </c>
      <c r="I492" s="1" t="str">
        <f t="shared" si="404"/>
        <v>160</v>
      </c>
      <c r="J492" s="1" t="str">
        <f t="shared" si="399"/>
        <v>0</v>
      </c>
      <c r="K492" s="1" t="str">
        <f t="shared" si="405"/>
        <v>103</v>
      </c>
      <c r="L492" s="1" t="str">
        <f t="shared" si="406"/>
        <v>47</v>
      </c>
      <c r="M492" s="1" t="str">
        <f t="shared" si="391"/>
        <v>0</v>
      </c>
      <c r="N492" s="1" t="str">
        <f t="shared" si="392"/>
        <v>0</v>
      </c>
      <c r="O492" s="1" t="str">
        <f t="shared" si="403"/>
        <v>0</v>
      </c>
    </row>
    <row r="493" s="1" customFormat="1" spans="1:15">
      <c r="A493" s="1" t="str">
        <f t="shared" si="387"/>
        <v>202406</v>
      </c>
      <c r="B493" s="1" t="str">
        <f t="shared" si="388"/>
        <v>150525100</v>
      </c>
      <c r="C493" s="1" t="str">
        <f>"1014589306"</f>
        <v>1014589306</v>
      </c>
      <c r="D493" s="1" t="str">
        <f>"152326195210160422"</f>
        <v>152326195210160422</v>
      </c>
      <c r="E493" s="1" t="s">
        <v>533</v>
      </c>
      <c r="F493" s="1" t="s">
        <v>16</v>
      </c>
      <c r="G493" s="1" t="s">
        <v>19</v>
      </c>
      <c r="H493" s="1" t="str">
        <f>"72"</f>
        <v>72</v>
      </c>
      <c r="I493" s="1" t="str">
        <f>"162.15"</f>
        <v>162.15</v>
      </c>
      <c r="J493" s="1" t="str">
        <f t="shared" si="399"/>
        <v>0</v>
      </c>
      <c r="K493" s="1" t="str">
        <f t="shared" si="405"/>
        <v>103</v>
      </c>
      <c r="L493" s="1" t="str">
        <f t="shared" si="406"/>
        <v>47</v>
      </c>
      <c r="M493" s="1" t="str">
        <f t="shared" si="391"/>
        <v>0</v>
      </c>
      <c r="N493" s="1" t="str">
        <f t="shared" si="392"/>
        <v>0</v>
      </c>
      <c r="O493" s="1" t="str">
        <f>"2.15"</f>
        <v>2.15</v>
      </c>
    </row>
    <row r="494" s="1" customFormat="1" spans="1:15">
      <c r="A494" s="1" t="str">
        <f t="shared" si="387"/>
        <v>202406</v>
      </c>
      <c r="B494" s="1" t="str">
        <f t="shared" si="388"/>
        <v>150525100</v>
      </c>
      <c r="C494" s="1" t="str">
        <f>"1014613421"</f>
        <v>1014613421</v>
      </c>
      <c r="D494" s="1" t="str">
        <f>"152326194809143827"</f>
        <v>152326194809143827</v>
      </c>
      <c r="E494" s="1" t="s">
        <v>534</v>
      </c>
      <c r="F494" s="1" t="s">
        <v>16</v>
      </c>
      <c r="G494" s="1" t="s">
        <v>17</v>
      </c>
      <c r="H494" s="1" t="str">
        <f t="shared" si="407"/>
        <v>76</v>
      </c>
      <c r="I494" s="1" t="str">
        <f t="shared" ref="I494:I496" si="408">"160"</f>
        <v>160</v>
      </c>
      <c r="J494" s="1" t="str">
        <f t="shared" si="399"/>
        <v>0</v>
      </c>
      <c r="K494" s="1" t="str">
        <f t="shared" si="405"/>
        <v>103</v>
      </c>
      <c r="L494" s="1" t="str">
        <f t="shared" si="406"/>
        <v>47</v>
      </c>
      <c r="M494" s="1" t="str">
        <f t="shared" si="391"/>
        <v>0</v>
      </c>
      <c r="N494" s="1" t="str">
        <f t="shared" si="392"/>
        <v>0</v>
      </c>
      <c r="O494" s="1" t="str">
        <f t="shared" ref="O494:O496" si="409">"0"</f>
        <v>0</v>
      </c>
    </row>
    <row r="495" s="1" customFormat="1" spans="1:15">
      <c r="A495" s="1" t="str">
        <f t="shared" si="387"/>
        <v>202406</v>
      </c>
      <c r="B495" s="1" t="str">
        <f t="shared" si="388"/>
        <v>150525100</v>
      </c>
      <c r="C495" s="1" t="str">
        <f>"1014622046"</f>
        <v>1014622046</v>
      </c>
      <c r="D495" s="1" t="s">
        <v>535</v>
      </c>
      <c r="E495" s="1" t="s">
        <v>235</v>
      </c>
      <c r="F495" s="1" t="s">
        <v>16</v>
      </c>
      <c r="G495" s="1" t="s">
        <v>19</v>
      </c>
      <c r="H495" s="1" t="str">
        <f t="shared" si="407"/>
        <v>76</v>
      </c>
      <c r="I495" s="1" t="str">
        <f t="shared" si="408"/>
        <v>160</v>
      </c>
      <c r="J495" s="1" t="str">
        <f t="shared" si="399"/>
        <v>0</v>
      </c>
      <c r="K495" s="1" t="str">
        <f t="shared" si="405"/>
        <v>103</v>
      </c>
      <c r="L495" s="1" t="str">
        <f t="shared" si="406"/>
        <v>47</v>
      </c>
      <c r="M495" s="1" t="str">
        <f t="shared" si="391"/>
        <v>0</v>
      </c>
      <c r="N495" s="1" t="str">
        <f t="shared" si="392"/>
        <v>0</v>
      </c>
      <c r="O495" s="1" t="str">
        <f t="shared" si="409"/>
        <v>0</v>
      </c>
    </row>
    <row r="496" s="1" customFormat="1" spans="1:15">
      <c r="A496" s="1" t="str">
        <f t="shared" si="387"/>
        <v>202406</v>
      </c>
      <c r="B496" s="1" t="str">
        <f t="shared" si="388"/>
        <v>150525100</v>
      </c>
      <c r="C496" s="1" t="str">
        <f>"1014624228"</f>
        <v>1014624228</v>
      </c>
      <c r="D496" s="1" t="str">
        <f>"152326195110080679"</f>
        <v>152326195110080679</v>
      </c>
      <c r="E496" s="1" t="s">
        <v>536</v>
      </c>
      <c r="F496" s="1" t="s">
        <v>25</v>
      </c>
      <c r="G496" s="1" t="s">
        <v>17</v>
      </c>
      <c r="H496" s="1" t="str">
        <f>"73"</f>
        <v>73</v>
      </c>
      <c r="I496" s="1" t="str">
        <f t="shared" si="408"/>
        <v>160</v>
      </c>
      <c r="J496" s="1" t="str">
        <f t="shared" si="399"/>
        <v>0</v>
      </c>
      <c r="K496" s="1" t="str">
        <f t="shared" si="405"/>
        <v>103</v>
      </c>
      <c r="L496" s="1" t="str">
        <f t="shared" si="406"/>
        <v>47</v>
      </c>
      <c r="M496" s="1" t="str">
        <f t="shared" si="391"/>
        <v>0</v>
      </c>
      <c r="N496" s="1" t="str">
        <f t="shared" si="392"/>
        <v>0</v>
      </c>
      <c r="O496" s="1" t="str">
        <f t="shared" si="409"/>
        <v>0</v>
      </c>
    </row>
    <row r="497" s="1" customFormat="1" spans="1:15">
      <c r="A497" s="1" t="str">
        <f t="shared" si="387"/>
        <v>202406</v>
      </c>
      <c r="B497" s="1" t="str">
        <f t="shared" si="388"/>
        <v>150525100</v>
      </c>
      <c r="C497" s="1" t="str">
        <f>"1014624231"</f>
        <v>1014624231</v>
      </c>
      <c r="D497" s="1" t="str">
        <f>"152326194712020679"</f>
        <v>152326194712020679</v>
      </c>
      <c r="E497" s="1" t="s">
        <v>537</v>
      </c>
      <c r="F497" s="1" t="s">
        <v>25</v>
      </c>
      <c r="G497" s="1" t="s">
        <v>17</v>
      </c>
      <c r="H497" s="1" t="str">
        <f>"77"</f>
        <v>77</v>
      </c>
      <c r="I497" s="1" t="str">
        <f>"160.94"</f>
        <v>160.94</v>
      </c>
      <c r="J497" s="1" t="str">
        <f t="shared" si="399"/>
        <v>0</v>
      </c>
      <c r="K497" s="1" t="str">
        <f t="shared" si="405"/>
        <v>103</v>
      </c>
      <c r="L497" s="1" t="str">
        <f t="shared" si="406"/>
        <v>47</v>
      </c>
      <c r="M497" s="1" t="str">
        <f t="shared" si="391"/>
        <v>0</v>
      </c>
      <c r="N497" s="1" t="str">
        <f t="shared" si="392"/>
        <v>0</v>
      </c>
      <c r="O497" s="1" t="str">
        <f>"0.94"</f>
        <v>0.94</v>
      </c>
    </row>
    <row r="498" s="1" customFormat="1" spans="1:15">
      <c r="A498" s="1" t="str">
        <f t="shared" si="387"/>
        <v>202406</v>
      </c>
      <c r="B498" s="1" t="str">
        <f t="shared" si="388"/>
        <v>150525100</v>
      </c>
      <c r="C498" s="1" t="str">
        <f>"1014619210"</f>
        <v>1014619210</v>
      </c>
      <c r="D498" s="1" t="str">
        <f>"152326194803270665"</f>
        <v>152326194803270665</v>
      </c>
      <c r="E498" s="1" t="s">
        <v>538</v>
      </c>
      <c r="F498" s="1" t="s">
        <v>16</v>
      </c>
      <c r="G498" s="1" t="s">
        <v>17</v>
      </c>
      <c r="H498" s="1" t="str">
        <f>"76"</f>
        <v>76</v>
      </c>
      <c r="I498" s="1" t="str">
        <f t="shared" ref="I498:I503" si="410">"160"</f>
        <v>160</v>
      </c>
      <c r="J498" s="1" t="str">
        <f t="shared" si="399"/>
        <v>0</v>
      </c>
      <c r="K498" s="1" t="str">
        <f t="shared" si="405"/>
        <v>103</v>
      </c>
      <c r="L498" s="1" t="str">
        <f t="shared" si="406"/>
        <v>47</v>
      </c>
      <c r="M498" s="1" t="str">
        <f t="shared" si="391"/>
        <v>0</v>
      </c>
      <c r="N498" s="1" t="str">
        <f t="shared" si="392"/>
        <v>0</v>
      </c>
      <c r="O498" s="1" t="str">
        <f t="shared" ref="O498:O509" si="411">"0"</f>
        <v>0</v>
      </c>
    </row>
    <row r="499" s="1" customFormat="1" spans="1:15">
      <c r="A499" s="1" t="str">
        <f t="shared" si="387"/>
        <v>202406</v>
      </c>
      <c r="B499" s="1" t="str">
        <f t="shared" si="388"/>
        <v>150525100</v>
      </c>
      <c r="C499" s="1" t="str">
        <f>"1014619236"</f>
        <v>1014619236</v>
      </c>
      <c r="D499" s="1" t="str">
        <f>"152326194607223829"</f>
        <v>152326194607223829</v>
      </c>
      <c r="E499" s="1" t="s">
        <v>539</v>
      </c>
      <c r="F499" s="1" t="s">
        <v>16</v>
      </c>
      <c r="G499" s="1" t="s">
        <v>17</v>
      </c>
      <c r="H499" s="1" t="str">
        <f>"78"</f>
        <v>78</v>
      </c>
      <c r="I499" s="1" t="str">
        <f>"960"</f>
        <v>960</v>
      </c>
      <c r="J499" s="1" t="str">
        <f>"800"</f>
        <v>800</v>
      </c>
      <c r="K499" s="1" t="str">
        <f>"618"</f>
        <v>618</v>
      </c>
      <c r="L499" s="1" t="str">
        <f>"282"</f>
        <v>282</v>
      </c>
      <c r="M499" s="1" t="str">
        <f t="shared" si="391"/>
        <v>0</v>
      </c>
      <c r="N499" s="1" t="str">
        <f t="shared" si="392"/>
        <v>0</v>
      </c>
      <c r="O499" s="1" t="str">
        <f t="shared" si="411"/>
        <v>0</v>
      </c>
    </row>
    <row r="500" s="1" customFormat="1" spans="1:15">
      <c r="A500" s="1" t="str">
        <f t="shared" si="387"/>
        <v>202406</v>
      </c>
      <c r="B500" s="1" t="str">
        <f t="shared" si="388"/>
        <v>150525100</v>
      </c>
      <c r="C500" s="1" t="str">
        <f>"1014623249"</f>
        <v>1014623249</v>
      </c>
      <c r="D500" s="1" t="str">
        <f>"152326195009250418"</f>
        <v>152326195009250418</v>
      </c>
      <c r="E500" s="1" t="s">
        <v>540</v>
      </c>
      <c r="F500" s="1" t="s">
        <v>25</v>
      </c>
      <c r="G500" s="1" t="s">
        <v>17</v>
      </c>
      <c r="H500" s="1" t="str">
        <f>"74"</f>
        <v>74</v>
      </c>
      <c r="I500" s="1" t="str">
        <f t="shared" si="410"/>
        <v>160</v>
      </c>
      <c r="J500" s="1" t="str">
        <f t="shared" ref="J500:J513" si="412">"0"</f>
        <v>0</v>
      </c>
      <c r="K500" s="1" t="str">
        <f t="shared" ref="K500:K513" si="413">"103"</f>
        <v>103</v>
      </c>
      <c r="L500" s="1" t="str">
        <f t="shared" ref="L500:L513" si="414">"47"</f>
        <v>47</v>
      </c>
      <c r="M500" s="1" t="str">
        <f t="shared" si="391"/>
        <v>0</v>
      </c>
      <c r="N500" s="1" t="str">
        <f t="shared" si="392"/>
        <v>0</v>
      </c>
      <c r="O500" s="1" t="str">
        <f t="shared" si="411"/>
        <v>0</v>
      </c>
    </row>
    <row r="501" s="1" customFormat="1" spans="1:15">
      <c r="A501" s="1" t="str">
        <f t="shared" si="387"/>
        <v>202406</v>
      </c>
      <c r="B501" s="1" t="str">
        <f t="shared" si="388"/>
        <v>150525100</v>
      </c>
      <c r="C501" s="1" t="str">
        <f>"1014623697"</f>
        <v>1014623697</v>
      </c>
      <c r="D501" s="1" t="str">
        <f>"152326195104240410"</f>
        <v>152326195104240410</v>
      </c>
      <c r="E501" s="1" t="s">
        <v>541</v>
      </c>
      <c r="F501" s="1" t="s">
        <v>25</v>
      </c>
      <c r="G501" s="1" t="s">
        <v>17</v>
      </c>
      <c r="H501" s="1" t="str">
        <f>"73"</f>
        <v>73</v>
      </c>
      <c r="I501" s="1" t="str">
        <f t="shared" si="410"/>
        <v>160</v>
      </c>
      <c r="J501" s="1" t="str">
        <f t="shared" si="412"/>
        <v>0</v>
      </c>
      <c r="K501" s="1" t="str">
        <f t="shared" si="413"/>
        <v>103</v>
      </c>
      <c r="L501" s="1" t="str">
        <f t="shared" si="414"/>
        <v>47</v>
      </c>
      <c r="M501" s="1" t="str">
        <f t="shared" si="391"/>
        <v>0</v>
      </c>
      <c r="N501" s="1" t="str">
        <f t="shared" si="392"/>
        <v>0</v>
      </c>
      <c r="O501" s="1" t="str">
        <f t="shared" si="411"/>
        <v>0</v>
      </c>
    </row>
    <row r="502" s="1" customFormat="1" spans="1:15">
      <c r="A502" s="1" t="str">
        <f t="shared" si="387"/>
        <v>202406</v>
      </c>
      <c r="B502" s="1" t="str">
        <f t="shared" si="388"/>
        <v>150525100</v>
      </c>
      <c r="C502" s="1" t="str">
        <f>"1014613522"</f>
        <v>1014613522</v>
      </c>
      <c r="D502" s="1" t="str">
        <f>"152326194807280422"</f>
        <v>152326194807280422</v>
      </c>
      <c r="E502" s="1" t="s">
        <v>542</v>
      </c>
      <c r="F502" s="1" t="s">
        <v>16</v>
      </c>
      <c r="G502" s="1" t="s">
        <v>19</v>
      </c>
      <c r="H502" s="1" t="str">
        <f>"76"</f>
        <v>76</v>
      </c>
      <c r="I502" s="1" t="str">
        <f t="shared" si="410"/>
        <v>160</v>
      </c>
      <c r="J502" s="1" t="str">
        <f t="shared" si="412"/>
        <v>0</v>
      </c>
      <c r="K502" s="1" t="str">
        <f t="shared" si="413"/>
        <v>103</v>
      </c>
      <c r="L502" s="1" t="str">
        <f t="shared" si="414"/>
        <v>47</v>
      </c>
      <c r="M502" s="1" t="str">
        <f t="shared" si="391"/>
        <v>0</v>
      </c>
      <c r="N502" s="1" t="str">
        <f t="shared" si="392"/>
        <v>0</v>
      </c>
      <c r="O502" s="1" t="str">
        <f t="shared" si="411"/>
        <v>0</v>
      </c>
    </row>
    <row r="503" s="1" customFormat="1" spans="1:15">
      <c r="A503" s="1" t="str">
        <f t="shared" si="387"/>
        <v>202406</v>
      </c>
      <c r="B503" s="1" t="str">
        <f t="shared" si="388"/>
        <v>150525100</v>
      </c>
      <c r="C503" s="1" t="str">
        <f>"1014624323"</f>
        <v>1014624323</v>
      </c>
      <c r="D503" s="1" t="s">
        <v>543</v>
      </c>
      <c r="E503" s="1" t="s">
        <v>116</v>
      </c>
      <c r="F503" s="1" t="s">
        <v>16</v>
      </c>
      <c r="G503" s="1" t="s">
        <v>17</v>
      </c>
      <c r="H503" s="1" t="str">
        <f>"75"</f>
        <v>75</v>
      </c>
      <c r="I503" s="1" t="str">
        <f t="shared" si="410"/>
        <v>160</v>
      </c>
      <c r="J503" s="1" t="str">
        <f t="shared" si="412"/>
        <v>0</v>
      </c>
      <c r="K503" s="1" t="str">
        <f t="shared" si="413"/>
        <v>103</v>
      </c>
      <c r="L503" s="1" t="str">
        <f t="shared" si="414"/>
        <v>47</v>
      </c>
      <c r="M503" s="1" t="str">
        <f t="shared" si="391"/>
        <v>0</v>
      </c>
      <c r="N503" s="1" t="str">
        <f t="shared" si="392"/>
        <v>0</v>
      </c>
      <c r="O503" s="1" t="str">
        <f t="shared" si="411"/>
        <v>0</v>
      </c>
    </row>
    <row r="504" s="1" customFormat="1" spans="1:15">
      <c r="A504" s="1" t="str">
        <f t="shared" si="387"/>
        <v>202406</v>
      </c>
      <c r="B504" s="1" t="str">
        <f t="shared" si="388"/>
        <v>150525100</v>
      </c>
      <c r="C504" s="1" t="str">
        <f>"1014619320"</f>
        <v>1014619320</v>
      </c>
      <c r="D504" s="1" t="str">
        <f>"152326194112230664"</f>
        <v>152326194112230664</v>
      </c>
      <c r="E504" s="1" t="s">
        <v>544</v>
      </c>
      <c r="F504" s="1" t="s">
        <v>16</v>
      </c>
      <c r="G504" s="1" t="s">
        <v>19</v>
      </c>
      <c r="H504" s="1" t="str">
        <f>"83"</f>
        <v>83</v>
      </c>
      <c r="I504" s="1" t="str">
        <f t="shared" ref="I504:I509" si="415">"170"</f>
        <v>170</v>
      </c>
      <c r="J504" s="1" t="str">
        <f t="shared" si="412"/>
        <v>0</v>
      </c>
      <c r="K504" s="1" t="str">
        <f t="shared" si="413"/>
        <v>103</v>
      </c>
      <c r="L504" s="1" t="str">
        <f t="shared" si="414"/>
        <v>47</v>
      </c>
      <c r="M504" s="1" t="str">
        <f t="shared" si="391"/>
        <v>0</v>
      </c>
      <c r="N504" s="1" t="str">
        <f t="shared" si="392"/>
        <v>0</v>
      </c>
      <c r="O504" s="1" t="str">
        <f t="shared" si="411"/>
        <v>0</v>
      </c>
    </row>
    <row r="505" s="1" customFormat="1" spans="1:15">
      <c r="A505" s="1" t="str">
        <f t="shared" si="387"/>
        <v>202406</v>
      </c>
      <c r="B505" s="1" t="str">
        <f t="shared" si="388"/>
        <v>150525100</v>
      </c>
      <c r="C505" s="1" t="str">
        <f>"1014619859"</f>
        <v>1014619859</v>
      </c>
      <c r="D505" s="1" t="str">
        <f>"152326194404150666"</f>
        <v>152326194404150666</v>
      </c>
      <c r="E505" s="1" t="s">
        <v>545</v>
      </c>
      <c r="F505" s="1" t="s">
        <v>16</v>
      </c>
      <c r="G505" s="1" t="s">
        <v>17</v>
      </c>
      <c r="H505" s="1" t="str">
        <f>"80"</f>
        <v>80</v>
      </c>
      <c r="I505" s="1" t="str">
        <f t="shared" si="415"/>
        <v>170</v>
      </c>
      <c r="J505" s="1" t="str">
        <f t="shared" si="412"/>
        <v>0</v>
      </c>
      <c r="K505" s="1" t="str">
        <f t="shared" si="413"/>
        <v>103</v>
      </c>
      <c r="L505" s="1" t="str">
        <f t="shared" si="414"/>
        <v>47</v>
      </c>
      <c r="M505" s="1" t="str">
        <f t="shared" si="391"/>
        <v>0</v>
      </c>
      <c r="N505" s="1" t="str">
        <f t="shared" si="392"/>
        <v>0</v>
      </c>
      <c r="O505" s="1" t="str">
        <f t="shared" si="411"/>
        <v>0</v>
      </c>
    </row>
    <row r="506" s="1" customFormat="1" spans="1:15">
      <c r="A506" s="1" t="str">
        <f t="shared" si="387"/>
        <v>202406</v>
      </c>
      <c r="B506" s="1" t="str">
        <f t="shared" si="388"/>
        <v>150525100</v>
      </c>
      <c r="C506" s="1" t="str">
        <f>"1014619864"</f>
        <v>1014619864</v>
      </c>
      <c r="D506" s="1" t="str">
        <f>"152326194710120668"</f>
        <v>152326194710120668</v>
      </c>
      <c r="E506" s="1" t="s">
        <v>546</v>
      </c>
      <c r="F506" s="1" t="s">
        <v>16</v>
      </c>
      <c r="G506" s="1" t="s">
        <v>17</v>
      </c>
      <c r="H506" s="1" t="str">
        <f t="shared" ref="H506:H511" si="416">"77"</f>
        <v>77</v>
      </c>
      <c r="I506" s="1" t="str">
        <f t="shared" ref="I506:I508" si="417">"160"</f>
        <v>160</v>
      </c>
      <c r="J506" s="1" t="str">
        <f t="shared" si="412"/>
        <v>0</v>
      </c>
      <c r="K506" s="1" t="str">
        <f t="shared" si="413"/>
        <v>103</v>
      </c>
      <c r="L506" s="1" t="str">
        <f t="shared" si="414"/>
        <v>47</v>
      </c>
      <c r="M506" s="1" t="str">
        <f t="shared" si="391"/>
        <v>0</v>
      </c>
      <c r="N506" s="1" t="str">
        <f t="shared" si="392"/>
        <v>0</v>
      </c>
      <c r="O506" s="1" t="str">
        <f t="shared" si="411"/>
        <v>0</v>
      </c>
    </row>
    <row r="507" s="1" customFormat="1" spans="1:15">
      <c r="A507" s="1" t="str">
        <f t="shared" si="387"/>
        <v>202406</v>
      </c>
      <c r="B507" s="1" t="str">
        <f t="shared" si="388"/>
        <v>150525100</v>
      </c>
      <c r="C507" s="1" t="str">
        <f>"1014619869"</f>
        <v>1014619869</v>
      </c>
      <c r="D507" s="1" t="str">
        <f>"152326194712100687"</f>
        <v>152326194712100687</v>
      </c>
      <c r="E507" s="1" t="s">
        <v>547</v>
      </c>
      <c r="F507" s="1" t="s">
        <v>16</v>
      </c>
      <c r="G507" s="1" t="s">
        <v>17</v>
      </c>
      <c r="H507" s="1" t="str">
        <f t="shared" si="416"/>
        <v>77</v>
      </c>
      <c r="I507" s="1" t="str">
        <f t="shared" si="417"/>
        <v>160</v>
      </c>
      <c r="J507" s="1" t="str">
        <f t="shared" si="412"/>
        <v>0</v>
      </c>
      <c r="K507" s="1" t="str">
        <f t="shared" si="413"/>
        <v>103</v>
      </c>
      <c r="L507" s="1" t="str">
        <f t="shared" si="414"/>
        <v>47</v>
      </c>
      <c r="M507" s="1" t="str">
        <f t="shared" si="391"/>
        <v>0</v>
      </c>
      <c r="N507" s="1" t="str">
        <f t="shared" si="392"/>
        <v>0</v>
      </c>
      <c r="O507" s="1" t="str">
        <f t="shared" si="411"/>
        <v>0</v>
      </c>
    </row>
    <row r="508" s="1" customFormat="1" spans="1:15">
      <c r="A508" s="1" t="str">
        <f t="shared" si="387"/>
        <v>202406</v>
      </c>
      <c r="B508" s="1" t="str">
        <f t="shared" si="388"/>
        <v>150525100</v>
      </c>
      <c r="C508" s="1" t="str">
        <f>"1014619871"</f>
        <v>1014619871</v>
      </c>
      <c r="D508" s="1" t="str">
        <f>"152326195110080660"</f>
        <v>152326195110080660</v>
      </c>
      <c r="E508" s="1" t="s">
        <v>151</v>
      </c>
      <c r="F508" s="1" t="s">
        <v>16</v>
      </c>
      <c r="G508" s="1" t="s">
        <v>17</v>
      </c>
      <c r="H508" s="1" t="str">
        <f>"73"</f>
        <v>73</v>
      </c>
      <c r="I508" s="1" t="str">
        <f t="shared" si="417"/>
        <v>160</v>
      </c>
      <c r="J508" s="1" t="str">
        <f t="shared" si="412"/>
        <v>0</v>
      </c>
      <c r="K508" s="1" t="str">
        <f t="shared" si="413"/>
        <v>103</v>
      </c>
      <c r="L508" s="1" t="str">
        <f t="shared" si="414"/>
        <v>47</v>
      </c>
      <c r="M508" s="1" t="str">
        <f t="shared" si="391"/>
        <v>0</v>
      </c>
      <c r="N508" s="1" t="str">
        <f t="shared" si="392"/>
        <v>0</v>
      </c>
      <c r="O508" s="1" t="str">
        <f t="shared" si="411"/>
        <v>0</v>
      </c>
    </row>
    <row r="509" s="1" customFormat="1" spans="1:15">
      <c r="A509" s="1" t="str">
        <f t="shared" si="387"/>
        <v>202406</v>
      </c>
      <c r="B509" s="1" t="str">
        <f t="shared" si="388"/>
        <v>150525100</v>
      </c>
      <c r="C509" s="1" t="str">
        <f>"1014623766"</f>
        <v>1014623766</v>
      </c>
      <c r="D509" s="1" t="str">
        <f>"152326194402073812"</f>
        <v>152326194402073812</v>
      </c>
      <c r="E509" s="1" t="s">
        <v>548</v>
      </c>
      <c r="F509" s="1" t="s">
        <v>25</v>
      </c>
      <c r="G509" s="1" t="s">
        <v>19</v>
      </c>
      <c r="H509" s="1" t="str">
        <f>"80"</f>
        <v>80</v>
      </c>
      <c r="I509" s="1" t="str">
        <f t="shared" si="415"/>
        <v>170</v>
      </c>
      <c r="J509" s="1" t="str">
        <f t="shared" si="412"/>
        <v>0</v>
      </c>
      <c r="K509" s="1" t="str">
        <f t="shared" si="413"/>
        <v>103</v>
      </c>
      <c r="L509" s="1" t="str">
        <f t="shared" si="414"/>
        <v>47</v>
      </c>
      <c r="M509" s="1" t="str">
        <f t="shared" si="391"/>
        <v>0</v>
      </c>
      <c r="N509" s="1" t="str">
        <f t="shared" si="392"/>
        <v>0</v>
      </c>
      <c r="O509" s="1" t="str">
        <f t="shared" si="411"/>
        <v>0</v>
      </c>
    </row>
    <row r="510" s="1" customFormat="1" spans="1:15">
      <c r="A510" s="1" t="str">
        <f t="shared" si="387"/>
        <v>202406</v>
      </c>
      <c r="B510" s="1" t="str">
        <f t="shared" si="388"/>
        <v>150525100</v>
      </c>
      <c r="C510" s="1" t="str">
        <f>"1042683032"</f>
        <v>1042683032</v>
      </c>
      <c r="D510" s="1" t="s">
        <v>549</v>
      </c>
      <c r="E510" s="1" t="s">
        <v>550</v>
      </c>
      <c r="F510" s="1" t="s">
        <v>25</v>
      </c>
      <c r="G510" s="1" t="s">
        <v>17</v>
      </c>
      <c r="H510" s="1" t="str">
        <f>"65"</f>
        <v>65</v>
      </c>
      <c r="I510" s="1" t="str">
        <f>"161.53"</f>
        <v>161.53</v>
      </c>
      <c r="J510" s="1" t="str">
        <f t="shared" si="412"/>
        <v>0</v>
      </c>
      <c r="K510" s="1" t="str">
        <f t="shared" si="413"/>
        <v>103</v>
      </c>
      <c r="L510" s="1" t="str">
        <f t="shared" si="414"/>
        <v>47</v>
      </c>
      <c r="M510" s="1" t="str">
        <f t="shared" si="391"/>
        <v>0</v>
      </c>
      <c r="N510" s="1" t="str">
        <f t="shared" si="392"/>
        <v>0</v>
      </c>
      <c r="O510" s="1" t="str">
        <f>"11.53"</f>
        <v>11.53</v>
      </c>
    </row>
    <row r="511" s="1" customFormat="1" spans="1:15">
      <c r="A511" s="1" t="str">
        <f t="shared" si="387"/>
        <v>202406</v>
      </c>
      <c r="B511" s="1" t="str">
        <f t="shared" si="388"/>
        <v>150525100</v>
      </c>
      <c r="C511" s="1" t="str">
        <f>"1014613458"</f>
        <v>1014613458</v>
      </c>
      <c r="D511" s="1" t="str">
        <f>"152326194705183322"</f>
        <v>152326194705183322</v>
      </c>
      <c r="E511" s="1" t="s">
        <v>551</v>
      </c>
      <c r="F511" s="1" t="s">
        <v>16</v>
      </c>
      <c r="G511" s="1" t="s">
        <v>17</v>
      </c>
      <c r="H511" s="1" t="str">
        <f t="shared" si="416"/>
        <v>77</v>
      </c>
      <c r="I511" s="1" t="str">
        <f t="shared" ref="I511:I513" si="418">"160"</f>
        <v>160</v>
      </c>
      <c r="J511" s="1" t="str">
        <f t="shared" si="412"/>
        <v>0</v>
      </c>
      <c r="K511" s="1" t="str">
        <f t="shared" si="413"/>
        <v>103</v>
      </c>
      <c r="L511" s="1" t="str">
        <f t="shared" si="414"/>
        <v>47</v>
      </c>
      <c r="M511" s="1" t="str">
        <f t="shared" si="391"/>
        <v>0</v>
      </c>
      <c r="N511" s="1" t="str">
        <f t="shared" si="392"/>
        <v>0</v>
      </c>
      <c r="O511" s="1" t="str">
        <f t="shared" ref="O511:O531" si="419">"0"</f>
        <v>0</v>
      </c>
    </row>
    <row r="512" s="1" customFormat="1" spans="1:15">
      <c r="A512" s="1" t="str">
        <f t="shared" si="387"/>
        <v>202406</v>
      </c>
      <c r="B512" s="1" t="str">
        <f t="shared" si="388"/>
        <v>150525100</v>
      </c>
      <c r="C512" s="1" t="str">
        <f>"1014613469"</f>
        <v>1014613469</v>
      </c>
      <c r="D512" s="1" t="str">
        <f>"152326195008113315"</f>
        <v>152326195008113315</v>
      </c>
      <c r="E512" s="1" t="s">
        <v>318</v>
      </c>
      <c r="F512" s="1" t="s">
        <v>25</v>
      </c>
      <c r="G512" s="1" t="s">
        <v>17</v>
      </c>
      <c r="H512" s="1" t="str">
        <f>"74"</f>
        <v>74</v>
      </c>
      <c r="I512" s="1" t="str">
        <f t="shared" si="418"/>
        <v>160</v>
      </c>
      <c r="J512" s="1" t="str">
        <f t="shared" si="412"/>
        <v>0</v>
      </c>
      <c r="K512" s="1" t="str">
        <f t="shared" si="413"/>
        <v>103</v>
      </c>
      <c r="L512" s="1" t="str">
        <f t="shared" si="414"/>
        <v>47</v>
      </c>
      <c r="M512" s="1" t="str">
        <f t="shared" si="391"/>
        <v>0</v>
      </c>
      <c r="N512" s="1" t="str">
        <f t="shared" si="392"/>
        <v>0</v>
      </c>
      <c r="O512" s="1" t="str">
        <f t="shared" si="419"/>
        <v>0</v>
      </c>
    </row>
    <row r="513" s="1" customFormat="1" spans="1:15">
      <c r="A513" s="1" t="str">
        <f t="shared" si="387"/>
        <v>202406</v>
      </c>
      <c r="B513" s="1" t="str">
        <f t="shared" si="388"/>
        <v>150525100</v>
      </c>
      <c r="C513" s="1" t="str">
        <f>"1014624258"</f>
        <v>1014624258</v>
      </c>
      <c r="D513" s="1" t="str">
        <f>"152326194808120914"</f>
        <v>152326194808120914</v>
      </c>
      <c r="E513" s="1" t="s">
        <v>552</v>
      </c>
      <c r="F513" s="1" t="s">
        <v>25</v>
      </c>
      <c r="G513" s="1" t="s">
        <v>19</v>
      </c>
      <c r="H513" s="1" t="str">
        <f>"76"</f>
        <v>76</v>
      </c>
      <c r="I513" s="1" t="str">
        <f t="shared" si="418"/>
        <v>160</v>
      </c>
      <c r="J513" s="1" t="str">
        <f t="shared" si="412"/>
        <v>0</v>
      </c>
      <c r="K513" s="1" t="str">
        <f t="shared" si="413"/>
        <v>103</v>
      </c>
      <c r="L513" s="1" t="str">
        <f t="shared" si="414"/>
        <v>47</v>
      </c>
      <c r="M513" s="1" t="str">
        <f t="shared" si="391"/>
        <v>0</v>
      </c>
      <c r="N513" s="1" t="str">
        <f t="shared" si="392"/>
        <v>0</v>
      </c>
      <c r="O513" s="1" t="str">
        <f t="shared" si="419"/>
        <v>0</v>
      </c>
    </row>
    <row r="514" s="1" customFormat="1" spans="1:15">
      <c r="A514" s="1" t="str">
        <f t="shared" ref="A514:A577" si="420">"202406"</f>
        <v>202406</v>
      </c>
      <c r="B514" s="1" t="str">
        <f t="shared" ref="B514:B577" si="421">"150525100"</f>
        <v>150525100</v>
      </c>
      <c r="C514" s="1" t="str">
        <f>"1014624261"</f>
        <v>1014624261</v>
      </c>
      <c r="D514" s="1" t="str">
        <f>"152326193705050947"</f>
        <v>152326193705050947</v>
      </c>
      <c r="E514" s="1" t="s">
        <v>553</v>
      </c>
      <c r="F514" s="1" t="s">
        <v>16</v>
      </c>
      <c r="G514" s="1" t="s">
        <v>19</v>
      </c>
      <c r="H514" s="1" t="str">
        <f>"87"</f>
        <v>87</v>
      </c>
      <c r="I514" s="1" t="str">
        <f>"1700"</f>
        <v>1700</v>
      </c>
      <c r="J514" s="1" t="str">
        <f>"1530"</f>
        <v>1530</v>
      </c>
      <c r="K514" s="1" t="str">
        <f>"1030"</f>
        <v>1030</v>
      </c>
      <c r="L514" s="1" t="str">
        <f>"470"</f>
        <v>470</v>
      </c>
      <c r="M514" s="1" t="str">
        <f t="shared" si="391"/>
        <v>0</v>
      </c>
      <c r="N514" s="1" t="str">
        <f t="shared" si="392"/>
        <v>0</v>
      </c>
      <c r="O514" s="1" t="str">
        <f t="shared" si="419"/>
        <v>0</v>
      </c>
    </row>
    <row r="515" s="1" customFormat="1" spans="1:15">
      <c r="A515" s="1" t="str">
        <f t="shared" si="420"/>
        <v>202406</v>
      </c>
      <c r="B515" s="1" t="str">
        <f t="shared" si="421"/>
        <v>150525100</v>
      </c>
      <c r="C515" s="1" t="str">
        <f>"1014624276"</f>
        <v>1014624276</v>
      </c>
      <c r="D515" s="1" t="str">
        <f>"152326194403093102"</f>
        <v>152326194403093102</v>
      </c>
      <c r="E515" s="1" t="s">
        <v>554</v>
      </c>
      <c r="F515" s="1" t="s">
        <v>16</v>
      </c>
      <c r="G515" s="1" t="s">
        <v>19</v>
      </c>
      <c r="H515" s="1" t="str">
        <f>"80"</f>
        <v>80</v>
      </c>
      <c r="I515" s="1" t="str">
        <f>"170"</f>
        <v>170</v>
      </c>
      <c r="J515" s="1" t="str">
        <f t="shared" ref="J515:J578" si="422">"0"</f>
        <v>0</v>
      </c>
      <c r="K515" s="1" t="str">
        <f t="shared" ref="K515:K578" si="423">"103"</f>
        <v>103</v>
      </c>
      <c r="L515" s="1" t="str">
        <f t="shared" ref="L515:L578" si="424">"47"</f>
        <v>47</v>
      </c>
      <c r="M515" s="1" t="str">
        <f t="shared" si="391"/>
        <v>0</v>
      </c>
      <c r="N515" s="1" t="str">
        <f t="shared" si="392"/>
        <v>0</v>
      </c>
      <c r="O515" s="1" t="str">
        <f t="shared" si="419"/>
        <v>0</v>
      </c>
    </row>
    <row r="516" s="1" customFormat="1" spans="1:15">
      <c r="A516" s="1" t="str">
        <f t="shared" si="420"/>
        <v>202406</v>
      </c>
      <c r="B516" s="1" t="str">
        <f t="shared" si="421"/>
        <v>150525100</v>
      </c>
      <c r="C516" s="1" t="str">
        <f>"1014624280"</f>
        <v>1014624280</v>
      </c>
      <c r="D516" s="1" t="str">
        <f>"152326194902283074"</f>
        <v>152326194902283074</v>
      </c>
      <c r="E516" s="1" t="s">
        <v>555</v>
      </c>
      <c r="F516" s="1" t="s">
        <v>25</v>
      </c>
      <c r="G516" s="1" t="s">
        <v>19</v>
      </c>
      <c r="H516" s="1" t="str">
        <f>"75"</f>
        <v>75</v>
      </c>
      <c r="I516" s="1" t="str">
        <f t="shared" ref="I516:I521" si="425">"160"</f>
        <v>160</v>
      </c>
      <c r="J516" s="1" t="str">
        <f t="shared" si="422"/>
        <v>0</v>
      </c>
      <c r="K516" s="1" t="str">
        <f t="shared" si="423"/>
        <v>103</v>
      </c>
      <c r="L516" s="1" t="str">
        <f t="shared" si="424"/>
        <v>47</v>
      </c>
      <c r="M516" s="1" t="str">
        <f t="shared" si="391"/>
        <v>0</v>
      </c>
      <c r="N516" s="1" t="str">
        <f t="shared" si="392"/>
        <v>0</v>
      </c>
      <c r="O516" s="1" t="str">
        <f t="shared" si="419"/>
        <v>0</v>
      </c>
    </row>
    <row r="517" s="1" customFormat="1" spans="1:15">
      <c r="A517" s="1" t="str">
        <f t="shared" si="420"/>
        <v>202406</v>
      </c>
      <c r="B517" s="1" t="str">
        <f t="shared" si="421"/>
        <v>150525100</v>
      </c>
      <c r="C517" s="1" t="str">
        <f>"1014619262"</f>
        <v>1014619262</v>
      </c>
      <c r="D517" s="1" t="s">
        <v>556</v>
      </c>
      <c r="E517" s="1" t="s">
        <v>557</v>
      </c>
      <c r="F517" s="1" t="s">
        <v>16</v>
      </c>
      <c r="G517" s="1" t="s">
        <v>17</v>
      </c>
      <c r="H517" s="1" t="str">
        <f>"83"</f>
        <v>83</v>
      </c>
      <c r="I517" s="1" t="str">
        <f>"170"</f>
        <v>170</v>
      </c>
      <c r="J517" s="1" t="str">
        <f t="shared" si="422"/>
        <v>0</v>
      </c>
      <c r="K517" s="1" t="str">
        <f t="shared" si="423"/>
        <v>103</v>
      </c>
      <c r="L517" s="1" t="str">
        <f t="shared" si="424"/>
        <v>47</v>
      </c>
      <c r="M517" s="1" t="str">
        <f t="shared" si="391"/>
        <v>0</v>
      </c>
      <c r="N517" s="1" t="str">
        <f t="shared" si="392"/>
        <v>0</v>
      </c>
      <c r="O517" s="1" t="str">
        <f t="shared" si="419"/>
        <v>0</v>
      </c>
    </row>
    <row r="518" s="1" customFormat="1" spans="1:15">
      <c r="A518" s="1" t="str">
        <f t="shared" si="420"/>
        <v>202406</v>
      </c>
      <c r="B518" s="1" t="str">
        <f t="shared" si="421"/>
        <v>150525100</v>
      </c>
      <c r="C518" s="1" t="str">
        <f>"1014619810"</f>
        <v>1014619810</v>
      </c>
      <c r="D518" s="1" t="str">
        <f>"152326195101160693"</f>
        <v>152326195101160693</v>
      </c>
      <c r="E518" s="1" t="s">
        <v>558</v>
      </c>
      <c r="F518" s="1" t="s">
        <v>25</v>
      </c>
      <c r="G518" s="1" t="s">
        <v>19</v>
      </c>
      <c r="H518" s="1" t="str">
        <f>"73"</f>
        <v>73</v>
      </c>
      <c r="I518" s="1" t="str">
        <f t="shared" si="425"/>
        <v>160</v>
      </c>
      <c r="J518" s="1" t="str">
        <f t="shared" si="422"/>
        <v>0</v>
      </c>
      <c r="K518" s="1" t="str">
        <f t="shared" si="423"/>
        <v>103</v>
      </c>
      <c r="L518" s="1" t="str">
        <f t="shared" si="424"/>
        <v>47</v>
      </c>
      <c r="M518" s="1" t="str">
        <f t="shared" si="391"/>
        <v>0</v>
      </c>
      <c r="N518" s="1" t="str">
        <f t="shared" si="392"/>
        <v>0</v>
      </c>
      <c r="O518" s="1" t="str">
        <f t="shared" si="419"/>
        <v>0</v>
      </c>
    </row>
    <row r="519" s="1" customFormat="1" spans="1:15">
      <c r="A519" s="1" t="str">
        <f t="shared" si="420"/>
        <v>202406</v>
      </c>
      <c r="B519" s="1" t="str">
        <f t="shared" si="421"/>
        <v>150525100</v>
      </c>
      <c r="C519" s="1" t="str">
        <f>"1014622895"</f>
        <v>1014622895</v>
      </c>
      <c r="D519" s="1" t="str">
        <f>"152326195011250425"</f>
        <v>152326195011250425</v>
      </c>
      <c r="E519" s="1" t="s">
        <v>559</v>
      </c>
      <c r="F519" s="1" t="s">
        <v>16</v>
      </c>
      <c r="G519" s="1" t="s">
        <v>17</v>
      </c>
      <c r="H519" s="1" t="str">
        <f t="shared" ref="H519:H524" si="426">"74"</f>
        <v>74</v>
      </c>
      <c r="I519" s="1" t="str">
        <f t="shared" si="425"/>
        <v>160</v>
      </c>
      <c r="J519" s="1" t="str">
        <f t="shared" si="422"/>
        <v>0</v>
      </c>
      <c r="K519" s="1" t="str">
        <f t="shared" si="423"/>
        <v>103</v>
      </c>
      <c r="L519" s="1" t="str">
        <f t="shared" si="424"/>
        <v>47</v>
      </c>
      <c r="M519" s="1" t="str">
        <f t="shared" si="391"/>
        <v>0</v>
      </c>
      <c r="N519" s="1" t="str">
        <f t="shared" si="392"/>
        <v>0</v>
      </c>
      <c r="O519" s="1" t="str">
        <f t="shared" si="419"/>
        <v>0</v>
      </c>
    </row>
    <row r="520" s="1" customFormat="1" spans="1:15">
      <c r="A520" s="1" t="str">
        <f t="shared" si="420"/>
        <v>202406</v>
      </c>
      <c r="B520" s="1" t="str">
        <f t="shared" si="421"/>
        <v>150525100</v>
      </c>
      <c r="C520" s="1" t="str">
        <f>"1014622905"</f>
        <v>1014622905</v>
      </c>
      <c r="D520" s="1" t="str">
        <f>"152326195112160445"</f>
        <v>152326195112160445</v>
      </c>
      <c r="E520" s="1" t="s">
        <v>560</v>
      </c>
      <c r="F520" s="1" t="s">
        <v>16</v>
      </c>
      <c r="G520" s="1" t="s">
        <v>19</v>
      </c>
      <c r="H520" s="1" t="str">
        <f>"73"</f>
        <v>73</v>
      </c>
      <c r="I520" s="1" t="str">
        <f t="shared" si="425"/>
        <v>160</v>
      </c>
      <c r="J520" s="1" t="str">
        <f t="shared" si="422"/>
        <v>0</v>
      </c>
      <c r="K520" s="1" t="str">
        <f t="shared" si="423"/>
        <v>103</v>
      </c>
      <c r="L520" s="1" t="str">
        <f t="shared" si="424"/>
        <v>47</v>
      </c>
      <c r="M520" s="1" t="str">
        <f t="shared" si="391"/>
        <v>0</v>
      </c>
      <c r="N520" s="1" t="str">
        <f t="shared" si="392"/>
        <v>0</v>
      </c>
      <c r="O520" s="1" t="str">
        <f t="shared" si="419"/>
        <v>0</v>
      </c>
    </row>
    <row r="521" s="1" customFormat="1" spans="1:15">
      <c r="A521" s="1" t="str">
        <f t="shared" si="420"/>
        <v>202406</v>
      </c>
      <c r="B521" s="1" t="str">
        <f t="shared" si="421"/>
        <v>150525100</v>
      </c>
      <c r="C521" s="1" t="str">
        <f>"1014623281"</f>
        <v>1014623281</v>
      </c>
      <c r="D521" s="1" t="str">
        <f>"152326194706243083"</f>
        <v>152326194706243083</v>
      </c>
      <c r="E521" s="1" t="s">
        <v>561</v>
      </c>
      <c r="F521" s="1" t="s">
        <v>16</v>
      </c>
      <c r="G521" s="1" t="s">
        <v>17</v>
      </c>
      <c r="H521" s="1" t="str">
        <f>"77"</f>
        <v>77</v>
      </c>
      <c r="I521" s="1" t="str">
        <f t="shared" si="425"/>
        <v>160</v>
      </c>
      <c r="J521" s="1" t="str">
        <f t="shared" si="422"/>
        <v>0</v>
      </c>
      <c r="K521" s="1" t="str">
        <f t="shared" si="423"/>
        <v>103</v>
      </c>
      <c r="L521" s="1" t="str">
        <f t="shared" si="424"/>
        <v>47</v>
      </c>
      <c r="M521" s="1" t="str">
        <f t="shared" si="391"/>
        <v>0</v>
      </c>
      <c r="N521" s="1" t="str">
        <f t="shared" si="392"/>
        <v>0</v>
      </c>
      <c r="O521" s="1" t="str">
        <f t="shared" si="419"/>
        <v>0</v>
      </c>
    </row>
    <row r="522" s="1" customFormat="1" spans="1:15">
      <c r="A522" s="1" t="str">
        <f t="shared" si="420"/>
        <v>202406</v>
      </c>
      <c r="B522" s="1" t="str">
        <f t="shared" si="421"/>
        <v>150525100</v>
      </c>
      <c r="C522" s="1" t="str">
        <f>"1014622107"</f>
        <v>1014622107</v>
      </c>
      <c r="D522" s="1" t="str">
        <f>"152326194203076383"</f>
        <v>152326194203076383</v>
      </c>
      <c r="E522" s="1" t="s">
        <v>562</v>
      </c>
      <c r="F522" s="1" t="s">
        <v>16</v>
      </c>
      <c r="G522" s="1" t="s">
        <v>17</v>
      </c>
      <c r="H522" s="1" t="str">
        <f>"82"</f>
        <v>82</v>
      </c>
      <c r="I522" s="1" t="str">
        <f>"170"</f>
        <v>170</v>
      </c>
      <c r="J522" s="1" t="str">
        <f t="shared" si="422"/>
        <v>0</v>
      </c>
      <c r="K522" s="1" t="str">
        <f t="shared" si="423"/>
        <v>103</v>
      </c>
      <c r="L522" s="1" t="str">
        <f t="shared" si="424"/>
        <v>47</v>
      </c>
      <c r="M522" s="1" t="str">
        <f t="shared" si="391"/>
        <v>0</v>
      </c>
      <c r="N522" s="1" t="str">
        <f t="shared" si="392"/>
        <v>0</v>
      </c>
      <c r="O522" s="1" t="str">
        <f t="shared" si="419"/>
        <v>0</v>
      </c>
    </row>
    <row r="523" s="1" customFormat="1" spans="1:15">
      <c r="A523" s="1" t="str">
        <f t="shared" si="420"/>
        <v>202406</v>
      </c>
      <c r="B523" s="1" t="str">
        <f t="shared" si="421"/>
        <v>150525100</v>
      </c>
      <c r="C523" s="1" t="str">
        <f>"1014622122"</f>
        <v>1014622122</v>
      </c>
      <c r="D523" s="1" t="str">
        <f>"152326195005100666"</f>
        <v>152326195005100666</v>
      </c>
      <c r="E523" s="1" t="s">
        <v>563</v>
      </c>
      <c r="F523" s="1" t="s">
        <v>16</v>
      </c>
      <c r="G523" s="1" t="s">
        <v>17</v>
      </c>
      <c r="H523" s="1" t="str">
        <f t="shared" si="426"/>
        <v>74</v>
      </c>
      <c r="I523" s="1" t="str">
        <f t="shared" ref="I523:I526" si="427">"160"</f>
        <v>160</v>
      </c>
      <c r="J523" s="1" t="str">
        <f t="shared" si="422"/>
        <v>0</v>
      </c>
      <c r="K523" s="1" t="str">
        <f t="shared" si="423"/>
        <v>103</v>
      </c>
      <c r="L523" s="1" t="str">
        <f t="shared" si="424"/>
        <v>47</v>
      </c>
      <c r="M523" s="1" t="str">
        <f t="shared" si="391"/>
        <v>0</v>
      </c>
      <c r="N523" s="1" t="str">
        <f t="shared" si="392"/>
        <v>0</v>
      </c>
      <c r="O523" s="1" t="str">
        <f t="shared" si="419"/>
        <v>0</v>
      </c>
    </row>
    <row r="524" s="1" customFormat="1" spans="1:15">
      <c r="A524" s="1" t="str">
        <f t="shared" si="420"/>
        <v>202406</v>
      </c>
      <c r="B524" s="1" t="str">
        <f t="shared" si="421"/>
        <v>150525100</v>
      </c>
      <c r="C524" s="1" t="str">
        <f>"1014623841"</f>
        <v>1014623841</v>
      </c>
      <c r="D524" s="1" t="str">
        <f>"152326195006220678"</f>
        <v>152326195006220678</v>
      </c>
      <c r="E524" s="1" t="s">
        <v>564</v>
      </c>
      <c r="F524" s="1" t="s">
        <v>25</v>
      </c>
      <c r="G524" s="1" t="s">
        <v>17</v>
      </c>
      <c r="H524" s="1" t="str">
        <f t="shared" si="426"/>
        <v>74</v>
      </c>
      <c r="I524" s="1" t="str">
        <f t="shared" si="427"/>
        <v>160</v>
      </c>
      <c r="J524" s="1" t="str">
        <f t="shared" si="422"/>
        <v>0</v>
      </c>
      <c r="K524" s="1" t="str">
        <f t="shared" si="423"/>
        <v>103</v>
      </c>
      <c r="L524" s="1" t="str">
        <f t="shared" si="424"/>
        <v>47</v>
      </c>
      <c r="M524" s="1" t="str">
        <f t="shared" ref="M524:M587" si="428">"0"</f>
        <v>0</v>
      </c>
      <c r="N524" s="1" t="str">
        <f t="shared" ref="N524:N587" si="429">"0"</f>
        <v>0</v>
      </c>
      <c r="O524" s="1" t="str">
        <f t="shared" si="419"/>
        <v>0</v>
      </c>
    </row>
    <row r="525" s="1" customFormat="1" spans="1:15">
      <c r="A525" s="1" t="str">
        <f t="shared" si="420"/>
        <v>202406</v>
      </c>
      <c r="B525" s="1" t="str">
        <f t="shared" si="421"/>
        <v>150525100</v>
      </c>
      <c r="C525" s="1" t="str">
        <f>"1014623844"</f>
        <v>1014623844</v>
      </c>
      <c r="D525" s="1" t="str">
        <f>"152326195106040666"</f>
        <v>152326195106040666</v>
      </c>
      <c r="E525" s="1" t="s">
        <v>565</v>
      </c>
      <c r="F525" s="1" t="s">
        <v>16</v>
      </c>
      <c r="G525" s="1" t="s">
        <v>17</v>
      </c>
      <c r="H525" s="1" t="str">
        <f>"73"</f>
        <v>73</v>
      </c>
      <c r="I525" s="1" t="str">
        <f t="shared" si="427"/>
        <v>160</v>
      </c>
      <c r="J525" s="1" t="str">
        <f t="shared" si="422"/>
        <v>0</v>
      </c>
      <c r="K525" s="1" t="str">
        <f t="shared" si="423"/>
        <v>103</v>
      </c>
      <c r="L525" s="1" t="str">
        <f t="shared" si="424"/>
        <v>47</v>
      </c>
      <c r="M525" s="1" t="str">
        <f t="shared" si="428"/>
        <v>0</v>
      </c>
      <c r="N525" s="1" t="str">
        <f t="shared" si="429"/>
        <v>0</v>
      </c>
      <c r="O525" s="1" t="str">
        <f t="shared" si="419"/>
        <v>0</v>
      </c>
    </row>
    <row r="526" s="1" customFormat="1" spans="1:15">
      <c r="A526" s="1" t="str">
        <f t="shared" si="420"/>
        <v>202406</v>
      </c>
      <c r="B526" s="1" t="str">
        <f t="shared" si="421"/>
        <v>150525100</v>
      </c>
      <c r="C526" s="1" t="str">
        <f>"1014624311"</f>
        <v>1014624311</v>
      </c>
      <c r="D526" s="1" t="str">
        <f>"152326194802163083"</f>
        <v>152326194802163083</v>
      </c>
      <c r="E526" s="1" t="s">
        <v>23</v>
      </c>
      <c r="F526" s="1" t="s">
        <v>16</v>
      </c>
      <c r="G526" s="1" t="s">
        <v>19</v>
      </c>
      <c r="H526" s="1" t="str">
        <f>"76"</f>
        <v>76</v>
      </c>
      <c r="I526" s="1" t="str">
        <f t="shared" si="427"/>
        <v>160</v>
      </c>
      <c r="J526" s="1" t="str">
        <f t="shared" si="422"/>
        <v>0</v>
      </c>
      <c r="K526" s="1" t="str">
        <f t="shared" si="423"/>
        <v>103</v>
      </c>
      <c r="L526" s="1" t="str">
        <f t="shared" si="424"/>
        <v>47</v>
      </c>
      <c r="M526" s="1" t="str">
        <f t="shared" si="428"/>
        <v>0</v>
      </c>
      <c r="N526" s="1" t="str">
        <f t="shared" si="429"/>
        <v>0</v>
      </c>
      <c r="O526" s="1" t="str">
        <f t="shared" si="419"/>
        <v>0</v>
      </c>
    </row>
    <row r="527" s="1" customFormat="1" spans="1:15">
      <c r="A527" s="1" t="str">
        <f t="shared" si="420"/>
        <v>202406</v>
      </c>
      <c r="B527" s="1" t="str">
        <f t="shared" si="421"/>
        <v>150525100</v>
      </c>
      <c r="C527" s="1" t="str">
        <f>"1014624313"</f>
        <v>1014624313</v>
      </c>
      <c r="D527" s="1" t="str">
        <f>"152326194105033080"</f>
        <v>152326194105033080</v>
      </c>
      <c r="E527" s="1" t="s">
        <v>566</v>
      </c>
      <c r="F527" s="1" t="s">
        <v>16</v>
      </c>
      <c r="G527" s="1" t="s">
        <v>19</v>
      </c>
      <c r="H527" s="1" t="str">
        <f>"83"</f>
        <v>83</v>
      </c>
      <c r="I527" s="1" t="str">
        <f>"170"</f>
        <v>170</v>
      </c>
      <c r="J527" s="1" t="str">
        <f t="shared" si="422"/>
        <v>0</v>
      </c>
      <c r="K527" s="1" t="str">
        <f t="shared" si="423"/>
        <v>103</v>
      </c>
      <c r="L527" s="1" t="str">
        <f t="shared" si="424"/>
        <v>47</v>
      </c>
      <c r="M527" s="1" t="str">
        <f t="shared" si="428"/>
        <v>0</v>
      </c>
      <c r="N527" s="1" t="str">
        <f t="shared" si="429"/>
        <v>0</v>
      </c>
      <c r="O527" s="1" t="str">
        <f t="shared" si="419"/>
        <v>0</v>
      </c>
    </row>
    <row r="528" s="1" customFormat="1" spans="1:15">
      <c r="A528" s="1" t="str">
        <f t="shared" si="420"/>
        <v>202406</v>
      </c>
      <c r="B528" s="1" t="str">
        <f t="shared" si="421"/>
        <v>150525100</v>
      </c>
      <c r="C528" s="1" t="str">
        <f>"1014619824"</f>
        <v>1014619824</v>
      </c>
      <c r="D528" s="1" t="str">
        <f>"152326195104226379"</f>
        <v>152326195104226379</v>
      </c>
      <c r="E528" s="1" t="s">
        <v>567</v>
      </c>
      <c r="F528" s="1" t="s">
        <v>25</v>
      </c>
      <c r="G528" s="1" t="s">
        <v>19</v>
      </c>
      <c r="H528" s="1" t="str">
        <f>"73"</f>
        <v>73</v>
      </c>
      <c r="I528" s="1" t="str">
        <f t="shared" ref="I528:I530" si="430">"160"</f>
        <v>160</v>
      </c>
      <c r="J528" s="1" t="str">
        <f t="shared" si="422"/>
        <v>0</v>
      </c>
      <c r="K528" s="1" t="str">
        <f t="shared" si="423"/>
        <v>103</v>
      </c>
      <c r="L528" s="1" t="str">
        <f t="shared" si="424"/>
        <v>47</v>
      </c>
      <c r="M528" s="1" t="str">
        <f t="shared" si="428"/>
        <v>0</v>
      </c>
      <c r="N528" s="1" t="str">
        <f t="shared" si="429"/>
        <v>0</v>
      </c>
      <c r="O528" s="1" t="str">
        <f t="shared" si="419"/>
        <v>0</v>
      </c>
    </row>
    <row r="529" s="1" customFormat="1" spans="1:15">
      <c r="A529" s="1" t="str">
        <f t="shared" si="420"/>
        <v>202406</v>
      </c>
      <c r="B529" s="1" t="str">
        <f t="shared" si="421"/>
        <v>150525100</v>
      </c>
      <c r="C529" s="1" t="str">
        <f>"1014623291"</f>
        <v>1014623291</v>
      </c>
      <c r="D529" s="1" t="str">
        <f>"152326194709213082"</f>
        <v>152326194709213082</v>
      </c>
      <c r="E529" s="1" t="s">
        <v>568</v>
      </c>
      <c r="F529" s="1" t="s">
        <v>16</v>
      </c>
      <c r="G529" s="1" t="s">
        <v>17</v>
      </c>
      <c r="H529" s="1" t="str">
        <f>"77"</f>
        <v>77</v>
      </c>
      <c r="I529" s="1" t="str">
        <f t="shared" si="430"/>
        <v>160</v>
      </c>
      <c r="J529" s="1" t="str">
        <f t="shared" si="422"/>
        <v>0</v>
      </c>
      <c r="K529" s="1" t="str">
        <f t="shared" si="423"/>
        <v>103</v>
      </c>
      <c r="L529" s="1" t="str">
        <f t="shared" si="424"/>
        <v>47</v>
      </c>
      <c r="M529" s="1" t="str">
        <f t="shared" si="428"/>
        <v>0</v>
      </c>
      <c r="N529" s="1" t="str">
        <f t="shared" si="429"/>
        <v>0</v>
      </c>
      <c r="O529" s="1" t="str">
        <f t="shared" si="419"/>
        <v>0</v>
      </c>
    </row>
    <row r="530" s="1" customFormat="1" spans="1:15">
      <c r="A530" s="1" t="str">
        <f t="shared" si="420"/>
        <v>202406</v>
      </c>
      <c r="B530" s="1" t="str">
        <f t="shared" si="421"/>
        <v>150525100</v>
      </c>
      <c r="C530" s="1" t="str">
        <f>"1014623301"</f>
        <v>1014623301</v>
      </c>
      <c r="D530" s="1" t="str">
        <f>"152326194910153827"</f>
        <v>152326194910153827</v>
      </c>
      <c r="E530" s="1" t="s">
        <v>569</v>
      </c>
      <c r="F530" s="1" t="s">
        <v>16</v>
      </c>
      <c r="G530" s="1" t="s">
        <v>17</v>
      </c>
      <c r="H530" s="1" t="str">
        <f>"75"</f>
        <v>75</v>
      </c>
      <c r="I530" s="1" t="str">
        <f t="shared" si="430"/>
        <v>160</v>
      </c>
      <c r="J530" s="1" t="str">
        <f t="shared" si="422"/>
        <v>0</v>
      </c>
      <c r="K530" s="1" t="str">
        <f t="shared" si="423"/>
        <v>103</v>
      </c>
      <c r="L530" s="1" t="str">
        <f t="shared" si="424"/>
        <v>47</v>
      </c>
      <c r="M530" s="1" t="str">
        <f t="shared" si="428"/>
        <v>0</v>
      </c>
      <c r="N530" s="1" t="str">
        <f t="shared" si="429"/>
        <v>0</v>
      </c>
      <c r="O530" s="1" t="str">
        <f t="shared" si="419"/>
        <v>0</v>
      </c>
    </row>
    <row r="531" s="1" customFormat="1" spans="1:15">
      <c r="A531" s="1" t="str">
        <f t="shared" si="420"/>
        <v>202406</v>
      </c>
      <c r="B531" s="1" t="str">
        <f t="shared" si="421"/>
        <v>150525100</v>
      </c>
      <c r="C531" s="1" t="str">
        <f>"1014623730"</f>
        <v>1014623730</v>
      </c>
      <c r="D531" s="1" t="s">
        <v>570</v>
      </c>
      <c r="E531" s="1" t="s">
        <v>571</v>
      </c>
      <c r="F531" s="1" t="s">
        <v>25</v>
      </c>
      <c r="G531" s="1" t="s">
        <v>19</v>
      </c>
      <c r="H531" s="1" t="str">
        <f>"96"</f>
        <v>96</v>
      </c>
      <c r="I531" s="1" t="str">
        <f>"170"</f>
        <v>170</v>
      </c>
      <c r="J531" s="1" t="str">
        <f t="shared" si="422"/>
        <v>0</v>
      </c>
      <c r="K531" s="1" t="str">
        <f t="shared" si="423"/>
        <v>103</v>
      </c>
      <c r="L531" s="1" t="str">
        <f t="shared" si="424"/>
        <v>47</v>
      </c>
      <c r="M531" s="1" t="str">
        <f t="shared" si="428"/>
        <v>0</v>
      </c>
      <c r="N531" s="1" t="str">
        <f t="shared" si="429"/>
        <v>0</v>
      </c>
      <c r="O531" s="1" t="str">
        <f t="shared" si="419"/>
        <v>0</v>
      </c>
    </row>
    <row r="532" s="1" customFormat="1" spans="1:15">
      <c r="A532" s="1" t="str">
        <f t="shared" si="420"/>
        <v>202406</v>
      </c>
      <c r="B532" s="1" t="str">
        <f t="shared" si="421"/>
        <v>150525100</v>
      </c>
      <c r="C532" s="1" t="str">
        <f>"1014588914"</f>
        <v>1014588914</v>
      </c>
      <c r="D532" s="1" t="str">
        <f>"152326195203280426"</f>
        <v>152326195203280426</v>
      </c>
      <c r="E532" s="1" t="s">
        <v>572</v>
      </c>
      <c r="F532" s="1" t="s">
        <v>16</v>
      </c>
      <c r="G532" s="1" t="s">
        <v>17</v>
      </c>
      <c r="H532" s="1" t="str">
        <f>"72"</f>
        <v>72</v>
      </c>
      <c r="I532" s="1" t="str">
        <f>"162.15"</f>
        <v>162.15</v>
      </c>
      <c r="J532" s="1" t="str">
        <f t="shared" si="422"/>
        <v>0</v>
      </c>
      <c r="K532" s="1" t="str">
        <f t="shared" si="423"/>
        <v>103</v>
      </c>
      <c r="L532" s="1" t="str">
        <f t="shared" si="424"/>
        <v>47</v>
      </c>
      <c r="M532" s="1" t="str">
        <f t="shared" si="428"/>
        <v>0</v>
      </c>
      <c r="N532" s="1" t="str">
        <f t="shared" si="429"/>
        <v>0</v>
      </c>
      <c r="O532" s="1" t="str">
        <f>"2.15"</f>
        <v>2.15</v>
      </c>
    </row>
    <row r="533" s="1" customFormat="1" spans="1:15">
      <c r="A533" s="1" t="str">
        <f t="shared" si="420"/>
        <v>202406</v>
      </c>
      <c r="B533" s="1" t="str">
        <f t="shared" si="421"/>
        <v>150525100</v>
      </c>
      <c r="C533" s="1" t="str">
        <f>"1014588917"</f>
        <v>1014588917</v>
      </c>
      <c r="D533" s="1" t="str">
        <f>"152326195501040420"</f>
        <v>152326195501040420</v>
      </c>
      <c r="E533" s="1" t="s">
        <v>573</v>
      </c>
      <c r="F533" s="1" t="s">
        <v>16</v>
      </c>
      <c r="G533" s="1" t="s">
        <v>17</v>
      </c>
      <c r="H533" s="1" t="str">
        <f>"70"</f>
        <v>70</v>
      </c>
      <c r="I533" s="1" t="str">
        <f>"155.1"</f>
        <v>155.1</v>
      </c>
      <c r="J533" s="1" t="str">
        <f t="shared" si="422"/>
        <v>0</v>
      </c>
      <c r="K533" s="1" t="str">
        <f t="shared" si="423"/>
        <v>103</v>
      </c>
      <c r="L533" s="1" t="str">
        <f t="shared" si="424"/>
        <v>47</v>
      </c>
      <c r="M533" s="1" t="str">
        <f t="shared" si="428"/>
        <v>0</v>
      </c>
      <c r="N533" s="1" t="str">
        <f t="shared" si="429"/>
        <v>0</v>
      </c>
      <c r="O533" s="1" t="str">
        <f>"5.1"</f>
        <v>5.1</v>
      </c>
    </row>
    <row r="534" s="1" customFormat="1" spans="1:15">
      <c r="A534" s="1" t="str">
        <f t="shared" si="420"/>
        <v>202406</v>
      </c>
      <c r="B534" s="1" t="str">
        <f t="shared" si="421"/>
        <v>150525100</v>
      </c>
      <c r="C534" s="1" t="str">
        <f>"1014609508"</f>
        <v>1014609508</v>
      </c>
      <c r="D534" s="1" t="str">
        <f>"152326195108243811"</f>
        <v>152326195108243811</v>
      </c>
      <c r="E534" s="1" t="s">
        <v>574</v>
      </c>
      <c r="F534" s="1" t="s">
        <v>25</v>
      </c>
      <c r="G534" s="1" t="s">
        <v>19</v>
      </c>
      <c r="H534" s="1" t="str">
        <f>"73"</f>
        <v>73</v>
      </c>
      <c r="I534" s="1" t="str">
        <f t="shared" ref="I534:I540" si="431">"160"</f>
        <v>160</v>
      </c>
      <c r="J534" s="1" t="str">
        <f t="shared" si="422"/>
        <v>0</v>
      </c>
      <c r="K534" s="1" t="str">
        <f t="shared" si="423"/>
        <v>103</v>
      </c>
      <c r="L534" s="1" t="str">
        <f t="shared" si="424"/>
        <v>47</v>
      </c>
      <c r="M534" s="1" t="str">
        <f t="shared" si="428"/>
        <v>0</v>
      </c>
      <c r="N534" s="1" t="str">
        <f t="shared" si="429"/>
        <v>0</v>
      </c>
      <c r="O534" s="1" t="str">
        <f t="shared" ref="O534:O549" si="432">"0"</f>
        <v>0</v>
      </c>
    </row>
    <row r="535" s="1" customFormat="1" spans="1:15">
      <c r="A535" s="1" t="str">
        <f t="shared" si="420"/>
        <v>202406</v>
      </c>
      <c r="B535" s="1" t="str">
        <f t="shared" si="421"/>
        <v>150525100</v>
      </c>
      <c r="C535" s="1" t="str">
        <f>"1014609509"</f>
        <v>1014609509</v>
      </c>
      <c r="D535" s="1" t="str">
        <f>"152326195411253078"</f>
        <v>152326195411253078</v>
      </c>
      <c r="E535" s="1" t="s">
        <v>575</v>
      </c>
      <c r="F535" s="1" t="s">
        <v>25</v>
      </c>
      <c r="G535" s="1" t="s">
        <v>17</v>
      </c>
      <c r="H535" s="1" t="str">
        <f>"70"</f>
        <v>70</v>
      </c>
      <c r="I535" s="1" t="str">
        <f>"154.14"</f>
        <v>154.14</v>
      </c>
      <c r="J535" s="1" t="str">
        <f t="shared" si="422"/>
        <v>0</v>
      </c>
      <c r="K535" s="1" t="str">
        <f t="shared" si="423"/>
        <v>103</v>
      </c>
      <c r="L535" s="1" t="str">
        <f t="shared" si="424"/>
        <v>47</v>
      </c>
      <c r="M535" s="1" t="str">
        <f t="shared" si="428"/>
        <v>0</v>
      </c>
      <c r="N535" s="1" t="str">
        <f t="shared" si="429"/>
        <v>0</v>
      </c>
      <c r="O535" s="1" t="str">
        <f>"4.14"</f>
        <v>4.14</v>
      </c>
    </row>
    <row r="536" s="1" customFormat="1" spans="1:15">
      <c r="A536" s="1" t="str">
        <f t="shared" si="420"/>
        <v>202406</v>
      </c>
      <c r="B536" s="1" t="str">
        <f t="shared" si="421"/>
        <v>150525100</v>
      </c>
      <c r="C536" s="1" t="str">
        <f>"1014612779"</f>
        <v>1014612779</v>
      </c>
      <c r="D536" s="1" t="str">
        <f>"152326194003110911"</f>
        <v>152326194003110911</v>
      </c>
      <c r="E536" s="1" t="s">
        <v>576</v>
      </c>
      <c r="F536" s="1" t="s">
        <v>25</v>
      </c>
      <c r="G536" s="1" t="s">
        <v>19</v>
      </c>
      <c r="H536" s="1" t="str">
        <f>"84"</f>
        <v>84</v>
      </c>
      <c r="I536" s="1" t="str">
        <f>"170"</f>
        <v>170</v>
      </c>
      <c r="J536" s="1" t="str">
        <f t="shared" si="422"/>
        <v>0</v>
      </c>
      <c r="K536" s="1" t="str">
        <f t="shared" si="423"/>
        <v>103</v>
      </c>
      <c r="L536" s="1" t="str">
        <f t="shared" si="424"/>
        <v>47</v>
      </c>
      <c r="M536" s="1" t="str">
        <f t="shared" si="428"/>
        <v>0</v>
      </c>
      <c r="N536" s="1" t="str">
        <f t="shared" si="429"/>
        <v>0</v>
      </c>
      <c r="O536" s="1" t="str">
        <f t="shared" si="432"/>
        <v>0</v>
      </c>
    </row>
    <row r="537" s="1" customFormat="1" spans="1:15">
      <c r="A537" s="1" t="str">
        <f t="shared" si="420"/>
        <v>202406</v>
      </c>
      <c r="B537" s="1" t="str">
        <f t="shared" si="421"/>
        <v>150525100</v>
      </c>
      <c r="C537" s="1" t="str">
        <f>"1014613543"</f>
        <v>1014613543</v>
      </c>
      <c r="D537" s="1" t="str">
        <f>"152326194802020920"</f>
        <v>152326194802020920</v>
      </c>
      <c r="E537" s="1" t="s">
        <v>577</v>
      </c>
      <c r="F537" s="1" t="s">
        <v>16</v>
      </c>
      <c r="G537" s="1" t="s">
        <v>19</v>
      </c>
      <c r="H537" s="1" t="str">
        <f>"76"</f>
        <v>76</v>
      </c>
      <c r="I537" s="1" t="str">
        <f t="shared" si="431"/>
        <v>160</v>
      </c>
      <c r="J537" s="1" t="str">
        <f t="shared" si="422"/>
        <v>0</v>
      </c>
      <c r="K537" s="1" t="str">
        <f t="shared" si="423"/>
        <v>103</v>
      </c>
      <c r="L537" s="1" t="str">
        <f t="shared" si="424"/>
        <v>47</v>
      </c>
      <c r="M537" s="1" t="str">
        <f t="shared" si="428"/>
        <v>0</v>
      </c>
      <c r="N537" s="1" t="str">
        <f t="shared" si="429"/>
        <v>0</v>
      </c>
      <c r="O537" s="1" t="str">
        <f t="shared" si="432"/>
        <v>0</v>
      </c>
    </row>
    <row r="538" s="1" customFormat="1" spans="1:15">
      <c r="A538" s="1" t="str">
        <f t="shared" si="420"/>
        <v>202406</v>
      </c>
      <c r="B538" s="1" t="str">
        <f t="shared" si="421"/>
        <v>150525100</v>
      </c>
      <c r="C538" s="1" t="str">
        <f>"1014613548"</f>
        <v>1014613548</v>
      </c>
      <c r="D538" s="1" t="str">
        <f>"152326194409090922"</f>
        <v>152326194409090922</v>
      </c>
      <c r="E538" s="1" t="s">
        <v>578</v>
      </c>
      <c r="F538" s="1" t="s">
        <v>16</v>
      </c>
      <c r="G538" s="1" t="s">
        <v>19</v>
      </c>
      <c r="H538" s="1" t="str">
        <f>"80"</f>
        <v>80</v>
      </c>
      <c r="I538" s="1" t="str">
        <f t="shared" si="431"/>
        <v>160</v>
      </c>
      <c r="J538" s="1" t="str">
        <f t="shared" si="422"/>
        <v>0</v>
      </c>
      <c r="K538" s="1" t="str">
        <f t="shared" si="423"/>
        <v>103</v>
      </c>
      <c r="L538" s="1" t="str">
        <f t="shared" si="424"/>
        <v>47</v>
      </c>
      <c r="M538" s="1" t="str">
        <f t="shared" si="428"/>
        <v>0</v>
      </c>
      <c r="N538" s="1" t="str">
        <f t="shared" si="429"/>
        <v>0</v>
      </c>
      <c r="O538" s="1" t="str">
        <f t="shared" si="432"/>
        <v>0</v>
      </c>
    </row>
    <row r="539" s="1" customFormat="1" spans="1:15">
      <c r="A539" s="1" t="str">
        <f t="shared" si="420"/>
        <v>202406</v>
      </c>
      <c r="B539" s="1" t="str">
        <f t="shared" si="421"/>
        <v>150525100</v>
      </c>
      <c r="C539" s="1" t="str">
        <f>"1014613550"</f>
        <v>1014613550</v>
      </c>
      <c r="D539" s="1" t="s">
        <v>579</v>
      </c>
      <c r="E539" s="1" t="s">
        <v>580</v>
      </c>
      <c r="F539" s="1" t="s">
        <v>16</v>
      </c>
      <c r="G539" s="1" t="s">
        <v>19</v>
      </c>
      <c r="H539" s="1" t="str">
        <f>"79"</f>
        <v>79</v>
      </c>
      <c r="I539" s="1" t="str">
        <f t="shared" si="431"/>
        <v>160</v>
      </c>
      <c r="J539" s="1" t="str">
        <f t="shared" si="422"/>
        <v>0</v>
      </c>
      <c r="K539" s="1" t="str">
        <f t="shared" si="423"/>
        <v>103</v>
      </c>
      <c r="L539" s="1" t="str">
        <f t="shared" si="424"/>
        <v>47</v>
      </c>
      <c r="M539" s="1" t="str">
        <f t="shared" si="428"/>
        <v>0</v>
      </c>
      <c r="N539" s="1" t="str">
        <f t="shared" si="429"/>
        <v>0</v>
      </c>
      <c r="O539" s="1" t="str">
        <f t="shared" si="432"/>
        <v>0</v>
      </c>
    </row>
    <row r="540" s="1" customFormat="1" spans="1:15">
      <c r="A540" s="1" t="str">
        <f t="shared" si="420"/>
        <v>202406</v>
      </c>
      <c r="B540" s="1" t="str">
        <f t="shared" si="421"/>
        <v>150525100</v>
      </c>
      <c r="C540" s="1" t="str">
        <f>"1014623873"</f>
        <v>1014623873</v>
      </c>
      <c r="D540" s="1" t="str">
        <f>"152326194904130661"</f>
        <v>152326194904130661</v>
      </c>
      <c r="E540" s="1" t="s">
        <v>581</v>
      </c>
      <c r="F540" s="1" t="s">
        <v>16</v>
      </c>
      <c r="G540" s="1" t="s">
        <v>17</v>
      </c>
      <c r="H540" s="1" t="str">
        <f>"75"</f>
        <v>75</v>
      </c>
      <c r="I540" s="1" t="str">
        <f t="shared" si="431"/>
        <v>160</v>
      </c>
      <c r="J540" s="1" t="str">
        <f t="shared" si="422"/>
        <v>0</v>
      </c>
      <c r="K540" s="1" t="str">
        <f t="shared" si="423"/>
        <v>103</v>
      </c>
      <c r="L540" s="1" t="str">
        <f t="shared" si="424"/>
        <v>47</v>
      </c>
      <c r="M540" s="1" t="str">
        <f t="shared" si="428"/>
        <v>0</v>
      </c>
      <c r="N540" s="1" t="str">
        <f t="shared" si="429"/>
        <v>0</v>
      </c>
      <c r="O540" s="1" t="str">
        <f t="shared" si="432"/>
        <v>0</v>
      </c>
    </row>
    <row r="541" s="1" customFormat="1" spans="1:15">
      <c r="A541" s="1" t="str">
        <f t="shared" si="420"/>
        <v>202406</v>
      </c>
      <c r="B541" s="1" t="str">
        <f t="shared" si="421"/>
        <v>150525100</v>
      </c>
      <c r="C541" s="1" t="str">
        <f>"1014623875"</f>
        <v>1014623875</v>
      </c>
      <c r="D541" s="1" t="str">
        <f>"152326194101120689"</f>
        <v>152326194101120689</v>
      </c>
      <c r="E541" s="1" t="s">
        <v>582</v>
      </c>
      <c r="F541" s="1" t="s">
        <v>16</v>
      </c>
      <c r="G541" s="1" t="s">
        <v>17</v>
      </c>
      <c r="H541" s="1" t="str">
        <f>"83"</f>
        <v>83</v>
      </c>
      <c r="I541" s="1" t="str">
        <f t="shared" ref="I541:I544" si="433">"170"</f>
        <v>170</v>
      </c>
      <c r="J541" s="1" t="str">
        <f t="shared" si="422"/>
        <v>0</v>
      </c>
      <c r="K541" s="1" t="str">
        <f t="shared" si="423"/>
        <v>103</v>
      </c>
      <c r="L541" s="1" t="str">
        <f t="shared" si="424"/>
        <v>47</v>
      </c>
      <c r="M541" s="1" t="str">
        <f t="shared" si="428"/>
        <v>0</v>
      </c>
      <c r="N541" s="1" t="str">
        <f t="shared" si="429"/>
        <v>0</v>
      </c>
      <c r="O541" s="1" t="str">
        <f t="shared" si="432"/>
        <v>0</v>
      </c>
    </row>
    <row r="542" s="1" customFormat="1" spans="1:15">
      <c r="A542" s="1" t="str">
        <f t="shared" si="420"/>
        <v>202406</v>
      </c>
      <c r="B542" s="1" t="str">
        <f t="shared" si="421"/>
        <v>150525100</v>
      </c>
      <c r="C542" s="1" t="str">
        <f>"1014623877"</f>
        <v>1014623877</v>
      </c>
      <c r="D542" s="1" t="str">
        <f>"152326193505190670"</f>
        <v>152326193505190670</v>
      </c>
      <c r="E542" s="1" t="s">
        <v>583</v>
      </c>
      <c r="F542" s="1" t="s">
        <v>25</v>
      </c>
      <c r="G542" s="1" t="s">
        <v>17</v>
      </c>
      <c r="H542" s="1" t="str">
        <f>"89"</f>
        <v>89</v>
      </c>
      <c r="I542" s="1" t="str">
        <f t="shared" si="433"/>
        <v>170</v>
      </c>
      <c r="J542" s="1" t="str">
        <f t="shared" si="422"/>
        <v>0</v>
      </c>
      <c r="K542" s="1" t="str">
        <f t="shared" si="423"/>
        <v>103</v>
      </c>
      <c r="L542" s="1" t="str">
        <f t="shared" si="424"/>
        <v>47</v>
      </c>
      <c r="M542" s="1" t="str">
        <f t="shared" si="428"/>
        <v>0</v>
      </c>
      <c r="N542" s="1" t="str">
        <f t="shared" si="429"/>
        <v>0</v>
      </c>
      <c r="O542" s="1" t="str">
        <f t="shared" si="432"/>
        <v>0</v>
      </c>
    </row>
    <row r="543" s="1" customFormat="1" spans="1:15">
      <c r="A543" s="1" t="str">
        <f t="shared" si="420"/>
        <v>202406</v>
      </c>
      <c r="B543" s="1" t="str">
        <f t="shared" si="421"/>
        <v>150525100</v>
      </c>
      <c r="C543" s="1" t="str">
        <f>"1014624343"</f>
        <v>1014624343</v>
      </c>
      <c r="D543" s="1" t="str">
        <f>"152326195008180665"</f>
        <v>152326195008180665</v>
      </c>
      <c r="E543" s="1" t="s">
        <v>584</v>
      </c>
      <c r="F543" s="1" t="s">
        <v>16</v>
      </c>
      <c r="G543" s="1" t="s">
        <v>17</v>
      </c>
      <c r="H543" s="1" t="str">
        <f>"74"</f>
        <v>74</v>
      </c>
      <c r="I543" s="1" t="str">
        <f t="shared" ref="I543:I547" si="434">"160"</f>
        <v>160</v>
      </c>
      <c r="J543" s="1" t="str">
        <f t="shared" si="422"/>
        <v>0</v>
      </c>
      <c r="K543" s="1" t="str">
        <f t="shared" si="423"/>
        <v>103</v>
      </c>
      <c r="L543" s="1" t="str">
        <f t="shared" si="424"/>
        <v>47</v>
      </c>
      <c r="M543" s="1" t="str">
        <f t="shared" si="428"/>
        <v>0</v>
      </c>
      <c r="N543" s="1" t="str">
        <f t="shared" si="429"/>
        <v>0</v>
      </c>
      <c r="O543" s="1" t="str">
        <f t="shared" si="432"/>
        <v>0</v>
      </c>
    </row>
    <row r="544" s="1" customFormat="1" spans="1:15">
      <c r="A544" s="1" t="str">
        <f t="shared" si="420"/>
        <v>202406</v>
      </c>
      <c r="B544" s="1" t="str">
        <f t="shared" si="421"/>
        <v>150525100</v>
      </c>
      <c r="C544" s="1" t="str">
        <f>"1014624347"</f>
        <v>1014624347</v>
      </c>
      <c r="D544" s="1" t="str">
        <f>"152326193812190662"</f>
        <v>152326193812190662</v>
      </c>
      <c r="E544" s="1" t="s">
        <v>585</v>
      </c>
      <c r="F544" s="1" t="s">
        <v>16</v>
      </c>
      <c r="G544" s="1" t="s">
        <v>17</v>
      </c>
      <c r="H544" s="1" t="str">
        <f>"86"</f>
        <v>86</v>
      </c>
      <c r="I544" s="1" t="str">
        <f t="shared" si="433"/>
        <v>170</v>
      </c>
      <c r="J544" s="1" t="str">
        <f t="shared" si="422"/>
        <v>0</v>
      </c>
      <c r="K544" s="1" t="str">
        <f t="shared" si="423"/>
        <v>103</v>
      </c>
      <c r="L544" s="1" t="str">
        <f t="shared" si="424"/>
        <v>47</v>
      </c>
      <c r="M544" s="1" t="str">
        <f t="shared" si="428"/>
        <v>0</v>
      </c>
      <c r="N544" s="1" t="str">
        <f t="shared" si="429"/>
        <v>0</v>
      </c>
      <c r="O544" s="1" t="str">
        <f t="shared" si="432"/>
        <v>0</v>
      </c>
    </row>
    <row r="545" s="1" customFormat="1" spans="1:15">
      <c r="A545" s="1" t="str">
        <f t="shared" si="420"/>
        <v>202406</v>
      </c>
      <c r="B545" s="1" t="str">
        <f t="shared" si="421"/>
        <v>150525100</v>
      </c>
      <c r="C545" s="1" t="str">
        <f>"1014624354"</f>
        <v>1014624354</v>
      </c>
      <c r="D545" s="1" t="str">
        <f>"152326194503140674"</f>
        <v>152326194503140674</v>
      </c>
      <c r="E545" s="1" t="s">
        <v>82</v>
      </c>
      <c r="F545" s="1" t="s">
        <v>25</v>
      </c>
      <c r="G545" s="1" t="s">
        <v>17</v>
      </c>
      <c r="H545" s="1" t="str">
        <f>"79"</f>
        <v>79</v>
      </c>
      <c r="I545" s="1" t="str">
        <f t="shared" si="434"/>
        <v>160</v>
      </c>
      <c r="J545" s="1" t="str">
        <f t="shared" si="422"/>
        <v>0</v>
      </c>
      <c r="K545" s="1" t="str">
        <f t="shared" si="423"/>
        <v>103</v>
      </c>
      <c r="L545" s="1" t="str">
        <f t="shared" si="424"/>
        <v>47</v>
      </c>
      <c r="M545" s="1" t="str">
        <f t="shared" si="428"/>
        <v>0</v>
      </c>
      <c r="N545" s="1" t="str">
        <f t="shared" si="429"/>
        <v>0</v>
      </c>
      <c r="O545" s="1" t="str">
        <f t="shared" si="432"/>
        <v>0</v>
      </c>
    </row>
    <row r="546" s="1" customFormat="1" spans="1:15">
      <c r="A546" s="1" t="str">
        <f t="shared" si="420"/>
        <v>202406</v>
      </c>
      <c r="B546" s="1" t="str">
        <f t="shared" si="421"/>
        <v>150525100</v>
      </c>
      <c r="C546" s="1" t="str">
        <f>"1014619894"</f>
        <v>1014619894</v>
      </c>
      <c r="D546" s="1" t="str">
        <f>"152326194908083823"</f>
        <v>152326194908083823</v>
      </c>
      <c r="E546" s="1" t="s">
        <v>586</v>
      </c>
      <c r="F546" s="1" t="s">
        <v>16</v>
      </c>
      <c r="G546" s="1" t="s">
        <v>17</v>
      </c>
      <c r="H546" s="1" t="str">
        <f t="shared" ref="H546:H549" si="435">"75"</f>
        <v>75</v>
      </c>
      <c r="I546" s="1" t="str">
        <f t="shared" si="434"/>
        <v>160</v>
      </c>
      <c r="J546" s="1" t="str">
        <f t="shared" si="422"/>
        <v>0</v>
      </c>
      <c r="K546" s="1" t="str">
        <f t="shared" si="423"/>
        <v>103</v>
      </c>
      <c r="L546" s="1" t="str">
        <f t="shared" si="424"/>
        <v>47</v>
      </c>
      <c r="M546" s="1" t="str">
        <f t="shared" si="428"/>
        <v>0</v>
      </c>
      <c r="N546" s="1" t="str">
        <f t="shared" si="429"/>
        <v>0</v>
      </c>
      <c r="O546" s="1" t="str">
        <f t="shared" si="432"/>
        <v>0</v>
      </c>
    </row>
    <row r="547" s="1" customFormat="1" spans="1:15">
      <c r="A547" s="1" t="str">
        <f t="shared" si="420"/>
        <v>202406</v>
      </c>
      <c r="B547" s="1" t="str">
        <f t="shared" si="421"/>
        <v>150525100</v>
      </c>
      <c r="C547" s="1" t="str">
        <f>"1014619897"</f>
        <v>1014619897</v>
      </c>
      <c r="D547" s="1" t="str">
        <f>"152326194903193820"</f>
        <v>152326194903193820</v>
      </c>
      <c r="E547" s="1" t="s">
        <v>587</v>
      </c>
      <c r="F547" s="1" t="s">
        <v>16</v>
      </c>
      <c r="G547" s="1" t="s">
        <v>17</v>
      </c>
      <c r="H547" s="1" t="str">
        <f t="shared" si="435"/>
        <v>75</v>
      </c>
      <c r="I547" s="1" t="str">
        <f t="shared" si="434"/>
        <v>160</v>
      </c>
      <c r="J547" s="1" t="str">
        <f t="shared" si="422"/>
        <v>0</v>
      </c>
      <c r="K547" s="1" t="str">
        <f t="shared" si="423"/>
        <v>103</v>
      </c>
      <c r="L547" s="1" t="str">
        <f t="shared" si="424"/>
        <v>47</v>
      </c>
      <c r="M547" s="1" t="str">
        <f t="shared" si="428"/>
        <v>0</v>
      </c>
      <c r="N547" s="1" t="str">
        <f t="shared" si="429"/>
        <v>0</v>
      </c>
      <c r="O547" s="1" t="str">
        <f t="shared" si="432"/>
        <v>0</v>
      </c>
    </row>
    <row r="548" s="1" customFormat="1" spans="1:15">
      <c r="A548" s="1" t="str">
        <f t="shared" si="420"/>
        <v>202406</v>
      </c>
      <c r="B548" s="1" t="str">
        <f t="shared" si="421"/>
        <v>150525100</v>
      </c>
      <c r="C548" s="1" t="str">
        <f>"1014619907"</f>
        <v>1014619907</v>
      </c>
      <c r="D548" s="1" t="str">
        <f>"152326194310130445"</f>
        <v>152326194310130445</v>
      </c>
      <c r="E548" s="1" t="s">
        <v>588</v>
      </c>
      <c r="F548" s="1" t="s">
        <v>16</v>
      </c>
      <c r="G548" s="1" t="s">
        <v>17</v>
      </c>
      <c r="H548" s="1" t="str">
        <f>"81"</f>
        <v>81</v>
      </c>
      <c r="I548" s="1" t="str">
        <f>"170"</f>
        <v>170</v>
      </c>
      <c r="J548" s="1" t="str">
        <f t="shared" si="422"/>
        <v>0</v>
      </c>
      <c r="K548" s="1" t="str">
        <f t="shared" si="423"/>
        <v>103</v>
      </c>
      <c r="L548" s="1" t="str">
        <f t="shared" si="424"/>
        <v>47</v>
      </c>
      <c r="M548" s="1" t="str">
        <f t="shared" si="428"/>
        <v>0</v>
      </c>
      <c r="N548" s="1" t="str">
        <f t="shared" si="429"/>
        <v>0</v>
      </c>
      <c r="O548" s="1" t="str">
        <f t="shared" si="432"/>
        <v>0</v>
      </c>
    </row>
    <row r="549" s="1" customFormat="1" spans="1:15">
      <c r="A549" s="1" t="str">
        <f t="shared" si="420"/>
        <v>202406</v>
      </c>
      <c r="B549" s="1" t="str">
        <f t="shared" si="421"/>
        <v>150525100</v>
      </c>
      <c r="C549" s="1" t="str">
        <f>"1014623379"</f>
        <v>1014623379</v>
      </c>
      <c r="D549" s="1" t="str">
        <f>"152326194907170423"</f>
        <v>152326194907170423</v>
      </c>
      <c r="E549" s="1" t="s">
        <v>589</v>
      </c>
      <c r="F549" s="1" t="s">
        <v>16</v>
      </c>
      <c r="G549" s="1" t="s">
        <v>19</v>
      </c>
      <c r="H549" s="1" t="str">
        <f t="shared" si="435"/>
        <v>75</v>
      </c>
      <c r="I549" s="1" t="str">
        <f>"160"</f>
        <v>160</v>
      </c>
      <c r="J549" s="1" t="str">
        <f t="shared" si="422"/>
        <v>0</v>
      </c>
      <c r="K549" s="1" t="str">
        <f t="shared" si="423"/>
        <v>103</v>
      </c>
      <c r="L549" s="1" t="str">
        <f t="shared" si="424"/>
        <v>47</v>
      </c>
      <c r="M549" s="1" t="str">
        <f t="shared" si="428"/>
        <v>0</v>
      </c>
      <c r="N549" s="1" t="str">
        <f t="shared" si="429"/>
        <v>0</v>
      </c>
      <c r="O549" s="1" t="str">
        <f t="shared" si="432"/>
        <v>0</v>
      </c>
    </row>
    <row r="550" s="1" customFormat="1" spans="1:15">
      <c r="A550" s="1" t="str">
        <f t="shared" si="420"/>
        <v>202406</v>
      </c>
      <c r="B550" s="1" t="str">
        <f t="shared" si="421"/>
        <v>150525100</v>
      </c>
      <c r="C550" s="1" t="str">
        <f>"1014588941"</f>
        <v>1014588941</v>
      </c>
      <c r="D550" s="1" t="str">
        <f>"152326195702160410"</f>
        <v>152326195702160410</v>
      </c>
      <c r="E550" s="1" t="s">
        <v>590</v>
      </c>
      <c r="F550" s="1" t="s">
        <v>25</v>
      </c>
      <c r="G550" s="1" t="s">
        <v>17</v>
      </c>
      <c r="H550" s="1" t="str">
        <f>"67"</f>
        <v>67</v>
      </c>
      <c r="I550" s="1" t="str">
        <f>"156.04"</f>
        <v>156.04</v>
      </c>
      <c r="J550" s="1" t="str">
        <f t="shared" si="422"/>
        <v>0</v>
      </c>
      <c r="K550" s="1" t="str">
        <f t="shared" si="423"/>
        <v>103</v>
      </c>
      <c r="L550" s="1" t="str">
        <f t="shared" si="424"/>
        <v>47</v>
      </c>
      <c r="M550" s="1" t="str">
        <f t="shared" si="428"/>
        <v>0</v>
      </c>
      <c r="N550" s="1" t="str">
        <f t="shared" si="429"/>
        <v>0</v>
      </c>
      <c r="O550" s="1" t="str">
        <f>"6.04"</f>
        <v>6.04</v>
      </c>
    </row>
    <row r="551" s="1" customFormat="1" spans="1:15">
      <c r="A551" s="1" t="str">
        <f t="shared" si="420"/>
        <v>202406</v>
      </c>
      <c r="B551" s="1" t="str">
        <f t="shared" si="421"/>
        <v>150525100</v>
      </c>
      <c r="C551" s="1" t="str">
        <f>"1014588954"</f>
        <v>1014588954</v>
      </c>
      <c r="D551" s="1" t="str">
        <f>"152326195608010416"</f>
        <v>152326195608010416</v>
      </c>
      <c r="E551" s="1" t="s">
        <v>591</v>
      </c>
      <c r="F551" s="1" t="s">
        <v>25</v>
      </c>
      <c r="G551" s="1" t="s">
        <v>19</v>
      </c>
      <c r="H551" s="1" t="str">
        <f>"68"</f>
        <v>68</v>
      </c>
      <c r="I551" s="1" t="str">
        <f>"169.87"</f>
        <v>169.87</v>
      </c>
      <c r="J551" s="1" t="str">
        <f t="shared" si="422"/>
        <v>0</v>
      </c>
      <c r="K551" s="1" t="str">
        <f t="shared" si="423"/>
        <v>103</v>
      </c>
      <c r="L551" s="1" t="str">
        <f t="shared" si="424"/>
        <v>47</v>
      </c>
      <c r="M551" s="1" t="str">
        <f t="shared" si="428"/>
        <v>0</v>
      </c>
      <c r="N551" s="1" t="str">
        <f t="shared" si="429"/>
        <v>0</v>
      </c>
      <c r="O551" s="1" t="str">
        <f>"19.87"</f>
        <v>19.87</v>
      </c>
    </row>
    <row r="552" s="1" customFormat="1" spans="1:15">
      <c r="A552" s="1" t="str">
        <f t="shared" si="420"/>
        <v>202406</v>
      </c>
      <c r="B552" s="1" t="str">
        <f t="shared" si="421"/>
        <v>150525100</v>
      </c>
      <c r="C552" s="1" t="str">
        <f>"1014660696"</f>
        <v>1014660696</v>
      </c>
      <c r="D552" s="1" t="str">
        <f>"152326195407033080"</f>
        <v>152326195407033080</v>
      </c>
      <c r="E552" s="1" t="s">
        <v>592</v>
      </c>
      <c r="F552" s="1" t="s">
        <v>16</v>
      </c>
      <c r="G552" s="1" t="s">
        <v>19</v>
      </c>
      <c r="H552" s="1" t="str">
        <f>"70"</f>
        <v>70</v>
      </c>
      <c r="I552" s="1" t="str">
        <f>"154.14"</f>
        <v>154.14</v>
      </c>
      <c r="J552" s="1" t="str">
        <f t="shared" si="422"/>
        <v>0</v>
      </c>
      <c r="K552" s="1" t="str">
        <f t="shared" si="423"/>
        <v>103</v>
      </c>
      <c r="L552" s="1" t="str">
        <f t="shared" si="424"/>
        <v>47</v>
      </c>
      <c r="M552" s="1" t="str">
        <f t="shared" si="428"/>
        <v>0</v>
      </c>
      <c r="N552" s="1" t="str">
        <f t="shared" si="429"/>
        <v>0</v>
      </c>
      <c r="O552" s="1" t="str">
        <f>"4.14"</f>
        <v>4.14</v>
      </c>
    </row>
    <row r="553" s="1" customFormat="1" spans="1:15">
      <c r="A553" s="1" t="str">
        <f t="shared" si="420"/>
        <v>202406</v>
      </c>
      <c r="B553" s="1" t="str">
        <f t="shared" si="421"/>
        <v>150525100</v>
      </c>
      <c r="C553" s="1" t="str">
        <f>"1014656016"</f>
        <v>1014656016</v>
      </c>
      <c r="D553" s="1" t="str">
        <f>"152326195309270699"</f>
        <v>152326195309270699</v>
      </c>
      <c r="E553" s="1" t="s">
        <v>593</v>
      </c>
      <c r="F553" s="1" t="s">
        <v>25</v>
      </c>
      <c r="G553" s="1" t="s">
        <v>17</v>
      </c>
      <c r="H553" s="1" t="str">
        <f>"71"</f>
        <v>71</v>
      </c>
      <c r="I553" s="1" t="str">
        <f>"163.17"</f>
        <v>163.17</v>
      </c>
      <c r="J553" s="1" t="str">
        <f t="shared" si="422"/>
        <v>0</v>
      </c>
      <c r="K553" s="1" t="str">
        <f t="shared" si="423"/>
        <v>103</v>
      </c>
      <c r="L553" s="1" t="str">
        <f t="shared" si="424"/>
        <v>47</v>
      </c>
      <c r="M553" s="1" t="str">
        <f t="shared" si="428"/>
        <v>0</v>
      </c>
      <c r="N553" s="1" t="str">
        <f t="shared" si="429"/>
        <v>0</v>
      </c>
      <c r="O553" s="1" t="str">
        <f>"3.17"</f>
        <v>3.17</v>
      </c>
    </row>
    <row r="554" s="1" customFormat="1" spans="1:15">
      <c r="A554" s="1" t="str">
        <f t="shared" si="420"/>
        <v>202406</v>
      </c>
      <c r="B554" s="1" t="str">
        <f t="shared" si="421"/>
        <v>150525100</v>
      </c>
      <c r="C554" s="1" t="str">
        <f>"1043060992"</f>
        <v>1043060992</v>
      </c>
      <c r="D554" s="1" t="s">
        <v>594</v>
      </c>
      <c r="E554" s="1" t="s">
        <v>595</v>
      </c>
      <c r="F554" s="1" t="s">
        <v>16</v>
      </c>
      <c r="G554" s="1" t="s">
        <v>19</v>
      </c>
      <c r="H554" s="1" t="str">
        <f>"62"</f>
        <v>62</v>
      </c>
      <c r="I554" s="1" t="str">
        <f>"166.04"</f>
        <v>166.04</v>
      </c>
      <c r="J554" s="1" t="str">
        <f t="shared" si="422"/>
        <v>0</v>
      </c>
      <c r="K554" s="1" t="str">
        <f t="shared" si="423"/>
        <v>103</v>
      </c>
      <c r="L554" s="1" t="str">
        <f t="shared" si="424"/>
        <v>47</v>
      </c>
      <c r="M554" s="1" t="str">
        <f t="shared" si="428"/>
        <v>0</v>
      </c>
      <c r="N554" s="1" t="str">
        <f t="shared" si="429"/>
        <v>0</v>
      </c>
      <c r="O554" s="1" t="str">
        <f>"16.04"</f>
        <v>16.04</v>
      </c>
    </row>
    <row r="555" s="1" customFormat="1" spans="1:15">
      <c r="A555" s="1" t="str">
        <f t="shared" si="420"/>
        <v>202406</v>
      </c>
      <c r="B555" s="1" t="str">
        <f t="shared" si="421"/>
        <v>150525100</v>
      </c>
      <c r="C555" s="1" t="str">
        <f>"1043058004"</f>
        <v>1043058004</v>
      </c>
      <c r="D555" s="1" t="str">
        <f>"152326196307100674"</f>
        <v>152326196307100674</v>
      </c>
      <c r="E555" s="1" t="s">
        <v>596</v>
      </c>
      <c r="F555" s="1" t="s">
        <v>25</v>
      </c>
      <c r="G555" s="1" t="s">
        <v>19</v>
      </c>
      <c r="H555" s="1" t="str">
        <f>"61"</f>
        <v>61</v>
      </c>
      <c r="I555" s="1" t="str">
        <f>"168.04"</f>
        <v>168.04</v>
      </c>
      <c r="J555" s="1" t="str">
        <f t="shared" si="422"/>
        <v>0</v>
      </c>
      <c r="K555" s="1" t="str">
        <f t="shared" si="423"/>
        <v>103</v>
      </c>
      <c r="L555" s="1" t="str">
        <f t="shared" si="424"/>
        <v>47</v>
      </c>
      <c r="M555" s="1" t="str">
        <f t="shared" si="428"/>
        <v>0</v>
      </c>
      <c r="N555" s="1" t="str">
        <f t="shared" si="429"/>
        <v>0</v>
      </c>
      <c r="O555" s="1" t="str">
        <f>"18.04"</f>
        <v>18.04</v>
      </c>
    </row>
    <row r="556" s="1" customFormat="1" spans="1:15">
      <c r="A556" s="1" t="str">
        <f t="shared" si="420"/>
        <v>202406</v>
      </c>
      <c r="B556" s="1" t="str">
        <f t="shared" si="421"/>
        <v>150525100</v>
      </c>
      <c r="C556" s="1" t="str">
        <f>"1014547814"</f>
        <v>1014547814</v>
      </c>
      <c r="D556" s="1" t="str">
        <f>"152326196310106380"</f>
        <v>152326196310106380</v>
      </c>
      <c r="E556" s="1" t="s">
        <v>597</v>
      </c>
      <c r="F556" s="1" t="s">
        <v>16</v>
      </c>
      <c r="G556" s="1" t="s">
        <v>17</v>
      </c>
      <c r="H556" s="1" t="str">
        <f>"61"</f>
        <v>61</v>
      </c>
      <c r="I556" s="1" t="str">
        <f>"165.09"</f>
        <v>165.09</v>
      </c>
      <c r="J556" s="1" t="str">
        <f t="shared" si="422"/>
        <v>0</v>
      </c>
      <c r="K556" s="1" t="str">
        <f t="shared" si="423"/>
        <v>103</v>
      </c>
      <c r="L556" s="1" t="str">
        <f t="shared" si="424"/>
        <v>47</v>
      </c>
      <c r="M556" s="1" t="str">
        <f t="shared" si="428"/>
        <v>0</v>
      </c>
      <c r="N556" s="1" t="str">
        <f t="shared" si="429"/>
        <v>0</v>
      </c>
      <c r="O556" s="1" t="str">
        <f>"15.09"</f>
        <v>15.09</v>
      </c>
    </row>
    <row r="557" s="1" customFormat="1" spans="1:15">
      <c r="A557" s="1" t="str">
        <f t="shared" si="420"/>
        <v>202406</v>
      </c>
      <c r="B557" s="1" t="str">
        <f t="shared" si="421"/>
        <v>150525100</v>
      </c>
      <c r="C557" s="1" t="str">
        <f>"1015190813"</f>
        <v>1015190813</v>
      </c>
      <c r="D557" s="1" t="s">
        <v>598</v>
      </c>
      <c r="E557" s="1" t="s">
        <v>599</v>
      </c>
      <c r="F557" s="1" t="s">
        <v>25</v>
      </c>
      <c r="G557" s="1" t="s">
        <v>17</v>
      </c>
      <c r="H557" s="1" t="str">
        <f>"78"</f>
        <v>78</v>
      </c>
      <c r="I557" s="1" t="str">
        <f>"160"</f>
        <v>160</v>
      </c>
      <c r="J557" s="1" t="str">
        <f t="shared" si="422"/>
        <v>0</v>
      </c>
      <c r="K557" s="1" t="str">
        <f t="shared" si="423"/>
        <v>103</v>
      </c>
      <c r="L557" s="1" t="str">
        <f t="shared" si="424"/>
        <v>47</v>
      </c>
      <c r="M557" s="1" t="str">
        <f t="shared" si="428"/>
        <v>0</v>
      </c>
      <c r="N557" s="1" t="str">
        <f t="shared" si="429"/>
        <v>0</v>
      </c>
      <c r="O557" s="1" t="str">
        <f t="shared" ref="O557:O560" si="436">"0"</f>
        <v>0</v>
      </c>
    </row>
    <row r="558" s="1" customFormat="1" spans="1:15">
      <c r="A558" s="1" t="str">
        <f t="shared" si="420"/>
        <v>202406</v>
      </c>
      <c r="B558" s="1" t="str">
        <f t="shared" si="421"/>
        <v>150525100</v>
      </c>
      <c r="C558" s="1" t="str">
        <f>"1043033116"</f>
        <v>1043033116</v>
      </c>
      <c r="D558" s="1" t="str">
        <f>"152326196110170660"</f>
        <v>152326196110170660</v>
      </c>
      <c r="E558" s="1" t="s">
        <v>600</v>
      </c>
      <c r="F558" s="1" t="s">
        <v>16</v>
      </c>
      <c r="G558" s="1" t="s">
        <v>19</v>
      </c>
      <c r="H558" s="1" t="str">
        <f>"63"</f>
        <v>63</v>
      </c>
      <c r="I558" s="1" t="str">
        <f>"158.61"</f>
        <v>158.61</v>
      </c>
      <c r="J558" s="1" t="str">
        <f t="shared" si="422"/>
        <v>0</v>
      </c>
      <c r="K558" s="1" t="str">
        <f t="shared" si="423"/>
        <v>103</v>
      </c>
      <c r="L558" s="1" t="str">
        <f t="shared" si="424"/>
        <v>47</v>
      </c>
      <c r="M558" s="1" t="str">
        <f t="shared" si="428"/>
        <v>0</v>
      </c>
      <c r="N558" s="1" t="str">
        <f t="shared" si="429"/>
        <v>0</v>
      </c>
      <c r="O558" s="1" t="str">
        <f>"8.61"</f>
        <v>8.61</v>
      </c>
    </row>
    <row r="559" s="1" customFormat="1" spans="1:15">
      <c r="A559" s="1" t="str">
        <f t="shared" si="420"/>
        <v>202406</v>
      </c>
      <c r="B559" s="1" t="str">
        <f t="shared" si="421"/>
        <v>150525100</v>
      </c>
      <c r="C559" s="1" t="str">
        <f>"1015190787"</f>
        <v>1015190787</v>
      </c>
      <c r="D559" s="1" t="str">
        <f>"150525195006140013"</f>
        <v>150525195006140013</v>
      </c>
      <c r="E559" s="1" t="s">
        <v>601</v>
      </c>
      <c r="F559" s="1" t="s">
        <v>25</v>
      </c>
      <c r="G559" s="1" t="s">
        <v>19</v>
      </c>
      <c r="H559" s="1" t="str">
        <f>"74"</f>
        <v>74</v>
      </c>
      <c r="I559" s="1" t="str">
        <f>"160"</f>
        <v>160</v>
      </c>
      <c r="J559" s="1" t="str">
        <f t="shared" si="422"/>
        <v>0</v>
      </c>
      <c r="K559" s="1" t="str">
        <f t="shared" si="423"/>
        <v>103</v>
      </c>
      <c r="L559" s="1" t="str">
        <f t="shared" si="424"/>
        <v>47</v>
      </c>
      <c r="M559" s="1" t="str">
        <f t="shared" si="428"/>
        <v>0</v>
      </c>
      <c r="N559" s="1" t="str">
        <f t="shared" si="429"/>
        <v>0</v>
      </c>
      <c r="O559" s="1" t="str">
        <f t="shared" si="436"/>
        <v>0</v>
      </c>
    </row>
    <row r="560" s="1" customFormat="1" spans="1:15">
      <c r="A560" s="1" t="str">
        <f t="shared" si="420"/>
        <v>202406</v>
      </c>
      <c r="B560" s="1" t="str">
        <f t="shared" si="421"/>
        <v>150525100</v>
      </c>
      <c r="C560" s="1" t="str">
        <f>"1015190790"</f>
        <v>1015190790</v>
      </c>
      <c r="D560" s="1" t="str">
        <f>"152326193803183823"</f>
        <v>152326193803183823</v>
      </c>
      <c r="E560" s="1" t="s">
        <v>602</v>
      </c>
      <c r="F560" s="1" t="s">
        <v>16</v>
      </c>
      <c r="G560" s="1" t="s">
        <v>17</v>
      </c>
      <c r="H560" s="1" t="str">
        <f>"86"</f>
        <v>86</v>
      </c>
      <c r="I560" s="1" t="str">
        <f>"170"</f>
        <v>170</v>
      </c>
      <c r="J560" s="1" t="str">
        <f t="shared" si="422"/>
        <v>0</v>
      </c>
      <c r="K560" s="1" t="str">
        <f t="shared" si="423"/>
        <v>103</v>
      </c>
      <c r="L560" s="1" t="str">
        <f t="shared" si="424"/>
        <v>47</v>
      </c>
      <c r="M560" s="1" t="str">
        <f t="shared" si="428"/>
        <v>0</v>
      </c>
      <c r="N560" s="1" t="str">
        <f t="shared" si="429"/>
        <v>0</v>
      </c>
      <c r="O560" s="1" t="str">
        <f t="shared" si="436"/>
        <v>0</v>
      </c>
    </row>
    <row r="561" s="1" customFormat="1" spans="1:15">
      <c r="A561" s="1" t="str">
        <f t="shared" si="420"/>
        <v>202406</v>
      </c>
      <c r="B561" s="1" t="str">
        <f t="shared" si="421"/>
        <v>150525100</v>
      </c>
      <c r="C561" s="1" t="str">
        <f>"1040937381"</f>
        <v>1040937381</v>
      </c>
      <c r="D561" s="1" t="str">
        <f>"152326196012180419"</f>
        <v>152326196012180419</v>
      </c>
      <c r="E561" s="1" t="s">
        <v>603</v>
      </c>
      <c r="F561" s="1" t="s">
        <v>25</v>
      </c>
      <c r="G561" s="1" t="s">
        <v>17</v>
      </c>
      <c r="H561" s="1" t="str">
        <f>"64"</f>
        <v>64</v>
      </c>
      <c r="I561" s="1" t="str">
        <f>"158.67"</f>
        <v>158.67</v>
      </c>
      <c r="J561" s="1" t="str">
        <f t="shared" si="422"/>
        <v>0</v>
      </c>
      <c r="K561" s="1" t="str">
        <f t="shared" si="423"/>
        <v>103</v>
      </c>
      <c r="L561" s="1" t="str">
        <f t="shared" si="424"/>
        <v>47</v>
      </c>
      <c r="M561" s="1" t="str">
        <f t="shared" si="428"/>
        <v>0</v>
      </c>
      <c r="N561" s="1" t="str">
        <f t="shared" si="429"/>
        <v>0</v>
      </c>
      <c r="O561" s="1" t="str">
        <f>"8.67"</f>
        <v>8.67</v>
      </c>
    </row>
    <row r="562" s="1" customFormat="1" spans="1:15">
      <c r="A562" s="1" t="str">
        <f t="shared" si="420"/>
        <v>202406</v>
      </c>
      <c r="B562" s="1" t="str">
        <f t="shared" si="421"/>
        <v>150525100</v>
      </c>
      <c r="C562" s="1" t="str">
        <f>"1040937398"</f>
        <v>1040937398</v>
      </c>
      <c r="D562" s="1" t="str">
        <f>"152326196211290426"</f>
        <v>152326196211290426</v>
      </c>
      <c r="E562" s="1" t="s">
        <v>604</v>
      </c>
      <c r="F562" s="1" t="s">
        <v>16</v>
      </c>
      <c r="G562" s="1" t="s">
        <v>19</v>
      </c>
      <c r="H562" s="1" t="str">
        <f>"62"</f>
        <v>62</v>
      </c>
      <c r="I562" s="1" t="str">
        <f>"162.54"</f>
        <v>162.54</v>
      </c>
      <c r="J562" s="1" t="str">
        <f t="shared" si="422"/>
        <v>0</v>
      </c>
      <c r="K562" s="1" t="str">
        <f t="shared" si="423"/>
        <v>103</v>
      </c>
      <c r="L562" s="1" t="str">
        <f t="shared" si="424"/>
        <v>47</v>
      </c>
      <c r="M562" s="1" t="str">
        <f t="shared" si="428"/>
        <v>0</v>
      </c>
      <c r="N562" s="1" t="str">
        <f t="shared" si="429"/>
        <v>0</v>
      </c>
      <c r="O562" s="1" t="str">
        <f>"12.54"</f>
        <v>12.54</v>
      </c>
    </row>
    <row r="563" s="1" customFormat="1" spans="1:15">
      <c r="A563" s="1" t="str">
        <f t="shared" si="420"/>
        <v>202406</v>
      </c>
      <c r="B563" s="1" t="str">
        <f t="shared" si="421"/>
        <v>150525100</v>
      </c>
      <c r="C563" s="1" t="str">
        <f>"1040937476"</f>
        <v>1040937476</v>
      </c>
      <c r="D563" s="1" t="str">
        <f>"152326195606170926"</f>
        <v>152326195606170926</v>
      </c>
      <c r="E563" s="1" t="s">
        <v>605</v>
      </c>
      <c r="F563" s="1" t="s">
        <v>16</v>
      </c>
      <c r="G563" s="1" t="s">
        <v>19</v>
      </c>
      <c r="H563" s="1" t="str">
        <f>"68"</f>
        <v>68</v>
      </c>
      <c r="I563" s="1" t="str">
        <f>"154.54"</f>
        <v>154.54</v>
      </c>
      <c r="J563" s="1" t="str">
        <f t="shared" si="422"/>
        <v>0</v>
      </c>
      <c r="K563" s="1" t="str">
        <f t="shared" si="423"/>
        <v>103</v>
      </c>
      <c r="L563" s="1" t="str">
        <f t="shared" si="424"/>
        <v>47</v>
      </c>
      <c r="M563" s="1" t="str">
        <f t="shared" si="428"/>
        <v>0</v>
      </c>
      <c r="N563" s="1" t="str">
        <f t="shared" si="429"/>
        <v>0</v>
      </c>
      <c r="O563" s="1" t="str">
        <f>"4.54"</f>
        <v>4.54</v>
      </c>
    </row>
    <row r="564" s="1" customFormat="1" spans="1:15">
      <c r="A564" s="1" t="str">
        <f t="shared" si="420"/>
        <v>202406</v>
      </c>
      <c r="B564" s="1" t="str">
        <f t="shared" si="421"/>
        <v>150525100</v>
      </c>
      <c r="C564" s="1" t="str">
        <f>"1014547855"</f>
        <v>1014547855</v>
      </c>
      <c r="D564" s="1" t="str">
        <f>"152326195601203821"</f>
        <v>152326195601203821</v>
      </c>
      <c r="E564" s="1" t="s">
        <v>606</v>
      </c>
      <c r="F564" s="1" t="s">
        <v>16</v>
      </c>
      <c r="G564" s="1" t="s">
        <v>19</v>
      </c>
      <c r="H564" s="1" t="str">
        <f>"68"</f>
        <v>68</v>
      </c>
      <c r="I564" s="1" t="str">
        <f>"155.78"</f>
        <v>155.78</v>
      </c>
      <c r="J564" s="1" t="str">
        <f t="shared" si="422"/>
        <v>0</v>
      </c>
      <c r="K564" s="1" t="str">
        <f t="shared" si="423"/>
        <v>103</v>
      </c>
      <c r="L564" s="1" t="str">
        <f t="shared" si="424"/>
        <v>47</v>
      </c>
      <c r="M564" s="1" t="str">
        <f t="shared" si="428"/>
        <v>0</v>
      </c>
      <c r="N564" s="1" t="str">
        <f t="shared" si="429"/>
        <v>0</v>
      </c>
      <c r="O564" s="1" t="str">
        <f>"5.78"</f>
        <v>5.78</v>
      </c>
    </row>
    <row r="565" s="1" customFormat="1" spans="1:15">
      <c r="A565" s="1" t="str">
        <f t="shared" si="420"/>
        <v>202406</v>
      </c>
      <c r="B565" s="1" t="str">
        <f t="shared" si="421"/>
        <v>150525100</v>
      </c>
      <c r="C565" s="1" t="str">
        <f>"1014547852"</f>
        <v>1014547852</v>
      </c>
      <c r="D565" s="1" t="str">
        <f>"152326195203123834"</f>
        <v>152326195203123834</v>
      </c>
      <c r="E565" s="1" t="s">
        <v>607</v>
      </c>
      <c r="F565" s="1" t="s">
        <v>25</v>
      </c>
      <c r="G565" s="1" t="s">
        <v>19</v>
      </c>
      <c r="H565" s="1" t="str">
        <f>"72"</f>
        <v>72</v>
      </c>
      <c r="I565" s="1" t="str">
        <f>"162.15"</f>
        <v>162.15</v>
      </c>
      <c r="J565" s="1" t="str">
        <f t="shared" si="422"/>
        <v>0</v>
      </c>
      <c r="K565" s="1" t="str">
        <f t="shared" si="423"/>
        <v>103</v>
      </c>
      <c r="L565" s="1" t="str">
        <f t="shared" si="424"/>
        <v>47</v>
      </c>
      <c r="M565" s="1" t="str">
        <f t="shared" si="428"/>
        <v>0</v>
      </c>
      <c r="N565" s="1" t="str">
        <f t="shared" si="429"/>
        <v>0</v>
      </c>
      <c r="O565" s="1" t="str">
        <f>"2.15"</f>
        <v>2.15</v>
      </c>
    </row>
    <row r="566" s="1" customFormat="1" spans="1:15">
      <c r="A566" s="1" t="str">
        <f t="shared" si="420"/>
        <v>202406</v>
      </c>
      <c r="B566" s="1" t="str">
        <f t="shared" si="421"/>
        <v>150525100</v>
      </c>
      <c r="C566" s="1" t="str">
        <f>"1042709089"</f>
        <v>1042709089</v>
      </c>
      <c r="D566" s="1" t="str">
        <f>"152326196110290910"</f>
        <v>152326196110290910</v>
      </c>
      <c r="E566" s="1" t="s">
        <v>608</v>
      </c>
      <c r="F566" s="1" t="s">
        <v>25</v>
      </c>
      <c r="G566" s="1" t="s">
        <v>17</v>
      </c>
      <c r="H566" s="1" t="str">
        <f>"63"</f>
        <v>63</v>
      </c>
      <c r="I566" s="1" t="str">
        <f>"158.63"</f>
        <v>158.63</v>
      </c>
      <c r="J566" s="1" t="str">
        <f t="shared" si="422"/>
        <v>0</v>
      </c>
      <c r="K566" s="1" t="str">
        <f t="shared" si="423"/>
        <v>103</v>
      </c>
      <c r="L566" s="1" t="str">
        <f t="shared" si="424"/>
        <v>47</v>
      </c>
      <c r="M566" s="1" t="str">
        <f t="shared" si="428"/>
        <v>0</v>
      </c>
      <c r="N566" s="1" t="str">
        <f t="shared" si="429"/>
        <v>0</v>
      </c>
      <c r="O566" s="1" t="str">
        <f>"8.63"</f>
        <v>8.63</v>
      </c>
    </row>
    <row r="567" s="1" customFormat="1" spans="1:15">
      <c r="A567" s="1" t="str">
        <f t="shared" si="420"/>
        <v>202406</v>
      </c>
      <c r="B567" s="1" t="str">
        <f t="shared" si="421"/>
        <v>150525100</v>
      </c>
      <c r="C567" s="1" t="str">
        <f>"1014552313"</f>
        <v>1014552313</v>
      </c>
      <c r="D567" s="1" t="str">
        <f>"152326195302153828"</f>
        <v>152326195302153828</v>
      </c>
      <c r="E567" s="1" t="s">
        <v>609</v>
      </c>
      <c r="F567" s="1" t="s">
        <v>16</v>
      </c>
      <c r="G567" s="1" t="s">
        <v>19</v>
      </c>
      <c r="H567" s="1" t="str">
        <f>"71"</f>
        <v>71</v>
      </c>
      <c r="I567" s="1" t="str">
        <f>"163.16"</f>
        <v>163.16</v>
      </c>
      <c r="J567" s="1" t="str">
        <f t="shared" si="422"/>
        <v>0</v>
      </c>
      <c r="K567" s="1" t="str">
        <f t="shared" si="423"/>
        <v>103</v>
      </c>
      <c r="L567" s="1" t="str">
        <f t="shared" si="424"/>
        <v>47</v>
      </c>
      <c r="M567" s="1" t="str">
        <f t="shared" si="428"/>
        <v>0</v>
      </c>
      <c r="N567" s="1" t="str">
        <f t="shared" si="429"/>
        <v>0</v>
      </c>
      <c r="O567" s="1" t="str">
        <f>"3.16"</f>
        <v>3.16</v>
      </c>
    </row>
    <row r="568" s="1" customFormat="1" spans="1:15">
      <c r="A568" s="1" t="str">
        <f t="shared" si="420"/>
        <v>202406</v>
      </c>
      <c r="B568" s="1" t="str">
        <f t="shared" si="421"/>
        <v>150525100</v>
      </c>
      <c r="C568" s="1" t="str">
        <f>"1014575764"</f>
        <v>1014575764</v>
      </c>
      <c r="D568" s="1" t="str">
        <f>"152326195510290683"</f>
        <v>152326195510290683</v>
      </c>
      <c r="E568" s="1" t="s">
        <v>610</v>
      </c>
      <c r="F568" s="1" t="s">
        <v>16</v>
      </c>
      <c r="G568" s="1" t="s">
        <v>17</v>
      </c>
      <c r="H568" s="1" t="str">
        <f>"69"</f>
        <v>69</v>
      </c>
      <c r="I568" s="1" t="str">
        <f>"154.83"</f>
        <v>154.83</v>
      </c>
      <c r="J568" s="1" t="str">
        <f t="shared" si="422"/>
        <v>0</v>
      </c>
      <c r="K568" s="1" t="str">
        <f t="shared" si="423"/>
        <v>103</v>
      </c>
      <c r="L568" s="1" t="str">
        <f t="shared" si="424"/>
        <v>47</v>
      </c>
      <c r="M568" s="1" t="str">
        <f t="shared" si="428"/>
        <v>0</v>
      </c>
      <c r="N568" s="1" t="str">
        <f t="shared" si="429"/>
        <v>0</v>
      </c>
      <c r="O568" s="1" t="str">
        <f>"4.83"</f>
        <v>4.83</v>
      </c>
    </row>
    <row r="569" s="1" customFormat="1" spans="1:15">
      <c r="A569" s="1" t="str">
        <f t="shared" si="420"/>
        <v>202406</v>
      </c>
      <c r="B569" s="1" t="str">
        <f t="shared" si="421"/>
        <v>150525100</v>
      </c>
      <c r="C569" s="1" t="str">
        <f>"1014575768"</f>
        <v>1014575768</v>
      </c>
      <c r="D569" s="1" t="str">
        <f>"152326195606070706"</f>
        <v>152326195606070706</v>
      </c>
      <c r="E569" s="1" t="s">
        <v>611</v>
      </c>
      <c r="F569" s="1" t="s">
        <v>16</v>
      </c>
      <c r="G569" s="1" t="s">
        <v>17</v>
      </c>
      <c r="H569" s="1" t="str">
        <f>"68"</f>
        <v>68</v>
      </c>
      <c r="I569" s="1" t="str">
        <f>"155.99"</f>
        <v>155.99</v>
      </c>
      <c r="J569" s="1" t="str">
        <f t="shared" si="422"/>
        <v>0</v>
      </c>
      <c r="K569" s="1" t="str">
        <f t="shared" si="423"/>
        <v>103</v>
      </c>
      <c r="L569" s="1" t="str">
        <f t="shared" si="424"/>
        <v>47</v>
      </c>
      <c r="M569" s="1" t="str">
        <f t="shared" si="428"/>
        <v>0</v>
      </c>
      <c r="N569" s="1" t="str">
        <f t="shared" si="429"/>
        <v>0</v>
      </c>
      <c r="O569" s="1" t="str">
        <f>"5.99"</f>
        <v>5.99</v>
      </c>
    </row>
    <row r="570" s="1" customFormat="1" spans="1:15">
      <c r="A570" s="1" t="str">
        <f t="shared" si="420"/>
        <v>202406</v>
      </c>
      <c r="B570" s="1" t="str">
        <f t="shared" si="421"/>
        <v>150525100</v>
      </c>
      <c r="C570" s="1" t="str">
        <f>"1014575774"</f>
        <v>1014575774</v>
      </c>
      <c r="D570" s="1" t="str">
        <f>"152326195612120685"</f>
        <v>152326195612120685</v>
      </c>
      <c r="E570" s="1" t="s">
        <v>612</v>
      </c>
      <c r="F570" s="1" t="s">
        <v>16</v>
      </c>
      <c r="G570" s="1" t="s">
        <v>17</v>
      </c>
      <c r="H570" s="1" t="str">
        <f>"68"</f>
        <v>68</v>
      </c>
      <c r="I570" s="1" t="str">
        <f>"156.02"</f>
        <v>156.02</v>
      </c>
      <c r="J570" s="1" t="str">
        <f t="shared" si="422"/>
        <v>0</v>
      </c>
      <c r="K570" s="1" t="str">
        <f t="shared" si="423"/>
        <v>103</v>
      </c>
      <c r="L570" s="1" t="str">
        <f t="shared" si="424"/>
        <v>47</v>
      </c>
      <c r="M570" s="1" t="str">
        <f t="shared" si="428"/>
        <v>0</v>
      </c>
      <c r="N570" s="1" t="str">
        <f t="shared" si="429"/>
        <v>0</v>
      </c>
      <c r="O570" s="1" t="str">
        <f>"6.02"</f>
        <v>6.02</v>
      </c>
    </row>
    <row r="571" s="1" customFormat="1" spans="1:15">
      <c r="A571" s="1" t="str">
        <f t="shared" si="420"/>
        <v>202406</v>
      </c>
      <c r="B571" s="1" t="str">
        <f t="shared" si="421"/>
        <v>150525100</v>
      </c>
      <c r="C571" s="1" t="str">
        <f>"1014576426"</f>
        <v>1014576426</v>
      </c>
      <c r="D571" s="1" t="str">
        <f>"152326195205170669"</f>
        <v>152326195205170669</v>
      </c>
      <c r="E571" s="1" t="s">
        <v>613</v>
      </c>
      <c r="F571" s="1" t="s">
        <v>16</v>
      </c>
      <c r="G571" s="1" t="s">
        <v>17</v>
      </c>
      <c r="H571" s="1" t="str">
        <f>"72"</f>
        <v>72</v>
      </c>
      <c r="I571" s="1" t="str">
        <f>"162.14"</f>
        <v>162.14</v>
      </c>
      <c r="J571" s="1" t="str">
        <f t="shared" si="422"/>
        <v>0</v>
      </c>
      <c r="K571" s="1" t="str">
        <f t="shared" si="423"/>
        <v>103</v>
      </c>
      <c r="L571" s="1" t="str">
        <f t="shared" si="424"/>
        <v>47</v>
      </c>
      <c r="M571" s="1" t="str">
        <f t="shared" si="428"/>
        <v>0</v>
      </c>
      <c r="N571" s="1" t="str">
        <f t="shared" si="429"/>
        <v>0</v>
      </c>
      <c r="O571" s="1" t="str">
        <f>"2.14"</f>
        <v>2.14</v>
      </c>
    </row>
    <row r="572" s="1" customFormat="1" spans="1:15">
      <c r="A572" s="1" t="str">
        <f t="shared" si="420"/>
        <v>202406</v>
      </c>
      <c r="B572" s="1" t="str">
        <f t="shared" si="421"/>
        <v>150525100</v>
      </c>
      <c r="C572" s="1" t="str">
        <f>"1014576428"</f>
        <v>1014576428</v>
      </c>
      <c r="D572" s="1" t="str">
        <f>"152326195209100668"</f>
        <v>152326195209100668</v>
      </c>
      <c r="E572" s="1" t="s">
        <v>614</v>
      </c>
      <c r="F572" s="1" t="s">
        <v>16</v>
      </c>
      <c r="G572" s="1" t="s">
        <v>17</v>
      </c>
      <c r="H572" s="1" t="str">
        <f>"72"</f>
        <v>72</v>
      </c>
      <c r="I572" s="1" t="str">
        <f>"162.14"</f>
        <v>162.14</v>
      </c>
      <c r="J572" s="1" t="str">
        <f t="shared" si="422"/>
        <v>0</v>
      </c>
      <c r="K572" s="1" t="str">
        <f t="shared" si="423"/>
        <v>103</v>
      </c>
      <c r="L572" s="1" t="str">
        <f t="shared" si="424"/>
        <v>47</v>
      </c>
      <c r="M572" s="1" t="str">
        <f t="shared" si="428"/>
        <v>0</v>
      </c>
      <c r="N572" s="1" t="str">
        <f t="shared" si="429"/>
        <v>0</v>
      </c>
      <c r="O572" s="1" t="str">
        <f>"2.14"</f>
        <v>2.14</v>
      </c>
    </row>
    <row r="573" s="1" customFormat="1" spans="1:15">
      <c r="A573" s="1" t="str">
        <f t="shared" si="420"/>
        <v>202406</v>
      </c>
      <c r="B573" s="1" t="str">
        <f t="shared" si="421"/>
        <v>150525100</v>
      </c>
      <c r="C573" s="1" t="str">
        <f>"1014548028"</f>
        <v>1014548028</v>
      </c>
      <c r="D573" s="1" t="s">
        <v>615</v>
      </c>
      <c r="E573" s="1" t="s">
        <v>616</v>
      </c>
      <c r="F573" s="1" t="s">
        <v>25</v>
      </c>
      <c r="G573" s="1" t="s">
        <v>17</v>
      </c>
      <c r="H573" s="1" t="str">
        <f>"64"</f>
        <v>64</v>
      </c>
      <c r="I573" s="1" t="str">
        <f>"159.18"</f>
        <v>159.18</v>
      </c>
      <c r="J573" s="1" t="str">
        <f t="shared" si="422"/>
        <v>0</v>
      </c>
      <c r="K573" s="1" t="str">
        <f t="shared" si="423"/>
        <v>103</v>
      </c>
      <c r="L573" s="1" t="str">
        <f t="shared" si="424"/>
        <v>47</v>
      </c>
      <c r="M573" s="1" t="str">
        <f t="shared" si="428"/>
        <v>0</v>
      </c>
      <c r="N573" s="1" t="str">
        <f t="shared" si="429"/>
        <v>0</v>
      </c>
      <c r="O573" s="1" t="str">
        <f>"9.18"</f>
        <v>9.18</v>
      </c>
    </row>
    <row r="574" s="1" customFormat="1" spans="1:15">
      <c r="A574" s="1" t="str">
        <f t="shared" si="420"/>
        <v>202406</v>
      </c>
      <c r="B574" s="1" t="str">
        <f t="shared" si="421"/>
        <v>150525100</v>
      </c>
      <c r="C574" s="1" t="str">
        <f>"1014572004"</f>
        <v>1014572004</v>
      </c>
      <c r="D574" s="1" t="s">
        <v>617</v>
      </c>
      <c r="E574" s="1" t="s">
        <v>618</v>
      </c>
      <c r="F574" s="1" t="s">
        <v>16</v>
      </c>
      <c r="G574" s="1" t="s">
        <v>17</v>
      </c>
      <c r="H574" s="1" t="str">
        <f>"67"</f>
        <v>67</v>
      </c>
      <c r="I574" s="1" t="str">
        <f>"156.03"</f>
        <v>156.03</v>
      </c>
      <c r="J574" s="1" t="str">
        <f t="shared" si="422"/>
        <v>0</v>
      </c>
      <c r="K574" s="1" t="str">
        <f t="shared" si="423"/>
        <v>103</v>
      </c>
      <c r="L574" s="1" t="str">
        <f t="shared" si="424"/>
        <v>47</v>
      </c>
      <c r="M574" s="1" t="str">
        <f t="shared" si="428"/>
        <v>0</v>
      </c>
      <c r="N574" s="1" t="str">
        <f t="shared" si="429"/>
        <v>0</v>
      </c>
      <c r="O574" s="1" t="str">
        <f>"6.03"</f>
        <v>6.03</v>
      </c>
    </row>
    <row r="575" s="1" customFormat="1" spans="1:15">
      <c r="A575" s="1" t="str">
        <f t="shared" si="420"/>
        <v>202406</v>
      </c>
      <c r="B575" s="1" t="str">
        <f t="shared" si="421"/>
        <v>150525100</v>
      </c>
      <c r="C575" s="1" t="str">
        <f>"1014572027"</f>
        <v>1014572027</v>
      </c>
      <c r="D575" s="1" t="str">
        <f>"152326195412150425"</f>
        <v>152326195412150425</v>
      </c>
      <c r="E575" s="1" t="s">
        <v>619</v>
      </c>
      <c r="F575" s="1" t="s">
        <v>16</v>
      </c>
      <c r="G575" s="1" t="s">
        <v>17</v>
      </c>
      <c r="H575" s="1" t="str">
        <f>"70"</f>
        <v>70</v>
      </c>
      <c r="I575" s="1" t="str">
        <f>"154.14"</f>
        <v>154.14</v>
      </c>
      <c r="J575" s="1" t="str">
        <f t="shared" si="422"/>
        <v>0</v>
      </c>
      <c r="K575" s="1" t="str">
        <f t="shared" si="423"/>
        <v>103</v>
      </c>
      <c r="L575" s="1" t="str">
        <f t="shared" si="424"/>
        <v>47</v>
      </c>
      <c r="M575" s="1" t="str">
        <f t="shared" si="428"/>
        <v>0</v>
      </c>
      <c r="N575" s="1" t="str">
        <f t="shared" si="429"/>
        <v>0</v>
      </c>
      <c r="O575" s="1" t="str">
        <f>"4.14"</f>
        <v>4.14</v>
      </c>
    </row>
    <row r="576" s="1" customFormat="1" spans="1:15">
      <c r="A576" s="1" t="str">
        <f t="shared" si="420"/>
        <v>202406</v>
      </c>
      <c r="B576" s="1" t="str">
        <f t="shared" si="421"/>
        <v>150525100</v>
      </c>
      <c r="C576" s="1" t="str">
        <f>"1014576317"</f>
        <v>1014576317</v>
      </c>
      <c r="D576" s="1" t="str">
        <f>"152326196303070447"</f>
        <v>152326196303070447</v>
      </c>
      <c r="E576" s="1" t="s">
        <v>620</v>
      </c>
      <c r="F576" s="1" t="s">
        <v>16</v>
      </c>
      <c r="G576" s="1" t="s">
        <v>17</v>
      </c>
      <c r="H576" s="1" t="str">
        <f>"61"</f>
        <v>61</v>
      </c>
      <c r="I576" s="1" t="str">
        <f>"164.73"</f>
        <v>164.73</v>
      </c>
      <c r="J576" s="1" t="str">
        <f t="shared" si="422"/>
        <v>0</v>
      </c>
      <c r="K576" s="1" t="str">
        <f t="shared" si="423"/>
        <v>103</v>
      </c>
      <c r="L576" s="1" t="str">
        <f t="shared" si="424"/>
        <v>47</v>
      </c>
      <c r="M576" s="1" t="str">
        <f t="shared" si="428"/>
        <v>0</v>
      </c>
      <c r="N576" s="1" t="str">
        <f t="shared" si="429"/>
        <v>0</v>
      </c>
      <c r="O576" s="1" t="str">
        <f>"14.73"</f>
        <v>14.73</v>
      </c>
    </row>
    <row r="577" s="1" customFormat="1" spans="1:15">
      <c r="A577" s="1" t="str">
        <f t="shared" si="420"/>
        <v>202406</v>
      </c>
      <c r="B577" s="1" t="str">
        <f t="shared" si="421"/>
        <v>150525100</v>
      </c>
      <c r="C577" s="1" t="str">
        <f>"1014576653"</f>
        <v>1014576653</v>
      </c>
      <c r="D577" s="1" t="str">
        <f>"152326196101220670"</f>
        <v>152326196101220670</v>
      </c>
      <c r="E577" s="1" t="s">
        <v>621</v>
      </c>
      <c r="F577" s="1" t="s">
        <v>25</v>
      </c>
      <c r="G577" s="1" t="s">
        <v>19</v>
      </c>
      <c r="H577" s="1" t="str">
        <f>"63"</f>
        <v>63</v>
      </c>
      <c r="I577" s="1" t="str">
        <f>"161"</f>
        <v>161</v>
      </c>
      <c r="J577" s="1" t="str">
        <f t="shared" si="422"/>
        <v>0</v>
      </c>
      <c r="K577" s="1" t="str">
        <f t="shared" si="423"/>
        <v>103</v>
      </c>
      <c r="L577" s="1" t="str">
        <f t="shared" si="424"/>
        <v>47</v>
      </c>
      <c r="M577" s="1" t="str">
        <f t="shared" si="428"/>
        <v>0</v>
      </c>
      <c r="N577" s="1" t="str">
        <f t="shared" si="429"/>
        <v>0</v>
      </c>
      <c r="O577" s="1" t="str">
        <f>"11"</f>
        <v>11</v>
      </c>
    </row>
    <row r="578" s="1" customFormat="1" spans="1:15">
      <c r="A578" s="1" t="str">
        <f t="shared" ref="A578:A641" si="437">"202406"</f>
        <v>202406</v>
      </c>
      <c r="B578" s="1" t="str">
        <f t="shared" ref="B578:B641" si="438">"150525100"</f>
        <v>150525100</v>
      </c>
      <c r="C578" s="1" t="str">
        <f>"1014576659"</f>
        <v>1014576659</v>
      </c>
      <c r="D578" s="1" t="str">
        <f>"152326195610256124"</f>
        <v>152326195610256124</v>
      </c>
      <c r="E578" s="1" t="s">
        <v>622</v>
      </c>
      <c r="F578" s="1" t="s">
        <v>16</v>
      </c>
      <c r="G578" s="1" t="s">
        <v>17</v>
      </c>
      <c r="H578" s="1" t="str">
        <f>"68"</f>
        <v>68</v>
      </c>
      <c r="I578" s="1" t="str">
        <f>"156.01"</f>
        <v>156.01</v>
      </c>
      <c r="J578" s="1" t="str">
        <f t="shared" si="422"/>
        <v>0</v>
      </c>
      <c r="K578" s="1" t="str">
        <f t="shared" si="423"/>
        <v>103</v>
      </c>
      <c r="L578" s="1" t="str">
        <f t="shared" si="424"/>
        <v>47</v>
      </c>
      <c r="M578" s="1" t="str">
        <f t="shared" si="428"/>
        <v>0</v>
      </c>
      <c r="N578" s="1" t="str">
        <f t="shared" si="429"/>
        <v>0</v>
      </c>
      <c r="O578" s="1" t="str">
        <f>"6.01"</f>
        <v>6.01</v>
      </c>
    </row>
    <row r="579" s="1" customFormat="1" spans="1:15">
      <c r="A579" s="1" t="str">
        <f t="shared" si="437"/>
        <v>202406</v>
      </c>
      <c r="B579" s="1" t="str">
        <f t="shared" si="438"/>
        <v>150525100</v>
      </c>
      <c r="C579" s="1" t="str">
        <f>"1014548032"</f>
        <v>1014548032</v>
      </c>
      <c r="D579" s="1" t="str">
        <f>"152326195110163810"</f>
        <v>152326195110163810</v>
      </c>
      <c r="E579" s="1" t="s">
        <v>623</v>
      </c>
      <c r="F579" s="1" t="s">
        <v>25</v>
      </c>
      <c r="G579" s="1" t="s">
        <v>17</v>
      </c>
      <c r="H579" s="1" t="str">
        <f>"73"</f>
        <v>73</v>
      </c>
      <c r="I579" s="1" t="str">
        <f>"160"</f>
        <v>160</v>
      </c>
      <c r="J579" s="1" t="str">
        <f t="shared" ref="J579:J593" si="439">"0"</f>
        <v>0</v>
      </c>
      <c r="K579" s="1" t="str">
        <f t="shared" ref="K579:K593" si="440">"103"</f>
        <v>103</v>
      </c>
      <c r="L579" s="1" t="str">
        <f t="shared" ref="L579:L593" si="441">"47"</f>
        <v>47</v>
      </c>
      <c r="M579" s="1" t="str">
        <f t="shared" si="428"/>
        <v>0</v>
      </c>
      <c r="N579" s="1" t="str">
        <f t="shared" si="429"/>
        <v>0</v>
      </c>
      <c r="O579" s="1" t="str">
        <f>"0"</f>
        <v>0</v>
      </c>
    </row>
    <row r="580" s="1" customFormat="1" spans="1:15">
      <c r="A580" s="1" t="str">
        <f t="shared" si="437"/>
        <v>202406</v>
      </c>
      <c r="B580" s="1" t="str">
        <f t="shared" si="438"/>
        <v>150525100</v>
      </c>
      <c r="C580" s="1" t="str">
        <f>"1014548033"</f>
        <v>1014548033</v>
      </c>
      <c r="D580" s="1" t="str">
        <f>"152326195201023813"</f>
        <v>152326195201023813</v>
      </c>
      <c r="E580" s="1" t="s">
        <v>624</v>
      </c>
      <c r="F580" s="1" t="s">
        <v>25</v>
      </c>
      <c r="G580" s="1" t="s">
        <v>17</v>
      </c>
      <c r="H580" s="1" t="str">
        <f>"73"</f>
        <v>73</v>
      </c>
      <c r="I580" s="1" t="str">
        <f>"162.15"</f>
        <v>162.15</v>
      </c>
      <c r="J580" s="1" t="str">
        <f t="shared" si="439"/>
        <v>0</v>
      </c>
      <c r="K580" s="1" t="str">
        <f t="shared" si="440"/>
        <v>103</v>
      </c>
      <c r="L580" s="1" t="str">
        <f t="shared" si="441"/>
        <v>47</v>
      </c>
      <c r="M580" s="1" t="str">
        <f t="shared" si="428"/>
        <v>0</v>
      </c>
      <c r="N580" s="1" t="str">
        <f t="shared" si="429"/>
        <v>0</v>
      </c>
      <c r="O580" s="1" t="str">
        <f>"2.15"</f>
        <v>2.15</v>
      </c>
    </row>
    <row r="581" s="1" customFormat="1" spans="1:15">
      <c r="A581" s="1" t="str">
        <f t="shared" si="437"/>
        <v>202406</v>
      </c>
      <c r="B581" s="1" t="str">
        <f t="shared" si="438"/>
        <v>150525100</v>
      </c>
      <c r="C581" s="1" t="str">
        <f>"1014548037"</f>
        <v>1014548037</v>
      </c>
      <c r="D581" s="1" t="str">
        <f>"152326195311293814"</f>
        <v>152326195311293814</v>
      </c>
      <c r="E581" s="1" t="s">
        <v>625</v>
      </c>
      <c r="F581" s="1" t="s">
        <v>25</v>
      </c>
      <c r="G581" s="1" t="s">
        <v>17</v>
      </c>
      <c r="H581" s="1" t="str">
        <f>"71"</f>
        <v>71</v>
      </c>
      <c r="I581" s="1" t="str">
        <f>"163.16"</f>
        <v>163.16</v>
      </c>
      <c r="J581" s="1" t="str">
        <f t="shared" si="439"/>
        <v>0</v>
      </c>
      <c r="K581" s="1" t="str">
        <f t="shared" si="440"/>
        <v>103</v>
      </c>
      <c r="L581" s="1" t="str">
        <f t="shared" si="441"/>
        <v>47</v>
      </c>
      <c r="M581" s="1" t="str">
        <f t="shared" si="428"/>
        <v>0</v>
      </c>
      <c r="N581" s="1" t="str">
        <f t="shared" si="429"/>
        <v>0</v>
      </c>
      <c r="O581" s="1" t="str">
        <f>"3.16"</f>
        <v>3.16</v>
      </c>
    </row>
    <row r="582" s="1" customFormat="1" spans="1:15">
      <c r="A582" s="1" t="str">
        <f t="shared" si="437"/>
        <v>202406</v>
      </c>
      <c r="B582" s="1" t="str">
        <f t="shared" si="438"/>
        <v>150525100</v>
      </c>
      <c r="C582" s="1" t="str">
        <f>"1014552374"</f>
        <v>1014552374</v>
      </c>
      <c r="D582" s="1" t="s">
        <v>626</v>
      </c>
      <c r="E582" s="1" t="s">
        <v>627</v>
      </c>
      <c r="F582" s="1" t="s">
        <v>16</v>
      </c>
      <c r="G582" s="1" t="s">
        <v>19</v>
      </c>
      <c r="H582" s="1" t="str">
        <f>"62"</f>
        <v>62</v>
      </c>
      <c r="I582" s="1" t="str">
        <f>"162.75"</f>
        <v>162.75</v>
      </c>
      <c r="J582" s="1" t="str">
        <f t="shared" si="439"/>
        <v>0</v>
      </c>
      <c r="K582" s="1" t="str">
        <f t="shared" si="440"/>
        <v>103</v>
      </c>
      <c r="L582" s="1" t="str">
        <f t="shared" si="441"/>
        <v>47</v>
      </c>
      <c r="M582" s="1" t="str">
        <f t="shared" si="428"/>
        <v>0</v>
      </c>
      <c r="N582" s="1" t="str">
        <f t="shared" si="429"/>
        <v>0</v>
      </c>
      <c r="O582" s="1" t="str">
        <f>"12.75"</f>
        <v>12.75</v>
      </c>
    </row>
    <row r="583" s="1" customFormat="1" spans="1:15">
      <c r="A583" s="1" t="str">
        <f t="shared" si="437"/>
        <v>202406</v>
      </c>
      <c r="B583" s="1" t="str">
        <f t="shared" si="438"/>
        <v>150525100</v>
      </c>
      <c r="C583" s="1" t="str">
        <f>"1014576177"</f>
        <v>1014576177</v>
      </c>
      <c r="D583" s="1" t="str">
        <f>"152326195511150674"</f>
        <v>152326195511150674</v>
      </c>
      <c r="E583" s="1" t="s">
        <v>628</v>
      </c>
      <c r="F583" s="1" t="s">
        <v>25</v>
      </c>
      <c r="G583" s="1" t="s">
        <v>96</v>
      </c>
      <c r="H583" s="1" t="str">
        <f>"69"</f>
        <v>69</v>
      </c>
      <c r="I583" s="1" t="str">
        <f>"155.09"</f>
        <v>155.09</v>
      </c>
      <c r="J583" s="1" t="str">
        <f t="shared" si="439"/>
        <v>0</v>
      </c>
      <c r="K583" s="1" t="str">
        <f t="shared" si="440"/>
        <v>103</v>
      </c>
      <c r="L583" s="1" t="str">
        <f t="shared" si="441"/>
        <v>47</v>
      </c>
      <c r="M583" s="1" t="str">
        <f t="shared" si="428"/>
        <v>0</v>
      </c>
      <c r="N583" s="1" t="str">
        <f t="shared" si="429"/>
        <v>0</v>
      </c>
      <c r="O583" s="1" t="str">
        <f>"5.09"</f>
        <v>5.09</v>
      </c>
    </row>
    <row r="584" s="1" customFormat="1" spans="1:15">
      <c r="A584" s="1" t="str">
        <f t="shared" si="437"/>
        <v>202406</v>
      </c>
      <c r="B584" s="1" t="str">
        <f t="shared" si="438"/>
        <v>150525100</v>
      </c>
      <c r="C584" s="1" t="str">
        <f>"1014576178"</f>
        <v>1014576178</v>
      </c>
      <c r="D584" s="1" t="str">
        <f>"152326195512050667"</f>
        <v>152326195512050667</v>
      </c>
      <c r="E584" s="1" t="s">
        <v>629</v>
      </c>
      <c r="F584" s="1" t="s">
        <v>16</v>
      </c>
      <c r="G584" s="1" t="s">
        <v>96</v>
      </c>
      <c r="H584" s="1" t="str">
        <f>"69"</f>
        <v>69</v>
      </c>
      <c r="I584" s="1" t="str">
        <f>"155.09"</f>
        <v>155.09</v>
      </c>
      <c r="J584" s="1" t="str">
        <f t="shared" si="439"/>
        <v>0</v>
      </c>
      <c r="K584" s="1" t="str">
        <f t="shared" si="440"/>
        <v>103</v>
      </c>
      <c r="L584" s="1" t="str">
        <f t="shared" si="441"/>
        <v>47</v>
      </c>
      <c r="M584" s="1" t="str">
        <f t="shared" si="428"/>
        <v>0</v>
      </c>
      <c r="N584" s="1" t="str">
        <f t="shared" si="429"/>
        <v>0</v>
      </c>
      <c r="O584" s="1" t="str">
        <f>"5.09"</f>
        <v>5.09</v>
      </c>
    </row>
    <row r="585" s="1" customFormat="1" spans="1:15">
      <c r="A585" s="1" t="str">
        <f t="shared" si="437"/>
        <v>202406</v>
      </c>
      <c r="B585" s="1" t="str">
        <f t="shared" si="438"/>
        <v>150525100</v>
      </c>
      <c r="C585" s="1" t="str">
        <f>"1014576342"</f>
        <v>1014576342</v>
      </c>
      <c r="D585" s="1" t="str">
        <f>"152326196203210692"</f>
        <v>152326196203210692</v>
      </c>
      <c r="E585" s="1" t="s">
        <v>630</v>
      </c>
      <c r="F585" s="1" t="s">
        <v>25</v>
      </c>
      <c r="G585" s="1" t="s">
        <v>19</v>
      </c>
      <c r="H585" s="1" t="str">
        <f>"62"</f>
        <v>62</v>
      </c>
      <c r="I585" s="1" t="str">
        <f>"174.48"</f>
        <v>174.48</v>
      </c>
      <c r="J585" s="1" t="str">
        <f t="shared" si="439"/>
        <v>0</v>
      </c>
      <c r="K585" s="1" t="str">
        <f t="shared" si="440"/>
        <v>103</v>
      </c>
      <c r="L585" s="1" t="str">
        <f t="shared" si="441"/>
        <v>47</v>
      </c>
      <c r="M585" s="1" t="str">
        <f t="shared" si="428"/>
        <v>0</v>
      </c>
      <c r="N585" s="1" t="str">
        <f t="shared" si="429"/>
        <v>0</v>
      </c>
      <c r="O585" s="1" t="str">
        <f>"24.48"</f>
        <v>24.48</v>
      </c>
    </row>
    <row r="586" s="1" customFormat="1" spans="1:15">
      <c r="A586" s="1" t="str">
        <f t="shared" si="437"/>
        <v>202406</v>
      </c>
      <c r="B586" s="1" t="str">
        <f t="shared" si="438"/>
        <v>150525100</v>
      </c>
      <c r="C586" s="1" t="str">
        <f>"1014576697"</f>
        <v>1014576697</v>
      </c>
      <c r="D586" s="1" t="str">
        <f>"152326195301230676"</f>
        <v>152326195301230676</v>
      </c>
      <c r="E586" s="1" t="s">
        <v>631</v>
      </c>
      <c r="F586" s="1" t="s">
        <v>25</v>
      </c>
      <c r="G586" s="1" t="s">
        <v>17</v>
      </c>
      <c r="H586" s="1" t="str">
        <f>"71"</f>
        <v>71</v>
      </c>
      <c r="I586" s="1" t="str">
        <f>"163.16"</f>
        <v>163.16</v>
      </c>
      <c r="J586" s="1" t="str">
        <f t="shared" si="439"/>
        <v>0</v>
      </c>
      <c r="K586" s="1" t="str">
        <f t="shared" si="440"/>
        <v>103</v>
      </c>
      <c r="L586" s="1" t="str">
        <f t="shared" si="441"/>
        <v>47</v>
      </c>
      <c r="M586" s="1" t="str">
        <f t="shared" si="428"/>
        <v>0</v>
      </c>
      <c r="N586" s="1" t="str">
        <f t="shared" si="429"/>
        <v>0</v>
      </c>
      <c r="O586" s="1" t="str">
        <f>"3.16"</f>
        <v>3.16</v>
      </c>
    </row>
    <row r="587" s="1" customFormat="1" spans="1:15">
      <c r="A587" s="1" t="str">
        <f t="shared" si="437"/>
        <v>202406</v>
      </c>
      <c r="B587" s="1" t="str">
        <f t="shared" si="438"/>
        <v>150525100</v>
      </c>
      <c r="C587" s="1" t="str">
        <f>"1014548083"</f>
        <v>1014548083</v>
      </c>
      <c r="D587" s="1" t="str">
        <f>"152326195201023071"</f>
        <v>152326195201023071</v>
      </c>
      <c r="E587" s="1" t="s">
        <v>632</v>
      </c>
      <c r="F587" s="1" t="s">
        <v>25</v>
      </c>
      <c r="G587" s="1" t="s">
        <v>17</v>
      </c>
      <c r="H587" s="1" t="str">
        <f>"73"</f>
        <v>73</v>
      </c>
      <c r="I587" s="1" t="str">
        <f>"162.15"</f>
        <v>162.15</v>
      </c>
      <c r="J587" s="1" t="str">
        <f t="shared" si="439"/>
        <v>0</v>
      </c>
      <c r="K587" s="1" t="str">
        <f t="shared" si="440"/>
        <v>103</v>
      </c>
      <c r="L587" s="1" t="str">
        <f t="shared" si="441"/>
        <v>47</v>
      </c>
      <c r="M587" s="1" t="str">
        <f t="shared" si="428"/>
        <v>0</v>
      </c>
      <c r="N587" s="1" t="str">
        <f t="shared" si="429"/>
        <v>0</v>
      </c>
      <c r="O587" s="1" t="str">
        <f>"2.15"</f>
        <v>2.15</v>
      </c>
    </row>
    <row r="588" s="1" customFormat="1" spans="1:15">
      <c r="A588" s="1" t="str">
        <f t="shared" si="437"/>
        <v>202406</v>
      </c>
      <c r="B588" s="1" t="str">
        <f t="shared" si="438"/>
        <v>150525100</v>
      </c>
      <c r="C588" s="1" t="str">
        <f>"1014548091"</f>
        <v>1014548091</v>
      </c>
      <c r="D588" s="1" t="str">
        <f>"152326195410083089"</f>
        <v>152326195410083089</v>
      </c>
      <c r="E588" s="1" t="s">
        <v>173</v>
      </c>
      <c r="F588" s="1" t="s">
        <v>16</v>
      </c>
      <c r="G588" s="1" t="s">
        <v>17</v>
      </c>
      <c r="H588" s="1" t="str">
        <f>"70"</f>
        <v>70</v>
      </c>
      <c r="I588" s="1" t="str">
        <f>"153.65"</f>
        <v>153.65</v>
      </c>
      <c r="J588" s="1" t="str">
        <f t="shared" si="439"/>
        <v>0</v>
      </c>
      <c r="K588" s="1" t="str">
        <f t="shared" si="440"/>
        <v>103</v>
      </c>
      <c r="L588" s="1" t="str">
        <f t="shared" si="441"/>
        <v>47</v>
      </c>
      <c r="M588" s="1" t="str">
        <f t="shared" ref="M588:M651" si="442">"0"</f>
        <v>0</v>
      </c>
      <c r="N588" s="1" t="str">
        <f t="shared" ref="N588:N651" si="443">"0"</f>
        <v>0</v>
      </c>
      <c r="O588" s="1" t="str">
        <f>"3.65"</f>
        <v>3.65</v>
      </c>
    </row>
    <row r="589" s="1" customFormat="1" spans="1:15">
      <c r="A589" s="1" t="str">
        <f t="shared" si="437"/>
        <v>202406</v>
      </c>
      <c r="B589" s="1" t="str">
        <f t="shared" si="438"/>
        <v>150525100</v>
      </c>
      <c r="C589" s="1" t="str">
        <f>"1014548470"</f>
        <v>1014548470</v>
      </c>
      <c r="D589" s="1" t="str">
        <f>"152326195312300676"</f>
        <v>152326195312300676</v>
      </c>
      <c r="E589" s="1" t="s">
        <v>633</v>
      </c>
      <c r="F589" s="1" t="s">
        <v>25</v>
      </c>
      <c r="G589" s="1" t="s">
        <v>17</v>
      </c>
      <c r="H589" s="1" t="str">
        <f>"71"</f>
        <v>71</v>
      </c>
      <c r="I589" s="1" t="str">
        <f>"166.81"</f>
        <v>166.81</v>
      </c>
      <c r="J589" s="1" t="str">
        <f t="shared" si="439"/>
        <v>0</v>
      </c>
      <c r="K589" s="1" t="str">
        <f t="shared" si="440"/>
        <v>103</v>
      </c>
      <c r="L589" s="1" t="str">
        <f t="shared" si="441"/>
        <v>47</v>
      </c>
      <c r="M589" s="1" t="str">
        <f t="shared" si="442"/>
        <v>0</v>
      </c>
      <c r="N589" s="1" t="str">
        <f t="shared" si="443"/>
        <v>0</v>
      </c>
      <c r="O589" s="1" t="str">
        <f>"6.81"</f>
        <v>6.81</v>
      </c>
    </row>
    <row r="590" s="1" customFormat="1" spans="1:15">
      <c r="A590" s="1" t="str">
        <f t="shared" si="437"/>
        <v>202406</v>
      </c>
      <c r="B590" s="1" t="str">
        <f t="shared" si="438"/>
        <v>150525100</v>
      </c>
      <c r="C590" s="1" t="str">
        <f>"1014548479"</f>
        <v>1014548479</v>
      </c>
      <c r="D590" s="1" t="str">
        <f>"152326195911123077"</f>
        <v>152326195911123077</v>
      </c>
      <c r="E590" s="1" t="s">
        <v>634</v>
      </c>
      <c r="F590" s="1" t="s">
        <v>25</v>
      </c>
      <c r="G590" s="1" t="s">
        <v>19</v>
      </c>
      <c r="H590" s="1" t="str">
        <f>"65"</f>
        <v>65</v>
      </c>
      <c r="I590" s="1" t="str">
        <f>"185.11"</f>
        <v>185.11</v>
      </c>
      <c r="J590" s="1" t="str">
        <f t="shared" si="439"/>
        <v>0</v>
      </c>
      <c r="K590" s="1" t="str">
        <f t="shared" si="440"/>
        <v>103</v>
      </c>
      <c r="L590" s="1" t="str">
        <f t="shared" si="441"/>
        <v>47</v>
      </c>
      <c r="M590" s="1" t="str">
        <f t="shared" si="442"/>
        <v>0</v>
      </c>
      <c r="N590" s="1" t="str">
        <f t="shared" si="443"/>
        <v>0</v>
      </c>
      <c r="O590" s="1" t="str">
        <f>"35.11"</f>
        <v>35.11</v>
      </c>
    </row>
    <row r="591" s="1" customFormat="1" spans="1:15">
      <c r="A591" s="1" t="str">
        <f t="shared" si="437"/>
        <v>202406</v>
      </c>
      <c r="B591" s="1" t="str">
        <f t="shared" si="438"/>
        <v>150525100</v>
      </c>
      <c r="C591" s="1" t="str">
        <f>"1014570232"</f>
        <v>1014570232</v>
      </c>
      <c r="D591" s="1" t="str">
        <f>"152326195702143848"</f>
        <v>152326195702143848</v>
      </c>
      <c r="E591" s="1" t="s">
        <v>635</v>
      </c>
      <c r="F591" s="1" t="s">
        <v>16</v>
      </c>
      <c r="G591" s="1" t="s">
        <v>19</v>
      </c>
      <c r="H591" s="1" t="str">
        <f>"67"</f>
        <v>67</v>
      </c>
      <c r="I591" s="1" t="str">
        <f>"175.07"</f>
        <v>175.07</v>
      </c>
      <c r="J591" s="1" t="str">
        <f t="shared" si="439"/>
        <v>0</v>
      </c>
      <c r="K591" s="1" t="str">
        <f t="shared" si="440"/>
        <v>103</v>
      </c>
      <c r="L591" s="1" t="str">
        <f t="shared" si="441"/>
        <v>47</v>
      </c>
      <c r="M591" s="1" t="str">
        <f t="shared" si="442"/>
        <v>0</v>
      </c>
      <c r="N591" s="1" t="str">
        <f t="shared" si="443"/>
        <v>0</v>
      </c>
      <c r="O591" s="1" t="str">
        <f>"25.07"</f>
        <v>25.07</v>
      </c>
    </row>
    <row r="592" s="1" customFormat="1" spans="1:15">
      <c r="A592" s="1" t="str">
        <f t="shared" si="437"/>
        <v>202406</v>
      </c>
      <c r="B592" s="1" t="str">
        <f t="shared" si="438"/>
        <v>150525100</v>
      </c>
      <c r="C592" s="1" t="str">
        <f>"1014570236"</f>
        <v>1014570236</v>
      </c>
      <c r="D592" s="1" t="str">
        <f>"152326195403133826"</f>
        <v>152326195403133826</v>
      </c>
      <c r="E592" s="1" t="s">
        <v>636</v>
      </c>
      <c r="F592" s="1" t="s">
        <v>16</v>
      </c>
      <c r="G592" s="1" t="s">
        <v>17</v>
      </c>
      <c r="H592" s="1" t="str">
        <f t="shared" ref="H592:H597" si="444">"70"</f>
        <v>70</v>
      </c>
      <c r="I592" s="1" t="str">
        <f>"164.15"</f>
        <v>164.15</v>
      </c>
      <c r="J592" s="1" t="str">
        <f t="shared" si="439"/>
        <v>0</v>
      </c>
      <c r="K592" s="1" t="str">
        <f t="shared" si="440"/>
        <v>103</v>
      </c>
      <c r="L592" s="1" t="str">
        <f t="shared" si="441"/>
        <v>47</v>
      </c>
      <c r="M592" s="1" t="str">
        <f t="shared" si="442"/>
        <v>0</v>
      </c>
      <c r="N592" s="1" t="str">
        <f t="shared" si="443"/>
        <v>0</v>
      </c>
      <c r="O592" s="1" t="str">
        <f>"4.15"</f>
        <v>4.15</v>
      </c>
    </row>
    <row r="593" s="1" customFormat="1" spans="1:15">
      <c r="A593" s="1" t="str">
        <f t="shared" si="437"/>
        <v>202406</v>
      </c>
      <c r="B593" s="1" t="str">
        <f t="shared" si="438"/>
        <v>150525100</v>
      </c>
      <c r="C593" s="1" t="str">
        <f>"1014570252"</f>
        <v>1014570252</v>
      </c>
      <c r="D593" s="1" t="s">
        <v>637</v>
      </c>
      <c r="E593" s="1" t="s">
        <v>638</v>
      </c>
      <c r="F593" s="1" t="s">
        <v>16</v>
      </c>
      <c r="G593" s="1" t="s">
        <v>17</v>
      </c>
      <c r="H593" s="1" t="str">
        <f>"67"</f>
        <v>67</v>
      </c>
      <c r="I593" s="1" t="str">
        <f>"156.77"</f>
        <v>156.77</v>
      </c>
      <c r="J593" s="1" t="str">
        <f t="shared" si="439"/>
        <v>0</v>
      </c>
      <c r="K593" s="1" t="str">
        <f t="shared" si="440"/>
        <v>103</v>
      </c>
      <c r="L593" s="1" t="str">
        <f t="shared" si="441"/>
        <v>47</v>
      </c>
      <c r="M593" s="1" t="str">
        <f t="shared" si="442"/>
        <v>0</v>
      </c>
      <c r="N593" s="1" t="str">
        <f t="shared" si="443"/>
        <v>0</v>
      </c>
      <c r="O593" s="1" t="str">
        <f>"6.77"</f>
        <v>6.77</v>
      </c>
    </row>
    <row r="594" s="1" customFormat="1" spans="1:15">
      <c r="A594" s="1" t="str">
        <f t="shared" si="437"/>
        <v>202406</v>
      </c>
      <c r="B594" s="1" t="str">
        <f t="shared" si="438"/>
        <v>150525100</v>
      </c>
      <c r="C594" s="1" t="str">
        <f>"1014576352"</f>
        <v>1014576352</v>
      </c>
      <c r="D594" s="1" t="str">
        <f>"152326196309210666"</f>
        <v>152326196309210666</v>
      </c>
      <c r="E594" s="1" t="s">
        <v>639</v>
      </c>
      <c r="F594" s="1" t="s">
        <v>16</v>
      </c>
      <c r="G594" s="1" t="s">
        <v>19</v>
      </c>
      <c r="H594" s="1" t="str">
        <f>"61"</f>
        <v>61</v>
      </c>
      <c r="I594" s="1" t="str">
        <f>"990.6"</f>
        <v>990.6</v>
      </c>
      <c r="J594" s="1" t="str">
        <f>"825.5"</f>
        <v>825.5</v>
      </c>
      <c r="K594" s="1" t="str">
        <f>"618"</f>
        <v>618</v>
      </c>
      <c r="L594" s="1" t="str">
        <f>"282"</f>
        <v>282</v>
      </c>
      <c r="M594" s="1" t="str">
        <f t="shared" si="442"/>
        <v>0</v>
      </c>
      <c r="N594" s="1" t="str">
        <f t="shared" si="443"/>
        <v>0</v>
      </c>
      <c r="O594" s="1" t="str">
        <f>"90.6"</f>
        <v>90.6</v>
      </c>
    </row>
    <row r="595" s="1" customFormat="1" spans="1:15">
      <c r="A595" s="1" t="str">
        <f t="shared" si="437"/>
        <v>202406</v>
      </c>
      <c r="B595" s="1" t="str">
        <f t="shared" si="438"/>
        <v>150525100</v>
      </c>
      <c r="C595" s="1" t="str">
        <f>"1014576705"</f>
        <v>1014576705</v>
      </c>
      <c r="D595" s="1" t="str">
        <f>"152326195308200672"</f>
        <v>152326195308200672</v>
      </c>
      <c r="E595" s="1" t="s">
        <v>640</v>
      </c>
      <c r="F595" s="1" t="s">
        <v>25</v>
      </c>
      <c r="G595" s="1" t="s">
        <v>17</v>
      </c>
      <c r="H595" s="1" t="str">
        <f>"71"</f>
        <v>71</v>
      </c>
      <c r="I595" s="1" t="str">
        <f>"163.16"</f>
        <v>163.16</v>
      </c>
      <c r="J595" s="1" t="str">
        <f t="shared" ref="J595:J659" si="445">"0"</f>
        <v>0</v>
      </c>
      <c r="K595" s="1" t="str">
        <f t="shared" ref="K595:K647" si="446">"103"</f>
        <v>103</v>
      </c>
      <c r="L595" s="1" t="str">
        <f t="shared" ref="L595:L647" si="447">"47"</f>
        <v>47</v>
      </c>
      <c r="M595" s="1" t="str">
        <f t="shared" si="442"/>
        <v>0</v>
      </c>
      <c r="N595" s="1" t="str">
        <f t="shared" si="443"/>
        <v>0</v>
      </c>
      <c r="O595" s="1" t="str">
        <f>"3.16"</f>
        <v>3.16</v>
      </c>
    </row>
    <row r="596" s="1" customFormat="1" spans="1:15">
      <c r="A596" s="1" t="str">
        <f t="shared" si="437"/>
        <v>202406</v>
      </c>
      <c r="B596" s="1" t="str">
        <f t="shared" si="438"/>
        <v>150525100</v>
      </c>
      <c r="C596" s="1" t="str">
        <f>"1014576709"</f>
        <v>1014576709</v>
      </c>
      <c r="D596" s="1" t="str">
        <f>"152326195402030673"</f>
        <v>152326195402030673</v>
      </c>
      <c r="E596" s="1" t="s">
        <v>641</v>
      </c>
      <c r="F596" s="1" t="s">
        <v>25</v>
      </c>
      <c r="G596" s="1" t="s">
        <v>17</v>
      </c>
      <c r="H596" s="1" t="str">
        <f t="shared" si="444"/>
        <v>70</v>
      </c>
      <c r="I596" s="1" t="str">
        <f>"2020.35"</f>
        <v>2020.35</v>
      </c>
      <c r="J596" s="1" t="str">
        <f t="shared" ref="J596:L596" si="448">"0"</f>
        <v>0</v>
      </c>
      <c r="K596" s="1" t="str">
        <f t="shared" si="448"/>
        <v>0</v>
      </c>
      <c r="L596" s="1" t="str">
        <f t="shared" si="448"/>
        <v>0</v>
      </c>
      <c r="M596" s="1" t="str">
        <f t="shared" si="442"/>
        <v>0</v>
      </c>
      <c r="N596" s="1" t="str">
        <f t="shared" si="443"/>
        <v>0</v>
      </c>
      <c r="O596" s="1" t="str">
        <f>"0"</f>
        <v>0</v>
      </c>
    </row>
    <row r="597" s="1" customFormat="1" spans="1:15">
      <c r="A597" s="1" t="str">
        <f t="shared" si="437"/>
        <v>202406</v>
      </c>
      <c r="B597" s="1" t="str">
        <f t="shared" si="438"/>
        <v>150525100</v>
      </c>
      <c r="C597" s="1" t="str">
        <f>"1014576718"</f>
        <v>1014576718</v>
      </c>
      <c r="D597" s="1" t="str">
        <f>"152326195411270679"</f>
        <v>152326195411270679</v>
      </c>
      <c r="E597" s="1" t="s">
        <v>642</v>
      </c>
      <c r="F597" s="1" t="s">
        <v>25</v>
      </c>
      <c r="G597" s="1" t="s">
        <v>17</v>
      </c>
      <c r="H597" s="1" t="str">
        <f t="shared" si="444"/>
        <v>70</v>
      </c>
      <c r="I597" s="1" t="str">
        <f>"154.14"</f>
        <v>154.14</v>
      </c>
      <c r="J597" s="1" t="str">
        <f t="shared" si="445"/>
        <v>0</v>
      </c>
      <c r="K597" s="1" t="str">
        <f t="shared" si="446"/>
        <v>103</v>
      </c>
      <c r="L597" s="1" t="str">
        <f t="shared" si="447"/>
        <v>47</v>
      </c>
      <c r="M597" s="1" t="str">
        <f t="shared" si="442"/>
        <v>0</v>
      </c>
      <c r="N597" s="1" t="str">
        <f t="shared" si="443"/>
        <v>0</v>
      </c>
      <c r="O597" s="1" t="str">
        <f>"4.14"</f>
        <v>4.14</v>
      </c>
    </row>
    <row r="598" s="1" customFormat="1" spans="1:15">
      <c r="A598" s="1" t="str">
        <f t="shared" si="437"/>
        <v>202406</v>
      </c>
      <c r="B598" s="1" t="str">
        <f t="shared" si="438"/>
        <v>150525100</v>
      </c>
      <c r="C598" s="1" t="str">
        <f>"1014576732"</f>
        <v>1014576732</v>
      </c>
      <c r="D598" s="1" t="str">
        <f>"152326195510100667"</f>
        <v>152326195510100667</v>
      </c>
      <c r="E598" s="1" t="s">
        <v>643</v>
      </c>
      <c r="F598" s="1" t="s">
        <v>16</v>
      </c>
      <c r="G598" s="1" t="s">
        <v>17</v>
      </c>
      <c r="H598" s="1" t="str">
        <f>"69"</f>
        <v>69</v>
      </c>
      <c r="I598" s="1" t="str">
        <f>"155.1"</f>
        <v>155.1</v>
      </c>
      <c r="J598" s="1" t="str">
        <f t="shared" si="445"/>
        <v>0</v>
      </c>
      <c r="K598" s="1" t="str">
        <f t="shared" si="446"/>
        <v>103</v>
      </c>
      <c r="L598" s="1" t="str">
        <f t="shared" si="447"/>
        <v>47</v>
      </c>
      <c r="M598" s="1" t="str">
        <f t="shared" si="442"/>
        <v>0</v>
      </c>
      <c r="N598" s="1" t="str">
        <f t="shared" si="443"/>
        <v>0</v>
      </c>
      <c r="O598" s="1" t="str">
        <f>"5.1"</f>
        <v>5.1</v>
      </c>
    </row>
    <row r="599" s="1" customFormat="1" spans="1:15">
      <c r="A599" s="1" t="str">
        <f t="shared" si="437"/>
        <v>202406</v>
      </c>
      <c r="B599" s="1" t="str">
        <f t="shared" si="438"/>
        <v>150525100</v>
      </c>
      <c r="C599" s="1" t="str">
        <f>"1014576992"</f>
        <v>1014576992</v>
      </c>
      <c r="D599" s="1" t="str">
        <f>"152326195405060667"</f>
        <v>152326195405060667</v>
      </c>
      <c r="E599" s="1" t="s">
        <v>644</v>
      </c>
      <c r="F599" s="1" t="s">
        <v>16</v>
      </c>
      <c r="G599" s="1" t="s">
        <v>17</v>
      </c>
      <c r="H599" s="1" t="str">
        <f>"70"</f>
        <v>70</v>
      </c>
      <c r="I599" s="1" t="str">
        <f>"164.14"</f>
        <v>164.14</v>
      </c>
      <c r="J599" s="1" t="str">
        <f t="shared" si="445"/>
        <v>0</v>
      </c>
      <c r="K599" s="1" t="str">
        <f t="shared" si="446"/>
        <v>103</v>
      </c>
      <c r="L599" s="1" t="str">
        <f t="shared" si="447"/>
        <v>47</v>
      </c>
      <c r="M599" s="1" t="str">
        <f t="shared" si="442"/>
        <v>0</v>
      </c>
      <c r="N599" s="1" t="str">
        <f t="shared" si="443"/>
        <v>0</v>
      </c>
      <c r="O599" s="1" t="str">
        <f>"4.14"</f>
        <v>4.14</v>
      </c>
    </row>
    <row r="600" s="1" customFormat="1" spans="1:15">
      <c r="A600" s="1" t="str">
        <f t="shared" si="437"/>
        <v>202406</v>
      </c>
      <c r="B600" s="1" t="str">
        <f t="shared" si="438"/>
        <v>150525100</v>
      </c>
      <c r="C600" s="1" t="str">
        <f>"1014577000"</f>
        <v>1014577000</v>
      </c>
      <c r="D600" s="1" t="str">
        <f>"152326195507060684"</f>
        <v>152326195507060684</v>
      </c>
      <c r="E600" s="1" t="s">
        <v>192</v>
      </c>
      <c r="F600" s="1" t="s">
        <v>16</v>
      </c>
      <c r="G600" s="1" t="s">
        <v>17</v>
      </c>
      <c r="H600" s="1" t="str">
        <f>"69"</f>
        <v>69</v>
      </c>
      <c r="I600" s="1" t="str">
        <f>"155.09"</f>
        <v>155.09</v>
      </c>
      <c r="J600" s="1" t="str">
        <f t="shared" si="445"/>
        <v>0</v>
      </c>
      <c r="K600" s="1" t="str">
        <f t="shared" si="446"/>
        <v>103</v>
      </c>
      <c r="L600" s="1" t="str">
        <f t="shared" si="447"/>
        <v>47</v>
      </c>
      <c r="M600" s="1" t="str">
        <f t="shared" si="442"/>
        <v>0</v>
      </c>
      <c r="N600" s="1" t="str">
        <f t="shared" si="443"/>
        <v>0</v>
      </c>
      <c r="O600" s="1" t="str">
        <f>"5.09"</f>
        <v>5.09</v>
      </c>
    </row>
    <row r="601" s="1" customFormat="1" spans="1:15">
      <c r="A601" s="1" t="str">
        <f t="shared" si="437"/>
        <v>202406</v>
      </c>
      <c r="B601" s="1" t="str">
        <f t="shared" si="438"/>
        <v>150525100</v>
      </c>
      <c r="C601" s="1" t="str">
        <f>"1014548219"</f>
        <v>1014548219</v>
      </c>
      <c r="D601" s="1" t="s">
        <v>645</v>
      </c>
      <c r="E601" s="1" t="s">
        <v>646</v>
      </c>
      <c r="F601" s="1" t="s">
        <v>25</v>
      </c>
      <c r="G601" s="1" t="s">
        <v>17</v>
      </c>
      <c r="H601" s="1" t="str">
        <f t="shared" ref="H601:H605" si="449">"72"</f>
        <v>72</v>
      </c>
      <c r="I601" s="1" t="str">
        <f>"162.15"</f>
        <v>162.15</v>
      </c>
      <c r="J601" s="1" t="str">
        <f t="shared" si="445"/>
        <v>0</v>
      </c>
      <c r="K601" s="1" t="str">
        <f t="shared" si="446"/>
        <v>103</v>
      </c>
      <c r="L601" s="1" t="str">
        <f t="shared" si="447"/>
        <v>47</v>
      </c>
      <c r="M601" s="1" t="str">
        <f t="shared" si="442"/>
        <v>0</v>
      </c>
      <c r="N601" s="1" t="str">
        <f t="shared" si="443"/>
        <v>0</v>
      </c>
      <c r="O601" s="1" t="str">
        <f>"2.15"</f>
        <v>2.15</v>
      </c>
    </row>
    <row r="602" s="1" customFormat="1" spans="1:15">
      <c r="A602" s="1" t="str">
        <f t="shared" si="437"/>
        <v>202406</v>
      </c>
      <c r="B602" s="1" t="str">
        <f t="shared" si="438"/>
        <v>150525100</v>
      </c>
      <c r="C602" s="1" t="str">
        <f>"1014548220"</f>
        <v>1014548220</v>
      </c>
      <c r="D602" s="1" t="s">
        <v>647</v>
      </c>
      <c r="E602" s="1" t="s">
        <v>648</v>
      </c>
      <c r="F602" s="1" t="s">
        <v>16</v>
      </c>
      <c r="G602" s="1" t="s">
        <v>17</v>
      </c>
      <c r="H602" s="1" t="str">
        <f>"66"</f>
        <v>66</v>
      </c>
      <c r="I602" s="1" t="str">
        <f>"158.81"</f>
        <v>158.81</v>
      </c>
      <c r="J602" s="1" t="str">
        <f t="shared" si="445"/>
        <v>0</v>
      </c>
      <c r="K602" s="1" t="str">
        <f t="shared" si="446"/>
        <v>103</v>
      </c>
      <c r="L602" s="1" t="str">
        <f t="shared" si="447"/>
        <v>47</v>
      </c>
      <c r="M602" s="1" t="str">
        <f t="shared" si="442"/>
        <v>0</v>
      </c>
      <c r="N602" s="1" t="str">
        <f t="shared" si="443"/>
        <v>0</v>
      </c>
      <c r="O602" s="1" t="str">
        <f>"8.81"</f>
        <v>8.81</v>
      </c>
    </row>
    <row r="603" s="1" customFormat="1" spans="1:15">
      <c r="A603" s="1" t="str">
        <f t="shared" si="437"/>
        <v>202406</v>
      </c>
      <c r="B603" s="1" t="str">
        <f t="shared" si="438"/>
        <v>150525100</v>
      </c>
      <c r="C603" s="1" t="str">
        <f>"1014570303"</f>
        <v>1014570303</v>
      </c>
      <c r="D603" s="1" t="str">
        <f>"152326196109063825"</f>
        <v>152326196109063825</v>
      </c>
      <c r="E603" s="1" t="s">
        <v>649</v>
      </c>
      <c r="F603" s="1" t="s">
        <v>16</v>
      </c>
      <c r="G603" s="1" t="s">
        <v>19</v>
      </c>
      <c r="H603" s="1" t="str">
        <f>"63"</f>
        <v>63</v>
      </c>
      <c r="I603" s="1" t="str">
        <f>"164.88"</f>
        <v>164.88</v>
      </c>
      <c r="J603" s="1" t="str">
        <f t="shared" si="445"/>
        <v>0</v>
      </c>
      <c r="K603" s="1" t="str">
        <f t="shared" si="446"/>
        <v>103</v>
      </c>
      <c r="L603" s="1" t="str">
        <f t="shared" si="447"/>
        <v>47</v>
      </c>
      <c r="M603" s="1" t="str">
        <f t="shared" si="442"/>
        <v>0</v>
      </c>
      <c r="N603" s="1" t="str">
        <f t="shared" si="443"/>
        <v>0</v>
      </c>
      <c r="O603" s="1" t="str">
        <f>"14.88"</f>
        <v>14.88</v>
      </c>
    </row>
    <row r="604" s="1" customFormat="1" spans="1:15">
      <c r="A604" s="1" t="str">
        <f t="shared" si="437"/>
        <v>202406</v>
      </c>
      <c r="B604" s="1" t="str">
        <f t="shared" si="438"/>
        <v>150525100</v>
      </c>
      <c r="C604" s="1" t="str">
        <f>"1014577024"</f>
        <v>1014577024</v>
      </c>
      <c r="D604" s="1" t="str">
        <f>"152326195201200664"</f>
        <v>152326195201200664</v>
      </c>
      <c r="E604" s="1" t="s">
        <v>229</v>
      </c>
      <c r="F604" s="1" t="s">
        <v>16</v>
      </c>
      <c r="G604" s="1" t="s">
        <v>17</v>
      </c>
      <c r="H604" s="1" t="str">
        <f t="shared" si="449"/>
        <v>72</v>
      </c>
      <c r="I604" s="1" t="str">
        <f t="shared" ref="I604:I608" si="450">"162.14"</f>
        <v>162.14</v>
      </c>
      <c r="J604" s="1" t="str">
        <f t="shared" si="445"/>
        <v>0</v>
      </c>
      <c r="K604" s="1" t="str">
        <f t="shared" si="446"/>
        <v>103</v>
      </c>
      <c r="L604" s="1" t="str">
        <f t="shared" si="447"/>
        <v>47</v>
      </c>
      <c r="M604" s="1" t="str">
        <f t="shared" si="442"/>
        <v>0</v>
      </c>
      <c r="N604" s="1" t="str">
        <f t="shared" si="443"/>
        <v>0</v>
      </c>
      <c r="O604" s="1" t="str">
        <f t="shared" ref="O604:O608" si="451">"2.14"</f>
        <v>2.14</v>
      </c>
    </row>
    <row r="605" s="1" customFormat="1" spans="1:15">
      <c r="A605" s="1" t="str">
        <f t="shared" si="437"/>
        <v>202406</v>
      </c>
      <c r="B605" s="1" t="str">
        <f t="shared" si="438"/>
        <v>150525100</v>
      </c>
      <c r="C605" s="1" t="str">
        <f>"1014577035"</f>
        <v>1014577035</v>
      </c>
      <c r="D605" s="1" t="s">
        <v>650</v>
      </c>
      <c r="E605" s="1" t="s">
        <v>651</v>
      </c>
      <c r="F605" s="1" t="s">
        <v>16</v>
      </c>
      <c r="G605" s="1" t="s">
        <v>17</v>
      </c>
      <c r="H605" s="1" t="str">
        <f t="shared" si="449"/>
        <v>72</v>
      </c>
      <c r="I605" s="1" t="str">
        <f t="shared" si="450"/>
        <v>162.14</v>
      </c>
      <c r="J605" s="1" t="str">
        <f t="shared" si="445"/>
        <v>0</v>
      </c>
      <c r="K605" s="1" t="str">
        <f t="shared" si="446"/>
        <v>103</v>
      </c>
      <c r="L605" s="1" t="str">
        <f t="shared" si="447"/>
        <v>47</v>
      </c>
      <c r="M605" s="1" t="str">
        <f t="shared" si="442"/>
        <v>0</v>
      </c>
      <c r="N605" s="1" t="str">
        <f t="shared" si="443"/>
        <v>0</v>
      </c>
      <c r="O605" s="1" t="str">
        <f t="shared" si="451"/>
        <v>2.14</v>
      </c>
    </row>
    <row r="606" s="1" customFormat="1" spans="1:15">
      <c r="A606" s="1" t="str">
        <f t="shared" si="437"/>
        <v>202406</v>
      </c>
      <c r="B606" s="1" t="str">
        <f t="shared" si="438"/>
        <v>150525100</v>
      </c>
      <c r="C606" s="1" t="str">
        <f>"1014577044"</f>
        <v>1014577044</v>
      </c>
      <c r="D606" s="1" t="str">
        <f>"152326195312170664"</f>
        <v>152326195312170664</v>
      </c>
      <c r="E606" s="1" t="s">
        <v>652</v>
      </c>
      <c r="F606" s="1" t="s">
        <v>16</v>
      </c>
      <c r="G606" s="1" t="s">
        <v>17</v>
      </c>
      <c r="H606" s="1" t="str">
        <f>"71"</f>
        <v>71</v>
      </c>
      <c r="I606" s="1" t="str">
        <f>"163.16"</f>
        <v>163.16</v>
      </c>
      <c r="J606" s="1" t="str">
        <f t="shared" si="445"/>
        <v>0</v>
      </c>
      <c r="K606" s="1" t="str">
        <f t="shared" si="446"/>
        <v>103</v>
      </c>
      <c r="L606" s="1" t="str">
        <f t="shared" si="447"/>
        <v>47</v>
      </c>
      <c r="M606" s="1" t="str">
        <f t="shared" si="442"/>
        <v>0</v>
      </c>
      <c r="N606" s="1" t="str">
        <f t="shared" si="443"/>
        <v>0</v>
      </c>
      <c r="O606" s="1" t="str">
        <f>"3.16"</f>
        <v>3.16</v>
      </c>
    </row>
    <row r="607" s="1" customFormat="1" spans="1:15">
      <c r="A607" s="1" t="str">
        <f t="shared" si="437"/>
        <v>202406</v>
      </c>
      <c r="B607" s="1" t="str">
        <f t="shared" si="438"/>
        <v>150525100</v>
      </c>
      <c r="C607" s="1" t="str">
        <f>"1042559216"</f>
        <v>1042559216</v>
      </c>
      <c r="D607" s="1" t="str">
        <f>"152326196012240047"</f>
        <v>152326196012240047</v>
      </c>
      <c r="E607" s="1" t="s">
        <v>653</v>
      </c>
      <c r="F607" s="1" t="s">
        <v>16</v>
      </c>
      <c r="G607" s="1" t="s">
        <v>17</v>
      </c>
      <c r="H607" s="1" t="str">
        <f>"64"</f>
        <v>64</v>
      </c>
      <c r="I607" s="1" t="str">
        <f>"164.41"</f>
        <v>164.41</v>
      </c>
      <c r="J607" s="1" t="str">
        <f t="shared" si="445"/>
        <v>0</v>
      </c>
      <c r="K607" s="1" t="str">
        <f t="shared" si="446"/>
        <v>103</v>
      </c>
      <c r="L607" s="1" t="str">
        <f t="shared" si="447"/>
        <v>47</v>
      </c>
      <c r="M607" s="1" t="str">
        <f t="shared" si="442"/>
        <v>0</v>
      </c>
      <c r="N607" s="1" t="str">
        <f t="shared" si="443"/>
        <v>0</v>
      </c>
      <c r="O607" s="1" t="str">
        <f>"14.41"</f>
        <v>14.41</v>
      </c>
    </row>
    <row r="608" s="1" customFormat="1" spans="1:15">
      <c r="A608" s="1" t="str">
        <f t="shared" si="437"/>
        <v>202406</v>
      </c>
      <c r="B608" s="1" t="str">
        <f t="shared" si="438"/>
        <v>150525100</v>
      </c>
      <c r="C608" s="1" t="str">
        <f>"1014572499"</f>
        <v>1014572499</v>
      </c>
      <c r="D608" s="1" t="str">
        <f>"152326195203100026"</f>
        <v>152326195203100026</v>
      </c>
      <c r="E608" s="1" t="s">
        <v>654</v>
      </c>
      <c r="F608" s="1" t="s">
        <v>16</v>
      </c>
      <c r="G608" s="1" t="s">
        <v>17</v>
      </c>
      <c r="H608" s="1" t="str">
        <f>"72"</f>
        <v>72</v>
      </c>
      <c r="I608" s="1" t="str">
        <f t="shared" si="450"/>
        <v>162.14</v>
      </c>
      <c r="J608" s="1" t="str">
        <f t="shared" si="445"/>
        <v>0</v>
      </c>
      <c r="K608" s="1" t="str">
        <f t="shared" si="446"/>
        <v>103</v>
      </c>
      <c r="L608" s="1" t="str">
        <f t="shared" si="447"/>
        <v>47</v>
      </c>
      <c r="M608" s="1" t="str">
        <f t="shared" si="442"/>
        <v>0</v>
      </c>
      <c r="N608" s="1" t="str">
        <f t="shared" si="443"/>
        <v>0</v>
      </c>
      <c r="O608" s="1" t="str">
        <f t="shared" si="451"/>
        <v>2.14</v>
      </c>
    </row>
    <row r="609" s="1" customFormat="1" spans="1:15">
      <c r="A609" s="1" t="str">
        <f t="shared" si="437"/>
        <v>202406</v>
      </c>
      <c r="B609" s="1" t="str">
        <f t="shared" si="438"/>
        <v>150525100</v>
      </c>
      <c r="C609" s="1" t="str">
        <f>"1014552537"</f>
        <v>1014552537</v>
      </c>
      <c r="D609" s="1" t="str">
        <f>"152326195602173820"</f>
        <v>152326195602173820</v>
      </c>
      <c r="E609" s="1" t="s">
        <v>655</v>
      </c>
      <c r="F609" s="1" t="s">
        <v>16</v>
      </c>
      <c r="G609" s="1" t="s">
        <v>17</v>
      </c>
      <c r="H609" s="1" t="str">
        <f>"68"</f>
        <v>68</v>
      </c>
      <c r="I609" s="1" t="str">
        <f>"157.41"</f>
        <v>157.41</v>
      </c>
      <c r="J609" s="1" t="str">
        <f t="shared" si="445"/>
        <v>0</v>
      </c>
      <c r="K609" s="1" t="str">
        <f t="shared" si="446"/>
        <v>103</v>
      </c>
      <c r="L609" s="1" t="str">
        <f t="shared" si="447"/>
        <v>47</v>
      </c>
      <c r="M609" s="1" t="str">
        <f t="shared" si="442"/>
        <v>0</v>
      </c>
      <c r="N609" s="1" t="str">
        <f t="shared" si="443"/>
        <v>0</v>
      </c>
      <c r="O609" s="1" t="str">
        <f>"7.41"</f>
        <v>7.41</v>
      </c>
    </row>
    <row r="610" s="1" customFormat="1" spans="1:15">
      <c r="A610" s="1" t="str">
        <f t="shared" si="437"/>
        <v>202406</v>
      </c>
      <c r="B610" s="1" t="str">
        <f t="shared" si="438"/>
        <v>150525100</v>
      </c>
      <c r="C610" s="1" t="str">
        <f>"1014577053"</f>
        <v>1014577053</v>
      </c>
      <c r="D610" s="1" t="str">
        <f>"152326195606270660"</f>
        <v>152326195606270660</v>
      </c>
      <c r="E610" s="1" t="s">
        <v>656</v>
      </c>
      <c r="F610" s="1" t="s">
        <v>16</v>
      </c>
      <c r="G610" s="1" t="s">
        <v>17</v>
      </c>
      <c r="H610" s="1" t="str">
        <f>"68"</f>
        <v>68</v>
      </c>
      <c r="I610" s="1" t="str">
        <f>"156.01"</f>
        <v>156.01</v>
      </c>
      <c r="J610" s="1" t="str">
        <f t="shared" si="445"/>
        <v>0</v>
      </c>
      <c r="K610" s="1" t="str">
        <f t="shared" si="446"/>
        <v>103</v>
      </c>
      <c r="L610" s="1" t="str">
        <f t="shared" si="447"/>
        <v>47</v>
      </c>
      <c r="M610" s="1" t="str">
        <f t="shared" si="442"/>
        <v>0</v>
      </c>
      <c r="N610" s="1" t="str">
        <f t="shared" si="443"/>
        <v>0</v>
      </c>
      <c r="O610" s="1" t="str">
        <f>"6.01"</f>
        <v>6.01</v>
      </c>
    </row>
    <row r="611" s="1" customFormat="1" spans="1:15">
      <c r="A611" s="1" t="str">
        <f t="shared" si="437"/>
        <v>202406</v>
      </c>
      <c r="B611" s="1" t="str">
        <f t="shared" si="438"/>
        <v>150525100</v>
      </c>
      <c r="C611" s="1" t="str">
        <f>"1014577073"</f>
        <v>1014577073</v>
      </c>
      <c r="D611" s="1" t="str">
        <f>"152326196012220679"</f>
        <v>152326196012220679</v>
      </c>
      <c r="E611" s="1" t="s">
        <v>657</v>
      </c>
      <c r="F611" s="1" t="s">
        <v>25</v>
      </c>
      <c r="G611" s="1" t="s">
        <v>17</v>
      </c>
      <c r="H611" s="1" t="str">
        <f>"64"</f>
        <v>64</v>
      </c>
      <c r="I611" s="1" t="str">
        <f>"159.28"</f>
        <v>159.28</v>
      </c>
      <c r="J611" s="1" t="str">
        <f t="shared" si="445"/>
        <v>0</v>
      </c>
      <c r="K611" s="1" t="str">
        <f t="shared" si="446"/>
        <v>103</v>
      </c>
      <c r="L611" s="1" t="str">
        <f t="shared" si="447"/>
        <v>47</v>
      </c>
      <c r="M611" s="1" t="str">
        <f t="shared" si="442"/>
        <v>0</v>
      </c>
      <c r="N611" s="1" t="str">
        <f t="shared" si="443"/>
        <v>0</v>
      </c>
      <c r="O611" s="1" t="str">
        <f>"9.28"</f>
        <v>9.28</v>
      </c>
    </row>
    <row r="612" s="1" customFormat="1" spans="1:15">
      <c r="A612" s="1" t="str">
        <f t="shared" si="437"/>
        <v>202406</v>
      </c>
      <c r="B612" s="1" t="str">
        <f t="shared" si="438"/>
        <v>150525100</v>
      </c>
      <c r="C612" s="1" t="str">
        <f>"1014577077"</f>
        <v>1014577077</v>
      </c>
      <c r="D612" s="1" t="str">
        <f>"152326196309240662"</f>
        <v>152326196309240662</v>
      </c>
      <c r="E612" s="1" t="s">
        <v>658</v>
      </c>
      <c r="F612" s="1" t="s">
        <v>16</v>
      </c>
      <c r="G612" s="1" t="s">
        <v>17</v>
      </c>
      <c r="H612" s="1" t="str">
        <f>"61"</f>
        <v>61</v>
      </c>
      <c r="I612" s="1" t="str">
        <f>"165.09"</f>
        <v>165.09</v>
      </c>
      <c r="J612" s="1" t="str">
        <f t="shared" si="445"/>
        <v>0</v>
      </c>
      <c r="K612" s="1" t="str">
        <f t="shared" si="446"/>
        <v>103</v>
      </c>
      <c r="L612" s="1" t="str">
        <f t="shared" si="447"/>
        <v>47</v>
      </c>
      <c r="M612" s="1" t="str">
        <f t="shared" si="442"/>
        <v>0</v>
      </c>
      <c r="N612" s="1" t="str">
        <f t="shared" si="443"/>
        <v>0</v>
      </c>
      <c r="O612" s="1" t="str">
        <f>"15.09"</f>
        <v>15.09</v>
      </c>
    </row>
    <row r="613" s="1" customFormat="1" spans="1:15">
      <c r="A613" s="1" t="str">
        <f t="shared" si="437"/>
        <v>202406</v>
      </c>
      <c r="B613" s="1" t="str">
        <f t="shared" si="438"/>
        <v>150525100</v>
      </c>
      <c r="C613" s="1" t="str">
        <f>"1014548284"</f>
        <v>1014548284</v>
      </c>
      <c r="D613" s="1" t="str">
        <f>"152326195508230665"</f>
        <v>152326195508230665</v>
      </c>
      <c r="E613" s="1" t="s">
        <v>659</v>
      </c>
      <c r="F613" s="1" t="s">
        <v>16</v>
      </c>
      <c r="G613" s="1" t="s">
        <v>19</v>
      </c>
      <c r="H613" s="1" t="str">
        <f>"69"</f>
        <v>69</v>
      </c>
      <c r="I613" s="1" t="str">
        <f>"154.84"</f>
        <v>154.84</v>
      </c>
      <c r="J613" s="1" t="str">
        <f t="shared" si="445"/>
        <v>0</v>
      </c>
      <c r="K613" s="1" t="str">
        <f t="shared" si="446"/>
        <v>103</v>
      </c>
      <c r="L613" s="1" t="str">
        <f t="shared" si="447"/>
        <v>47</v>
      </c>
      <c r="M613" s="1" t="str">
        <f t="shared" si="442"/>
        <v>0</v>
      </c>
      <c r="N613" s="1" t="str">
        <f t="shared" si="443"/>
        <v>0</v>
      </c>
      <c r="O613" s="1" t="str">
        <f>"4.84"</f>
        <v>4.84</v>
      </c>
    </row>
    <row r="614" s="1" customFormat="1" spans="1:15">
      <c r="A614" s="1" t="str">
        <f t="shared" si="437"/>
        <v>202406</v>
      </c>
      <c r="B614" s="1" t="str">
        <f t="shared" si="438"/>
        <v>150525100</v>
      </c>
      <c r="C614" s="1" t="str">
        <f>"1014548288"</f>
        <v>1014548288</v>
      </c>
      <c r="D614" s="1" t="str">
        <f>"152326195303280677"</f>
        <v>152326195303280677</v>
      </c>
      <c r="E614" s="1" t="s">
        <v>660</v>
      </c>
      <c r="F614" s="1" t="s">
        <v>25</v>
      </c>
      <c r="G614" s="1" t="s">
        <v>17</v>
      </c>
      <c r="H614" s="1" t="str">
        <f>"71"</f>
        <v>71</v>
      </c>
      <c r="I614" s="1" t="str">
        <f>"162.15"</f>
        <v>162.15</v>
      </c>
      <c r="J614" s="1" t="str">
        <f t="shared" si="445"/>
        <v>0</v>
      </c>
      <c r="K614" s="1" t="str">
        <f t="shared" si="446"/>
        <v>103</v>
      </c>
      <c r="L614" s="1" t="str">
        <f t="shared" si="447"/>
        <v>47</v>
      </c>
      <c r="M614" s="1" t="str">
        <f t="shared" si="442"/>
        <v>0</v>
      </c>
      <c r="N614" s="1" t="str">
        <f t="shared" si="443"/>
        <v>0</v>
      </c>
      <c r="O614" s="1" t="str">
        <f>"2.15"</f>
        <v>2.15</v>
      </c>
    </row>
    <row r="615" s="1" customFormat="1" spans="1:15">
      <c r="A615" s="1" t="str">
        <f t="shared" si="437"/>
        <v>202406</v>
      </c>
      <c r="B615" s="1" t="str">
        <f t="shared" si="438"/>
        <v>150525100</v>
      </c>
      <c r="C615" s="1" t="str">
        <f>"1014548307"</f>
        <v>1014548307</v>
      </c>
      <c r="D615" s="1" t="str">
        <f>"152326195205260672"</f>
        <v>152326195205260672</v>
      </c>
      <c r="E615" s="1" t="s">
        <v>661</v>
      </c>
      <c r="F615" s="1" t="s">
        <v>25</v>
      </c>
      <c r="G615" s="1" t="s">
        <v>17</v>
      </c>
      <c r="H615" s="1" t="str">
        <f t="shared" ref="H615:H617" si="452">"72"</f>
        <v>72</v>
      </c>
      <c r="I615" s="1" t="str">
        <f>"162.15"</f>
        <v>162.15</v>
      </c>
      <c r="J615" s="1" t="str">
        <f t="shared" si="445"/>
        <v>0</v>
      </c>
      <c r="K615" s="1" t="str">
        <f t="shared" si="446"/>
        <v>103</v>
      </c>
      <c r="L615" s="1" t="str">
        <f t="shared" si="447"/>
        <v>47</v>
      </c>
      <c r="M615" s="1" t="str">
        <f t="shared" si="442"/>
        <v>0</v>
      </c>
      <c r="N615" s="1" t="str">
        <f t="shared" si="443"/>
        <v>0</v>
      </c>
      <c r="O615" s="1" t="str">
        <f>"2.15"</f>
        <v>2.15</v>
      </c>
    </row>
    <row r="616" s="1" customFormat="1" spans="1:15">
      <c r="A616" s="1" t="str">
        <f t="shared" si="437"/>
        <v>202406</v>
      </c>
      <c r="B616" s="1" t="str">
        <f t="shared" si="438"/>
        <v>150525100</v>
      </c>
      <c r="C616" s="1" t="str">
        <f>"1014572444"</f>
        <v>1014572444</v>
      </c>
      <c r="D616" s="1" t="str">
        <f>"152326195202180933"</f>
        <v>152326195202180933</v>
      </c>
      <c r="E616" s="1" t="s">
        <v>662</v>
      </c>
      <c r="F616" s="1" t="s">
        <v>25</v>
      </c>
      <c r="G616" s="1" t="s">
        <v>19</v>
      </c>
      <c r="H616" s="1" t="str">
        <f t="shared" si="452"/>
        <v>72</v>
      </c>
      <c r="I616" s="1" t="str">
        <f>"162.14"</f>
        <v>162.14</v>
      </c>
      <c r="J616" s="1" t="str">
        <f t="shared" si="445"/>
        <v>0</v>
      </c>
      <c r="K616" s="1" t="str">
        <f t="shared" si="446"/>
        <v>103</v>
      </c>
      <c r="L616" s="1" t="str">
        <f t="shared" si="447"/>
        <v>47</v>
      </c>
      <c r="M616" s="1" t="str">
        <f t="shared" si="442"/>
        <v>0</v>
      </c>
      <c r="N616" s="1" t="str">
        <f t="shared" si="443"/>
        <v>0</v>
      </c>
      <c r="O616" s="1" t="str">
        <f>"2.14"</f>
        <v>2.14</v>
      </c>
    </row>
    <row r="617" s="1" customFormat="1" spans="1:15">
      <c r="A617" s="1" t="str">
        <f t="shared" si="437"/>
        <v>202406</v>
      </c>
      <c r="B617" s="1" t="str">
        <f t="shared" si="438"/>
        <v>150525100</v>
      </c>
      <c r="C617" s="1" t="str">
        <f>"1014572450"</f>
        <v>1014572450</v>
      </c>
      <c r="D617" s="1" t="str">
        <f>"152326195207170910"</f>
        <v>152326195207170910</v>
      </c>
      <c r="E617" s="1" t="s">
        <v>663</v>
      </c>
      <c r="F617" s="1" t="s">
        <v>25</v>
      </c>
      <c r="G617" s="1" t="s">
        <v>19</v>
      </c>
      <c r="H617" s="1" t="str">
        <f t="shared" si="452"/>
        <v>72</v>
      </c>
      <c r="I617" s="1" t="str">
        <f>"162.14"</f>
        <v>162.14</v>
      </c>
      <c r="J617" s="1" t="str">
        <f t="shared" si="445"/>
        <v>0</v>
      </c>
      <c r="K617" s="1" t="str">
        <f t="shared" si="446"/>
        <v>103</v>
      </c>
      <c r="L617" s="1" t="str">
        <f t="shared" si="447"/>
        <v>47</v>
      </c>
      <c r="M617" s="1" t="str">
        <f t="shared" si="442"/>
        <v>0</v>
      </c>
      <c r="N617" s="1" t="str">
        <f t="shared" si="443"/>
        <v>0</v>
      </c>
      <c r="O617" s="1" t="str">
        <f>"2.14"</f>
        <v>2.14</v>
      </c>
    </row>
    <row r="618" s="1" customFormat="1" spans="1:15">
      <c r="A618" s="1" t="str">
        <f t="shared" si="437"/>
        <v>202406</v>
      </c>
      <c r="B618" s="1" t="str">
        <f t="shared" si="438"/>
        <v>150525100</v>
      </c>
      <c r="C618" s="1" t="str">
        <f>"1014572589"</f>
        <v>1014572589</v>
      </c>
      <c r="D618" s="1" t="str">
        <f>"152326195603300051"</f>
        <v>152326195603300051</v>
      </c>
      <c r="E618" s="1" t="s">
        <v>664</v>
      </c>
      <c r="F618" s="1" t="s">
        <v>25</v>
      </c>
      <c r="G618" s="1" t="s">
        <v>19</v>
      </c>
      <c r="H618" s="1" t="str">
        <f>"68"</f>
        <v>68</v>
      </c>
      <c r="I618" s="1" t="str">
        <f>"156.01"</f>
        <v>156.01</v>
      </c>
      <c r="J618" s="1" t="str">
        <f t="shared" si="445"/>
        <v>0</v>
      </c>
      <c r="K618" s="1" t="str">
        <f t="shared" si="446"/>
        <v>103</v>
      </c>
      <c r="L618" s="1" t="str">
        <f t="shared" si="447"/>
        <v>47</v>
      </c>
      <c r="M618" s="1" t="str">
        <f t="shared" si="442"/>
        <v>0</v>
      </c>
      <c r="N618" s="1" t="str">
        <f t="shared" si="443"/>
        <v>0</v>
      </c>
      <c r="O618" s="1" t="str">
        <f>"6.01"</f>
        <v>6.01</v>
      </c>
    </row>
    <row r="619" s="1" customFormat="1" spans="1:15">
      <c r="A619" s="1" t="str">
        <f t="shared" si="437"/>
        <v>202406</v>
      </c>
      <c r="B619" s="1" t="str">
        <f t="shared" si="438"/>
        <v>150525100</v>
      </c>
      <c r="C619" s="1" t="str">
        <f>"1014572612"</f>
        <v>1014572612</v>
      </c>
      <c r="D619" s="1" t="str">
        <f>"152326195806183107"</f>
        <v>152326195806183107</v>
      </c>
      <c r="E619" s="1" t="s">
        <v>665</v>
      </c>
      <c r="F619" s="1" t="s">
        <v>16</v>
      </c>
      <c r="G619" s="1" t="s">
        <v>19</v>
      </c>
      <c r="H619" s="1" t="str">
        <f>"66"</f>
        <v>66</v>
      </c>
      <c r="I619" s="1" t="str">
        <f>"157.1"</f>
        <v>157.1</v>
      </c>
      <c r="J619" s="1" t="str">
        <f t="shared" si="445"/>
        <v>0</v>
      </c>
      <c r="K619" s="1" t="str">
        <f t="shared" si="446"/>
        <v>103</v>
      </c>
      <c r="L619" s="1" t="str">
        <f t="shared" si="447"/>
        <v>47</v>
      </c>
      <c r="M619" s="1" t="str">
        <f t="shared" si="442"/>
        <v>0</v>
      </c>
      <c r="N619" s="1" t="str">
        <f t="shared" si="443"/>
        <v>0</v>
      </c>
      <c r="O619" s="1" t="str">
        <f>"7.1"</f>
        <v>7.1</v>
      </c>
    </row>
    <row r="620" s="1" customFormat="1" spans="1:15">
      <c r="A620" s="1" t="str">
        <f t="shared" si="437"/>
        <v>202406</v>
      </c>
      <c r="B620" s="1" t="str">
        <f t="shared" si="438"/>
        <v>150525100</v>
      </c>
      <c r="C620" s="1" t="str">
        <f>"1014552556"</f>
        <v>1014552556</v>
      </c>
      <c r="D620" s="1" t="str">
        <f>"152326195302213835"</f>
        <v>152326195302213835</v>
      </c>
      <c r="E620" s="1" t="s">
        <v>666</v>
      </c>
      <c r="F620" s="1" t="s">
        <v>25</v>
      </c>
      <c r="G620" s="1" t="s">
        <v>17</v>
      </c>
      <c r="H620" s="1" t="str">
        <f>"71"</f>
        <v>71</v>
      </c>
      <c r="I620" s="1" t="str">
        <f>"162.93"</f>
        <v>162.93</v>
      </c>
      <c r="J620" s="1" t="str">
        <f t="shared" si="445"/>
        <v>0</v>
      </c>
      <c r="K620" s="1" t="str">
        <f t="shared" si="446"/>
        <v>103</v>
      </c>
      <c r="L620" s="1" t="str">
        <f t="shared" si="447"/>
        <v>47</v>
      </c>
      <c r="M620" s="1" t="str">
        <f t="shared" si="442"/>
        <v>0</v>
      </c>
      <c r="N620" s="1" t="str">
        <f t="shared" si="443"/>
        <v>0</v>
      </c>
      <c r="O620" s="1" t="str">
        <f>"2.93"</f>
        <v>2.93</v>
      </c>
    </row>
    <row r="621" s="1" customFormat="1" spans="1:15">
      <c r="A621" s="1" t="str">
        <f t="shared" si="437"/>
        <v>202406</v>
      </c>
      <c r="B621" s="1" t="str">
        <f t="shared" si="438"/>
        <v>150525100</v>
      </c>
      <c r="C621" s="1" t="str">
        <f>"1014570362"</f>
        <v>1014570362</v>
      </c>
      <c r="D621" s="1" t="str">
        <f>"152326195702083814"</f>
        <v>152326195702083814</v>
      </c>
      <c r="E621" s="1" t="s">
        <v>667</v>
      </c>
      <c r="F621" s="1" t="s">
        <v>25</v>
      </c>
      <c r="G621" s="1" t="s">
        <v>17</v>
      </c>
      <c r="H621" s="1" t="str">
        <f>"67"</f>
        <v>67</v>
      </c>
      <c r="I621" s="1" t="str">
        <f>"157.06"</f>
        <v>157.06</v>
      </c>
      <c r="J621" s="1" t="str">
        <f t="shared" si="445"/>
        <v>0</v>
      </c>
      <c r="K621" s="1" t="str">
        <f t="shared" si="446"/>
        <v>103</v>
      </c>
      <c r="L621" s="1" t="str">
        <f t="shared" si="447"/>
        <v>47</v>
      </c>
      <c r="M621" s="1" t="str">
        <f t="shared" si="442"/>
        <v>0</v>
      </c>
      <c r="N621" s="1" t="str">
        <f t="shared" si="443"/>
        <v>0</v>
      </c>
      <c r="O621" s="1" t="str">
        <f>"7.06"</f>
        <v>7.06</v>
      </c>
    </row>
    <row r="622" s="1" customFormat="1" spans="1:15">
      <c r="A622" s="1" t="str">
        <f t="shared" si="437"/>
        <v>202406</v>
      </c>
      <c r="B622" s="1" t="str">
        <f t="shared" si="438"/>
        <v>150525100</v>
      </c>
      <c r="C622" s="1" t="str">
        <f>"1014572456"</f>
        <v>1014572456</v>
      </c>
      <c r="D622" s="1" t="str">
        <f>"152326195211043084"</f>
        <v>152326195211043084</v>
      </c>
      <c r="E622" s="1" t="s">
        <v>668</v>
      </c>
      <c r="F622" s="1" t="s">
        <v>16</v>
      </c>
      <c r="G622" s="1" t="s">
        <v>19</v>
      </c>
      <c r="H622" s="1" t="str">
        <f>"72"</f>
        <v>72</v>
      </c>
      <c r="I622" s="1" t="str">
        <f t="shared" ref="I622:I625" si="453">"162.14"</f>
        <v>162.14</v>
      </c>
      <c r="J622" s="1" t="str">
        <f t="shared" si="445"/>
        <v>0</v>
      </c>
      <c r="K622" s="1" t="str">
        <f t="shared" si="446"/>
        <v>103</v>
      </c>
      <c r="L622" s="1" t="str">
        <f t="shared" si="447"/>
        <v>47</v>
      </c>
      <c r="M622" s="1" t="str">
        <f t="shared" si="442"/>
        <v>0</v>
      </c>
      <c r="N622" s="1" t="str">
        <f t="shared" si="443"/>
        <v>0</v>
      </c>
      <c r="O622" s="1" t="str">
        <f t="shared" ref="O622:O625" si="454">"2.14"</f>
        <v>2.14</v>
      </c>
    </row>
    <row r="623" s="1" customFormat="1" spans="1:15">
      <c r="A623" s="1" t="str">
        <f t="shared" si="437"/>
        <v>202406</v>
      </c>
      <c r="B623" s="1" t="str">
        <f t="shared" si="438"/>
        <v>150525100</v>
      </c>
      <c r="C623" s="1" t="str">
        <f>"1014572573"</f>
        <v>1014572573</v>
      </c>
      <c r="D623" s="1" t="str">
        <f>"152326195412060913"</f>
        <v>152326195412060913</v>
      </c>
      <c r="E623" s="1" t="s">
        <v>669</v>
      </c>
      <c r="F623" s="1" t="s">
        <v>25</v>
      </c>
      <c r="G623" s="1" t="s">
        <v>19</v>
      </c>
      <c r="H623" s="1" t="str">
        <f>"70"</f>
        <v>70</v>
      </c>
      <c r="I623" s="1" t="str">
        <f>"153.89"</f>
        <v>153.89</v>
      </c>
      <c r="J623" s="1" t="str">
        <f t="shared" si="445"/>
        <v>0</v>
      </c>
      <c r="K623" s="1" t="str">
        <f t="shared" si="446"/>
        <v>103</v>
      </c>
      <c r="L623" s="1" t="str">
        <f t="shared" si="447"/>
        <v>47</v>
      </c>
      <c r="M623" s="1" t="str">
        <f t="shared" si="442"/>
        <v>0</v>
      </c>
      <c r="N623" s="1" t="str">
        <f t="shared" si="443"/>
        <v>0</v>
      </c>
      <c r="O623" s="1" t="str">
        <f>"3.89"</f>
        <v>3.89</v>
      </c>
    </row>
    <row r="624" s="1" customFormat="1" spans="1:15">
      <c r="A624" s="1" t="str">
        <f t="shared" si="437"/>
        <v>202406</v>
      </c>
      <c r="B624" s="1" t="str">
        <f t="shared" si="438"/>
        <v>150525100</v>
      </c>
      <c r="C624" s="1" t="str">
        <f>"1014572620"</f>
        <v>1014572620</v>
      </c>
      <c r="D624" s="1" t="str">
        <f>"152326195211180417"</f>
        <v>152326195211180417</v>
      </c>
      <c r="E624" s="1" t="s">
        <v>670</v>
      </c>
      <c r="F624" s="1" t="s">
        <v>25</v>
      </c>
      <c r="G624" s="1" t="s">
        <v>17</v>
      </c>
      <c r="H624" s="1" t="str">
        <f>"72"</f>
        <v>72</v>
      </c>
      <c r="I624" s="1" t="str">
        <f t="shared" si="453"/>
        <v>162.14</v>
      </c>
      <c r="J624" s="1" t="str">
        <f t="shared" si="445"/>
        <v>0</v>
      </c>
      <c r="K624" s="1" t="str">
        <f t="shared" si="446"/>
        <v>103</v>
      </c>
      <c r="L624" s="1" t="str">
        <f t="shared" si="447"/>
        <v>47</v>
      </c>
      <c r="M624" s="1" t="str">
        <f t="shared" si="442"/>
        <v>0</v>
      </c>
      <c r="N624" s="1" t="str">
        <f t="shared" si="443"/>
        <v>0</v>
      </c>
      <c r="O624" s="1" t="str">
        <f t="shared" si="454"/>
        <v>2.14</v>
      </c>
    </row>
    <row r="625" s="1" customFormat="1" spans="1:15">
      <c r="A625" s="1" t="str">
        <f t="shared" si="437"/>
        <v>202406</v>
      </c>
      <c r="B625" s="1" t="str">
        <f t="shared" si="438"/>
        <v>150525100</v>
      </c>
      <c r="C625" s="1" t="str">
        <f>"1014572627"</f>
        <v>1014572627</v>
      </c>
      <c r="D625" s="1" t="str">
        <f>"152326195302103070"</f>
        <v>152326195302103070</v>
      </c>
      <c r="E625" s="1" t="s">
        <v>671</v>
      </c>
      <c r="F625" s="1" t="s">
        <v>25</v>
      </c>
      <c r="G625" s="1" t="s">
        <v>17</v>
      </c>
      <c r="H625" s="1" t="str">
        <f t="shared" ref="H625:H628" si="455">"71"</f>
        <v>71</v>
      </c>
      <c r="I625" s="1" t="str">
        <f t="shared" si="453"/>
        <v>162.14</v>
      </c>
      <c r="J625" s="1" t="str">
        <f t="shared" si="445"/>
        <v>0</v>
      </c>
      <c r="K625" s="1" t="str">
        <f t="shared" si="446"/>
        <v>103</v>
      </c>
      <c r="L625" s="1" t="str">
        <f t="shared" si="447"/>
        <v>47</v>
      </c>
      <c r="M625" s="1" t="str">
        <f t="shared" si="442"/>
        <v>0</v>
      </c>
      <c r="N625" s="1" t="str">
        <f t="shared" si="443"/>
        <v>0</v>
      </c>
      <c r="O625" s="1" t="str">
        <f t="shared" si="454"/>
        <v>2.14</v>
      </c>
    </row>
    <row r="626" s="1" customFormat="1" spans="1:15">
      <c r="A626" s="1" t="str">
        <f t="shared" si="437"/>
        <v>202406</v>
      </c>
      <c r="B626" s="1" t="str">
        <f t="shared" si="438"/>
        <v>150525100</v>
      </c>
      <c r="C626" s="1" t="str">
        <f>"1014572633"</f>
        <v>1014572633</v>
      </c>
      <c r="D626" s="1" t="str">
        <f>"152326195304040413"</f>
        <v>152326195304040413</v>
      </c>
      <c r="E626" s="1" t="s">
        <v>672</v>
      </c>
      <c r="F626" s="1" t="s">
        <v>25</v>
      </c>
      <c r="G626" s="1" t="s">
        <v>17</v>
      </c>
      <c r="H626" s="1" t="str">
        <f t="shared" si="455"/>
        <v>71</v>
      </c>
      <c r="I626" s="1" t="str">
        <f t="shared" ref="I626:I628" si="456">"163.16"</f>
        <v>163.16</v>
      </c>
      <c r="J626" s="1" t="str">
        <f t="shared" si="445"/>
        <v>0</v>
      </c>
      <c r="K626" s="1" t="str">
        <f t="shared" si="446"/>
        <v>103</v>
      </c>
      <c r="L626" s="1" t="str">
        <f t="shared" si="447"/>
        <v>47</v>
      </c>
      <c r="M626" s="1" t="str">
        <f t="shared" si="442"/>
        <v>0</v>
      </c>
      <c r="N626" s="1" t="str">
        <f t="shared" si="443"/>
        <v>0</v>
      </c>
      <c r="O626" s="1" t="str">
        <f t="shared" ref="O626:O628" si="457">"3.16"</f>
        <v>3.16</v>
      </c>
    </row>
    <row r="627" s="1" customFormat="1" spans="1:15">
      <c r="A627" s="1" t="str">
        <f t="shared" si="437"/>
        <v>202406</v>
      </c>
      <c r="B627" s="1" t="str">
        <f t="shared" si="438"/>
        <v>150525100</v>
      </c>
      <c r="C627" s="1" t="str">
        <f>"1014572638"</f>
        <v>1014572638</v>
      </c>
      <c r="D627" s="1" t="str">
        <f>"152326195306010023"</f>
        <v>152326195306010023</v>
      </c>
      <c r="E627" s="1" t="s">
        <v>673</v>
      </c>
      <c r="F627" s="1" t="s">
        <v>16</v>
      </c>
      <c r="G627" s="1" t="s">
        <v>17</v>
      </c>
      <c r="H627" s="1" t="str">
        <f t="shared" si="455"/>
        <v>71</v>
      </c>
      <c r="I627" s="1" t="str">
        <f t="shared" si="456"/>
        <v>163.16</v>
      </c>
      <c r="J627" s="1" t="str">
        <f t="shared" si="445"/>
        <v>0</v>
      </c>
      <c r="K627" s="1" t="str">
        <f t="shared" si="446"/>
        <v>103</v>
      </c>
      <c r="L627" s="1" t="str">
        <f t="shared" si="447"/>
        <v>47</v>
      </c>
      <c r="M627" s="1" t="str">
        <f t="shared" si="442"/>
        <v>0</v>
      </c>
      <c r="N627" s="1" t="str">
        <f t="shared" si="443"/>
        <v>0</v>
      </c>
      <c r="O627" s="1" t="str">
        <f t="shared" si="457"/>
        <v>3.16</v>
      </c>
    </row>
    <row r="628" s="1" customFormat="1" spans="1:15">
      <c r="A628" s="1" t="str">
        <f t="shared" si="437"/>
        <v>202406</v>
      </c>
      <c r="B628" s="1" t="str">
        <f t="shared" si="438"/>
        <v>150525100</v>
      </c>
      <c r="C628" s="1" t="str">
        <f>"1014572642"</f>
        <v>1014572642</v>
      </c>
      <c r="D628" s="1" t="str">
        <f>"152326195307160015"</f>
        <v>152326195307160015</v>
      </c>
      <c r="E628" s="1" t="s">
        <v>674</v>
      </c>
      <c r="F628" s="1" t="s">
        <v>25</v>
      </c>
      <c r="G628" s="1" t="s">
        <v>17</v>
      </c>
      <c r="H628" s="1" t="str">
        <f t="shared" si="455"/>
        <v>71</v>
      </c>
      <c r="I628" s="1" t="str">
        <f t="shared" si="456"/>
        <v>163.16</v>
      </c>
      <c r="J628" s="1" t="str">
        <f t="shared" si="445"/>
        <v>0</v>
      </c>
      <c r="K628" s="1" t="str">
        <f t="shared" si="446"/>
        <v>103</v>
      </c>
      <c r="L628" s="1" t="str">
        <f t="shared" si="447"/>
        <v>47</v>
      </c>
      <c r="M628" s="1" t="str">
        <f t="shared" si="442"/>
        <v>0</v>
      </c>
      <c r="N628" s="1" t="str">
        <f t="shared" si="443"/>
        <v>0</v>
      </c>
      <c r="O628" s="1" t="str">
        <f t="shared" si="457"/>
        <v>3.16</v>
      </c>
    </row>
    <row r="629" s="1" customFormat="1" spans="1:15">
      <c r="A629" s="1" t="str">
        <f t="shared" si="437"/>
        <v>202406</v>
      </c>
      <c r="B629" s="1" t="str">
        <f t="shared" si="438"/>
        <v>150525100</v>
      </c>
      <c r="C629" s="1" t="str">
        <f>"1014644464"</f>
        <v>1014644464</v>
      </c>
      <c r="D629" s="1" t="str">
        <f>"152326196211170678"</f>
        <v>152326196211170678</v>
      </c>
      <c r="E629" s="1" t="s">
        <v>675</v>
      </c>
      <c r="F629" s="1" t="s">
        <v>25</v>
      </c>
      <c r="G629" s="1" t="s">
        <v>96</v>
      </c>
      <c r="H629" s="1" t="str">
        <f>"62"</f>
        <v>62</v>
      </c>
      <c r="I629" s="1" t="str">
        <f>"163.19"</f>
        <v>163.19</v>
      </c>
      <c r="J629" s="1" t="str">
        <f t="shared" si="445"/>
        <v>0</v>
      </c>
      <c r="K629" s="1" t="str">
        <f t="shared" si="446"/>
        <v>103</v>
      </c>
      <c r="L629" s="1" t="str">
        <f t="shared" si="447"/>
        <v>47</v>
      </c>
      <c r="M629" s="1" t="str">
        <f t="shared" si="442"/>
        <v>0</v>
      </c>
      <c r="N629" s="1" t="str">
        <f t="shared" si="443"/>
        <v>0</v>
      </c>
      <c r="O629" s="1" t="str">
        <f>"13.19"</f>
        <v>13.19</v>
      </c>
    </row>
    <row r="630" s="1" customFormat="1" spans="1:15">
      <c r="A630" s="1" t="str">
        <f t="shared" si="437"/>
        <v>202406</v>
      </c>
      <c r="B630" s="1" t="str">
        <f t="shared" si="438"/>
        <v>150525100</v>
      </c>
      <c r="C630" s="1" t="str">
        <f>"1041429714"</f>
        <v>1041429714</v>
      </c>
      <c r="D630" s="1" t="str">
        <f>"152326196205083826"</f>
        <v>152326196205083826</v>
      </c>
      <c r="E630" s="1" t="s">
        <v>676</v>
      </c>
      <c r="F630" s="1" t="s">
        <v>16</v>
      </c>
      <c r="G630" s="1" t="s">
        <v>17</v>
      </c>
      <c r="H630" s="1" t="str">
        <f>"62"</f>
        <v>62</v>
      </c>
      <c r="I630" s="1" t="str">
        <f>"166.78"</f>
        <v>166.78</v>
      </c>
      <c r="J630" s="1" t="str">
        <f t="shared" si="445"/>
        <v>0</v>
      </c>
      <c r="K630" s="1" t="str">
        <f t="shared" si="446"/>
        <v>103</v>
      </c>
      <c r="L630" s="1" t="str">
        <f t="shared" si="447"/>
        <v>47</v>
      </c>
      <c r="M630" s="1" t="str">
        <f t="shared" si="442"/>
        <v>0</v>
      </c>
      <c r="N630" s="1" t="str">
        <f t="shared" si="443"/>
        <v>0</v>
      </c>
      <c r="O630" s="1" t="str">
        <f>"16.78"</f>
        <v>16.78</v>
      </c>
    </row>
    <row r="631" s="1" customFormat="1" spans="1:15">
      <c r="A631" s="1" t="str">
        <f t="shared" si="437"/>
        <v>202406</v>
      </c>
      <c r="B631" s="1" t="str">
        <f t="shared" si="438"/>
        <v>150525100</v>
      </c>
      <c r="C631" s="1" t="str">
        <f>"1014567716"</f>
        <v>1014567716</v>
      </c>
      <c r="D631" s="1" t="str">
        <f>"152326195805023814"</f>
        <v>152326195805023814</v>
      </c>
      <c r="E631" s="1" t="s">
        <v>677</v>
      </c>
      <c r="F631" s="1" t="s">
        <v>25</v>
      </c>
      <c r="G631" s="1" t="s">
        <v>17</v>
      </c>
      <c r="H631" s="1" t="str">
        <f>"66"</f>
        <v>66</v>
      </c>
      <c r="I631" s="1" t="str">
        <f>"157.11"</f>
        <v>157.11</v>
      </c>
      <c r="J631" s="1" t="str">
        <f t="shared" si="445"/>
        <v>0</v>
      </c>
      <c r="K631" s="1" t="str">
        <f t="shared" si="446"/>
        <v>103</v>
      </c>
      <c r="L631" s="1" t="str">
        <f t="shared" si="447"/>
        <v>47</v>
      </c>
      <c r="M631" s="1" t="str">
        <f t="shared" si="442"/>
        <v>0</v>
      </c>
      <c r="N631" s="1" t="str">
        <f t="shared" si="443"/>
        <v>0</v>
      </c>
      <c r="O631" s="1" t="str">
        <f>"7.11"</f>
        <v>7.11</v>
      </c>
    </row>
    <row r="632" s="1" customFormat="1" spans="1:15">
      <c r="A632" s="1" t="str">
        <f t="shared" si="437"/>
        <v>202406</v>
      </c>
      <c r="B632" s="1" t="str">
        <f t="shared" si="438"/>
        <v>150525100</v>
      </c>
      <c r="C632" s="1" t="str">
        <f>"1014567731"</f>
        <v>1014567731</v>
      </c>
      <c r="D632" s="1" t="str">
        <f>"152326195707133817"</f>
        <v>152326195707133817</v>
      </c>
      <c r="E632" s="1" t="s">
        <v>678</v>
      </c>
      <c r="F632" s="1" t="s">
        <v>25</v>
      </c>
      <c r="G632" s="1" t="s">
        <v>17</v>
      </c>
      <c r="H632" s="1" t="str">
        <f t="shared" ref="H632:H637" si="458">"67"</f>
        <v>67</v>
      </c>
      <c r="I632" s="1" t="str">
        <f>"156.08"</f>
        <v>156.08</v>
      </c>
      <c r="J632" s="1" t="str">
        <f t="shared" si="445"/>
        <v>0</v>
      </c>
      <c r="K632" s="1" t="str">
        <f t="shared" si="446"/>
        <v>103</v>
      </c>
      <c r="L632" s="1" t="str">
        <f t="shared" si="447"/>
        <v>47</v>
      </c>
      <c r="M632" s="1" t="str">
        <f t="shared" si="442"/>
        <v>0</v>
      </c>
      <c r="N632" s="1" t="str">
        <f t="shared" si="443"/>
        <v>0</v>
      </c>
      <c r="O632" s="1" t="str">
        <f>"6.08"</f>
        <v>6.08</v>
      </c>
    </row>
    <row r="633" s="1" customFormat="1" spans="1:15">
      <c r="A633" s="1" t="str">
        <f t="shared" si="437"/>
        <v>202406</v>
      </c>
      <c r="B633" s="1" t="str">
        <f t="shared" si="438"/>
        <v>150525100</v>
      </c>
      <c r="C633" s="1" t="str">
        <f>"1014567740"</f>
        <v>1014567740</v>
      </c>
      <c r="D633" s="1" t="str">
        <f>"152326195705073822"</f>
        <v>152326195705073822</v>
      </c>
      <c r="E633" s="1" t="s">
        <v>679</v>
      </c>
      <c r="F633" s="1" t="s">
        <v>16</v>
      </c>
      <c r="G633" s="1" t="s">
        <v>17</v>
      </c>
      <c r="H633" s="1" t="str">
        <f t="shared" si="458"/>
        <v>67</v>
      </c>
      <c r="I633" s="1" t="str">
        <f>"156.07"</f>
        <v>156.07</v>
      </c>
      <c r="J633" s="1" t="str">
        <f t="shared" si="445"/>
        <v>0</v>
      </c>
      <c r="K633" s="1" t="str">
        <f t="shared" si="446"/>
        <v>103</v>
      </c>
      <c r="L633" s="1" t="str">
        <f t="shared" si="447"/>
        <v>47</v>
      </c>
      <c r="M633" s="1" t="str">
        <f t="shared" si="442"/>
        <v>0</v>
      </c>
      <c r="N633" s="1" t="str">
        <f t="shared" si="443"/>
        <v>0</v>
      </c>
      <c r="O633" s="1" t="str">
        <f>"6.07"</f>
        <v>6.07</v>
      </c>
    </row>
    <row r="634" s="1" customFormat="1" spans="1:15">
      <c r="A634" s="1" t="str">
        <f t="shared" si="437"/>
        <v>202406</v>
      </c>
      <c r="B634" s="1" t="str">
        <f t="shared" si="438"/>
        <v>150525100</v>
      </c>
      <c r="C634" s="1" t="str">
        <f>"1014562821"</f>
        <v>1014562821</v>
      </c>
      <c r="D634" s="1" t="str">
        <f>"152326196310100413"</f>
        <v>152326196310100413</v>
      </c>
      <c r="E634" s="1" t="s">
        <v>680</v>
      </c>
      <c r="F634" s="1" t="s">
        <v>25</v>
      </c>
      <c r="G634" s="1" t="s">
        <v>17</v>
      </c>
      <c r="H634" s="1" t="str">
        <f>"61"</f>
        <v>61</v>
      </c>
      <c r="I634" s="1" t="str">
        <f>"166.56"</f>
        <v>166.56</v>
      </c>
      <c r="J634" s="1" t="str">
        <f t="shared" si="445"/>
        <v>0</v>
      </c>
      <c r="K634" s="1" t="str">
        <f t="shared" si="446"/>
        <v>103</v>
      </c>
      <c r="L634" s="1" t="str">
        <f t="shared" si="447"/>
        <v>47</v>
      </c>
      <c r="M634" s="1" t="str">
        <f t="shared" si="442"/>
        <v>0</v>
      </c>
      <c r="N634" s="1" t="str">
        <f t="shared" si="443"/>
        <v>0</v>
      </c>
      <c r="O634" s="1" t="str">
        <f>"16.56"</f>
        <v>16.56</v>
      </c>
    </row>
    <row r="635" s="1" customFormat="1" spans="1:15">
      <c r="A635" s="1" t="str">
        <f t="shared" si="437"/>
        <v>202406</v>
      </c>
      <c r="B635" s="1" t="str">
        <f t="shared" si="438"/>
        <v>150525100</v>
      </c>
      <c r="C635" s="1" t="str">
        <f>"1014563185"</f>
        <v>1014563185</v>
      </c>
      <c r="D635" s="1" t="str">
        <f>"152326195507290420"</f>
        <v>152326195507290420</v>
      </c>
      <c r="E635" s="1" t="s">
        <v>681</v>
      </c>
      <c r="F635" s="1" t="s">
        <v>16</v>
      </c>
      <c r="G635" s="1" t="s">
        <v>17</v>
      </c>
      <c r="H635" s="1" t="str">
        <f>"69"</f>
        <v>69</v>
      </c>
      <c r="I635" s="1" t="str">
        <f>"155.11"</f>
        <v>155.11</v>
      </c>
      <c r="J635" s="1" t="str">
        <f t="shared" si="445"/>
        <v>0</v>
      </c>
      <c r="K635" s="1" t="str">
        <f t="shared" si="446"/>
        <v>103</v>
      </c>
      <c r="L635" s="1" t="str">
        <f t="shared" si="447"/>
        <v>47</v>
      </c>
      <c r="M635" s="1" t="str">
        <f t="shared" si="442"/>
        <v>0</v>
      </c>
      <c r="N635" s="1" t="str">
        <f t="shared" si="443"/>
        <v>0</v>
      </c>
      <c r="O635" s="1" t="str">
        <f>"5.11"</f>
        <v>5.11</v>
      </c>
    </row>
    <row r="636" s="1" customFormat="1" spans="1:15">
      <c r="A636" s="1" t="str">
        <f t="shared" si="437"/>
        <v>202406</v>
      </c>
      <c r="B636" s="1" t="str">
        <f t="shared" si="438"/>
        <v>150525100</v>
      </c>
      <c r="C636" s="1" t="str">
        <f>"1014584019"</f>
        <v>1014584019</v>
      </c>
      <c r="D636" s="1" t="str">
        <f>"152326195706040440"</f>
        <v>152326195706040440</v>
      </c>
      <c r="E636" s="1" t="s">
        <v>381</v>
      </c>
      <c r="F636" s="1" t="s">
        <v>16</v>
      </c>
      <c r="G636" s="1" t="s">
        <v>17</v>
      </c>
      <c r="H636" s="1" t="str">
        <f t="shared" si="458"/>
        <v>67</v>
      </c>
      <c r="I636" s="1" t="str">
        <f>"156.06"</f>
        <v>156.06</v>
      </c>
      <c r="J636" s="1" t="str">
        <f t="shared" si="445"/>
        <v>0</v>
      </c>
      <c r="K636" s="1" t="str">
        <f t="shared" si="446"/>
        <v>103</v>
      </c>
      <c r="L636" s="1" t="str">
        <f t="shared" si="447"/>
        <v>47</v>
      </c>
      <c r="M636" s="1" t="str">
        <f t="shared" si="442"/>
        <v>0</v>
      </c>
      <c r="N636" s="1" t="str">
        <f t="shared" si="443"/>
        <v>0</v>
      </c>
      <c r="O636" s="1" t="str">
        <f>"6.06"</f>
        <v>6.06</v>
      </c>
    </row>
    <row r="637" s="1" customFormat="1" spans="1:15">
      <c r="A637" s="1" t="str">
        <f t="shared" si="437"/>
        <v>202406</v>
      </c>
      <c r="B637" s="1" t="str">
        <f t="shared" si="438"/>
        <v>150525100</v>
      </c>
      <c r="C637" s="1" t="str">
        <f>"1014584021"</f>
        <v>1014584021</v>
      </c>
      <c r="D637" s="1" t="str">
        <f>"152326195707260664"</f>
        <v>152326195707260664</v>
      </c>
      <c r="E637" s="1" t="s">
        <v>682</v>
      </c>
      <c r="F637" s="1" t="s">
        <v>16</v>
      </c>
      <c r="G637" s="1" t="s">
        <v>17</v>
      </c>
      <c r="H637" s="1" t="str">
        <f t="shared" si="458"/>
        <v>67</v>
      </c>
      <c r="I637" s="1" t="str">
        <f>"156.07"</f>
        <v>156.07</v>
      </c>
      <c r="J637" s="1" t="str">
        <f t="shared" si="445"/>
        <v>0</v>
      </c>
      <c r="K637" s="1" t="str">
        <f t="shared" si="446"/>
        <v>103</v>
      </c>
      <c r="L637" s="1" t="str">
        <f t="shared" si="447"/>
        <v>47</v>
      </c>
      <c r="M637" s="1" t="str">
        <f t="shared" si="442"/>
        <v>0</v>
      </c>
      <c r="N637" s="1" t="str">
        <f t="shared" si="443"/>
        <v>0</v>
      </c>
      <c r="O637" s="1" t="str">
        <f>"6.07"</f>
        <v>6.07</v>
      </c>
    </row>
    <row r="638" s="1" customFormat="1" spans="1:15">
      <c r="A638" s="1" t="str">
        <f t="shared" si="437"/>
        <v>202406</v>
      </c>
      <c r="B638" s="1" t="str">
        <f t="shared" si="438"/>
        <v>150525100</v>
      </c>
      <c r="C638" s="1" t="str">
        <f>"1014549001"</f>
        <v>1014549001</v>
      </c>
      <c r="D638" s="1" t="str">
        <f>"152326195608073310"</f>
        <v>152326195608073310</v>
      </c>
      <c r="E638" s="1" t="s">
        <v>683</v>
      </c>
      <c r="F638" s="1" t="s">
        <v>25</v>
      </c>
      <c r="G638" s="1" t="s">
        <v>17</v>
      </c>
      <c r="H638" s="1" t="str">
        <f>"68"</f>
        <v>68</v>
      </c>
      <c r="I638" s="1" t="str">
        <f>"156.01"</f>
        <v>156.01</v>
      </c>
      <c r="J638" s="1" t="str">
        <f t="shared" si="445"/>
        <v>0</v>
      </c>
      <c r="K638" s="1" t="str">
        <f t="shared" si="446"/>
        <v>103</v>
      </c>
      <c r="L638" s="1" t="str">
        <f t="shared" si="447"/>
        <v>47</v>
      </c>
      <c r="M638" s="1" t="str">
        <f t="shared" si="442"/>
        <v>0</v>
      </c>
      <c r="N638" s="1" t="str">
        <f t="shared" si="443"/>
        <v>0</v>
      </c>
      <c r="O638" s="1" t="str">
        <f>"6.01"</f>
        <v>6.01</v>
      </c>
    </row>
    <row r="639" s="1" customFormat="1" spans="1:15">
      <c r="A639" s="1" t="str">
        <f t="shared" si="437"/>
        <v>202406</v>
      </c>
      <c r="B639" s="1" t="str">
        <f t="shared" si="438"/>
        <v>150525100</v>
      </c>
      <c r="C639" s="1" t="str">
        <f>"1014584443"</f>
        <v>1014584443</v>
      </c>
      <c r="D639" s="1" t="str">
        <f>"152326195211150445"</f>
        <v>152326195211150445</v>
      </c>
      <c r="E639" s="1" t="s">
        <v>684</v>
      </c>
      <c r="F639" s="1" t="s">
        <v>16</v>
      </c>
      <c r="G639" s="1" t="s">
        <v>17</v>
      </c>
      <c r="H639" s="1" t="str">
        <f t="shared" ref="H639:H643" si="459">"72"</f>
        <v>72</v>
      </c>
      <c r="I639" s="1" t="str">
        <f>"162.14"</f>
        <v>162.14</v>
      </c>
      <c r="J639" s="1" t="str">
        <f t="shared" si="445"/>
        <v>0</v>
      </c>
      <c r="K639" s="1" t="str">
        <f t="shared" si="446"/>
        <v>103</v>
      </c>
      <c r="L639" s="1" t="str">
        <f t="shared" si="447"/>
        <v>47</v>
      </c>
      <c r="M639" s="1" t="str">
        <f t="shared" si="442"/>
        <v>0</v>
      </c>
      <c r="N639" s="1" t="str">
        <f t="shared" si="443"/>
        <v>0</v>
      </c>
      <c r="O639" s="1" t="str">
        <f>"2.14"</f>
        <v>2.14</v>
      </c>
    </row>
    <row r="640" s="1" customFormat="1" spans="1:15">
      <c r="A640" s="1" t="str">
        <f t="shared" si="437"/>
        <v>202406</v>
      </c>
      <c r="B640" s="1" t="str">
        <f t="shared" si="438"/>
        <v>150525100</v>
      </c>
      <c r="C640" s="1" t="str">
        <f>"1014584951"</f>
        <v>1014584951</v>
      </c>
      <c r="D640" s="1" t="str">
        <f>"152326195312130427"</f>
        <v>152326195312130427</v>
      </c>
      <c r="E640" s="1" t="s">
        <v>685</v>
      </c>
      <c r="F640" s="1" t="s">
        <v>16</v>
      </c>
      <c r="G640" s="1" t="s">
        <v>17</v>
      </c>
      <c r="H640" s="1" t="str">
        <f>"71"</f>
        <v>71</v>
      </c>
      <c r="I640" s="1" t="str">
        <f>"163.16"</f>
        <v>163.16</v>
      </c>
      <c r="J640" s="1" t="str">
        <f t="shared" si="445"/>
        <v>0</v>
      </c>
      <c r="K640" s="1" t="str">
        <f t="shared" si="446"/>
        <v>103</v>
      </c>
      <c r="L640" s="1" t="str">
        <f t="shared" si="447"/>
        <v>47</v>
      </c>
      <c r="M640" s="1" t="str">
        <f t="shared" si="442"/>
        <v>0</v>
      </c>
      <c r="N640" s="1" t="str">
        <f t="shared" si="443"/>
        <v>0</v>
      </c>
      <c r="O640" s="1" t="str">
        <f>"3.16"</f>
        <v>3.16</v>
      </c>
    </row>
    <row r="641" s="1" customFormat="1" spans="1:15">
      <c r="A641" s="1" t="str">
        <f t="shared" si="437"/>
        <v>202406</v>
      </c>
      <c r="B641" s="1" t="str">
        <f t="shared" si="438"/>
        <v>150525100</v>
      </c>
      <c r="C641" s="1" t="str">
        <f>"1014584959"</f>
        <v>1014584959</v>
      </c>
      <c r="D641" s="1" t="s">
        <v>686</v>
      </c>
      <c r="E641" s="1" t="s">
        <v>687</v>
      </c>
      <c r="F641" s="1" t="s">
        <v>16</v>
      </c>
      <c r="G641" s="1" t="s">
        <v>17</v>
      </c>
      <c r="H641" s="1" t="str">
        <f>"69"</f>
        <v>69</v>
      </c>
      <c r="I641" s="1" t="str">
        <f>"155.09"</f>
        <v>155.09</v>
      </c>
      <c r="J641" s="1" t="str">
        <f t="shared" si="445"/>
        <v>0</v>
      </c>
      <c r="K641" s="1" t="str">
        <f t="shared" si="446"/>
        <v>103</v>
      </c>
      <c r="L641" s="1" t="str">
        <f t="shared" si="447"/>
        <v>47</v>
      </c>
      <c r="M641" s="1" t="str">
        <f t="shared" si="442"/>
        <v>0</v>
      </c>
      <c r="N641" s="1" t="str">
        <f t="shared" si="443"/>
        <v>0</v>
      </c>
      <c r="O641" s="1" t="str">
        <f>"5.09"</f>
        <v>5.09</v>
      </c>
    </row>
    <row r="642" s="1" customFormat="1" spans="1:15">
      <c r="A642" s="1" t="str">
        <f t="shared" ref="A642:A705" si="460">"202406"</f>
        <v>202406</v>
      </c>
      <c r="B642" s="1" t="str">
        <f t="shared" ref="B642:B705" si="461">"150525100"</f>
        <v>150525100</v>
      </c>
      <c r="C642" s="1" t="str">
        <f>"1014567751"</f>
        <v>1014567751</v>
      </c>
      <c r="D642" s="1" t="str">
        <f>"152326195204253825"</f>
        <v>152326195204253825</v>
      </c>
      <c r="E642" s="1" t="s">
        <v>688</v>
      </c>
      <c r="F642" s="1" t="s">
        <v>16</v>
      </c>
      <c r="G642" s="1" t="s">
        <v>17</v>
      </c>
      <c r="H642" s="1" t="str">
        <f t="shared" si="459"/>
        <v>72</v>
      </c>
      <c r="I642" s="1" t="str">
        <f>"162.15"</f>
        <v>162.15</v>
      </c>
      <c r="J642" s="1" t="str">
        <f t="shared" si="445"/>
        <v>0</v>
      </c>
      <c r="K642" s="1" t="str">
        <f t="shared" si="446"/>
        <v>103</v>
      </c>
      <c r="L642" s="1" t="str">
        <f t="shared" si="447"/>
        <v>47</v>
      </c>
      <c r="M642" s="1" t="str">
        <f t="shared" si="442"/>
        <v>0</v>
      </c>
      <c r="N642" s="1" t="str">
        <f t="shared" si="443"/>
        <v>0</v>
      </c>
      <c r="O642" s="1" t="str">
        <f>"2.15"</f>
        <v>2.15</v>
      </c>
    </row>
    <row r="643" s="1" customFormat="1" spans="1:15">
      <c r="A643" s="1" t="str">
        <f t="shared" si="460"/>
        <v>202406</v>
      </c>
      <c r="B643" s="1" t="str">
        <f t="shared" si="461"/>
        <v>150525100</v>
      </c>
      <c r="C643" s="1" t="str">
        <f>"1014568780"</f>
        <v>1014568780</v>
      </c>
      <c r="D643" s="1" t="str">
        <f>"152326195212153816"</f>
        <v>152326195212153816</v>
      </c>
      <c r="E643" s="1" t="s">
        <v>689</v>
      </c>
      <c r="F643" s="1" t="s">
        <v>25</v>
      </c>
      <c r="G643" s="1" t="s">
        <v>19</v>
      </c>
      <c r="H643" s="1" t="str">
        <f t="shared" si="459"/>
        <v>72</v>
      </c>
      <c r="I643" s="1" t="str">
        <f>"162.15"</f>
        <v>162.15</v>
      </c>
      <c r="J643" s="1" t="str">
        <f t="shared" si="445"/>
        <v>0</v>
      </c>
      <c r="K643" s="1" t="str">
        <f t="shared" si="446"/>
        <v>103</v>
      </c>
      <c r="L643" s="1" t="str">
        <f t="shared" si="447"/>
        <v>47</v>
      </c>
      <c r="M643" s="1" t="str">
        <f t="shared" si="442"/>
        <v>0</v>
      </c>
      <c r="N643" s="1" t="str">
        <f t="shared" si="443"/>
        <v>0</v>
      </c>
      <c r="O643" s="1" t="str">
        <f>"2.15"</f>
        <v>2.15</v>
      </c>
    </row>
    <row r="644" s="1" customFormat="1" spans="1:15">
      <c r="A644" s="1" t="str">
        <f t="shared" si="460"/>
        <v>202406</v>
      </c>
      <c r="B644" s="1" t="str">
        <f t="shared" si="461"/>
        <v>150525100</v>
      </c>
      <c r="C644" s="1" t="str">
        <f>"1014562844"</f>
        <v>1014562844</v>
      </c>
      <c r="D644" s="1" t="str">
        <f>"152326195404130416"</f>
        <v>152326195404130416</v>
      </c>
      <c r="E644" s="1" t="s">
        <v>690</v>
      </c>
      <c r="F644" s="1" t="s">
        <v>25</v>
      </c>
      <c r="G644" s="1" t="s">
        <v>96</v>
      </c>
      <c r="H644" s="1" t="str">
        <f>"70"</f>
        <v>70</v>
      </c>
      <c r="I644" s="1" t="str">
        <f>"164.16"</f>
        <v>164.16</v>
      </c>
      <c r="J644" s="1" t="str">
        <f t="shared" si="445"/>
        <v>0</v>
      </c>
      <c r="K644" s="1" t="str">
        <f t="shared" si="446"/>
        <v>103</v>
      </c>
      <c r="L644" s="1" t="str">
        <f t="shared" si="447"/>
        <v>47</v>
      </c>
      <c r="M644" s="1" t="str">
        <f t="shared" si="442"/>
        <v>0</v>
      </c>
      <c r="N644" s="1" t="str">
        <f t="shared" si="443"/>
        <v>0</v>
      </c>
      <c r="O644" s="1" t="str">
        <f>"4.16"</f>
        <v>4.16</v>
      </c>
    </row>
    <row r="645" s="1" customFormat="1" spans="1:15">
      <c r="A645" s="1" t="str">
        <f t="shared" si="460"/>
        <v>202406</v>
      </c>
      <c r="B645" s="1" t="str">
        <f t="shared" si="461"/>
        <v>150525100</v>
      </c>
      <c r="C645" s="1" t="str">
        <f>"1014563220"</f>
        <v>1014563220</v>
      </c>
      <c r="D645" s="1" t="str">
        <f>"152326195406200422"</f>
        <v>152326195406200422</v>
      </c>
      <c r="E645" s="1" t="s">
        <v>691</v>
      </c>
      <c r="F645" s="1" t="s">
        <v>16</v>
      </c>
      <c r="G645" s="1" t="s">
        <v>17</v>
      </c>
      <c r="H645" s="1" t="str">
        <f>"70"</f>
        <v>70</v>
      </c>
      <c r="I645" s="1" t="str">
        <f>"154.16"</f>
        <v>154.16</v>
      </c>
      <c r="J645" s="1" t="str">
        <f t="shared" si="445"/>
        <v>0</v>
      </c>
      <c r="K645" s="1" t="str">
        <f t="shared" si="446"/>
        <v>103</v>
      </c>
      <c r="L645" s="1" t="str">
        <f t="shared" si="447"/>
        <v>47</v>
      </c>
      <c r="M645" s="1" t="str">
        <f t="shared" si="442"/>
        <v>0</v>
      </c>
      <c r="N645" s="1" t="str">
        <f t="shared" si="443"/>
        <v>0</v>
      </c>
      <c r="O645" s="1" t="str">
        <f>"4.16"</f>
        <v>4.16</v>
      </c>
    </row>
    <row r="646" s="1" customFormat="1" spans="1:15">
      <c r="A646" s="1" t="str">
        <f t="shared" si="460"/>
        <v>202406</v>
      </c>
      <c r="B646" s="1" t="str">
        <f t="shared" si="461"/>
        <v>150525100</v>
      </c>
      <c r="C646" s="1" t="str">
        <f>"1014563221"</f>
        <v>1014563221</v>
      </c>
      <c r="D646" s="1" t="str">
        <f>"152326195609180425"</f>
        <v>152326195609180425</v>
      </c>
      <c r="E646" s="1" t="s">
        <v>681</v>
      </c>
      <c r="F646" s="1" t="s">
        <v>16</v>
      </c>
      <c r="G646" s="1" t="s">
        <v>17</v>
      </c>
      <c r="H646" s="1" t="str">
        <f>"68"</f>
        <v>68</v>
      </c>
      <c r="I646" s="1" t="str">
        <f>"156.02"</f>
        <v>156.02</v>
      </c>
      <c r="J646" s="1" t="str">
        <f t="shared" si="445"/>
        <v>0</v>
      </c>
      <c r="K646" s="1" t="str">
        <f t="shared" si="446"/>
        <v>103</v>
      </c>
      <c r="L646" s="1" t="str">
        <f t="shared" si="447"/>
        <v>47</v>
      </c>
      <c r="M646" s="1" t="str">
        <f t="shared" si="442"/>
        <v>0</v>
      </c>
      <c r="N646" s="1" t="str">
        <f t="shared" si="443"/>
        <v>0</v>
      </c>
      <c r="O646" s="1" t="str">
        <f>"6.02"</f>
        <v>6.02</v>
      </c>
    </row>
    <row r="647" s="1" customFormat="1" spans="1:15">
      <c r="A647" s="1" t="str">
        <f t="shared" si="460"/>
        <v>202406</v>
      </c>
      <c r="B647" s="1" t="str">
        <f t="shared" si="461"/>
        <v>150525100</v>
      </c>
      <c r="C647" s="1" t="str">
        <f>"1014563230"</f>
        <v>1014563230</v>
      </c>
      <c r="D647" s="1" t="s">
        <v>692</v>
      </c>
      <c r="E647" s="1" t="s">
        <v>693</v>
      </c>
      <c r="F647" s="1" t="s">
        <v>25</v>
      </c>
      <c r="G647" s="1" t="s">
        <v>17</v>
      </c>
      <c r="H647" s="1" t="str">
        <f>"67"</f>
        <v>67</v>
      </c>
      <c r="I647" s="1" t="str">
        <f>"156.07"</f>
        <v>156.07</v>
      </c>
      <c r="J647" s="1" t="str">
        <f t="shared" si="445"/>
        <v>0</v>
      </c>
      <c r="K647" s="1" t="str">
        <f t="shared" si="446"/>
        <v>103</v>
      </c>
      <c r="L647" s="1" t="str">
        <f t="shared" si="447"/>
        <v>47</v>
      </c>
      <c r="M647" s="1" t="str">
        <f t="shared" si="442"/>
        <v>0</v>
      </c>
      <c r="N647" s="1" t="str">
        <f t="shared" si="443"/>
        <v>0</v>
      </c>
      <c r="O647" s="1" t="str">
        <f>"6.07"</f>
        <v>6.07</v>
      </c>
    </row>
    <row r="648" s="1" customFormat="1" spans="1:15">
      <c r="A648" s="1" t="str">
        <f t="shared" si="460"/>
        <v>202406</v>
      </c>
      <c r="B648" s="1" t="str">
        <f t="shared" si="461"/>
        <v>150525100</v>
      </c>
      <c r="C648" s="1" t="str">
        <f>"1014569661"</f>
        <v>1014569661</v>
      </c>
      <c r="D648" s="1" t="str">
        <f>"152326195112020418"</f>
        <v>152326195112020418</v>
      </c>
      <c r="E648" s="1" t="s">
        <v>694</v>
      </c>
      <c r="F648" s="1" t="s">
        <v>25</v>
      </c>
      <c r="G648" s="1" t="s">
        <v>19</v>
      </c>
      <c r="H648" s="1" t="str">
        <f>"73"</f>
        <v>73</v>
      </c>
      <c r="I648" s="1" t="str">
        <f>"1919.38"</f>
        <v>1919.38</v>
      </c>
      <c r="J648" s="1" t="str">
        <f t="shared" si="445"/>
        <v>0</v>
      </c>
      <c r="K648" s="1" t="str">
        <f t="shared" ref="K648:O648" si="462">"0"</f>
        <v>0</v>
      </c>
      <c r="L648" s="1" t="str">
        <f t="shared" si="462"/>
        <v>0</v>
      </c>
      <c r="M648" s="1" t="str">
        <f t="shared" si="442"/>
        <v>0</v>
      </c>
      <c r="N648" s="1" t="str">
        <f t="shared" si="443"/>
        <v>0</v>
      </c>
      <c r="O648" s="1" t="str">
        <f t="shared" si="462"/>
        <v>0</v>
      </c>
    </row>
    <row r="649" s="1" customFormat="1" spans="1:15">
      <c r="A649" s="1" t="str">
        <f t="shared" si="460"/>
        <v>202406</v>
      </c>
      <c r="B649" s="1" t="str">
        <f t="shared" si="461"/>
        <v>150525100</v>
      </c>
      <c r="C649" s="1" t="str">
        <f>"1014550450"</f>
        <v>1014550450</v>
      </c>
      <c r="D649" s="1" t="s">
        <v>695</v>
      </c>
      <c r="E649" s="1" t="s">
        <v>696</v>
      </c>
      <c r="F649" s="1" t="s">
        <v>25</v>
      </c>
      <c r="G649" s="1" t="s">
        <v>17</v>
      </c>
      <c r="H649" s="1" t="str">
        <f>"71"</f>
        <v>71</v>
      </c>
      <c r="I649" s="1" t="str">
        <f>"163.16"</f>
        <v>163.16</v>
      </c>
      <c r="J649" s="1" t="str">
        <f t="shared" si="445"/>
        <v>0</v>
      </c>
      <c r="K649" s="1" t="str">
        <f t="shared" ref="K649:K712" si="463">"103"</f>
        <v>103</v>
      </c>
      <c r="L649" s="1" t="str">
        <f t="shared" ref="L649:L712" si="464">"47"</f>
        <v>47</v>
      </c>
      <c r="M649" s="1" t="str">
        <f t="shared" si="442"/>
        <v>0</v>
      </c>
      <c r="N649" s="1" t="str">
        <f t="shared" si="443"/>
        <v>0</v>
      </c>
      <c r="O649" s="1" t="str">
        <f>"3.16"</f>
        <v>3.16</v>
      </c>
    </row>
    <row r="650" s="1" customFormat="1" spans="1:15">
      <c r="A650" s="1" t="str">
        <f t="shared" si="460"/>
        <v>202406</v>
      </c>
      <c r="B650" s="1" t="str">
        <f t="shared" si="461"/>
        <v>150525100</v>
      </c>
      <c r="C650" s="1" t="str">
        <f>"1014550461"</f>
        <v>1014550461</v>
      </c>
      <c r="D650" s="1" t="s">
        <v>697</v>
      </c>
      <c r="E650" s="1" t="s">
        <v>698</v>
      </c>
      <c r="F650" s="1" t="s">
        <v>25</v>
      </c>
      <c r="G650" s="1" t="s">
        <v>17</v>
      </c>
      <c r="H650" s="1" t="str">
        <f t="shared" ref="H650:H652" si="465">"70"</f>
        <v>70</v>
      </c>
      <c r="I650" s="1" t="str">
        <f>"164.14"</f>
        <v>164.14</v>
      </c>
      <c r="J650" s="1" t="str">
        <f t="shared" si="445"/>
        <v>0</v>
      </c>
      <c r="K650" s="1" t="str">
        <f t="shared" si="463"/>
        <v>103</v>
      </c>
      <c r="L650" s="1" t="str">
        <f t="shared" si="464"/>
        <v>47</v>
      </c>
      <c r="M650" s="1" t="str">
        <f t="shared" si="442"/>
        <v>0</v>
      </c>
      <c r="N650" s="1" t="str">
        <f t="shared" si="443"/>
        <v>0</v>
      </c>
      <c r="O650" s="1" t="str">
        <f t="shared" ref="O650:O652" si="466">"4.14"</f>
        <v>4.14</v>
      </c>
    </row>
    <row r="651" s="1" customFormat="1" spans="1:15">
      <c r="A651" s="1" t="str">
        <f t="shared" si="460"/>
        <v>202406</v>
      </c>
      <c r="B651" s="1" t="str">
        <f t="shared" si="461"/>
        <v>150525100</v>
      </c>
      <c r="C651" s="1" t="str">
        <f>"1014584471"</f>
        <v>1014584471</v>
      </c>
      <c r="D651" s="1" t="str">
        <f>"152326195410220426"</f>
        <v>152326195410220426</v>
      </c>
      <c r="E651" s="1" t="s">
        <v>699</v>
      </c>
      <c r="F651" s="1" t="s">
        <v>16</v>
      </c>
      <c r="G651" s="1" t="s">
        <v>17</v>
      </c>
      <c r="H651" s="1" t="str">
        <f t="shared" si="465"/>
        <v>70</v>
      </c>
      <c r="I651" s="1" t="str">
        <f>"154.14"</f>
        <v>154.14</v>
      </c>
      <c r="J651" s="1" t="str">
        <f t="shared" si="445"/>
        <v>0</v>
      </c>
      <c r="K651" s="1" t="str">
        <f t="shared" si="463"/>
        <v>103</v>
      </c>
      <c r="L651" s="1" t="str">
        <f t="shared" si="464"/>
        <v>47</v>
      </c>
      <c r="M651" s="1" t="str">
        <f t="shared" si="442"/>
        <v>0</v>
      </c>
      <c r="N651" s="1" t="str">
        <f t="shared" si="443"/>
        <v>0</v>
      </c>
      <c r="O651" s="1" t="str">
        <f t="shared" si="466"/>
        <v>4.14</v>
      </c>
    </row>
    <row r="652" s="1" customFormat="1" spans="1:15">
      <c r="A652" s="1" t="str">
        <f t="shared" si="460"/>
        <v>202406</v>
      </c>
      <c r="B652" s="1" t="str">
        <f t="shared" si="461"/>
        <v>150525100</v>
      </c>
      <c r="C652" s="1" t="str">
        <f>"1014584472"</f>
        <v>1014584472</v>
      </c>
      <c r="D652" s="1" t="str">
        <f>"152326195411080429"</f>
        <v>152326195411080429</v>
      </c>
      <c r="E652" s="1" t="s">
        <v>700</v>
      </c>
      <c r="F652" s="1" t="s">
        <v>16</v>
      </c>
      <c r="G652" s="1" t="s">
        <v>17</v>
      </c>
      <c r="H652" s="1" t="str">
        <f t="shared" si="465"/>
        <v>70</v>
      </c>
      <c r="I652" s="1" t="str">
        <f>"154.14"</f>
        <v>154.14</v>
      </c>
      <c r="J652" s="1" t="str">
        <f t="shared" si="445"/>
        <v>0</v>
      </c>
      <c r="K652" s="1" t="str">
        <f t="shared" si="463"/>
        <v>103</v>
      </c>
      <c r="L652" s="1" t="str">
        <f t="shared" si="464"/>
        <v>47</v>
      </c>
      <c r="M652" s="1" t="str">
        <f t="shared" ref="M652:M715" si="467">"0"</f>
        <v>0</v>
      </c>
      <c r="N652" s="1" t="str">
        <f t="shared" ref="N652:N715" si="468">"0"</f>
        <v>0</v>
      </c>
      <c r="O652" s="1" t="str">
        <f t="shared" si="466"/>
        <v>4.14</v>
      </c>
    </row>
    <row r="653" s="1" customFormat="1" spans="1:15">
      <c r="A653" s="1" t="str">
        <f t="shared" si="460"/>
        <v>202406</v>
      </c>
      <c r="B653" s="1" t="str">
        <f t="shared" si="461"/>
        <v>150525100</v>
      </c>
      <c r="C653" s="1" t="str">
        <f>"1014584991"</f>
        <v>1014584991</v>
      </c>
      <c r="D653" s="1" t="str">
        <f>"152326195809100418"</f>
        <v>152326195809100418</v>
      </c>
      <c r="E653" s="1" t="s">
        <v>701</v>
      </c>
      <c r="F653" s="1" t="s">
        <v>25</v>
      </c>
      <c r="G653" s="1" t="s">
        <v>17</v>
      </c>
      <c r="H653" s="1" t="str">
        <f>"66"</f>
        <v>66</v>
      </c>
      <c r="I653" s="1" t="str">
        <f>"158.07"</f>
        <v>158.07</v>
      </c>
      <c r="J653" s="1" t="str">
        <f t="shared" si="445"/>
        <v>0</v>
      </c>
      <c r="K653" s="1" t="str">
        <f t="shared" si="463"/>
        <v>103</v>
      </c>
      <c r="L653" s="1" t="str">
        <f t="shared" si="464"/>
        <v>47</v>
      </c>
      <c r="M653" s="1" t="str">
        <f t="shared" si="467"/>
        <v>0</v>
      </c>
      <c r="N653" s="1" t="str">
        <f t="shared" si="468"/>
        <v>0</v>
      </c>
      <c r="O653" s="1" t="str">
        <f>"8.07"</f>
        <v>8.07</v>
      </c>
    </row>
    <row r="654" s="1" customFormat="1" spans="1:15">
      <c r="A654" s="1" t="str">
        <f t="shared" si="460"/>
        <v>202406</v>
      </c>
      <c r="B654" s="1" t="str">
        <f t="shared" si="461"/>
        <v>150525100</v>
      </c>
      <c r="C654" s="1" t="str">
        <f>"1014584995"</f>
        <v>1014584995</v>
      </c>
      <c r="D654" s="1" t="str">
        <f>"152326195812230416"</f>
        <v>152326195812230416</v>
      </c>
      <c r="E654" s="1" t="s">
        <v>702</v>
      </c>
      <c r="F654" s="1" t="s">
        <v>25</v>
      </c>
      <c r="G654" s="1" t="s">
        <v>17</v>
      </c>
      <c r="H654" s="1" t="str">
        <f>"66"</f>
        <v>66</v>
      </c>
      <c r="I654" s="1" t="str">
        <f>"157.16"</f>
        <v>157.16</v>
      </c>
      <c r="J654" s="1" t="str">
        <f t="shared" si="445"/>
        <v>0</v>
      </c>
      <c r="K654" s="1" t="str">
        <f t="shared" si="463"/>
        <v>103</v>
      </c>
      <c r="L654" s="1" t="str">
        <f t="shared" si="464"/>
        <v>47</v>
      </c>
      <c r="M654" s="1" t="str">
        <f t="shared" si="467"/>
        <v>0</v>
      </c>
      <c r="N654" s="1" t="str">
        <f t="shared" si="468"/>
        <v>0</v>
      </c>
      <c r="O654" s="1" t="str">
        <f>"7.16"</f>
        <v>7.16</v>
      </c>
    </row>
    <row r="655" s="1" customFormat="1" spans="1:15">
      <c r="A655" s="1" t="str">
        <f t="shared" si="460"/>
        <v>202406</v>
      </c>
      <c r="B655" s="1" t="str">
        <f t="shared" si="461"/>
        <v>150525100</v>
      </c>
      <c r="C655" s="1" t="str">
        <f>"1040833019"</f>
        <v>1040833019</v>
      </c>
      <c r="D655" s="1" t="str">
        <f>"152326195503284285"</f>
        <v>152326195503284285</v>
      </c>
      <c r="E655" s="1" t="s">
        <v>703</v>
      </c>
      <c r="F655" s="1" t="s">
        <v>16</v>
      </c>
      <c r="G655" s="1" t="s">
        <v>17</v>
      </c>
      <c r="H655" s="1" t="str">
        <f>"69"</f>
        <v>69</v>
      </c>
      <c r="I655" s="1" t="str">
        <f>"154.52"</f>
        <v>154.52</v>
      </c>
      <c r="J655" s="1" t="str">
        <f t="shared" si="445"/>
        <v>0</v>
      </c>
      <c r="K655" s="1" t="str">
        <f t="shared" si="463"/>
        <v>103</v>
      </c>
      <c r="L655" s="1" t="str">
        <f t="shared" si="464"/>
        <v>47</v>
      </c>
      <c r="M655" s="1" t="str">
        <f t="shared" si="467"/>
        <v>0</v>
      </c>
      <c r="N655" s="1" t="str">
        <f t="shared" si="468"/>
        <v>0</v>
      </c>
      <c r="O655" s="1" t="str">
        <f>"4.52"</f>
        <v>4.52</v>
      </c>
    </row>
    <row r="656" s="1" customFormat="1" spans="1:15">
      <c r="A656" s="1" t="str">
        <f t="shared" si="460"/>
        <v>202406</v>
      </c>
      <c r="B656" s="1" t="str">
        <f t="shared" si="461"/>
        <v>150525100</v>
      </c>
      <c r="C656" s="1" t="str">
        <f>"1040833021"</f>
        <v>1040833021</v>
      </c>
      <c r="D656" s="1" t="str">
        <f>"152326195511010671"</f>
        <v>152326195511010671</v>
      </c>
      <c r="E656" s="1" t="s">
        <v>704</v>
      </c>
      <c r="F656" s="1" t="s">
        <v>25</v>
      </c>
      <c r="G656" s="1" t="s">
        <v>17</v>
      </c>
      <c r="H656" s="1" t="str">
        <f>"69"</f>
        <v>69</v>
      </c>
      <c r="I656" s="1" t="str">
        <f>"154.52"</f>
        <v>154.52</v>
      </c>
      <c r="J656" s="1" t="str">
        <f t="shared" si="445"/>
        <v>0</v>
      </c>
      <c r="K656" s="1" t="str">
        <f t="shared" si="463"/>
        <v>103</v>
      </c>
      <c r="L656" s="1" t="str">
        <f t="shared" si="464"/>
        <v>47</v>
      </c>
      <c r="M656" s="1" t="str">
        <f t="shared" si="467"/>
        <v>0</v>
      </c>
      <c r="N656" s="1" t="str">
        <f t="shared" si="468"/>
        <v>0</v>
      </c>
      <c r="O656" s="1" t="str">
        <f>"4.52"</f>
        <v>4.52</v>
      </c>
    </row>
    <row r="657" s="1" customFormat="1" spans="1:15">
      <c r="A657" s="1" t="str">
        <f t="shared" si="460"/>
        <v>202406</v>
      </c>
      <c r="B657" s="1" t="str">
        <f t="shared" si="461"/>
        <v>150525100</v>
      </c>
      <c r="C657" s="1" t="str">
        <f>"1014569676"</f>
        <v>1014569676</v>
      </c>
      <c r="D657" s="1" t="str">
        <f>"152326195307260411"</f>
        <v>152326195307260411</v>
      </c>
      <c r="E657" s="1" t="s">
        <v>705</v>
      </c>
      <c r="F657" s="1" t="s">
        <v>25</v>
      </c>
      <c r="G657" s="1" t="s">
        <v>17</v>
      </c>
      <c r="H657" s="1" t="str">
        <f>"71"</f>
        <v>71</v>
      </c>
      <c r="I657" s="1" t="str">
        <f>"163.16"</f>
        <v>163.16</v>
      </c>
      <c r="J657" s="1" t="str">
        <f t="shared" si="445"/>
        <v>0</v>
      </c>
      <c r="K657" s="1" t="str">
        <f t="shared" si="463"/>
        <v>103</v>
      </c>
      <c r="L657" s="1" t="str">
        <f t="shared" si="464"/>
        <v>47</v>
      </c>
      <c r="M657" s="1" t="str">
        <f t="shared" si="467"/>
        <v>0</v>
      </c>
      <c r="N657" s="1" t="str">
        <f t="shared" si="468"/>
        <v>0</v>
      </c>
      <c r="O657" s="1" t="str">
        <f>"3.16"</f>
        <v>3.16</v>
      </c>
    </row>
    <row r="658" s="1" customFormat="1" spans="1:15">
      <c r="A658" s="1" t="str">
        <f t="shared" si="460"/>
        <v>202406</v>
      </c>
      <c r="B658" s="1" t="str">
        <f t="shared" si="461"/>
        <v>150525100</v>
      </c>
      <c r="C658" s="1" t="str">
        <f>"1014569683"</f>
        <v>1014569683</v>
      </c>
      <c r="D658" s="1" t="str">
        <f>"152326195408210421"</f>
        <v>152326195408210421</v>
      </c>
      <c r="E658" s="1" t="s">
        <v>706</v>
      </c>
      <c r="F658" s="1" t="s">
        <v>16</v>
      </c>
      <c r="G658" s="1" t="s">
        <v>17</v>
      </c>
      <c r="H658" s="1" t="str">
        <f>"70"</f>
        <v>70</v>
      </c>
      <c r="I658" s="1" t="str">
        <f>"154.14"</f>
        <v>154.14</v>
      </c>
      <c r="J658" s="1" t="str">
        <f t="shared" si="445"/>
        <v>0</v>
      </c>
      <c r="K658" s="1" t="str">
        <f t="shared" si="463"/>
        <v>103</v>
      </c>
      <c r="L658" s="1" t="str">
        <f t="shared" si="464"/>
        <v>47</v>
      </c>
      <c r="M658" s="1" t="str">
        <f t="shared" si="467"/>
        <v>0</v>
      </c>
      <c r="N658" s="1" t="str">
        <f t="shared" si="468"/>
        <v>0</v>
      </c>
      <c r="O658" s="1" t="str">
        <f>"4.14"</f>
        <v>4.14</v>
      </c>
    </row>
    <row r="659" s="1" customFormat="1" spans="1:15">
      <c r="A659" s="1" t="str">
        <f t="shared" si="460"/>
        <v>202406</v>
      </c>
      <c r="B659" s="1" t="str">
        <f t="shared" si="461"/>
        <v>150525100</v>
      </c>
      <c r="C659" s="1" t="str">
        <f>"1014569686"</f>
        <v>1014569686</v>
      </c>
      <c r="D659" s="1" t="str">
        <f>"152326195411060428"</f>
        <v>152326195411060428</v>
      </c>
      <c r="E659" s="1" t="s">
        <v>707</v>
      </c>
      <c r="F659" s="1" t="s">
        <v>16</v>
      </c>
      <c r="G659" s="1" t="s">
        <v>17</v>
      </c>
      <c r="H659" s="1" t="str">
        <f>"70"</f>
        <v>70</v>
      </c>
      <c r="I659" s="1" t="str">
        <f>"154.14"</f>
        <v>154.14</v>
      </c>
      <c r="J659" s="1" t="str">
        <f t="shared" si="445"/>
        <v>0</v>
      </c>
      <c r="K659" s="1" t="str">
        <f t="shared" si="463"/>
        <v>103</v>
      </c>
      <c r="L659" s="1" t="str">
        <f t="shared" si="464"/>
        <v>47</v>
      </c>
      <c r="M659" s="1" t="str">
        <f t="shared" si="467"/>
        <v>0</v>
      </c>
      <c r="N659" s="1" t="str">
        <f t="shared" si="468"/>
        <v>0</v>
      </c>
      <c r="O659" s="1" t="str">
        <f>"4.14"</f>
        <v>4.14</v>
      </c>
    </row>
    <row r="660" s="1" customFormat="1" spans="1:15">
      <c r="A660" s="1" t="str">
        <f t="shared" si="460"/>
        <v>202406</v>
      </c>
      <c r="B660" s="1" t="str">
        <f t="shared" si="461"/>
        <v>150525100</v>
      </c>
      <c r="C660" s="1" t="str">
        <f>"1014584092"</f>
        <v>1014584092</v>
      </c>
      <c r="D660" s="1" t="str">
        <f>"152326195802100693"</f>
        <v>152326195802100693</v>
      </c>
      <c r="E660" s="1" t="s">
        <v>708</v>
      </c>
      <c r="F660" s="1" t="s">
        <v>25</v>
      </c>
      <c r="G660" s="1" t="s">
        <v>17</v>
      </c>
      <c r="H660" s="1" t="str">
        <f>"66"</f>
        <v>66</v>
      </c>
      <c r="I660" s="1" t="str">
        <f>"157.06"</f>
        <v>157.06</v>
      </c>
      <c r="J660" s="1" t="str">
        <f t="shared" ref="J660:J723" si="469">"0"</f>
        <v>0</v>
      </c>
      <c r="K660" s="1" t="str">
        <f t="shared" si="463"/>
        <v>103</v>
      </c>
      <c r="L660" s="1" t="str">
        <f t="shared" si="464"/>
        <v>47</v>
      </c>
      <c r="M660" s="1" t="str">
        <f t="shared" si="467"/>
        <v>0</v>
      </c>
      <c r="N660" s="1" t="str">
        <f t="shared" si="468"/>
        <v>0</v>
      </c>
      <c r="O660" s="1" t="str">
        <f>"7.06"</f>
        <v>7.06</v>
      </c>
    </row>
    <row r="661" s="1" customFormat="1" spans="1:15">
      <c r="A661" s="1" t="str">
        <f t="shared" si="460"/>
        <v>202406</v>
      </c>
      <c r="B661" s="1" t="str">
        <f t="shared" si="461"/>
        <v>150525100</v>
      </c>
      <c r="C661" s="1" t="str">
        <f>"1014549087"</f>
        <v>1014549087</v>
      </c>
      <c r="D661" s="1" t="str">
        <f>"152326196012313314"</f>
        <v>152326196012313314</v>
      </c>
      <c r="E661" s="1" t="s">
        <v>709</v>
      </c>
      <c r="F661" s="1" t="s">
        <v>25</v>
      </c>
      <c r="G661" s="1" t="s">
        <v>19</v>
      </c>
      <c r="H661" s="1" t="str">
        <f>"64"</f>
        <v>64</v>
      </c>
      <c r="I661" s="1" t="str">
        <f>"159.32"</f>
        <v>159.32</v>
      </c>
      <c r="J661" s="1" t="str">
        <f t="shared" si="469"/>
        <v>0</v>
      </c>
      <c r="K661" s="1" t="str">
        <f t="shared" si="463"/>
        <v>103</v>
      </c>
      <c r="L661" s="1" t="str">
        <f t="shared" si="464"/>
        <v>47</v>
      </c>
      <c r="M661" s="1" t="str">
        <f t="shared" si="467"/>
        <v>0</v>
      </c>
      <c r="N661" s="1" t="str">
        <f t="shared" si="468"/>
        <v>0</v>
      </c>
      <c r="O661" s="1" t="str">
        <f>"9.32"</f>
        <v>9.32</v>
      </c>
    </row>
    <row r="662" s="1" customFormat="1" spans="1:15">
      <c r="A662" s="1" t="str">
        <f t="shared" si="460"/>
        <v>202406</v>
      </c>
      <c r="B662" s="1" t="str">
        <f t="shared" si="461"/>
        <v>150525100</v>
      </c>
      <c r="C662" s="1" t="str">
        <f>"1014549092"</f>
        <v>1014549092</v>
      </c>
      <c r="D662" s="1" t="str">
        <f>"152326195111093324"</f>
        <v>152326195111093324</v>
      </c>
      <c r="E662" s="1" t="s">
        <v>710</v>
      </c>
      <c r="F662" s="1" t="s">
        <v>16</v>
      </c>
      <c r="G662" s="1" t="s">
        <v>19</v>
      </c>
      <c r="H662" s="1" t="str">
        <f>"73"</f>
        <v>73</v>
      </c>
      <c r="I662" s="1" t="str">
        <f>"160"</f>
        <v>160</v>
      </c>
      <c r="J662" s="1" t="str">
        <f t="shared" si="469"/>
        <v>0</v>
      </c>
      <c r="K662" s="1" t="str">
        <f t="shared" si="463"/>
        <v>103</v>
      </c>
      <c r="L662" s="1" t="str">
        <f t="shared" si="464"/>
        <v>47</v>
      </c>
      <c r="M662" s="1" t="str">
        <f t="shared" si="467"/>
        <v>0</v>
      </c>
      <c r="N662" s="1" t="str">
        <f t="shared" si="468"/>
        <v>0</v>
      </c>
      <c r="O662" s="1" t="str">
        <f>"0"</f>
        <v>0</v>
      </c>
    </row>
    <row r="663" s="1" customFormat="1" spans="1:15">
      <c r="A663" s="1" t="str">
        <f t="shared" si="460"/>
        <v>202406</v>
      </c>
      <c r="B663" s="1" t="str">
        <f t="shared" si="461"/>
        <v>150525100</v>
      </c>
      <c r="C663" s="1" t="str">
        <f>"1040832974"</f>
        <v>1040832974</v>
      </c>
      <c r="D663" s="1" t="str">
        <f>"152326195309233820"</f>
        <v>152326195309233820</v>
      </c>
      <c r="E663" s="1" t="s">
        <v>711</v>
      </c>
      <c r="F663" s="1" t="s">
        <v>16</v>
      </c>
      <c r="G663" s="1" t="s">
        <v>17</v>
      </c>
      <c r="H663" s="1" t="str">
        <f>"71"</f>
        <v>71</v>
      </c>
      <c r="I663" s="1" t="str">
        <f>"162.57"</f>
        <v>162.57</v>
      </c>
      <c r="J663" s="1" t="str">
        <f t="shared" si="469"/>
        <v>0</v>
      </c>
      <c r="K663" s="1" t="str">
        <f t="shared" si="463"/>
        <v>103</v>
      </c>
      <c r="L663" s="1" t="str">
        <f t="shared" si="464"/>
        <v>47</v>
      </c>
      <c r="M663" s="1" t="str">
        <f t="shared" si="467"/>
        <v>0</v>
      </c>
      <c r="N663" s="1" t="str">
        <f t="shared" si="468"/>
        <v>0</v>
      </c>
      <c r="O663" s="1" t="str">
        <f>"2.57"</f>
        <v>2.57</v>
      </c>
    </row>
    <row r="664" s="1" customFormat="1" spans="1:15">
      <c r="A664" s="1" t="str">
        <f t="shared" si="460"/>
        <v>202406</v>
      </c>
      <c r="B664" s="1" t="str">
        <f t="shared" si="461"/>
        <v>150525100</v>
      </c>
      <c r="C664" s="1" t="str">
        <f>"1040832985"</f>
        <v>1040832985</v>
      </c>
      <c r="D664" s="1" t="str">
        <f>"152326195406260919"</f>
        <v>152326195406260919</v>
      </c>
      <c r="E664" s="1" t="s">
        <v>712</v>
      </c>
      <c r="F664" s="1" t="s">
        <v>25</v>
      </c>
      <c r="G664" s="1" t="s">
        <v>19</v>
      </c>
      <c r="H664" s="1" t="str">
        <f t="shared" ref="H664:H666" si="470">"70"</f>
        <v>70</v>
      </c>
      <c r="I664" s="1" t="str">
        <f>"153.28"</f>
        <v>153.28</v>
      </c>
      <c r="J664" s="1" t="str">
        <f t="shared" si="469"/>
        <v>0</v>
      </c>
      <c r="K664" s="1" t="str">
        <f t="shared" si="463"/>
        <v>103</v>
      </c>
      <c r="L664" s="1" t="str">
        <f t="shared" si="464"/>
        <v>47</v>
      </c>
      <c r="M664" s="1" t="str">
        <f t="shared" si="467"/>
        <v>0</v>
      </c>
      <c r="N664" s="1" t="str">
        <f t="shared" si="468"/>
        <v>0</v>
      </c>
      <c r="O664" s="1" t="str">
        <f>"3.28"</f>
        <v>3.28</v>
      </c>
    </row>
    <row r="665" s="1" customFormat="1" spans="1:15">
      <c r="A665" s="1" t="str">
        <f t="shared" si="460"/>
        <v>202406</v>
      </c>
      <c r="B665" s="1" t="str">
        <f t="shared" si="461"/>
        <v>150525100</v>
      </c>
      <c r="C665" s="1" t="str">
        <f>"1040833001"</f>
        <v>1040833001</v>
      </c>
      <c r="D665" s="1" t="str">
        <f>"152326195409010667"</f>
        <v>152326195409010667</v>
      </c>
      <c r="E665" s="1" t="s">
        <v>713</v>
      </c>
      <c r="F665" s="1" t="s">
        <v>16</v>
      </c>
      <c r="G665" s="1" t="s">
        <v>17</v>
      </c>
      <c r="H665" s="1" t="str">
        <f t="shared" si="470"/>
        <v>70</v>
      </c>
      <c r="I665" s="1" t="str">
        <f>"153.56"</f>
        <v>153.56</v>
      </c>
      <c r="J665" s="1" t="str">
        <f t="shared" si="469"/>
        <v>0</v>
      </c>
      <c r="K665" s="1" t="str">
        <f t="shared" si="463"/>
        <v>103</v>
      </c>
      <c r="L665" s="1" t="str">
        <f t="shared" si="464"/>
        <v>47</v>
      </c>
      <c r="M665" s="1" t="str">
        <f t="shared" si="467"/>
        <v>0</v>
      </c>
      <c r="N665" s="1" t="str">
        <f t="shared" si="468"/>
        <v>0</v>
      </c>
      <c r="O665" s="1" t="str">
        <f>"3.56"</f>
        <v>3.56</v>
      </c>
    </row>
    <row r="666" s="1" customFormat="1" spans="1:15">
      <c r="A666" s="1" t="str">
        <f t="shared" si="460"/>
        <v>202406</v>
      </c>
      <c r="B666" s="1" t="str">
        <f t="shared" si="461"/>
        <v>150525100</v>
      </c>
      <c r="C666" s="1" t="str">
        <f>"1040833004"</f>
        <v>1040833004</v>
      </c>
      <c r="D666" s="1" t="str">
        <f>"152326195411050668"</f>
        <v>152326195411050668</v>
      </c>
      <c r="E666" s="1" t="s">
        <v>714</v>
      </c>
      <c r="F666" s="1" t="s">
        <v>16</v>
      </c>
      <c r="G666" s="1" t="s">
        <v>17</v>
      </c>
      <c r="H666" s="1" t="str">
        <f t="shared" si="470"/>
        <v>70</v>
      </c>
      <c r="I666" s="1" t="str">
        <f>"153.56"</f>
        <v>153.56</v>
      </c>
      <c r="J666" s="1" t="str">
        <f t="shared" si="469"/>
        <v>0</v>
      </c>
      <c r="K666" s="1" t="str">
        <f t="shared" si="463"/>
        <v>103</v>
      </c>
      <c r="L666" s="1" t="str">
        <f t="shared" si="464"/>
        <v>47</v>
      </c>
      <c r="M666" s="1" t="str">
        <f t="shared" si="467"/>
        <v>0</v>
      </c>
      <c r="N666" s="1" t="str">
        <f t="shared" si="468"/>
        <v>0</v>
      </c>
      <c r="O666" s="1" t="str">
        <f>"3.56"</f>
        <v>3.56</v>
      </c>
    </row>
    <row r="667" s="1" customFormat="1" spans="1:15">
      <c r="A667" s="1" t="str">
        <f t="shared" si="460"/>
        <v>202406</v>
      </c>
      <c r="B667" s="1" t="str">
        <f t="shared" si="461"/>
        <v>150525100</v>
      </c>
      <c r="C667" s="1" t="str">
        <f>"1040833006"</f>
        <v>1040833006</v>
      </c>
      <c r="D667" s="1" t="str">
        <f>"152326195501150662"</f>
        <v>152326195501150662</v>
      </c>
      <c r="E667" s="1" t="s">
        <v>715</v>
      </c>
      <c r="F667" s="1" t="s">
        <v>16</v>
      </c>
      <c r="G667" s="1" t="s">
        <v>17</v>
      </c>
      <c r="H667" s="1" t="str">
        <f>"69"</f>
        <v>69</v>
      </c>
      <c r="I667" s="1" t="str">
        <f>"154.52"</f>
        <v>154.52</v>
      </c>
      <c r="J667" s="1" t="str">
        <f t="shared" si="469"/>
        <v>0</v>
      </c>
      <c r="K667" s="1" t="str">
        <f t="shared" si="463"/>
        <v>103</v>
      </c>
      <c r="L667" s="1" t="str">
        <f t="shared" si="464"/>
        <v>47</v>
      </c>
      <c r="M667" s="1" t="str">
        <f t="shared" si="467"/>
        <v>0</v>
      </c>
      <c r="N667" s="1" t="str">
        <f t="shared" si="468"/>
        <v>0</v>
      </c>
      <c r="O667" s="1" t="str">
        <f>"4.52"</f>
        <v>4.52</v>
      </c>
    </row>
    <row r="668" s="1" customFormat="1" spans="1:15">
      <c r="A668" s="1" t="str">
        <f t="shared" si="460"/>
        <v>202406</v>
      </c>
      <c r="B668" s="1" t="str">
        <f t="shared" si="461"/>
        <v>150525100</v>
      </c>
      <c r="C668" s="1" t="str">
        <f>"1040833023"</f>
        <v>1040833023</v>
      </c>
      <c r="D668" s="1" t="str">
        <f>"152326195107123834"</f>
        <v>152326195107123834</v>
      </c>
      <c r="E668" s="1" t="s">
        <v>716</v>
      </c>
      <c r="F668" s="1" t="s">
        <v>25</v>
      </c>
      <c r="G668" s="1" t="s">
        <v>17</v>
      </c>
      <c r="H668" s="1" t="str">
        <f>"73"</f>
        <v>73</v>
      </c>
      <c r="I668" s="1" t="str">
        <f>"160"</f>
        <v>160</v>
      </c>
      <c r="J668" s="1" t="str">
        <f t="shared" si="469"/>
        <v>0</v>
      </c>
      <c r="K668" s="1" t="str">
        <f t="shared" si="463"/>
        <v>103</v>
      </c>
      <c r="L668" s="1" t="str">
        <f t="shared" si="464"/>
        <v>47</v>
      </c>
      <c r="M668" s="1" t="str">
        <f t="shared" si="467"/>
        <v>0</v>
      </c>
      <c r="N668" s="1" t="str">
        <f t="shared" si="468"/>
        <v>0</v>
      </c>
      <c r="O668" s="1" t="str">
        <f>"0"</f>
        <v>0</v>
      </c>
    </row>
    <row r="669" s="1" customFormat="1" spans="1:15">
      <c r="A669" s="1" t="str">
        <f t="shared" si="460"/>
        <v>202406</v>
      </c>
      <c r="B669" s="1" t="str">
        <f t="shared" si="461"/>
        <v>150525100</v>
      </c>
      <c r="C669" s="1" t="str">
        <f>"1014562903"</f>
        <v>1014562903</v>
      </c>
      <c r="D669" s="1" t="str">
        <f>"152326195909050411"</f>
        <v>152326195909050411</v>
      </c>
      <c r="E669" s="1" t="s">
        <v>717</v>
      </c>
      <c r="F669" s="1" t="s">
        <v>25</v>
      </c>
      <c r="G669" s="1" t="s">
        <v>17</v>
      </c>
      <c r="H669" s="1" t="str">
        <f>"65"</f>
        <v>65</v>
      </c>
      <c r="I669" s="1" t="str">
        <f>"158.21"</f>
        <v>158.21</v>
      </c>
      <c r="J669" s="1" t="str">
        <f t="shared" si="469"/>
        <v>0</v>
      </c>
      <c r="K669" s="1" t="str">
        <f t="shared" si="463"/>
        <v>103</v>
      </c>
      <c r="L669" s="1" t="str">
        <f t="shared" si="464"/>
        <v>47</v>
      </c>
      <c r="M669" s="1" t="str">
        <f t="shared" si="467"/>
        <v>0</v>
      </c>
      <c r="N669" s="1" t="str">
        <f t="shared" si="468"/>
        <v>0</v>
      </c>
      <c r="O669" s="1" t="str">
        <f>"8.21"</f>
        <v>8.21</v>
      </c>
    </row>
    <row r="670" s="1" customFormat="1" spans="1:15">
      <c r="A670" s="1" t="str">
        <f t="shared" si="460"/>
        <v>202406</v>
      </c>
      <c r="B670" s="1" t="str">
        <f t="shared" si="461"/>
        <v>150525100</v>
      </c>
      <c r="C670" s="1" t="str">
        <f>"1014562905"</f>
        <v>1014562905</v>
      </c>
      <c r="D670" s="1" t="str">
        <f>"152326196203270425"</f>
        <v>152326196203270425</v>
      </c>
      <c r="E670" s="1" t="s">
        <v>718</v>
      </c>
      <c r="F670" s="1" t="s">
        <v>16</v>
      </c>
      <c r="G670" s="1" t="s">
        <v>17</v>
      </c>
      <c r="H670" s="1" t="str">
        <f>"62"</f>
        <v>62</v>
      </c>
      <c r="I670" s="1" t="str">
        <f>"163.5"</f>
        <v>163.5</v>
      </c>
      <c r="J670" s="1" t="str">
        <f t="shared" si="469"/>
        <v>0</v>
      </c>
      <c r="K670" s="1" t="str">
        <f t="shared" si="463"/>
        <v>103</v>
      </c>
      <c r="L670" s="1" t="str">
        <f t="shared" si="464"/>
        <v>47</v>
      </c>
      <c r="M670" s="1" t="str">
        <f t="shared" si="467"/>
        <v>0</v>
      </c>
      <c r="N670" s="1" t="str">
        <f t="shared" si="468"/>
        <v>0</v>
      </c>
      <c r="O670" s="1" t="str">
        <f>"13.5"</f>
        <v>13.5</v>
      </c>
    </row>
    <row r="671" s="1" customFormat="1" spans="1:15">
      <c r="A671" s="1" t="str">
        <f t="shared" si="460"/>
        <v>202406</v>
      </c>
      <c r="B671" s="1" t="str">
        <f t="shared" si="461"/>
        <v>150525100</v>
      </c>
      <c r="C671" s="1" t="str">
        <f>"1014562909"</f>
        <v>1014562909</v>
      </c>
      <c r="D671" s="1" t="str">
        <f>"152326195804040436"</f>
        <v>152326195804040436</v>
      </c>
      <c r="E671" s="1" t="s">
        <v>719</v>
      </c>
      <c r="F671" s="1" t="s">
        <v>25</v>
      </c>
      <c r="G671" s="1" t="s">
        <v>17</v>
      </c>
      <c r="H671" s="1" t="str">
        <f>"66"</f>
        <v>66</v>
      </c>
      <c r="I671" s="1" t="str">
        <f>"157.11"</f>
        <v>157.11</v>
      </c>
      <c r="J671" s="1" t="str">
        <f t="shared" si="469"/>
        <v>0</v>
      </c>
      <c r="K671" s="1" t="str">
        <f t="shared" si="463"/>
        <v>103</v>
      </c>
      <c r="L671" s="1" t="str">
        <f t="shared" si="464"/>
        <v>47</v>
      </c>
      <c r="M671" s="1" t="str">
        <f t="shared" si="467"/>
        <v>0</v>
      </c>
      <c r="N671" s="1" t="str">
        <f t="shared" si="468"/>
        <v>0</v>
      </c>
      <c r="O671" s="1" t="str">
        <f>"7.11"</f>
        <v>7.11</v>
      </c>
    </row>
    <row r="672" s="1" customFormat="1" spans="1:15">
      <c r="A672" s="1" t="str">
        <f t="shared" si="460"/>
        <v>202406</v>
      </c>
      <c r="B672" s="1" t="str">
        <f t="shared" si="461"/>
        <v>150525100</v>
      </c>
      <c r="C672" s="1" t="str">
        <f>"1014563271"</f>
        <v>1014563271</v>
      </c>
      <c r="D672" s="1" t="str">
        <f>"152326195801100421"</f>
        <v>152326195801100421</v>
      </c>
      <c r="E672" s="1" t="s">
        <v>720</v>
      </c>
      <c r="F672" s="1" t="s">
        <v>16</v>
      </c>
      <c r="G672" s="1" t="s">
        <v>17</v>
      </c>
      <c r="H672" s="1" t="str">
        <f>"66"</f>
        <v>66</v>
      </c>
      <c r="I672" s="1" t="str">
        <f>"157.08"</f>
        <v>157.08</v>
      </c>
      <c r="J672" s="1" t="str">
        <f t="shared" si="469"/>
        <v>0</v>
      </c>
      <c r="K672" s="1" t="str">
        <f t="shared" si="463"/>
        <v>103</v>
      </c>
      <c r="L672" s="1" t="str">
        <f t="shared" si="464"/>
        <v>47</v>
      </c>
      <c r="M672" s="1" t="str">
        <f t="shared" si="467"/>
        <v>0</v>
      </c>
      <c r="N672" s="1" t="str">
        <f t="shared" si="468"/>
        <v>0</v>
      </c>
      <c r="O672" s="1" t="str">
        <f>"7.08"</f>
        <v>7.08</v>
      </c>
    </row>
    <row r="673" s="1" customFormat="1" spans="1:15">
      <c r="A673" s="1" t="str">
        <f t="shared" si="460"/>
        <v>202406</v>
      </c>
      <c r="B673" s="1" t="str">
        <f t="shared" si="461"/>
        <v>150525100</v>
      </c>
      <c r="C673" s="1" t="str">
        <f>"1014569696"</f>
        <v>1014569696</v>
      </c>
      <c r="D673" s="1" t="str">
        <f>"152326195510230410"</f>
        <v>152326195510230410</v>
      </c>
      <c r="E673" s="1" t="s">
        <v>316</v>
      </c>
      <c r="F673" s="1" t="s">
        <v>25</v>
      </c>
      <c r="G673" s="1" t="s">
        <v>17</v>
      </c>
      <c r="H673" s="1" t="str">
        <f>"69"</f>
        <v>69</v>
      </c>
      <c r="I673" s="1" t="str">
        <f>"155.1"</f>
        <v>155.1</v>
      </c>
      <c r="J673" s="1" t="str">
        <f t="shared" si="469"/>
        <v>0</v>
      </c>
      <c r="K673" s="1" t="str">
        <f t="shared" si="463"/>
        <v>103</v>
      </c>
      <c r="L673" s="1" t="str">
        <f t="shared" si="464"/>
        <v>47</v>
      </c>
      <c r="M673" s="1" t="str">
        <f t="shared" si="467"/>
        <v>0</v>
      </c>
      <c r="N673" s="1" t="str">
        <f t="shared" si="468"/>
        <v>0</v>
      </c>
      <c r="O673" s="1" t="str">
        <f>"5.1"</f>
        <v>5.1</v>
      </c>
    </row>
    <row r="674" s="1" customFormat="1" spans="1:15">
      <c r="A674" s="1" t="str">
        <f t="shared" si="460"/>
        <v>202406</v>
      </c>
      <c r="B674" s="1" t="str">
        <f t="shared" si="461"/>
        <v>150525100</v>
      </c>
      <c r="C674" s="1" t="str">
        <f>"1014569700"</f>
        <v>1014569700</v>
      </c>
      <c r="D674" s="1" t="str">
        <f>"152326196109220413"</f>
        <v>152326196109220413</v>
      </c>
      <c r="E674" s="1" t="s">
        <v>721</v>
      </c>
      <c r="F674" s="1" t="s">
        <v>25</v>
      </c>
      <c r="G674" s="1" t="s">
        <v>17</v>
      </c>
      <c r="H674" s="1" t="str">
        <f>"63"</f>
        <v>63</v>
      </c>
      <c r="I674" s="1" t="str">
        <f>"160.86"</f>
        <v>160.86</v>
      </c>
      <c r="J674" s="1" t="str">
        <f t="shared" si="469"/>
        <v>0</v>
      </c>
      <c r="K674" s="1" t="str">
        <f t="shared" si="463"/>
        <v>103</v>
      </c>
      <c r="L674" s="1" t="str">
        <f t="shared" si="464"/>
        <v>47</v>
      </c>
      <c r="M674" s="1" t="str">
        <f t="shared" si="467"/>
        <v>0</v>
      </c>
      <c r="N674" s="1" t="str">
        <f t="shared" si="468"/>
        <v>0</v>
      </c>
      <c r="O674" s="1" t="str">
        <f>"10.86"</f>
        <v>10.86</v>
      </c>
    </row>
    <row r="675" s="1" customFormat="1" spans="1:15">
      <c r="A675" s="1" t="str">
        <f t="shared" si="460"/>
        <v>202406</v>
      </c>
      <c r="B675" s="1" t="str">
        <f t="shared" si="461"/>
        <v>150525100</v>
      </c>
      <c r="C675" s="1" t="str">
        <f>"1014569709"</f>
        <v>1014569709</v>
      </c>
      <c r="D675" s="1" t="str">
        <f>"152326196210160435"</f>
        <v>152326196210160435</v>
      </c>
      <c r="E675" s="1" t="s">
        <v>722</v>
      </c>
      <c r="F675" s="1" t="s">
        <v>25</v>
      </c>
      <c r="G675" s="1" t="s">
        <v>17</v>
      </c>
      <c r="H675" s="1" t="str">
        <f>"62"</f>
        <v>62</v>
      </c>
      <c r="I675" s="1" t="str">
        <f>"162.58"</f>
        <v>162.58</v>
      </c>
      <c r="J675" s="1" t="str">
        <f t="shared" si="469"/>
        <v>0</v>
      </c>
      <c r="K675" s="1" t="str">
        <f t="shared" si="463"/>
        <v>103</v>
      </c>
      <c r="L675" s="1" t="str">
        <f t="shared" si="464"/>
        <v>47</v>
      </c>
      <c r="M675" s="1" t="str">
        <f t="shared" si="467"/>
        <v>0</v>
      </c>
      <c r="N675" s="1" t="str">
        <f t="shared" si="468"/>
        <v>0</v>
      </c>
      <c r="O675" s="1" t="str">
        <f>"12.58"</f>
        <v>12.58</v>
      </c>
    </row>
    <row r="676" s="1" customFormat="1" spans="1:15">
      <c r="A676" s="1" t="str">
        <f t="shared" si="460"/>
        <v>202406</v>
      </c>
      <c r="B676" s="1" t="str">
        <f t="shared" si="461"/>
        <v>150525100</v>
      </c>
      <c r="C676" s="1" t="str">
        <f>"1014569713"</f>
        <v>1014569713</v>
      </c>
      <c r="D676" s="1" t="str">
        <f>"152326196212120429"</f>
        <v>152326196212120429</v>
      </c>
      <c r="E676" s="1" t="s">
        <v>723</v>
      </c>
      <c r="F676" s="1" t="s">
        <v>16</v>
      </c>
      <c r="G676" s="1" t="s">
        <v>17</v>
      </c>
      <c r="H676" s="1" t="str">
        <f>"62"</f>
        <v>62</v>
      </c>
      <c r="I676" s="1" t="str">
        <f>"163.2"</f>
        <v>163.2</v>
      </c>
      <c r="J676" s="1" t="str">
        <f t="shared" si="469"/>
        <v>0</v>
      </c>
      <c r="K676" s="1" t="str">
        <f t="shared" si="463"/>
        <v>103</v>
      </c>
      <c r="L676" s="1" t="str">
        <f t="shared" si="464"/>
        <v>47</v>
      </c>
      <c r="M676" s="1" t="str">
        <f t="shared" si="467"/>
        <v>0</v>
      </c>
      <c r="N676" s="1" t="str">
        <f t="shared" si="468"/>
        <v>0</v>
      </c>
      <c r="O676" s="1" t="str">
        <f>"13.2"</f>
        <v>13.2</v>
      </c>
    </row>
    <row r="677" s="1" customFormat="1" spans="1:15">
      <c r="A677" s="1" t="str">
        <f t="shared" si="460"/>
        <v>202406</v>
      </c>
      <c r="B677" s="1" t="str">
        <f t="shared" si="461"/>
        <v>150525100</v>
      </c>
      <c r="C677" s="1" t="str">
        <f>"1014569721"</f>
        <v>1014569721</v>
      </c>
      <c r="D677" s="1" t="str">
        <f>"152326196309240419"</f>
        <v>152326196309240419</v>
      </c>
      <c r="E677" s="1" t="s">
        <v>724</v>
      </c>
      <c r="F677" s="1" t="s">
        <v>25</v>
      </c>
      <c r="G677" s="1" t="s">
        <v>17</v>
      </c>
      <c r="H677" s="1" t="str">
        <f>"61"</f>
        <v>61</v>
      </c>
      <c r="I677" s="1" t="str">
        <f>"165.07"</f>
        <v>165.07</v>
      </c>
      <c r="J677" s="1" t="str">
        <f t="shared" si="469"/>
        <v>0</v>
      </c>
      <c r="K677" s="1" t="str">
        <f t="shared" si="463"/>
        <v>103</v>
      </c>
      <c r="L677" s="1" t="str">
        <f t="shared" si="464"/>
        <v>47</v>
      </c>
      <c r="M677" s="1" t="str">
        <f t="shared" si="467"/>
        <v>0</v>
      </c>
      <c r="N677" s="1" t="str">
        <f t="shared" si="468"/>
        <v>0</v>
      </c>
      <c r="O677" s="1" t="str">
        <f>"15.07"</f>
        <v>15.07</v>
      </c>
    </row>
    <row r="678" s="1" customFormat="1" spans="1:15">
      <c r="A678" s="1" t="str">
        <f t="shared" si="460"/>
        <v>202406</v>
      </c>
      <c r="B678" s="1" t="str">
        <f t="shared" si="461"/>
        <v>150525100</v>
      </c>
      <c r="C678" s="1" t="str">
        <f>"1014569723"</f>
        <v>1014569723</v>
      </c>
      <c r="D678" s="1" t="str">
        <f>"152326196310120422"</f>
        <v>152326196310120422</v>
      </c>
      <c r="E678" s="1" t="s">
        <v>271</v>
      </c>
      <c r="F678" s="1" t="s">
        <v>16</v>
      </c>
      <c r="G678" s="1" t="s">
        <v>17</v>
      </c>
      <c r="H678" s="1" t="str">
        <f>"61"</f>
        <v>61</v>
      </c>
      <c r="I678" s="1" t="str">
        <f>"165.09"</f>
        <v>165.09</v>
      </c>
      <c r="J678" s="1" t="str">
        <f t="shared" si="469"/>
        <v>0</v>
      </c>
      <c r="K678" s="1" t="str">
        <f t="shared" si="463"/>
        <v>103</v>
      </c>
      <c r="L678" s="1" t="str">
        <f t="shared" si="464"/>
        <v>47</v>
      </c>
      <c r="M678" s="1" t="str">
        <f t="shared" si="467"/>
        <v>0</v>
      </c>
      <c r="N678" s="1" t="str">
        <f t="shared" si="468"/>
        <v>0</v>
      </c>
      <c r="O678" s="1" t="str">
        <f>"15.09"</f>
        <v>15.09</v>
      </c>
    </row>
    <row r="679" s="1" customFormat="1" spans="1:15">
      <c r="A679" s="1" t="str">
        <f t="shared" si="460"/>
        <v>202406</v>
      </c>
      <c r="B679" s="1" t="str">
        <f t="shared" si="461"/>
        <v>150525100</v>
      </c>
      <c r="C679" s="1" t="str">
        <f>"1014584421"</f>
        <v>1014584421</v>
      </c>
      <c r="D679" s="1" t="str">
        <f>"152326195202150662"</f>
        <v>152326195202150662</v>
      </c>
      <c r="E679" s="1" t="s">
        <v>725</v>
      </c>
      <c r="F679" s="1" t="s">
        <v>16</v>
      </c>
      <c r="G679" s="1" t="s">
        <v>17</v>
      </c>
      <c r="H679" s="1" t="str">
        <f>"72"</f>
        <v>72</v>
      </c>
      <c r="I679" s="1" t="str">
        <f>"162.14"</f>
        <v>162.14</v>
      </c>
      <c r="J679" s="1" t="str">
        <f t="shared" si="469"/>
        <v>0</v>
      </c>
      <c r="K679" s="1" t="str">
        <f t="shared" si="463"/>
        <v>103</v>
      </c>
      <c r="L679" s="1" t="str">
        <f t="shared" si="464"/>
        <v>47</v>
      </c>
      <c r="M679" s="1" t="str">
        <f t="shared" si="467"/>
        <v>0</v>
      </c>
      <c r="N679" s="1" t="str">
        <f t="shared" si="468"/>
        <v>0</v>
      </c>
      <c r="O679" s="1" t="str">
        <f>"2.14"</f>
        <v>2.14</v>
      </c>
    </row>
    <row r="680" s="1" customFormat="1" spans="1:15">
      <c r="A680" s="1" t="str">
        <f t="shared" si="460"/>
        <v>202406</v>
      </c>
      <c r="B680" s="1" t="str">
        <f t="shared" si="461"/>
        <v>150525100</v>
      </c>
      <c r="C680" s="1" t="str">
        <f>"1014585048"</f>
        <v>1014585048</v>
      </c>
      <c r="D680" s="1" t="str">
        <f>"152326195403250424"</f>
        <v>152326195403250424</v>
      </c>
      <c r="E680" s="1" t="s">
        <v>726</v>
      </c>
      <c r="F680" s="1" t="s">
        <v>16</v>
      </c>
      <c r="G680" s="1" t="s">
        <v>17</v>
      </c>
      <c r="H680" s="1" t="str">
        <f>"70"</f>
        <v>70</v>
      </c>
      <c r="I680" s="1" t="str">
        <f>"164.14"</f>
        <v>164.14</v>
      </c>
      <c r="J680" s="1" t="str">
        <f t="shared" si="469"/>
        <v>0</v>
      </c>
      <c r="K680" s="1" t="str">
        <f t="shared" si="463"/>
        <v>103</v>
      </c>
      <c r="L680" s="1" t="str">
        <f t="shared" si="464"/>
        <v>47</v>
      </c>
      <c r="M680" s="1" t="str">
        <f t="shared" si="467"/>
        <v>0</v>
      </c>
      <c r="N680" s="1" t="str">
        <f t="shared" si="468"/>
        <v>0</v>
      </c>
      <c r="O680" s="1" t="str">
        <f>"4.14"</f>
        <v>4.14</v>
      </c>
    </row>
    <row r="681" s="1" customFormat="1" spans="1:15">
      <c r="A681" s="1" t="str">
        <f t="shared" si="460"/>
        <v>202406</v>
      </c>
      <c r="B681" s="1" t="str">
        <f t="shared" si="461"/>
        <v>150525100</v>
      </c>
      <c r="C681" s="1" t="str">
        <f>"1014561175"</f>
        <v>1014561175</v>
      </c>
      <c r="D681" s="1" t="str">
        <f>"152326195605200468"</f>
        <v>152326195605200468</v>
      </c>
      <c r="E681" s="1" t="s">
        <v>727</v>
      </c>
      <c r="F681" s="1" t="s">
        <v>16</v>
      </c>
      <c r="G681" s="1" t="s">
        <v>17</v>
      </c>
      <c r="H681" s="1" t="str">
        <f>"68"</f>
        <v>68</v>
      </c>
      <c r="I681" s="1" t="str">
        <f>"156.01"</f>
        <v>156.01</v>
      </c>
      <c r="J681" s="1" t="str">
        <f t="shared" si="469"/>
        <v>0</v>
      </c>
      <c r="K681" s="1" t="str">
        <f t="shared" si="463"/>
        <v>103</v>
      </c>
      <c r="L681" s="1" t="str">
        <f t="shared" si="464"/>
        <v>47</v>
      </c>
      <c r="M681" s="1" t="str">
        <f t="shared" si="467"/>
        <v>0</v>
      </c>
      <c r="N681" s="1" t="str">
        <f t="shared" si="468"/>
        <v>0</v>
      </c>
      <c r="O681" s="1" t="str">
        <f>"6.01"</f>
        <v>6.01</v>
      </c>
    </row>
    <row r="682" s="1" customFormat="1" spans="1:15">
      <c r="A682" s="1" t="str">
        <f t="shared" si="460"/>
        <v>202406</v>
      </c>
      <c r="B682" s="1" t="str">
        <f t="shared" si="461"/>
        <v>150525100</v>
      </c>
      <c r="C682" s="1" t="str">
        <f>"1014561193"</f>
        <v>1014561193</v>
      </c>
      <c r="D682" s="1" t="str">
        <f>"152326195704270429"</f>
        <v>152326195704270429</v>
      </c>
      <c r="E682" s="1" t="s">
        <v>728</v>
      </c>
      <c r="F682" s="1" t="s">
        <v>16</v>
      </c>
      <c r="G682" s="1" t="s">
        <v>17</v>
      </c>
      <c r="H682" s="1" t="str">
        <f>"67"</f>
        <v>67</v>
      </c>
      <c r="I682" s="1" t="str">
        <f>"157.69"</f>
        <v>157.69</v>
      </c>
      <c r="J682" s="1" t="str">
        <f t="shared" si="469"/>
        <v>0</v>
      </c>
      <c r="K682" s="1" t="str">
        <f t="shared" si="463"/>
        <v>103</v>
      </c>
      <c r="L682" s="1" t="str">
        <f t="shared" si="464"/>
        <v>47</v>
      </c>
      <c r="M682" s="1" t="str">
        <f t="shared" si="467"/>
        <v>0</v>
      </c>
      <c r="N682" s="1" t="str">
        <f t="shared" si="468"/>
        <v>0</v>
      </c>
      <c r="O682" s="1" t="str">
        <f>"7.69"</f>
        <v>7.69</v>
      </c>
    </row>
    <row r="683" s="1" customFormat="1" spans="1:15">
      <c r="A683" s="1" t="str">
        <f t="shared" si="460"/>
        <v>202406</v>
      </c>
      <c r="B683" s="1" t="str">
        <f t="shared" si="461"/>
        <v>150525100</v>
      </c>
      <c r="C683" s="1" t="str">
        <f>"1014567850"</f>
        <v>1014567850</v>
      </c>
      <c r="D683" s="1" t="s">
        <v>729</v>
      </c>
      <c r="E683" s="1" t="s">
        <v>730</v>
      </c>
      <c r="F683" s="1" t="s">
        <v>25</v>
      </c>
      <c r="G683" s="1" t="s">
        <v>19</v>
      </c>
      <c r="H683" s="1" t="str">
        <f>"70"</f>
        <v>70</v>
      </c>
      <c r="I683" s="1" t="str">
        <f>"164.15"</f>
        <v>164.15</v>
      </c>
      <c r="J683" s="1" t="str">
        <f t="shared" si="469"/>
        <v>0</v>
      </c>
      <c r="K683" s="1" t="str">
        <f t="shared" si="463"/>
        <v>103</v>
      </c>
      <c r="L683" s="1" t="str">
        <f t="shared" si="464"/>
        <v>47</v>
      </c>
      <c r="M683" s="1" t="str">
        <f t="shared" si="467"/>
        <v>0</v>
      </c>
      <c r="N683" s="1" t="str">
        <f t="shared" si="468"/>
        <v>0</v>
      </c>
      <c r="O683" s="1" t="str">
        <f>"4.15"</f>
        <v>4.15</v>
      </c>
    </row>
    <row r="684" s="1" customFormat="1" spans="1:15">
      <c r="A684" s="1" t="str">
        <f t="shared" si="460"/>
        <v>202406</v>
      </c>
      <c r="B684" s="1" t="str">
        <f t="shared" si="461"/>
        <v>150525100</v>
      </c>
      <c r="C684" s="1" t="str">
        <f>"1014562945"</f>
        <v>1014562945</v>
      </c>
      <c r="D684" s="1" t="s">
        <v>731</v>
      </c>
      <c r="E684" s="1" t="s">
        <v>732</v>
      </c>
      <c r="F684" s="1" t="s">
        <v>16</v>
      </c>
      <c r="G684" s="1" t="s">
        <v>17</v>
      </c>
      <c r="H684" s="1" t="str">
        <f>"62"</f>
        <v>62</v>
      </c>
      <c r="I684" s="1" t="str">
        <f>"163.17"</f>
        <v>163.17</v>
      </c>
      <c r="J684" s="1" t="str">
        <f t="shared" si="469"/>
        <v>0</v>
      </c>
      <c r="K684" s="1" t="str">
        <f t="shared" si="463"/>
        <v>103</v>
      </c>
      <c r="L684" s="1" t="str">
        <f t="shared" si="464"/>
        <v>47</v>
      </c>
      <c r="M684" s="1" t="str">
        <f t="shared" si="467"/>
        <v>0</v>
      </c>
      <c r="N684" s="1" t="str">
        <f t="shared" si="468"/>
        <v>0</v>
      </c>
      <c r="O684" s="1" t="str">
        <f>"13.17"</f>
        <v>13.17</v>
      </c>
    </row>
    <row r="685" s="1" customFormat="1" spans="1:15">
      <c r="A685" s="1" t="str">
        <f t="shared" si="460"/>
        <v>202406</v>
      </c>
      <c r="B685" s="1" t="str">
        <f t="shared" si="461"/>
        <v>150525100</v>
      </c>
      <c r="C685" s="1" t="str">
        <f>"1014562947"</f>
        <v>1014562947</v>
      </c>
      <c r="D685" s="1" t="str">
        <f>"152326196302140423"</f>
        <v>152326196302140423</v>
      </c>
      <c r="E685" s="1" t="s">
        <v>733</v>
      </c>
      <c r="F685" s="1" t="s">
        <v>16</v>
      </c>
      <c r="G685" s="1" t="s">
        <v>17</v>
      </c>
      <c r="H685" s="1" t="str">
        <f>"61"</f>
        <v>61</v>
      </c>
      <c r="I685" s="1" t="str">
        <f>"164.96"</f>
        <v>164.96</v>
      </c>
      <c r="J685" s="1" t="str">
        <f t="shared" si="469"/>
        <v>0</v>
      </c>
      <c r="K685" s="1" t="str">
        <f t="shared" si="463"/>
        <v>103</v>
      </c>
      <c r="L685" s="1" t="str">
        <f t="shared" si="464"/>
        <v>47</v>
      </c>
      <c r="M685" s="1" t="str">
        <f t="shared" si="467"/>
        <v>0</v>
      </c>
      <c r="N685" s="1" t="str">
        <f t="shared" si="468"/>
        <v>0</v>
      </c>
      <c r="O685" s="1" t="str">
        <f>"14.96"</f>
        <v>14.96</v>
      </c>
    </row>
    <row r="686" s="1" customFormat="1" spans="1:15">
      <c r="A686" s="1" t="str">
        <f t="shared" si="460"/>
        <v>202406</v>
      </c>
      <c r="B686" s="1" t="str">
        <f t="shared" si="461"/>
        <v>150525100</v>
      </c>
      <c r="C686" s="1" t="str">
        <f>"1014550020"</f>
        <v>1014550020</v>
      </c>
      <c r="D686" s="1" t="str">
        <f>"152326195605063088"</f>
        <v>152326195605063088</v>
      </c>
      <c r="E686" s="1" t="s">
        <v>734</v>
      </c>
      <c r="F686" s="1" t="s">
        <v>16</v>
      </c>
      <c r="G686" s="1" t="s">
        <v>19</v>
      </c>
      <c r="H686" s="1" t="str">
        <f>"68"</f>
        <v>68</v>
      </c>
      <c r="I686" s="1" t="str">
        <f>"157.47"</f>
        <v>157.47</v>
      </c>
      <c r="J686" s="1" t="str">
        <f t="shared" si="469"/>
        <v>0</v>
      </c>
      <c r="K686" s="1" t="str">
        <f t="shared" si="463"/>
        <v>103</v>
      </c>
      <c r="L686" s="1" t="str">
        <f t="shared" si="464"/>
        <v>47</v>
      </c>
      <c r="M686" s="1" t="str">
        <f t="shared" si="467"/>
        <v>0</v>
      </c>
      <c r="N686" s="1" t="str">
        <f t="shared" si="468"/>
        <v>0</v>
      </c>
      <c r="O686" s="1" t="str">
        <f>"7.47"</f>
        <v>7.47</v>
      </c>
    </row>
    <row r="687" s="1" customFormat="1" spans="1:15">
      <c r="A687" s="1" t="str">
        <f t="shared" si="460"/>
        <v>202406</v>
      </c>
      <c r="B687" s="1" t="str">
        <f t="shared" si="461"/>
        <v>150525100</v>
      </c>
      <c r="C687" s="1" t="str">
        <f>"1014585083"</f>
        <v>1014585083</v>
      </c>
      <c r="D687" s="1" t="str">
        <f>"152326195503060687"</f>
        <v>152326195503060687</v>
      </c>
      <c r="E687" s="1" t="s">
        <v>735</v>
      </c>
      <c r="F687" s="1" t="s">
        <v>16</v>
      </c>
      <c r="G687" s="1" t="s">
        <v>17</v>
      </c>
      <c r="H687" s="1" t="str">
        <f>"69"</f>
        <v>69</v>
      </c>
      <c r="I687" s="1" t="str">
        <f>"155.09"</f>
        <v>155.09</v>
      </c>
      <c r="J687" s="1" t="str">
        <f t="shared" si="469"/>
        <v>0</v>
      </c>
      <c r="K687" s="1" t="str">
        <f t="shared" si="463"/>
        <v>103</v>
      </c>
      <c r="L687" s="1" t="str">
        <f t="shared" si="464"/>
        <v>47</v>
      </c>
      <c r="M687" s="1" t="str">
        <f t="shared" si="467"/>
        <v>0</v>
      </c>
      <c r="N687" s="1" t="str">
        <f t="shared" si="468"/>
        <v>0</v>
      </c>
      <c r="O687" s="1" t="str">
        <f>"5.09"</f>
        <v>5.09</v>
      </c>
    </row>
    <row r="688" s="1" customFormat="1" spans="1:15">
      <c r="A688" s="1" t="str">
        <f t="shared" si="460"/>
        <v>202406</v>
      </c>
      <c r="B688" s="1" t="str">
        <f t="shared" si="461"/>
        <v>150525100</v>
      </c>
      <c r="C688" s="1" t="str">
        <f>"1014585084"</f>
        <v>1014585084</v>
      </c>
      <c r="D688" s="1" t="str">
        <f>"152326195503060679"</f>
        <v>152326195503060679</v>
      </c>
      <c r="E688" s="1" t="s">
        <v>736</v>
      </c>
      <c r="F688" s="1" t="s">
        <v>25</v>
      </c>
      <c r="G688" s="1" t="s">
        <v>17</v>
      </c>
      <c r="H688" s="1" t="str">
        <f>"69"</f>
        <v>69</v>
      </c>
      <c r="I688" s="1" t="str">
        <f>"155.09"</f>
        <v>155.09</v>
      </c>
      <c r="J688" s="1" t="str">
        <f t="shared" si="469"/>
        <v>0</v>
      </c>
      <c r="K688" s="1" t="str">
        <f t="shared" si="463"/>
        <v>103</v>
      </c>
      <c r="L688" s="1" t="str">
        <f t="shared" si="464"/>
        <v>47</v>
      </c>
      <c r="M688" s="1" t="str">
        <f t="shared" si="467"/>
        <v>0</v>
      </c>
      <c r="N688" s="1" t="str">
        <f t="shared" si="468"/>
        <v>0</v>
      </c>
      <c r="O688" s="1" t="str">
        <f>"5.09"</f>
        <v>5.09</v>
      </c>
    </row>
    <row r="689" s="1" customFormat="1" spans="1:15">
      <c r="A689" s="1" t="str">
        <f t="shared" si="460"/>
        <v>202406</v>
      </c>
      <c r="B689" s="1" t="str">
        <f t="shared" si="461"/>
        <v>150525100</v>
      </c>
      <c r="C689" s="1" t="str">
        <f>"1014561209"</f>
        <v>1014561209</v>
      </c>
      <c r="D689" s="1" t="str">
        <f>"152326195712180415"</f>
        <v>152326195712180415</v>
      </c>
      <c r="E689" s="1" t="s">
        <v>737</v>
      </c>
      <c r="F689" s="1" t="s">
        <v>25</v>
      </c>
      <c r="G689" s="1" t="s">
        <v>17</v>
      </c>
      <c r="H689" s="1" t="str">
        <f>"67"</f>
        <v>67</v>
      </c>
      <c r="I689" s="1" t="str">
        <f>"156.11"</f>
        <v>156.11</v>
      </c>
      <c r="J689" s="1" t="str">
        <f t="shared" si="469"/>
        <v>0</v>
      </c>
      <c r="K689" s="1" t="str">
        <f t="shared" si="463"/>
        <v>103</v>
      </c>
      <c r="L689" s="1" t="str">
        <f t="shared" si="464"/>
        <v>47</v>
      </c>
      <c r="M689" s="1" t="str">
        <f t="shared" si="467"/>
        <v>0</v>
      </c>
      <c r="N689" s="1" t="str">
        <f t="shared" si="468"/>
        <v>0</v>
      </c>
      <c r="O689" s="1" t="str">
        <f>"6.11"</f>
        <v>6.11</v>
      </c>
    </row>
    <row r="690" s="1" customFormat="1" spans="1:15">
      <c r="A690" s="1" t="str">
        <f t="shared" si="460"/>
        <v>202406</v>
      </c>
      <c r="B690" s="1" t="str">
        <f t="shared" si="461"/>
        <v>150525100</v>
      </c>
      <c r="C690" s="1" t="str">
        <f>"1014561232"</f>
        <v>1014561232</v>
      </c>
      <c r="D690" s="1" t="str">
        <f>"152326195910250429"</f>
        <v>152326195910250429</v>
      </c>
      <c r="E690" s="1" t="s">
        <v>738</v>
      </c>
      <c r="F690" s="1" t="s">
        <v>16</v>
      </c>
      <c r="G690" s="1" t="s">
        <v>17</v>
      </c>
      <c r="H690" s="1" t="str">
        <f>"65"</f>
        <v>65</v>
      </c>
      <c r="I690" s="1" t="str">
        <f>"157.92"</f>
        <v>157.92</v>
      </c>
      <c r="J690" s="1" t="str">
        <f t="shared" si="469"/>
        <v>0</v>
      </c>
      <c r="K690" s="1" t="str">
        <f t="shared" si="463"/>
        <v>103</v>
      </c>
      <c r="L690" s="1" t="str">
        <f t="shared" si="464"/>
        <v>47</v>
      </c>
      <c r="M690" s="1" t="str">
        <f t="shared" si="467"/>
        <v>0</v>
      </c>
      <c r="N690" s="1" t="str">
        <f t="shared" si="468"/>
        <v>0</v>
      </c>
      <c r="O690" s="1" t="str">
        <f>"7.92"</f>
        <v>7.92</v>
      </c>
    </row>
    <row r="691" s="1" customFormat="1" spans="1:15">
      <c r="A691" s="1" t="str">
        <f t="shared" si="460"/>
        <v>202406</v>
      </c>
      <c r="B691" s="1" t="str">
        <f t="shared" si="461"/>
        <v>150525100</v>
      </c>
      <c r="C691" s="1" t="str">
        <f>"1040833165"</f>
        <v>1040833165</v>
      </c>
      <c r="D691" s="1" t="str">
        <f>"152326194403073080"</f>
        <v>152326194403073080</v>
      </c>
      <c r="E691" s="1" t="s">
        <v>381</v>
      </c>
      <c r="F691" s="1" t="s">
        <v>16</v>
      </c>
      <c r="G691" s="1" t="s">
        <v>17</v>
      </c>
      <c r="H691" s="1" t="str">
        <f>"80"</f>
        <v>80</v>
      </c>
      <c r="I691" s="1" t="str">
        <f>"170"</f>
        <v>170</v>
      </c>
      <c r="J691" s="1" t="str">
        <f t="shared" si="469"/>
        <v>0</v>
      </c>
      <c r="K691" s="1" t="str">
        <f t="shared" si="463"/>
        <v>103</v>
      </c>
      <c r="L691" s="1" t="str">
        <f t="shared" si="464"/>
        <v>47</v>
      </c>
      <c r="M691" s="1" t="str">
        <f t="shared" si="467"/>
        <v>0</v>
      </c>
      <c r="N691" s="1" t="str">
        <f t="shared" si="468"/>
        <v>0</v>
      </c>
      <c r="O691" s="1" t="str">
        <f t="shared" ref="O691:O695" si="471">"0"</f>
        <v>0</v>
      </c>
    </row>
    <row r="692" s="1" customFormat="1" spans="1:15">
      <c r="A692" s="1" t="str">
        <f t="shared" si="460"/>
        <v>202406</v>
      </c>
      <c r="B692" s="1" t="str">
        <f t="shared" si="461"/>
        <v>150525100</v>
      </c>
      <c r="C692" s="1" t="str">
        <f>"1040833180"</f>
        <v>1040833180</v>
      </c>
      <c r="D692" s="1" t="str">
        <f>"152326195301203328"</f>
        <v>152326195301203328</v>
      </c>
      <c r="E692" s="1" t="s">
        <v>739</v>
      </c>
      <c r="F692" s="1" t="s">
        <v>16</v>
      </c>
      <c r="G692" s="1" t="s">
        <v>17</v>
      </c>
      <c r="H692" s="1" t="str">
        <f>"71"</f>
        <v>71</v>
      </c>
      <c r="I692" s="1" t="str">
        <f>"162.57"</f>
        <v>162.57</v>
      </c>
      <c r="J692" s="1" t="str">
        <f t="shared" si="469"/>
        <v>0</v>
      </c>
      <c r="K692" s="1" t="str">
        <f t="shared" si="463"/>
        <v>103</v>
      </c>
      <c r="L692" s="1" t="str">
        <f t="shared" si="464"/>
        <v>47</v>
      </c>
      <c r="M692" s="1" t="str">
        <f t="shared" si="467"/>
        <v>0</v>
      </c>
      <c r="N692" s="1" t="str">
        <f t="shared" si="468"/>
        <v>0</v>
      </c>
      <c r="O692" s="1" t="str">
        <f>"2.57"</f>
        <v>2.57</v>
      </c>
    </row>
    <row r="693" s="1" customFormat="1" spans="1:15">
      <c r="A693" s="1" t="str">
        <f t="shared" si="460"/>
        <v>202406</v>
      </c>
      <c r="B693" s="1" t="str">
        <f t="shared" si="461"/>
        <v>150525100</v>
      </c>
      <c r="C693" s="1" t="str">
        <f>"1040833203"</f>
        <v>1040833203</v>
      </c>
      <c r="D693" s="1" t="str">
        <f>"152326194910037623"</f>
        <v>152326194910037623</v>
      </c>
      <c r="E693" s="1" t="s">
        <v>740</v>
      </c>
      <c r="F693" s="1" t="s">
        <v>16</v>
      </c>
      <c r="G693" s="1" t="s">
        <v>17</v>
      </c>
      <c r="H693" s="1" t="str">
        <f>"75"</f>
        <v>75</v>
      </c>
      <c r="I693" s="1" t="str">
        <f>"160"</f>
        <v>160</v>
      </c>
      <c r="J693" s="1" t="str">
        <f t="shared" si="469"/>
        <v>0</v>
      </c>
      <c r="K693" s="1" t="str">
        <f t="shared" si="463"/>
        <v>103</v>
      </c>
      <c r="L693" s="1" t="str">
        <f t="shared" si="464"/>
        <v>47</v>
      </c>
      <c r="M693" s="1" t="str">
        <f t="shared" si="467"/>
        <v>0</v>
      </c>
      <c r="N693" s="1" t="str">
        <f t="shared" si="468"/>
        <v>0</v>
      </c>
      <c r="O693" s="1" t="str">
        <f t="shared" si="471"/>
        <v>0</v>
      </c>
    </row>
    <row r="694" s="1" customFormat="1" spans="1:15">
      <c r="A694" s="1" t="str">
        <f t="shared" si="460"/>
        <v>202406</v>
      </c>
      <c r="B694" s="1" t="str">
        <f t="shared" si="461"/>
        <v>150525100</v>
      </c>
      <c r="C694" s="1" t="str">
        <f>"1040833214"</f>
        <v>1040833214</v>
      </c>
      <c r="D694" s="1" t="str">
        <f>"152326194410190680"</f>
        <v>152326194410190680</v>
      </c>
      <c r="E694" s="1" t="s">
        <v>63</v>
      </c>
      <c r="F694" s="1" t="s">
        <v>16</v>
      </c>
      <c r="G694" s="1" t="s">
        <v>17</v>
      </c>
      <c r="H694" s="1" t="str">
        <f>"80"</f>
        <v>80</v>
      </c>
      <c r="I694" s="1" t="str">
        <f>"160"</f>
        <v>160</v>
      </c>
      <c r="J694" s="1" t="str">
        <f t="shared" si="469"/>
        <v>0</v>
      </c>
      <c r="K694" s="1" t="str">
        <f t="shared" si="463"/>
        <v>103</v>
      </c>
      <c r="L694" s="1" t="str">
        <f t="shared" si="464"/>
        <v>47</v>
      </c>
      <c r="M694" s="1" t="str">
        <f t="shared" si="467"/>
        <v>0</v>
      </c>
      <c r="N694" s="1" t="str">
        <f t="shared" si="468"/>
        <v>0</v>
      </c>
      <c r="O694" s="1" t="str">
        <f t="shared" si="471"/>
        <v>0</v>
      </c>
    </row>
    <row r="695" s="1" customFormat="1" spans="1:15">
      <c r="A695" s="1" t="str">
        <f t="shared" si="460"/>
        <v>202406</v>
      </c>
      <c r="B695" s="1" t="str">
        <f t="shared" si="461"/>
        <v>150525100</v>
      </c>
      <c r="C695" s="1" t="str">
        <f>"1040833217"</f>
        <v>1040833217</v>
      </c>
      <c r="D695" s="1" t="str">
        <f>"152326193901096141"</f>
        <v>152326193901096141</v>
      </c>
      <c r="E695" s="1" t="s">
        <v>741</v>
      </c>
      <c r="F695" s="1" t="s">
        <v>16</v>
      </c>
      <c r="G695" s="1" t="s">
        <v>17</v>
      </c>
      <c r="H695" s="1" t="str">
        <f>"85"</f>
        <v>85</v>
      </c>
      <c r="I695" s="1" t="str">
        <f>"170"</f>
        <v>170</v>
      </c>
      <c r="J695" s="1" t="str">
        <f t="shared" si="469"/>
        <v>0</v>
      </c>
      <c r="K695" s="1" t="str">
        <f t="shared" si="463"/>
        <v>103</v>
      </c>
      <c r="L695" s="1" t="str">
        <f t="shared" si="464"/>
        <v>47</v>
      </c>
      <c r="M695" s="1" t="str">
        <f t="shared" si="467"/>
        <v>0</v>
      </c>
      <c r="N695" s="1" t="str">
        <f t="shared" si="468"/>
        <v>0</v>
      </c>
      <c r="O695" s="1" t="str">
        <f t="shared" si="471"/>
        <v>0</v>
      </c>
    </row>
    <row r="696" s="1" customFormat="1" spans="1:15">
      <c r="A696" s="1" t="str">
        <f t="shared" si="460"/>
        <v>202406</v>
      </c>
      <c r="B696" s="1" t="str">
        <f t="shared" si="461"/>
        <v>150525100</v>
      </c>
      <c r="C696" s="1" t="str">
        <f>"1014569764"</f>
        <v>1014569764</v>
      </c>
      <c r="D696" s="1" t="str">
        <f>"152326195805070426"</f>
        <v>152326195805070426</v>
      </c>
      <c r="E696" s="1" t="s">
        <v>742</v>
      </c>
      <c r="F696" s="1" t="s">
        <v>16</v>
      </c>
      <c r="G696" s="1" t="s">
        <v>17</v>
      </c>
      <c r="H696" s="1" t="str">
        <f>"66"</f>
        <v>66</v>
      </c>
      <c r="I696" s="1" t="str">
        <f>"157.1"</f>
        <v>157.1</v>
      </c>
      <c r="J696" s="1" t="str">
        <f t="shared" si="469"/>
        <v>0</v>
      </c>
      <c r="K696" s="1" t="str">
        <f t="shared" si="463"/>
        <v>103</v>
      </c>
      <c r="L696" s="1" t="str">
        <f t="shared" si="464"/>
        <v>47</v>
      </c>
      <c r="M696" s="1" t="str">
        <f t="shared" si="467"/>
        <v>0</v>
      </c>
      <c r="N696" s="1" t="str">
        <f t="shared" si="468"/>
        <v>0</v>
      </c>
      <c r="O696" s="1" t="str">
        <f>"7.1"</f>
        <v>7.1</v>
      </c>
    </row>
    <row r="697" s="1" customFormat="1" spans="1:15">
      <c r="A697" s="1" t="str">
        <f t="shared" si="460"/>
        <v>202406</v>
      </c>
      <c r="B697" s="1" t="str">
        <f t="shared" si="461"/>
        <v>150525100</v>
      </c>
      <c r="C697" s="1" t="str">
        <f>"1014569779"</f>
        <v>1014569779</v>
      </c>
      <c r="D697" s="1" t="str">
        <f>"152326196002060413"</f>
        <v>152326196002060413</v>
      </c>
      <c r="E697" s="1" t="s">
        <v>743</v>
      </c>
      <c r="F697" s="1" t="s">
        <v>25</v>
      </c>
      <c r="G697" s="1" t="s">
        <v>17</v>
      </c>
      <c r="H697" s="1" t="str">
        <f>"64"</f>
        <v>64</v>
      </c>
      <c r="I697" s="1" t="str">
        <f>"159.18"</f>
        <v>159.18</v>
      </c>
      <c r="J697" s="1" t="str">
        <f t="shared" si="469"/>
        <v>0</v>
      </c>
      <c r="K697" s="1" t="str">
        <f t="shared" si="463"/>
        <v>103</v>
      </c>
      <c r="L697" s="1" t="str">
        <f t="shared" si="464"/>
        <v>47</v>
      </c>
      <c r="M697" s="1" t="str">
        <f t="shared" si="467"/>
        <v>0</v>
      </c>
      <c r="N697" s="1" t="str">
        <f t="shared" si="468"/>
        <v>0</v>
      </c>
      <c r="O697" s="1" t="str">
        <f>"9.18"</f>
        <v>9.18</v>
      </c>
    </row>
    <row r="698" s="1" customFormat="1" spans="1:15">
      <c r="A698" s="1" t="str">
        <f t="shared" si="460"/>
        <v>202406</v>
      </c>
      <c r="B698" s="1" t="str">
        <f t="shared" si="461"/>
        <v>150525100</v>
      </c>
      <c r="C698" s="1" t="str">
        <f>"1014569781"</f>
        <v>1014569781</v>
      </c>
      <c r="D698" s="1" t="str">
        <f>"152326196004040424"</f>
        <v>152326196004040424</v>
      </c>
      <c r="E698" s="1" t="s">
        <v>744</v>
      </c>
      <c r="F698" s="1" t="s">
        <v>16</v>
      </c>
      <c r="G698" s="1" t="s">
        <v>17</v>
      </c>
      <c r="H698" s="1" t="str">
        <f>"64"</f>
        <v>64</v>
      </c>
      <c r="I698" s="1" t="str">
        <f>"159.2"</f>
        <v>159.2</v>
      </c>
      <c r="J698" s="1" t="str">
        <f t="shared" si="469"/>
        <v>0</v>
      </c>
      <c r="K698" s="1" t="str">
        <f t="shared" si="463"/>
        <v>103</v>
      </c>
      <c r="L698" s="1" t="str">
        <f t="shared" si="464"/>
        <v>47</v>
      </c>
      <c r="M698" s="1" t="str">
        <f t="shared" si="467"/>
        <v>0</v>
      </c>
      <c r="N698" s="1" t="str">
        <f t="shared" si="468"/>
        <v>0</v>
      </c>
      <c r="O698" s="1" t="str">
        <f>"9.2"</f>
        <v>9.2</v>
      </c>
    </row>
    <row r="699" s="1" customFormat="1" spans="1:15">
      <c r="A699" s="1" t="str">
        <f t="shared" si="460"/>
        <v>202406</v>
      </c>
      <c r="B699" s="1" t="str">
        <f t="shared" si="461"/>
        <v>150525100</v>
      </c>
      <c r="C699" s="1" t="str">
        <f>"1014550052"</f>
        <v>1014550052</v>
      </c>
      <c r="D699" s="1" t="str">
        <f>"152326195603050662"</f>
        <v>152326195603050662</v>
      </c>
      <c r="E699" s="1" t="s">
        <v>745</v>
      </c>
      <c r="F699" s="1" t="s">
        <v>16</v>
      </c>
      <c r="G699" s="1" t="s">
        <v>19</v>
      </c>
      <c r="H699" s="1" t="str">
        <f t="shared" ref="H699:H701" si="472">"68"</f>
        <v>68</v>
      </c>
      <c r="I699" s="1" t="str">
        <f>"155.97"</f>
        <v>155.97</v>
      </c>
      <c r="J699" s="1" t="str">
        <f t="shared" si="469"/>
        <v>0</v>
      </c>
      <c r="K699" s="1" t="str">
        <f t="shared" si="463"/>
        <v>103</v>
      </c>
      <c r="L699" s="1" t="str">
        <f t="shared" si="464"/>
        <v>47</v>
      </c>
      <c r="M699" s="1" t="str">
        <f t="shared" si="467"/>
        <v>0</v>
      </c>
      <c r="N699" s="1" t="str">
        <f t="shared" si="468"/>
        <v>0</v>
      </c>
      <c r="O699" s="1" t="str">
        <f>"5.97"</f>
        <v>5.97</v>
      </c>
    </row>
    <row r="700" s="1" customFormat="1" spans="1:15">
      <c r="A700" s="1" t="str">
        <f t="shared" si="460"/>
        <v>202406</v>
      </c>
      <c r="B700" s="1" t="str">
        <f t="shared" si="461"/>
        <v>150525100</v>
      </c>
      <c r="C700" s="1" t="str">
        <f>"1014550056"</f>
        <v>1014550056</v>
      </c>
      <c r="D700" s="1" t="str">
        <f>"152326195603280679"</f>
        <v>152326195603280679</v>
      </c>
      <c r="E700" s="1" t="s">
        <v>746</v>
      </c>
      <c r="F700" s="1" t="s">
        <v>25</v>
      </c>
      <c r="G700" s="1" t="s">
        <v>17</v>
      </c>
      <c r="H700" s="1" t="str">
        <f t="shared" si="472"/>
        <v>68</v>
      </c>
      <c r="I700" s="1" t="str">
        <f>"156.02"</f>
        <v>156.02</v>
      </c>
      <c r="J700" s="1" t="str">
        <f t="shared" si="469"/>
        <v>0</v>
      </c>
      <c r="K700" s="1" t="str">
        <f t="shared" si="463"/>
        <v>103</v>
      </c>
      <c r="L700" s="1" t="str">
        <f t="shared" si="464"/>
        <v>47</v>
      </c>
      <c r="M700" s="1" t="str">
        <f t="shared" si="467"/>
        <v>0</v>
      </c>
      <c r="N700" s="1" t="str">
        <f t="shared" si="468"/>
        <v>0</v>
      </c>
      <c r="O700" s="1" t="str">
        <f>"6.02"</f>
        <v>6.02</v>
      </c>
    </row>
    <row r="701" s="1" customFormat="1" spans="1:15">
      <c r="A701" s="1" t="str">
        <f t="shared" si="460"/>
        <v>202406</v>
      </c>
      <c r="B701" s="1" t="str">
        <f t="shared" si="461"/>
        <v>150525100</v>
      </c>
      <c r="C701" s="1" t="str">
        <f>"1014550070"</f>
        <v>1014550070</v>
      </c>
      <c r="D701" s="1" t="str">
        <f>"152326195607270662"</f>
        <v>152326195607270662</v>
      </c>
      <c r="E701" s="1" t="s">
        <v>747</v>
      </c>
      <c r="F701" s="1" t="s">
        <v>16</v>
      </c>
      <c r="G701" s="1" t="s">
        <v>17</v>
      </c>
      <c r="H701" s="1" t="str">
        <f t="shared" si="472"/>
        <v>68</v>
      </c>
      <c r="I701" s="1" t="str">
        <f>"156.05"</f>
        <v>156.05</v>
      </c>
      <c r="J701" s="1" t="str">
        <f t="shared" si="469"/>
        <v>0</v>
      </c>
      <c r="K701" s="1" t="str">
        <f t="shared" si="463"/>
        <v>103</v>
      </c>
      <c r="L701" s="1" t="str">
        <f t="shared" si="464"/>
        <v>47</v>
      </c>
      <c r="M701" s="1" t="str">
        <f t="shared" si="467"/>
        <v>0</v>
      </c>
      <c r="N701" s="1" t="str">
        <f t="shared" si="468"/>
        <v>0</v>
      </c>
      <c r="O701" s="1" t="str">
        <f>"6.05"</f>
        <v>6.05</v>
      </c>
    </row>
    <row r="702" s="1" customFormat="1" spans="1:15">
      <c r="A702" s="1" t="str">
        <f t="shared" si="460"/>
        <v>202406</v>
      </c>
      <c r="B702" s="1" t="str">
        <f t="shared" si="461"/>
        <v>150525100</v>
      </c>
      <c r="C702" s="1" t="str">
        <f>"1014550545"</f>
        <v>1014550545</v>
      </c>
      <c r="D702" s="1" t="s">
        <v>748</v>
      </c>
      <c r="E702" s="1" t="s">
        <v>749</v>
      </c>
      <c r="F702" s="1" t="s">
        <v>16</v>
      </c>
      <c r="G702" s="1" t="s">
        <v>17</v>
      </c>
      <c r="H702" s="1" t="str">
        <f>"61"</f>
        <v>61</v>
      </c>
      <c r="I702" s="1" t="str">
        <f>"188.97"</f>
        <v>188.97</v>
      </c>
      <c r="J702" s="1" t="str">
        <f t="shared" si="469"/>
        <v>0</v>
      </c>
      <c r="K702" s="1" t="str">
        <f t="shared" si="463"/>
        <v>103</v>
      </c>
      <c r="L702" s="1" t="str">
        <f t="shared" si="464"/>
        <v>47</v>
      </c>
      <c r="M702" s="1" t="str">
        <f t="shared" si="467"/>
        <v>0</v>
      </c>
      <c r="N702" s="1" t="str">
        <f t="shared" si="468"/>
        <v>0</v>
      </c>
      <c r="O702" s="1" t="str">
        <f>"38.97"</f>
        <v>38.97</v>
      </c>
    </row>
    <row r="703" s="1" customFormat="1" spans="1:15">
      <c r="A703" s="1" t="str">
        <f t="shared" si="460"/>
        <v>202406</v>
      </c>
      <c r="B703" s="1" t="str">
        <f t="shared" si="461"/>
        <v>150525100</v>
      </c>
      <c r="C703" s="1" t="str">
        <f>"1014585095"</f>
        <v>1014585095</v>
      </c>
      <c r="D703" s="1" t="str">
        <f>"152326196103040411"</f>
        <v>152326196103040411</v>
      </c>
      <c r="E703" s="1" t="s">
        <v>750</v>
      </c>
      <c r="F703" s="1" t="s">
        <v>25</v>
      </c>
      <c r="G703" s="1" t="s">
        <v>17</v>
      </c>
      <c r="H703" s="1" t="str">
        <f>"63"</f>
        <v>63</v>
      </c>
      <c r="I703" s="1" t="str">
        <f>"161.03"</f>
        <v>161.03</v>
      </c>
      <c r="J703" s="1" t="str">
        <f t="shared" si="469"/>
        <v>0</v>
      </c>
      <c r="K703" s="1" t="str">
        <f t="shared" si="463"/>
        <v>103</v>
      </c>
      <c r="L703" s="1" t="str">
        <f t="shared" si="464"/>
        <v>47</v>
      </c>
      <c r="M703" s="1" t="str">
        <f t="shared" si="467"/>
        <v>0</v>
      </c>
      <c r="N703" s="1" t="str">
        <f t="shared" si="468"/>
        <v>0</v>
      </c>
      <c r="O703" s="1" t="str">
        <f>"11.03"</f>
        <v>11.03</v>
      </c>
    </row>
    <row r="704" s="1" customFormat="1" spans="1:15">
      <c r="A704" s="1" t="str">
        <f t="shared" si="460"/>
        <v>202406</v>
      </c>
      <c r="B704" s="1" t="str">
        <f t="shared" si="461"/>
        <v>150525100</v>
      </c>
      <c r="C704" s="1" t="str">
        <f>"1014585102"</f>
        <v>1014585102</v>
      </c>
      <c r="D704" s="1" t="str">
        <f>"152326196205300421"</f>
        <v>152326196205300421</v>
      </c>
      <c r="E704" s="1" t="s">
        <v>751</v>
      </c>
      <c r="F704" s="1" t="s">
        <v>16</v>
      </c>
      <c r="G704" s="1" t="s">
        <v>17</v>
      </c>
      <c r="H704" s="1" t="str">
        <f>"62"</f>
        <v>62</v>
      </c>
      <c r="I704" s="1" t="str">
        <f>"163.01"</f>
        <v>163.01</v>
      </c>
      <c r="J704" s="1" t="str">
        <f t="shared" si="469"/>
        <v>0</v>
      </c>
      <c r="K704" s="1" t="str">
        <f t="shared" si="463"/>
        <v>103</v>
      </c>
      <c r="L704" s="1" t="str">
        <f t="shared" si="464"/>
        <v>47</v>
      </c>
      <c r="M704" s="1" t="str">
        <f t="shared" si="467"/>
        <v>0</v>
      </c>
      <c r="N704" s="1" t="str">
        <f t="shared" si="468"/>
        <v>0</v>
      </c>
      <c r="O704" s="1" t="str">
        <f>"13.01"</f>
        <v>13.01</v>
      </c>
    </row>
    <row r="705" s="1" customFormat="1" spans="1:15">
      <c r="A705" s="1" t="str">
        <f t="shared" si="460"/>
        <v>202406</v>
      </c>
      <c r="B705" s="1" t="str">
        <f t="shared" si="461"/>
        <v>150525100</v>
      </c>
      <c r="C705" s="1" t="str">
        <f>"1014585104"</f>
        <v>1014585104</v>
      </c>
      <c r="D705" s="1" t="s">
        <v>752</v>
      </c>
      <c r="E705" s="1" t="s">
        <v>753</v>
      </c>
      <c r="F705" s="1" t="s">
        <v>25</v>
      </c>
      <c r="G705" s="1" t="s">
        <v>17</v>
      </c>
      <c r="H705" s="1" t="str">
        <f>"62"</f>
        <v>62</v>
      </c>
      <c r="I705" s="1" t="str">
        <f>"163.13"</f>
        <v>163.13</v>
      </c>
      <c r="J705" s="1" t="str">
        <f t="shared" si="469"/>
        <v>0</v>
      </c>
      <c r="K705" s="1" t="str">
        <f t="shared" si="463"/>
        <v>103</v>
      </c>
      <c r="L705" s="1" t="str">
        <f t="shared" si="464"/>
        <v>47</v>
      </c>
      <c r="M705" s="1" t="str">
        <f t="shared" si="467"/>
        <v>0</v>
      </c>
      <c r="N705" s="1" t="str">
        <f t="shared" si="468"/>
        <v>0</v>
      </c>
      <c r="O705" s="1" t="str">
        <f>"13.13"</f>
        <v>13.13</v>
      </c>
    </row>
    <row r="706" s="1" customFormat="1" spans="1:15">
      <c r="A706" s="1" t="str">
        <f t="shared" ref="A706:A769" si="473">"202406"</f>
        <v>202406</v>
      </c>
      <c r="B706" s="1" t="str">
        <f t="shared" ref="B706:B769" si="474">"150525100"</f>
        <v>150525100</v>
      </c>
      <c r="C706" s="1" t="str">
        <f>"1014585115"</f>
        <v>1014585115</v>
      </c>
      <c r="D706" s="1" t="s">
        <v>754</v>
      </c>
      <c r="E706" s="1" t="s">
        <v>755</v>
      </c>
      <c r="F706" s="1" t="s">
        <v>16</v>
      </c>
      <c r="G706" s="1" t="s">
        <v>17</v>
      </c>
      <c r="H706" s="1" t="str">
        <f>"61"</f>
        <v>61</v>
      </c>
      <c r="I706" s="1" t="str">
        <f>"168.03"</f>
        <v>168.03</v>
      </c>
      <c r="J706" s="1" t="str">
        <f t="shared" si="469"/>
        <v>0</v>
      </c>
      <c r="K706" s="1" t="str">
        <f t="shared" si="463"/>
        <v>103</v>
      </c>
      <c r="L706" s="1" t="str">
        <f t="shared" si="464"/>
        <v>47</v>
      </c>
      <c r="M706" s="1" t="str">
        <f t="shared" si="467"/>
        <v>0</v>
      </c>
      <c r="N706" s="1" t="str">
        <f t="shared" si="468"/>
        <v>0</v>
      </c>
      <c r="O706" s="1" t="str">
        <f>"18.03"</f>
        <v>18.03</v>
      </c>
    </row>
    <row r="707" s="1" customFormat="1" spans="1:15">
      <c r="A707" s="1" t="str">
        <f t="shared" si="473"/>
        <v>202406</v>
      </c>
      <c r="B707" s="1" t="str">
        <f t="shared" si="474"/>
        <v>150525100</v>
      </c>
      <c r="C707" s="1" t="str">
        <f>"1014562500"</f>
        <v>1014562500</v>
      </c>
      <c r="D707" s="1" t="str">
        <f>"152326195910110418"</f>
        <v>152326195910110418</v>
      </c>
      <c r="E707" s="1" t="s">
        <v>756</v>
      </c>
      <c r="F707" s="1" t="s">
        <v>25</v>
      </c>
      <c r="G707" s="1" t="s">
        <v>17</v>
      </c>
      <c r="H707" s="1" t="str">
        <f>"65"</f>
        <v>65</v>
      </c>
      <c r="I707" s="1" t="str">
        <f>"158.22"</f>
        <v>158.22</v>
      </c>
      <c r="J707" s="1" t="str">
        <f t="shared" si="469"/>
        <v>0</v>
      </c>
      <c r="K707" s="1" t="str">
        <f t="shared" si="463"/>
        <v>103</v>
      </c>
      <c r="L707" s="1" t="str">
        <f t="shared" si="464"/>
        <v>47</v>
      </c>
      <c r="M707" s="1" t="str">
        <f t="shared" si="467"/>
        <v>0</v>
      </c>
      <c r="N707" s="1" t="str">
        <f t="shared" si="468"/>
        <v>0</v>
      </c>
      <c r="O707" s="1" t="str">
        <f>"8.22"</f>
        <v>8.22</v>
      </c>
    </row>
    <row r="708" s="1" customFormat="1" spans="1:15">
      <c r="A708" s="1" t="str">
        <f t="shared" si="473"/>
        <v>202406</v>
      </c>
      <c r="B708" s="1" t="str">
        <f t="shared" si="474"/>
        <v>150525100</v>
      </c>
      <c r="C708" s="1" t="str">
        <f>"1014562510"</f>
        <v>1014562510</v>
      </c>
      <c r="D708" s="1" t="str">
        <f>"152326195702260411"</f>
        <v>152326195702260411</v>
      </c>
      <c r="E708" s="1" t="s">
        <v>757</v>
      </c>
      <c r="F708" s="1" t="s">
        <v>25</v>
      </c>
      <c r="G708" s="1" t="s">
        <v>17</v>
      </c>
      <c r="H708" s="1" t="str">
        <f>"67"</f>
        <v>67</v>
      </c>
      <c r="I708" s="1" t="str">
        <f>"156.06"</f>
        <v>156.06</v>
      </c>
      <c r="J708" s="1" t="str">
        <f t="shared" si="469"/>
        <v>0</v>
      </c>
      <c r="K708" s="1" t="str">
        <f t="shared" si="463"/>
        <v>103</v>
      </c>
      <c r="L708" s="1" t="str">
        <f t="shared" si="464"/>
        <v>47</v>
      </c>
      <c r="M708" s="1" t="str">
        <f t="shared" si="467"/>
        <v>0</v>
      </c>
      <c r="N708" s="1" t="str">
        <f t="shared" si="468"/>
        <v>0</v>
      </c>
      <c r="O708" s="1" t="str">
        <f>"6.06"</f>
        <v>6.06</v>
      </c>
    </row>
    <row r="709" s="1" customFormat="1" spans="1:15">
      <c r="A709" s="1" t="str">
        <f t="shared" si="473"/>
        <v>202406</v>
      </c>
      <c r="B709" s="1" t="str">
        <f t="shared" si="474"/>
        <v>150525100</v>
      </c>
      <c r="C709" s="1" t="str">
        <f>"1014563016"</f>
        <v>1014563016</v>
      </c>
      <c r="D709" s="1" t="str">
        <f>"152326196009120415"</f>
        <v>152326196009120415</v>
      </c>
      <c r="E709" s="1" t="s">
        <v>758</v>
      </c>
      <c r="F709" s="1" t="s">
        <v>25</v>
      </c>
      <c r="G709" s="1" t="s">
        <v>17</v>
      </c>
      <c r="H709" s="1" t="str">
        <f>"64"</f>
        <v>64</v>
      </c>
      <c r="I709" s="1" t="str">
        <f>"159.29"</f>
        <v>159.29</v>
      </c>
      <c r="J709" s="1" t="str">
        <f t="shared" si="469"/>
        <v>0</v>
      </c>
      <c r="K709" s="1" t="str">
        <f t="shared" si="463"/>
        <v>103</v>
      </c>
      <c r="L709" s="1" t="str">
        <f t="shared" si="464"/>
        <v>47</v>
      </c>
      <c r="M709" s="1" t="str">
        <f t="shared" si="467"/>
        <v>0</v>
      </c>
      <c r="N709" s="1" t="str">
        <f t="shared" si="468"/>
        <v>0</v>
      </c>
      <c r="O709" s="1" t="str">
        <f>"9.29"</f>
        <v>9.29</v>
      </c>
    </row>
    <row r="710" s="1" customFormat="1" spans="1:15">
      <c r="A710" s="1" t="str">
        <f t="shared" si="473"/>
        <v>202406</v>
      </c>
      <c r="B710" s="1" t="str">
        <f t="shared" si="474"/>
        <v>150525100</v>
      </c>
      <c r="C710" s="1" t="str">
        <f>"1014549587"</f>
        <v>1014549587</v>
      </c>
      <c r="D710" s="1" t="str">
        <f>"152326196003053813"</f>
        <v>152326196003053813</v>
      </c>
      <c r="E710" s="1" t="s">
        <v>759</v>
      </c>
      <c r="F710" s="1" t="s">
        <v>25</v>
      </c>
      <c r="G710" s="1" t="s">
        <v>19</v>
      </c>
      <c r="H710" s="1" t="str">
        <f>"64"</f>
        <v>64</v>
      </c>
      <c r="I710" s="1" t="str">
        <f>"159.21"</f>
        <v>159.21</v>
      </c>
      <c r="J710" s="1" t="str">
        <f t="shared" si="469"/>
        <v>0</v>
      </c>
      <c r="K710" s="1" t="str">
        <f t="shared" si="463"/>
        <v>103</v>
      </c>
      <c r="L710" s="1" t="str">
        <f t="shared" si="464"/>
        <v>47</v>
      </c>
      <c r="M710" s="1" t="str">
        <f t="shared" si="467"/>
        <v>0</v>
      </c>
      <c r="N710" s="1" t="str">
        <f t="shared" si="468"/>
        <v>0</v>
      </c>
      <c r="O710" s="1" t="str">
        <f>"9.21"</f>
        <v>9.21</v>
      </c>
    </row>
    <row r="711" s="1" customFormat="1" spans="1:15">
      <c r="A711" s="1" t="str">
        <f t="shared" si="473"/>
        <v>202406</v>
      </c>
      <c r="B711" s="1" t="str">
        <f t="shared" si="474"/>
        <v>150525100</v>
      </c>
      <c r="C711" s="1" t="str">
        <f>"1014550075"</f>
        <v>1014550075</v>
      </c>
      <c r="D711" s="1" t="str">
        <f>"152326195609090665"</f>
        <v>152326195609090665</v>
      </c>
      <c r="E711" s="1" t="s">
        <v>760</v>
      </c>
      <c r="F711" s="1" t="s">
        <v>16</v>
      </c>
      <c r="G711" s="1" t="s">
        <v>96</v>
      </c>
      <c r="H711" s="1" t="str">
        <f t="shared" ref="H711:H714" si="475">"68"</f>
        <v>68</v>
      </c>
      <c r="I711" s="1" t="str">
        <f>"156.02"</f>
        <v>156.02</v>
      </c>
      <c r="J711" s="1" t="str">
        <f t="shared" si="469"/>
        <v>0</v>
      </c>
      <c r="K711" s="1" t="str">
        <f t="shared" si="463"/>
        <v>103</v>
      </c>
      <c r="L711" s="1" t="str">
        <f t="shared" si="464"/>
        <v>47</v>
      </c>
      <c r="M711" s="1" t="str">
        <f t="shared" si="467"/>
        <v>0</v>
      </c>
      <c r="N711" s="1" t="str">
        <f t="shared" si="468"/>
        <v>0</v>
      </c>
      <c r="O711" s="1" t="str">
        <f>"6.02"</f>
        <v>6.02</v>
      </c>
    </row>
    <row r="712" s="1" customFormat="1" spans="1:15">
      <c r="A712" s="1" t="str">
        <f t="shared" si="473"/>
        <v>202406</v>
      </c>
      <c r="B712" s="1" t="str">
        <f t="shared" si="474"/>
        <v>150525100</v>
      </c>
      <c r="C712" s="1" t="str">
        <f>"1014550088"</f>
        <v>1014550088</v>
      </c>
      <c r="D712" s="1" t="str">
        <f>"152326195612160679"</f>
        <v>152326195612160679</v>
      </c>
      <c r="E712" s="1" t="s">
        <v>761</v>
      </c>
      <c r="F712" s="1" t="s">
        <v>25</v>
      </c>
      <c r="G712" s="1" t="s">
        <v>17</v>
      </c>
      <c r="H712" s="1" t="str">
        <f t="shared" si="475"/>
        <v>68</v>
      </c>
      <c r="I712" s="1" t="str">
        <f>"156.03"</f>
        <v>156.03</v>
      </c>
      <c r="J712" s="1" t="str">
        <f t="shared" si="469"/>
        <v>0</v>
      </c>
      <c r="K712" s="1" t="str">
        <f t="shared" si="463"/>
        <v>103</v>
      </c>
      <c r="L712" s="1" t="str">
        <f t="shared" si="464"/>
        <v>47</v>
      </c>
      <c r="M712" s="1" t="str">
        <f t="shared" si="467"/>
        <v>0</v>
      </c>
      <c r="N712" s="1" t="str">
        <f t="shared" si="468"/>
        <v>0</v>
      </c>
      <c r="O712" s="1" t="str">
        <f>"6.03"</f>
        <v>6.03</v>
      </c>
    </row>
    <row r="713" s="1" customFormat="1" spans="1:15">
      <c r="A713" s="1" t="str">
        <f t="shared" si="473"/>
        <v>202406</v>
      </c>
      <c r="B713" s="1" t="str">
        <f t="shared" si="474"/>
        <v>150525100</v>
      </c>
      <c r="C713" s="1" t="str">
        <f>"1014550090"</f>
        <v>1014550090</v>
      </c>
      <c r="D713" s="1" t="str">
        <f>"152326195612240679"</f>
        <v>152326195612240679</v>
      </c>
      <c r="E713" s="1" t="s">
        <v>762</v>
      </c>
      <c r="F713" s="1" t="s">
        <v>25</v>
      </c>
      <c r="G713" s="1" t="s">
        <v>17</v>
      </c>
      <c r="H713" s="1" t="str">
        <f t="shared" si="475"/>
        <v>68</v>
      </c>
      <c r="I713" s="1" t="str">
        <f>"156.03"</f>
        <v>156.03</v>
      </c>
      <c r="J713" s="1" t="str">
        <f t="shared" si="469"/>
        <v>0</v>
      </c>
      <c r="K713" s="1" t="str">
        <f t="shared" ref="K713:K776" si="476">"103"</f>
        <v>103</v>
      </c>
      <c r="L713" s="1" t="str">
        <f t="shared" ref="L713:L776" si="477">"47"</f>
        <v>47</v>
      </c>
      <c r="M713" s="1" t="str">
        <f t="shared" si="467"/>
        <v>0</v>
      </c>
      <c r="N713" s="1" t="str">
        <f t="shared" si="468"/>
        <v>0</v>
      </c>
      <c r="O713" s="1" t="str">
        <f>"6.03"</f>
        <v>6.03</v>
      </c>
    </row>
    <row r="714" s="1" customFormat="1" spans="1:15">
      <c r="A714" s="1" t="str">
        <f t="shared" si="473"/>
        <v>202406</v>
      </c>
      <c r="B714" s="1" t="str">
        <f t="shared" si="474"/>
        <v>150525100</v>
      </c>
      <c r="C714" s="1" t="str">
        <f>"1014550092"</f>
        <v>1014550092</v>
      </c>
      <c r="D714" s="1" t="str">
        <f>"152326195701060696"</f>
        <v>152326195701060696</v>
      </c>
      <c r="E714" s="1" t="s">
        <v>763</v>
      </c>
      <c r="F714" s="1" t="s">
        <v>25</v>
      </c>
      <c r="G714" s="1" t="s">
        <v>17</v>
      </c>
      <c r="H714" s="1" t="str">
        <f t="shared" si="475"/>
        <v>68</v>
      </c>
      <c r="I714" s="1" t="str">
        <f>"156.04"</f>
        <v>156.04</v>
      </c>
      <c r="J714" s="1" t="str">
        <f t="shared" si="469"/>
        <v>0</v>
      </c>
      <c r="K714" s="1" t="str">
        <f t="shared" si="476"/>
        <v>103</v>
      </c>
      <c r="L714" s="1" t="str">
        <f t="shared" si="477"/>
        <v>47</v>
      </c>
      <c r="M714" s="1" t="str">
        <f t="shared" si="467"/>
        <v>0</v>
      </c>
      <c r="N714" s="1" t="str">
        <f t="shared" si="468"/>
        <v>0</v>
      </c>
      <c r="O714" s="1" t="str">
        <f>"6.04"</f>
        <v>6.04</v>
      </c>
    </row>
    <row r="715" s="1" customFormat="1" spans="1:15">
      <c r="A715" s="1" t="str">
        <f t="shared" si="473"/>
        <v>202406</v>
      </c>
      <c r="B715" s="1" t="str">
        <f t="shared" si="474"/>
        <v>150525100</v>
      </c>
      <c r="C715" s="1" t="str">
        <f>"1014550572"</f>
        <v>1014550572</v>
      </c>
      <c r="D715" s="1" t="str">
        <f>"152326195209160695"</f>
        <v>152326195209160695</v>
      </c>
      <c r="E715" s="1" t="s">
        <v>764</v>
      </c>
      <c r="F715" s="1" t="s">
        <v>25</v>
      </c>
      <c r="G715" s="1" t="s">
        <v>19</v>
      </c>
      <c r="H715" s="1" t="str">
        <f>"72"</f>
        <v>72</v>
      </c>
      <c r="I715" s="1" t="str">
        <f>"162.15"</f>
        <v>162.15</v>
      </c>
      <c r="J715" s="1" t="str">
        <f t="shared" si="469"/>
        <v>0</v>
      </c>
      <c r="K715" s="1" t="str">
        <f t="shared" si="476"/>
        <v>103</v>
      </c>
      <c r="L715" s="1" t="str">
        <f t="shared" si="477"/>
        <v>47</v>
      </c>
      <c r="M715" s="1" t="str">
        <f t="shared" si="467"/>
        <v>0</v>
      </c>
      <c r="N715" s="1" t="str">
        <f t="shared" si="468"/>
        <v>0</v>
      </c>
      <c r="O715" s="1" t="str">
        <f>"2.15"</f>
        <v>2.15</v>
      </c>
    </row>
    <row r="716" s="1" customFormat="1" spans="1:15">
      <c r="A716" s="1" t="str">
        <f t="shared" si="473"/>
        <v>202406</v>
      </c>
      <c r="B716" s="1" t="str">
        <f t="shared" si="474"/>
        <v>150525100</v>
      </c>
      <c r="C716" s="1" t="str">
        <f>"1014585137"</f>
        <v>1014585137</v>
      </c>
      <c r="D716" s="1" t="str">
        <f>"152326195709060420"</f>
        <v>152326195709060420</v>
      </c>
      <c r="E716" s="1" t="s">
        <v>765</v>
      </c>
      <c r="F716" s="1" t="s">
        <v>16</v>
      </c>
      <c r="G716" s="1" t="s">
        <v>17</v>
      </c>
      <c r="H716" s="1" t="str">
        <f>"67"</f>
        <v>67</v>
      </c>
      <c r="I716" s="1" t="str">
        <f>"158.66"</f>
        <v>158.66</v>
      </c>
      <c r="J716" s="1" t="str">
        <f t="shared" si="469"/>
        <v>0</v>
      </c>
      <c r="K716" s="1" t="str">
        <f t="shared" si="476"/>
        <v>103</v>
      </c>
      <c r="L716" s="1" t="str">
        <f t="shared" si="477"/>
        <v>47</v>
      </c>
      <c r="M716" s="1" t="str">
        <f t="shared" ref="M716:M779" si="478">"0"</f>
        <v>0</v>
      </c>
      <c r="N716" s="1" t="str">
        <f t="shared" ref="N716:N779" si="479">"0"</f>
        <v>0</v>
      </c>
      <c r="O716" s="1" t="str">
        <f>"8.66"</f>
        <v>8.66</v>
      </c>
    </row>
    <row r="717" s="1" customFormat="1" spans="1:15">
      <c r="A717" s="1" t="str">
        <f t="shared" si="473"/>
        <v>202406</v>
      </c>
      <c r="B717" s="1" t="str">
        <f t="shared" si="474"/>
        <v>150525100</v>
      </c>
      <c r="C717" s="1" t="str">
        <f>"1014585139"</f>
        <v>1014585139</v>
      </c>
      <c r="D717" s="1" t="str">
        <f>"152326195904020440"</f>
        <v>152326195904020440</v>
      </c>
      <c r="E717" s="1" t="s">
        <v>766</v>
      </c>
      <c r="F717" s="1" t="s">
        <v>16</v>
      </c>
      <c r="G717" s="1" t="s">
        <v>17</v>
      </c>
      <c r="H717" s="1" t="str">
        <f>"65"</f>
        <v>65</v>
      </c>
      <c r="I717" s="1" t="str">
        <f>"161.55"</f>
        <v>161.55</v>
      </c>
      <c r="J717" s="1" t="str">
        <f t="shared" si="469"/>
        <v>0</v>
      </c>
      <c r="K717" s="1" t="str">
        <f t="shared" si="476"/>
        <v>103</v>
      </c>
      <c r="L717" s="1" t="str">
        <f t="shared" si="477"/>
        <v>47</v>
      </c>
      <c r="M717" s="1" t="str">
        <f t="shared" si="478"/>
        <v>0</v>
      </c>
      <c r="N717" s="1" t="str">
        <f t="shared" si="479"/>
        <v>0</v>
      </c>
      <c r="O717" s="1" t="str">
        <f>"11.55"</f>
        <v>11.55</v>
      </c>
    </row>
    <row r="718" s="1" customFormat="1" spans="1:15">
      <c r="A718" s="1" t="str">
        <f t="shared" si="473"/>
        <v>202406</v>
      </c>
      <c r="B718" s="1" t="str">
        <f t="shared" si="474"/>
        <v>150525100</v>
      </c>
      <c r="C718" s="1" t="str">
        <f>"1014561278"</f>
        <v>1014561278</v>
      </c>
      <c r="D718" s="1" t="str">
        <f>"152326196011130444"</f>
        <v>152326196011130444</v>
      </c>
      <c r="E718" s="1" t="s">
        <v>767</v>
      </c>
      <c r="F718" s="1" t="s">
        <v>16</v>
      </c>
      <c r="G718" s="1" t="s">
        <v>17</v>
      </c>
      <c r="H718" s="1" t="str">
        <f t="shared" ref="H718:H724" si="480">"64"</f>
        <v>64</v>
      </c>
      <c r="I718" s="1" t="str">
        <f>"160.06"</f>
        <v>160.06</v>
      </c>
      <c r="J718" s="1" t="str">
        <f t="shared" si="469"/>
        <v>0</v>
      </c>
      <c r="K718" s="1" t="str">
        <f t="shared" si="476"/>
        <v>103</v>
      </c>
      <c r="L718" s="1" t="str">
        <f t="shared" si="477"/>
        <v>47</v>
      </c>
      <c r="M718" s="1" t="str">
        <f t="shared" si="478"/>
        <v>0</v>
      </c>
      <c r="N718" s="1" t="str">
        <f t="shared" si="479"/>
        <v>0</v>
      </c>
      <c r="O718" s="1" t="str">
        <f>"10.06"</f>
        <v>10.06</v>
      </c>
    </row>
    <row r="719" s="1" customFormat="1" spans="1:15">
      <c r="A719" s="1" t="str">
        <f t="shared" si="473"/>
        <v>202406</v>
      </c>
      <c r="B719" s="1" t="str">
        <f t="shared" si="474"/>
        <v>150525100</v>
      </c>
      <c r="C719" s="1" t="str">
        <f>"1014561280"</f>
        <v>1014561280</v>
      </c>
      <c r="D719" s="1" t="str">
        <f>"152326196012230420"</f>
        <v>152326196012230420</v>
      </c>
      <c r="E719" s="1" t="s">
        <v>768</v>
      </c>
      <c r="F719" s="1" t="s">
        <v>16</v>
      </c>
      <c r="G719" s="1" t="s">
        <v>17</v>
      </c>
      <c r="H719" s="1" t="str">
        <f t="shared" si="480"/>
        <v>64</v>
      </c>
      <c r="I719" s="1" t="str">
        <f>"159.29"</f>
        <v>159.29</v>
      </c>
      <c r="J719" s="1" t="str">
        <f t="shared" si="469"/>
        <v>0</v>
      </c>
      <c r="K719" s="1" t="str">
        <f t="shared" si="476"/>
        <v>103</v>
      </c>
      <c r="L719" s="1" t="str">
        <f t="shared" si="477"/>
        <v>47</v>
      </c>
      <c r="M719" s="1" t="str">
        <f t="shared" si="478"/>
        <v>0</v>
      </c>
      <c r="N719" s="1" t="str">
        <f t="shared" si="479"/>
        <v>0</v>
      </c>
      <c r="O719" s="1" t="str">
        <f>"9.29"</f>
        <v>9.29</v>
      </c>
    </row>
    <row r="720" s="1" customFormat="1" spans="1:15">
      <c r="A720" s="1" t="str">
        <f t="shared" si="473"/>
        <v>202406</v>
      </c>
      <c r="B720" s="1" t="str">
        <f t="shared" si="474"/>
        <v>150525100</v>
      </c>
      <c r="C720" s="1" t="str">
        <f>"1014561286"</f>
        <v>1014561286</v>
      </c>
      <c r="D720" s="1" t="str">
        <f>"152326196112220422"</f>
        <v>152326196112220422</v>
      </c>
      <c r="E720" s="1" t="s">
        <v>769</v>
      </c>
      <c r="F720" s="1" t="s">
        <v>16</v>
      </c>
      <c r="G720" s="1" t="s">
        <v>17</v>
      </c>
      <c r="H720" s="1" t="str">
        <f>"63"</f>
        <v>63</v>
      </c>
      <c r="I720" s="1" t="str">
        <f>"160.63"</f>
        <v>160.63</v>
      </c>
      <c r="J720" s="1" t="str">
        <f t="shared" si="469"/>
        <v>0</v>
      </c>
      <c r="K720" s="1" t="str">
        <f t="shared" si="476"/>
        <v>103</v>
      </c>
      <c r="L720" s="1" t="str">
        <f t="shared" si="477"/>
        <v>47</v>
      </c>
      <c r="M720" s="1" t="str">
        <f t="shared" si="478"/>
        <v>0</v>
      </c>
      <c r="N720" s="1" t="str">
        <f t="shared" si="479"/>
        <v>0</v>
      </c>
      <c r="O720" s="1" t="str">
        <f>"10.63"</f>
        <v>10.63</v>
      </c>
    </row>
    <row r="721" s="1" customFormat="1" spans="1:15">
      <c r="A721" s="1" t="str">
        <f t="shared" si="473"/>
        <v>202406</v>
      </c>
      <c r="B721" s="1" t="str">
        <f t="shared" si="474"/>
        <v>150525100</v>
      </c>
      <c r="C721" s="1" t="str">
        <f>"1014561296"</f>
        <v>1014561296</v>
      </c>
      <c r="D721" s="1" t="str">
        <f>"152326196210050420"</f>
        <v>152326196210050420</v>
      </c>
      <c r="E721" s="1" t="s">
        <v>770</v>
      </c>
      <c r="F721" s="1" t="s">
        <v>16</v>
      </c>
      <c r="G721" s="1" t="s">
        <v>17</v>
      </c>
      <c r="H721" s="1" t="str">
        <f>"62"</f>
        <v>62</v>
      </c>
      <c r="I721" s="1" t="str">
        <f>"163.14"</f>
        <v>163.14</v>
      </c>
      <c r="J721" s="1" t="str">
        <f t="shared" si="469"/>
        <v>0</v>
      </c>
      <c r="K721" s="1" t="str">
        <f t="shared" si="476"/>
        <v>103</v>
      </c>
      <c r="L721" s="1" t="str">
        <f t="shared" si="477"/>
        <v>47</v>
      </c>
      <c r="M721" s="1" t="str">
        <f t="shared" si="478"/>
        <v>0</v>
      </c>
      <c r="N721" s="1" t="str">
        <f t="shared" si="479"/>
        <v>0</v>
      </c>
      <c r="O721" s="1" t="str">
        <f>"13.14"</f>
        <v>13.14</v>
      </c>
    </row>
    <row r="722" s="1" customFormat="1" spans="1:15">
      <c r="A722" s="1" t="str">
        <f t="shared" si="473"/>
        <v>202406</v>
      </c>
      <c r="B722" s="1" t="str">
        <f t="shared" si="474"/>
        <v>150525100</v>
      </c>
      <c r="C722" s="1" t="str">
        <f>"1014563411"</f>
        <v>1014563411</v>
      </c>
      <c r="D722" s="1" t="str">
        <f>"152326195702280412"</f>
        <v>152326195702280412</v>
      </c>
      <c r="E722" s="1" t="s">
        <v>771</v>
      </c>
      <c r="F722" s="1" t="s">
        <v>25</v>
      </c>
      <c r="G722" s="1" t="s">
        <v>17</v>
      </c>
      <c r="H722" s="1" t="str">
        <f>"67"</f>
        <v>67</v>
      </c>
      <c r="I722" s="1" t="str">
        <f>"156.81"</f>
        <v>156.81</v>
      </c>
      <c r="J722" s="1" t="str">
        <f t="shared" si="469"/>
        <v>0</v>
      </c>
      <c r="K722" s="1" t="str">
        <f t="shared" si="476"/>
        <v>103</v>
      </c>
      <c r="L722" s="1" t="str">
        <f t="shared" si="477"/>
        <v>47</v>
      </c>
      <c r="M722" s="1" t="str">
        <f t="shared" si="478"/>
        <v>0</v>
      </c>
      <c r="N722" s="1" t="str">
        <f t="shared" si="479"/>
        <v>0</v>
      </c>
      <c r="O722" s="1" t="str">
        <f>"6.81"</f>
        <v>6.81</v>
      </c>
    </row>
    <row r="723" s="1" customFormat="1" spans="1:15">
      <c r="A723" s="1" t="str">
        <f t="shared" si="473"/>
        <v>202406</v>
      </c>
      <c r="B723" s="1" t="str">
        <f t="shared" si="474"/>
        <v>150525100</v>
      </c>
      <c r="C723" s="1" t="str">
        <f>"1014563421"</f>
        <v>1014563421</v>
      </c>
      <c r="D723" s="1" t="str">
        <f>"152326196007300412"</f>
        <v>152326196007300412</v>
      </c>
      <c r="E723" s="1" t="s">
        <v>772</v>
      </c>
      <c r="F723" s="1" t="s">
        <v>25</v>
      </c>
      <c r="G723" s="1" t="s">
        <v>19</v>
      </c>
      <c r="H723" s="1" t="str">
        <f t="shared" si="480"/>
        <v>64</v>
      </c>
      <c r="I723" s="1" t="str">
        <f>"159.26"</f>
        <v>159.26</v>
      </c>
      <c r="J723" s="1" t="str">
        <f t="shared" si="469"/>
        <v>0</v>
      </c>
      <c r="K723" s="1" t="str">
        <f t="shared" si="476"/>
        <v>103</v>
      </c>
      <c r="L723" s="1" t="str">
        <f t="shared" si="477"/>
        <v>47</v>
      </c>
      <c r="M723" s="1" t="str">
        <f t="shared" si="478"/>
        <v>0</v>
      </c>
      <c r="N723" s="1" t="str">
        <f t="shared" si="479"/>
        <v>0</v>
      </c>
      <c r="O723" s="1" t="str">
        <f>"9.26"</f>
        <v>9.26</v>
      </c>
    </row>
    <row r="724" s="1" customFormat="1" spans="1:15">
      <c r="A724" s="1" t="str">
        <f t="shared" si="473"/>
        <v>202406</v>
      </c>
      <c r="B724" s="1" t="str">
        <f t="shared" si="474"/>
        <v>150525100</v>
      </c>
      <c r="C724" s="1" t="str">
        <f>"1014585175"</f>
        <v>1014585175</v>
      </c>
      <c r="D724" s="1" t="str">
        <f>"152326196011240440"</f>
        <v>152326196011240440</v>
      </c>
      <c r="E724" s="1" t="s">
        <v>773</v>
      </c>
      <c r="F724" s="1" t="s">
        <v>16</v>
      </c>
      <c r="G724" s="1" t="s">
        <v>17</v>
      </c>
      <c r="H724" s="1" t="str">
        <f t="shared" si="480"/>
        <v>64</v>
      </c>
      <c r="I724" s="1" t="str">
        <f>"159.27"</f>
        <v>159.27</v>
      </c>
      <c r="J724" s="1" t="str">
        <f t="shared" ref="J724:J787" si="481">"0"</f>
        <v>0</v>
      </c>
      <c r="K724" s="1" t="str">
        <f t="shared" si="476"/>
        <v>103</v>
      </c>
      <c r="L724" s="1" t="str">
        <f t="shared" si="477"/>
        <v>47</v>
      </c>
      <c r="M724" s="1" t="str">
        <f t="shared" si="478"/>
        <v>0</v>
      </c>
      <c r="N724" s="1" t="str">
        <f t="shared" si="479"/>
        <v>0</v>
      </c>
      <c r="O724" s="1" t="str">
        <f>"9.27"</f>
        <v>9.27</v>
      </c>
    </row>
    <row r="725" s="1" customFormat="1" spans="1:15">
      <c r="A725" s="1" t="str">
        <f t="shared" si="473"/>
        <v>202406</v>
      </c>
      <c r="B725" s="1" t="str">
        <f t="shared" si="474"/>
        <v>150525100</v>
      </c>
      <c r="C725" s="1" t="str">
        <f>"1040833842"</f>
        <v>1040833842</v>
      </c>
      <c r="D725" s="1" t="str">
        <f>"152326195104040670"</f>
        <v>152326195104040670</v>
      </c>
      <c r="E725" s="1" t="s">
        <v>774</v>
      </c>
      <c r="F725" s="1" t="s">
        <v>25</v>
      </c>
      <c r="G725" s="1" t="s">
        <v>17</v>
      </c>
      <c r="H725" s="1" t="str">
        <f>"73"</f>
        <v>73</v>
      </c>
      <c r="I725" s="1" t="str">
        <f>"160"</f>
        <v>160</v>
      </c>
      <c r="J725" s="1" t="str">
        <f t="shared" si="481"/>
        <v>0</v>
      </c>
      <c r="K725" s="1" t="str">
        <f t="shared" si="476"/>
        <v>103</v>
      </c>
      <c r="L725" s="1" t="str">
        <f t="shared" si="477"/>
        <v>47</v>
      </c>
      <c r="M725" s="1" t="str">
        <f t="shared" si="478"/>
        <v>0</v>
      </c>
      <c r="N725" s="1" t="str">
        <f t="shared" si="479"/>
        <v>0</v>
      </c>
      <c r="O725" s="1" t="str">
        <f>"0"</f>
        <v>0</v>
      </c>
    </row>
    <row r="726" s="1" customFormat="1" spans="1:15">
      <c r="A726" s="1" t="str">
        <f t="shared" si="473"/>
        <v>202406</v>
      </c>
      <c r="B726" s="1" t="str">
        <f t="shared" si="474"/>
        <v>150525100</v>
      </c>
      <c r="C726" s="1" t="str">
        <f>"1015311297"</f>
        <v>1015311297</v>
      </c>
      <c r="D726" s="1" t="str">
        <f>"152326195207260414"</f>
        <v>152326195207260414</v>
      </c>
      <c r="E726" s="1" t="s">
        <v>775</v>
      </c>
      <c r="F726" s="1" t="s">
        <v>25</v>
      </c>
      <c r="G726" s="1" t="s">
        <v>17</v>
      </c>
      <c r="H726" s="1" t="str">
        <f t="shared" ref="H726:H729" si="482">"72"</f>
        <v>72</v>
      </c>
      <c r="I726" s="1" t="str">
        <f>"161.56"</f>
        <v>161.56</v>
      </c>
      <c r="J726" s="1" t="str">
        <f t="shared" si="481"/>
        <v>0</v>
      </c>
      <c r="K726" s="1" t="str">
        <f t="shared" si="476"/>
        <v>103</v>
      </c>
      <c r="L726" s="1" t="str">
        <f t="shared" si="477"/>
        <v>47</v>
      </c>
      <c r="M726" s="1" t="str">
        <f t="shared" si="478"/>
        <v>0</v>
      </c>
      <c r="N726" s="1" t="str">
        <f t="shared" si="479"/>
        <v>0</v>
      </c>
      <c r="O726" s="1" t="str">
        <f>"1.56"</f>
        <v>1.56</v>
      </c>
    </row>
    <row r="727" s="1" customFormat="1" spans="1:15">
      <c r="A727" s="1" t="str">
        <f t="shared" si="473"/>
        <v>202406</v>
      </c>
      <c r="B727" s="1" t="str">
        <f t="shared" si="474"/>
        <v>150525100</v>
      </c>
      <c r="C727" s="1" t="str">
        <f>"1015311454"</f>
        <v>1015311454</v>
      </c>
      <c r="D727" s="1" t="str">
        <f>"152326195202036114"</f>
        <v>152326195202036114</v>
      </c>
      <c r="E727" s="1" t="s">
        <v>776</v>
      </c>
      <c r="F727" s="1" t="s">
        <v>25</v>
      </c>
      <c r="G727" s="1" t="s">
        <v>17</v>
      </c>
      <c r="H727" s="1" t="str">
        <f t="shared" si="482"/>
        <v>72</v>
      </c>
      <c r="I727" s="1" t="str">
        <f>"161.56"</f>
        <v>161.56</v>
      </c>
      <c r="J727" s="1" t="str">
        <f t="shared" si="481"/>
        <v>0</v>
      </c>
      <c r="K727" s="1" t="str">
        <f t="shared" si="476"/>
        <v>103</v>
      </c>
      <c r="L727" s="1" t="str">
        <f t="shared" si="477"/>
        <v>47</v>
      </c>
      <c r="M727" s="1" t="str">
        <f t="shared" si="478"/>
        <v>0</v>
      </c>
      <c r="N727" s="1" t="str">
        <f t="shared" si="479"/>
        <v>0</v>
      </c>
      <c r="O727" s="1" t="str">
        <f>"1.56"</f>
        <v>1.56</v>
      </c>
    </row>
    <row r="728" s="1" customFormat="1" spans="1:15">
      <c r="A728" s="1" t="str">
        <f t="shared" si="473"/>
        <v>202406</v>
      </c>
      <c r="B728" s="1" t="str">
        <f t="shared" si="474"/>
        <v>150525100</v>
      </c>
      <c r="C728" s="1" t="str">
        <f>"1015311476"</f>
        <v>1015311476</v>
      </c>
      <c r="D728" s="1" t="str">
        <f>"152326195310086127"</f>
        <v>152326195310086127</v>
      </c>
      <c r="E728" s="1" t="s">
        <v>777</v>
      </c>
      <c r="F728" s="1" t="s">
        <v>16</v>
      </c>
      <c r="G728" s="1" t="s">
        <v>17</v>
      </c>
      <c r="H728" s="1" t="str">
        <f t="shared" ref="H728:H731" si="483">"71"</f>
        <v>71</v>
      </c>
      <c r="I728" s="1" t="str">
        <f t="shared" ref="I728:I731" si="484">"162.57"</f>
        <v>162.57</v>
      </c>
      <c r="J728" s="1" t="str">
        <f t="shared" si="481"/>
        <v>0</v>
      </c>
      <c r="K728" s="1" t="str">
        <f t="shared" si="476"/>
        <v>103</v>
      </c>
      <c r="L728" s="1" t="str">
        <f t="shared" si="477"/>
        <v>47</v>
      </c>
      <c r="M728" s="1" t="str">
        <f t="shared" si="478"/>
        <v>0</v>
      </c>
      <c r="N728" s="1" t="str">
        <f t="shared" si="479"/>
        <v>0</v>
      </c>
      <c r="O728" s="1" t="str">
        <f t="shared" ref="O728:O731" si="485">"2.57"</f>
        <v>2.57</v>
      </c>
    </row>
    <row r="729" s="1" customFormat="1" spans="1:15">
      <c r="A729" s="1" t="str">
        <f t="shared" si="473"/>
        <v>202406</v>
      </c>
      <c r="B729" s="1" t="str">
        <f t="shared" si="474"/>
        <v>150525100</v>
      </c>
      <c r="C729" s="1" t="str">
        <f>"1015311315"</f>
        <v>1015311315</v>
      </c>
      <c r="D729" s="1" t="str">
        <f>"152325195201173081"</f>
        <v>152325195201173081</v>
      </c>
      <c r="E729" s="1" t="s">
        <v>778</v>
      </c>
      <c r="F729" s="1" t="s">
        <v>16</v>
      </c>
      <c r="G729" s="1" t="s">
        <v>19</v>
      </c>
      <c r="H729" s="1" t="str">
        <f t="shared" si="482"/>
        <v>72</v>
      </c>
      <c r="I729" s="1" t="str">
        <f>"161.54"</f>
        <v>161.54</v>
      </c>
      <c r="J729" s="1" t="str">
        <f t="shared" si="481"/>
        <v>0</v>
      </c>
      <c r="K729" s="1" t="str">
        <f t="shared" si="476"/>
        <v>103</v>
      </c>
      <c r="L729" s="1" t="str">
        <f t="shared" si="477"/>
        <v>47</v>
      </c>
      <c r="M729" s="1" t="str">
        <f t="shared" si="478"/>
        <v>0</v>
      </c>
      <c r="N729" s="1" t="str">
        <f t="shared" si="479"/>
        <v>0</v>
      </c>
      <c r="O729" s="1" t="str">
        <f>"1.54"</f>
        <v>1.54</v>
      </c>
    </row>
    <row r="730" s="1" customFormat="1" spans="1:15">
      <c r="A730" s="1" t="str">
        <f t="shared" si="473"/>
        <v>202406</v>
      </c>
      <c r="B730" s="1" t="str">
        <f t="shared" si="474"/>
        <v>150525100</v>
      </c>
      <c r="C730" s="1" t="str">
        <f>"1015311328"</f>
        <v>1015311328</v>
      </c>
      <c r="D730" s="1" t="str">
        <f>"152326195303083841"</f>
        <v>152326195303083841</v>
      </c>
      <c r="E730" s="1" t="s">
        <v>779</v>
      </c>
      <c r="F730" s="1" t="s">
        <v>16</v>
      </c>
      <c r="G730" s="1" t="s">
        <v>19</v>
      </c>
      <c r="H730" s="1" t="str">
        <f t="shared" si="483"/>
        <v>71</v>
      </c>
      <c r="I730" s="1" t="str">
        <f t="shared" si="484"/>
        <v>162.57</v>
      </c>
      <c r="J730" s="1" t="str">
        <f t="shared" si="481"/>
        <v>0</v>
      </c>
      <c r="K730" s="1" t="str">
        <f t="shared" si="476"/>
        <v>103</v>
      </c>
      <c r="L730" s="1" t="str">
        <f t="shared" si="477"/>
        <v>47</v>
      </c>
      <c r="M730" s="1" t="str">
        <f t="shared" si="478"/>
        <v>0</v>
      </c>
      <c r="N730" s="1" t="str">
        <f t="shared" si="479"/>
        <v>0</v>
      </c>
      <c r="O730" s="1" t="str">
        <f t="shared" si="485"/>
        <v>2.57</v>
      </c>
    </row>
    <row r="731" s="1" customFormat="1" spans="1:15">
      <c r="A731" s="1" t="str">
        <f t="shared" si="473"/>
        <v>202406</v>
      </c>
      <c r="B731" s="1" t="str">
        <f t="shared" si="474"/>
        <v>150525100</v>
      </c>
      <c r="C731" s="1" t="str">
        <f>"1015311329"</f>
        <v>1015311329</v>
      </c>
      <c r="D731" s="1" t="str">
        <f>"152326195305103826"</f>
        <v>152326195305103826</v>
      </c>
      <c r="E731" s="1" t="s">
        <v>780</v>
      </c>
      <c r="F731" s="1" t="s">
        <v>16</v>
      </c>
      <c r="G731" s="1" t="s">
        <v>19</v>
      </c>
      <c r="H731" s="1" t="str">
        <f t="shared" si="483"/>
        <v>71</v>
      </c>
      <c r="I731" s="1" t="str">
        <f t="shared" si="484"/>
        <v>162.57</v>
      </c>
      <c r="J731" s="1" t="str">
        <f t="shared" si="481"/>
        <v>0</v>
      </c>
      <c r="K731" s="1" t="str">
        <f t="shared" si="476"/>
        <v>103</v>
      </c>
      <c r="L731" s="1" t="str">
        <f t="shared" si="477"/>
        <v>47</v>
      </c>
      <c r="M731" s="1" t="str">
        <f t="shared" si="478"/>
        <v>0</v>
      </c>
      <c r="N731" s="1" t="str">
        <f t="shared" si="479"/>
        <v>0</v>
      </c>
      <c r="O731" s="1" t="str">
        <f t="shared" si="485"/>
        <v>2.57</v>
      </c>
    </row>
    <row r="732" s="1" customFormat="1" spans="1:15">
      <c r="A732" s="1" t="str">
        <f t="shared" si="473"/>
        <v>202406</v>
      </c>
      <c r="B732" s="1" t="str">
        <f t="shared" si="474"/>
        <v>150525100</v>
      </c>
      <c r="C732" s="1" t="str">
        <f>"1015311332"</f>
        <v>1015311332</v>
      </c>
      <c r="D732" s="1" t="s">
        <v>781</v>
      </c>
      <c r="E732" s="1" t="s">
        <v>782</v>
      </c>
      <c r="F732" s="1" t="s">
        <v>25</v>
      </c>
      <c r="G732" s="1" t="s">
        <v>17</v>
      </c>
      <c r="H732" s="1" t="str">
        <f>"72"</f>
        <v>72</v>
      </c>
      <c r="I732" s="1" t="str">
        <f>"161.56"</f>
        <v>161.56</v>
      </c>
      <c r="J732" s="1" t="str">
        <f t="shared" si="481"/>
        <v>0</v>
      </c>
      <c r="K732" s="1" t="str">
        <f t="shared" si="476"/>
        <v>103</v>
      </c>
      <c r="L732" s="1" t="str">
        <f t="shared" si="477"/>
        <v>47</v>
      </c>
      <c r="M732" s="1" t="str">
        <f t="shared" si="478"/>
        <v>0</v>
      </c>
      <c r="N732" s="1" t="str">
        <f t="shared" si="479"/>
        <v>0</v>
      </c>
      <c r="O732" s="1" t="str">
        <f>"1.56"</f>
        <v>1.56</v>
      </c>
    </row>
    <row r="733" s="1" customFormat="1" spans="1:15">
      <c r="A733" s="1" t="str">
        <f t="shared" si="473"/>
        <v>202406</v>
      </c>
      <c r="B733" s="1" t="str">
        <f t="shared" si="474"/>
        <v>150525100</v>
      </c>
      <c r="C733" s="1" t="str">
        <f>"1015311488"</f>
        <v>1015311488</v>
      </c>
      <c r="D733" s="1" t="str">
        <f>"152326195302050415"</f>
        <v>152326195302050415</v>
      </c>
      <c r="E733" s="1" t="s">
        <v>783</v>
      </c>
      <c r="F733" s="1" t="s">
        <v>25</v>
      </c>
      <c r="G733" s="1" t="s">
        <v>17</v>
      </c>
      <c r="H733" s="1" t="str">
        <f t="shared" ref="H733:H736" si="486">"71"</f>
        <v>71</v>
      </c>
      <c r="I733" s="1" t="str">
        <f t="shared" ref="I733:I739" si="487">"162.58"</f>
        <v>162.58</v>
      </c>
      <c r="J733" s="1" t="str">
        <f t="shared" si="481"/>
        <v>0</v>
      </c>
      <c r="K733" s="1" t="str">
        <f t="shared" si="476"/>
        <v>103</v>
      </c>
      <c r="L733" s="1" t="str">
        <f t="shared" si="477"/>
        <v>47</v>
      </c>
      <c r="M733" s="1" t="str">
        <f t="shared" si="478"/>
        <v>0</v>
      </c>
      <c r="N733" s="1" t="str">
        <f t="shared" si="479"/>
        <v>0</v>
      </c>
      <c r="O733" s="1" t="str">
        <f t="shared" ref="O733:O739" si="488">"2.58"</f>
        <v>2.58</v>
      </c>
    </row>
    <row r="734" s="1" customFormat="1" spans="1:15">
      <c r="A734" s="1" t="str">
        <f t="shared" si="473"/>
        <v>202406</v>
      </c>
      <c r="B734" s="1" t="str">
        <f t="shared" si="474"/>
        <v>150525100</v>
      </c>
      <c r="C734" s="1" t="str">
        <f>"1015311492"</f>
        <v>1015311492</v>
      </c>
      <c r="D734" s="1" t="str">
        <f>"152326195307240410"</f>
        <v>152326195307240410</v>
      </c>
      <c r="E734" s="1" t="s">
        <v>784</v>
      </c>
      <c r="F734" s="1" t="s">
        <v>25</v>
      </c>
      <c r="G734" s="1" t="s">
        <v>17</v>
      </c>
      <c r="H734" s="1" t="str">
        <f t="shared" si="486"/>
        <v>71</v>
      </c>
      <c r="I734" s="1" t="str">
        <f>"162.31"</f>
        <v>162.31</v>
      </c>
      <c r="J734" s="1" t="str">
        <f t="shared" si="481"/>
        <v>0</v>
      </c>
      <c r="K734" s="1" t="str">
        <f t="shared" si="476"/>
        <v>103</v>
      </c>
      <c r="L734" s="1" t="str">
        <f t="shared" si="477"/>
        <v>47</v>
      </c>
      <c r="M734" s="1" t="str">
        <f t="shared" si="478"/>
        <v>0</v>
      </c>
      <c r="N734" s="1" t="str">
        <f t="shared" si="479"/>
        <v>0</v>
      </c>
      <c r="O734" s="1" t="str">
        <f>"2.31"</f>
        <v>2.31</v>
      </c>
    </row>
    <row r="735" s="1" customFormat="1" spans="1:15">
      <c r="A735" s="1" t="str">
        <f t="shared" si="473"/>
        <v>202406</v>
      </c>
      <c r="B735" s="1" t="str">
        <f t="shared" si="474"/>
        <v>150525100</v>
      </c>
      <c r="C735" s="1" t="str">
        <f>"1015311356"</f>
        <v>1015311356</v>
      </c>
      <c r="D735" s="1" t="str">
        <f>"152326195311193813"</f>
        <v>152326195311193813</v>
      </c>
      <c r="E735" s="1" t="s">
        <v>785</v>
      </c>
      <c r="F735" s="1" t="s">
        <v>25</v>
      </c>
      <c r="G735" s="1" t="s">
        <v>19</v>
      </c>
      <c r="H735" s="1" t="str">
        <f t="shared" si="486"/>
        <v>71</v>
      </c>
      <c r="I735" s="1" t="str">
        <f>"162.3"</f>
        <v>162.3</v>
      </c>
      <c r="J735" s="1" t="str">
        <f t="shared" si="481"/>
        <v>0</v>
      </c>
      <c r="K735" s="1" t="str">
        <f t="shared" si="476"/>
        <v>103</v>
      </c>
      <c r="L735" s="1" t="str">
        <f t="shared" si="477"/>
        <v>47</v>
      </c>
      <c r="M735" s="1" t="str">
        <f t="shared" si="478"/>
        <v>0</v>
      </c>
      <c r="N735" s="1" t="str">
        <f t="shared" si="479"/>
        <v>0</v>
      </c>
      <c r="O735" s="1" t="str">
        <f>"2.3"</f>
        <v>2.3</v>
      </c>
    </row>
    <row r="736" s="1" customFormat="1" spans="1:15">
      <c r="A736" s="1" t="str">
        <f t="shared" si="473"/>
        <v>202406</v>
      </c>
      <c r="B736" s="1" t="str">
        <f t="shared" si="474"/>
        <v>150525100</v>
      </c>
      <c r="C736" s="1" t="str">
        <f>"1015311379"</f>
        <v>1015311379</v>
      </c>
      <c r="D736" s="1" t="s">
        <v>786</v>
      </c>
      <c r="E736" s="1" t="s">
        <v>787</v>
      </c>
      <c r="F736" s="1" t="s">
        <v>16</v>
      </c>
      <c r="G736" s="1" t="s">
        <v>17</v>
      </c>
      <c r="H736" s="1" t="str">
        <f t="shared" si="486"/>
        <v>71</v>
      </c>
      <c r="I736" s="1" t="str">
        <f t="shared" si="487"/>
        <v>162.58</v>
      </c>
      <c r="J736" s="1" t="str">
        <f t="shared" si="481"/>
        <v>0</v>
      </c>
      <c r="K736" s="1" t="str">
        <f t="shared" si="476"/>
        <v>103</v>
      </c>
      <c r="L736" s="1" t="str">
        <f t="shared" si="477"/>
        <v>47</v>
      </c>
      <c r="M736" s="1" t="str">
        <f t="shared" si="478"/>
        <v>0</v>
      </c>
      <c r="N736" s="1" t="str">
        <f t="shared" si="479"/>
        <v>0</v>
      </c>
      <c r="O736" s="1" t="str">
        <f t="shared" si="488"/>
        <v>2.58</v>
      </c>
    </row>
    <row r="737" s="1" customFormat="1" spans="1:15">
      <c r="A737" s="1" t="str">
        <f t="shared" si="473"/>
        <v>202406</v>
      </c>
      <c r="B737" s="1" t="str">
        <f t="shared" si="474"/>
        <v>150525100</v>
      </c>
      <c r="C737" s="1" t="str">
        <f>"1015311522"</f>
        <v>1015311522</v>
      </c>
      <c r="D737" s="1" t="str">
        <f>"152326195204013098"</f>
        <v>152326195204013098</v>
      </c>
      <c r="E737" s="1" t="s">
        <v>788</v>
      </c>
      <c r="F737" s="1" t="s">
        <v>25</v>
      </c>
      <c r="G737" s="1" t="s">
        <v>19</v>
      </c>
      <c r="H737" s="1" t="str">
        <f t="shared" ref="H737:H742" si="489">"72"</f>
        <v>72</v>
      </c>
      <c r="I737" s="1" t="str">
        <f t="shared" ref="I737:I742" si="490">"161.54"</f>
        <v>161.54</v>
      </c>
      <c r="J737" s="1" t="str">
        <f t="shared" si="481"/>
        <v>0</v>
      </c>
      <c r="K737" s="1" t="str">
        <f t="shared" si="476"/>
        <v>103</v>
      </c>
      <c r="L737" s="1" t="str">
        <f t="shared" si="477"/>
        <v>47</v>
      </c>
      <c r="M737" s="1" t="str">
        <f t="shared" si="478"/>
        <v>0</v>
      </c>
      <c r="N737" s="1" t="str">
        <f t="shared" si="479"/>
        <v>0</v>
      </c>
      <c r="O737" s="1" t="str">
        <f t="shared" ref="O737:O742" si="491">"1.54"</f>
        <v>1.54</v>
      </c>
    </row>
    <row r="738" s="1" customFormat="1" spans="1:15">
      <c r="A738" s="1" t="str">
        <f t="shared" si="473"/>
        <v>202406</v>
      </c>
      <c r="B738" s="1" t="str">
        <f t="shared" si="474"/>
        <v>150525100</v>
      </c>
      <c r="C738" s="1" t="str">
        <f>"1015311526"</f>
        <v>1015311526</v>
      </c>
      <c r="D738" s="1" t="str">
        <f>"152326195310283083"</f>
        <v>152326195310283083</v>
      </c>
      <c r="E738" s="1" t="s">
        <v>789</v>
      </c>
      <c r="F738" s="1" t="s">
        <v>16</v>
      </c>
      <c r="G738" s="1" t="s">
        <v>17</v>
      </c>
      <c r="H738" s="1" t="str">
        <f t="shared" ref="H738:H740" si="492">"71"</f>
        <v>71</v>
      </c>
      <c r="I738" s="1" t="str">
        <f t="shared" si="487"/>
        <v>162.58</v>
      </c>
      <c r="J738" s="1" t="str">
        <f t="shared" si="481"/>
        <v>0</v>
      </c>
      <c r="K738" s="1" t="str">
        <f t="shared" si="476"/>
        <v>103</v>
      </c>
      <c r="L738" s="1" t="str">
        <f t="shared" si="477"/>
        <v>47</v>
      </c>
      <c r="M738" s="1" t="str">
        <f t="shared" si="478"/>
        <v>0</v>
      </c>
      <c r="N738" s="1" t="str">
        <f t="shared" si="479"/>
        <v>0</v>
      </c>
      <c r="O738" s="1" t="str">
        <f t="shared" si="488"/>
        <v>2.58</v>
      </c>
    </row>
    <row r="739" s="1" customFormat="1" spans="1:15">
      <c r="A739" s="1" t="str">
        <f t="shared" si="473"/>
        <v>202406</v>
      </c>
      <c r="B739" s="1" t="str">
        <f t="shared" si="474"/>
        <v>150525100</v>
      </c>
      <c r="C739" s="1" t="str">
        <f>"1015311829"</f>
        <v>1015311829</v>
      </c>
      <c r="D739" s="1" t="str">
        <f>"152326195307283322"</f>
        <v>152326195307283322</v>
      </c>
      <c r="E739" s="1" t="s">
        <v>790</v>
      </c>
      <c r="F739" s="1" t="s">
        <v>16</v>
      </c>
      <c r="G739" s="1" t="s">
        <v>19</v>
      </c>
      <c r="H739" s="1" t="str">
        <f t="shared" si="492"/>
        <v>71</v>
      </c>
      <c r="I739" s="1" t="str">
        <f t="shared" si="487"/>
        <v>162.58</v>
      </c>
      <c r="J739" s="1" t="str">
        <f t="shared" si="481"/>
        <v>0</v>
      </c>
      <c r="K739" s="1" t="str">
        <f t="shared" si="476"/>
        <v>103</v>
      </c>
      <c r="L739" s="1" t="str">
        <f t="shared" si="477"/>
        <v>47</v>
      </c>
      <c r="M739" s="1" t="str">
        <f t="shared" si="478"/>
        <v>0</v>
      </c>
      <c r="N739" s="1" t="str">
        <f t="shared" si="479"/>
        <v>0</v>
      </c>
      <c r="O739" s="1" t="str">
        <f t="shared" si="488"/>
        <v>2.58</v>
      </c>
    </row>
    <row r="740" s="1" customFormat="1" spans="1:15">
      <c r="A740" s="1" t="str">
        <f t="shared" si="473"/>
        <v>202406</v>
      </c>
      <c r="B740" s="1" t="str">
        <f t="shared" si="474"/>
        <v>150525100</v>
      </c>
      <c r="C740" s="1" t="str">
        <f>"1015311408"</f>
        <v>1015311408</v>
      </c>
      <c r="D740" s="1" t="str">
        <f>"152326195310100697"</f>
        <v>152326195310100697</v>
      </c>
      <c r="E740" s="1" t="s">
        <v>791</v>
      </c>
      <c r="F740" s="1" t="s">
        <v>25</v>
      </c>
      <c r="G740" s="1" t="s">
        <v>17</v>
      </c>
      <c r="H740" s="1" t="str">
        <f t="shared" si="492"/>
        <v>71</v>
      </c>
      <c r="I740" s="1" t="str">
        <f>"162.57"</f>
        <v>162.57</v>
      </c>
      <c r="J740" s="1" t="str">
        <f t="shared" si="481"/>
        <v>0</v>
      </c>
      <c r="K740" s="1" t="str">
        <f t="shared" si="476"/>
        <v>103</v>
      </c>
      <c r="L740" s="1" t="str">
        <f t="shared" si="477"/>
        <v>47</v>
      </c>
      <c r="M740" s="1" t="str">
        <f t="shared" si="478"/>
        <v>0</v>
      </c>
      <c r="N740" s="1" t="str">
        <f t="shared" si="479"/>
        <v>0</v>
      </c>
      <c r="O740" s="1" t="str">
        <f>"2.57"</f>
        <v>2.57</v>
      </c>
    </row>
    <row r="741" s="1" customFormat="1" spans="1:15">
      <c r="A741" s="1" t="str">
        <f t="shared" si="473"/>
        <v>202406</v>
      </c>
      <c r="B741" s="1" t="str">
        <f t="shared" si="474"/>
        <v>150525100</v>
      </c>
      <c r="C741" s="1" t="str">
        <f>"1015311413"</f>
        <v>1015311413</v>
      </c>
      <c r="D741" s="1" t="str">
        <f>"152326195207163825"</f>
        <v>152326195207163825</v>
      </c>
      <c r="E741" s="1" t="s">
        <v>792</v>
      </c>
      <c r="F741" s="1" t="s">
        <v>16</v>
      </c>
      <c r="G741" s="1" t="s">
        <v>17</v>
      </c>
      <c r="H741" s="1" t="str">
        <f t="shared" si="489"/>
        <v>72</v>
      </c>
      <c r="I741" s="1" t="str">
        <f t="shared" si="490"/>
        <v>161.54</v>
      </c>
      <c r="J741" s="1" t="str">
        <f t="shared" si="481"/>
        <v>0</v>
      </c>
      <c r="K741" s="1" t="str">
        <f t="shared" si="476"/>
        <v>103</v>
      </c>
      <c r="L741" s="1" t="str">
        <f t="shared" si="477"/>
        <v>47</v>
      </c>
      <c r="M741" s="1" t="str">
        <f t="shared" si="478"/>
        <v>0</v>
      </c>
      <c r="N741" s="1" t="str">
        <f t="shared" si="479"/>
        <v>0</v>
      </c>
      <c r="O741" s="1" t="str">
        <f t="shared" si="491"/>
        <v>1.54</v>
      </c>
    </row>
    <row r="742" s="1" customFormat="1" spans="1:15">
      <c r="A742" s="1" t="str">
        <f t="shared" si="473"/>
        <v>202406</v>
      </c>
      <c r="B742" s="1" t="str">
        <f t="shared" si="474"/>
        <v>150525100</v>
      </c>
      <c r="C742" s="1" t="str">
        <f>"1015311426"</f>
        <v>1015311426</v>
      </c>
      <c r="D742" s="1" t="s">
        <v>793</v>
      </c>
      <c r="E742" s="1" t="s">
        <v>794</v>
      </c>
      <c r="F742" s="1" t="s">
        <v>25</v>
      </c>
      <c r="G742" s="1" t="s">
        <v>17</v>
      </c>
      <c r="H742" s="1" t="str">
        <f t="shared" si="489"/>
        <v>72</v>
      </c>
      <c r="I742" s="1" t="str">
        <f t="shared" si="490"/>
        <v>161.54</v>
      </c>
      <c r="J742" s="1" t="str">
        <f t="shared" si="481"/>
        <v>0</v>
      </c>
      <c r="K742" s="1" t="str">
        <f t="shared" si="476"/>
        <v>103</v>
      </c>
      <c r="L742" s="1" t="str">
        <f t="shared" si="477"/>
        <v>47</v>
      </c>
      <c r="M742" s="1" t="str">
        <f t="shared" si="478"/>
        <v>0</v>
      </c>
      <c r="N742" s="1" t="str">
        <f t="shared" si="479"/>
        <v>0</v>
      </c>
      <c r="O742" s="1" t="str">
        <f t="shared" si="491"/>
        <v>1.54</v>
      </c>
    </row>
    <row r="743" s="1" customFormat="1" spans="1:15">
      <c r="A743" s="1" t="str">
        <f t="shared" si="473"/>
        <v>202406</v>
      </c>
      <c r="B743" s="1" t="str">
        <f t="shared" si="474"/>
        <v>150525100</v>
      </c>
      <c r="C743" s="1" t="str">
        <f>"1015311788"</f>
        <v>1015311788</v>
      </c>
      <c r="D743" s="1" t="str">
        <f>"152326195302170660"</f>
        <v>152326195302170660</v>
      </c>
      <c r="E743" s="1" t="s">
        <v>795</v>
      </c>
      <c r="F743" s="1" t="s">
        <v>16</v>
      </c>
      <c r="G743" s="1" t="s">
        <v>17</v>
      </c>
      <c r="H743" s="1" t="str">
        <f>"71"</f>
        <v>71</v>
      </c>
      <c r="I743" s="1" t="str">
        <f>"162.57"</f>
        <v>162.57</v>
      </c>
      <c r="J743" s="1" t="str">
        <f t="shared" si="481"/>
        <v>0</v>
      </c>
      <c r="K743" s="1" t="str">
        <f t="shared" si="476"/>
        <v>103</v>
      </c>
      <c r="L743" s="1" t="str">
        <f t="shared" si="477"/>
        <v>47</v>
      </c>
      <c r="M743" s="1" t="str">
        <f t="shared" si="478"/>
        <v>0</v>
      </c>
      <c r="N743" s="1" t="str">
        <f t="shared" si="479"/>
        <v>0</v>
      </c>
      <c r="O743" s="1" t="str">
        <f>"2.57"</f>
        <v>2.57</v>
      </c>
    </row>
    <row r="744" s="1" customFormat="1" spans="1:15">
      <c r="A744" s="1" t="str">
        <f t="shared" si="473"/>
        <v>202406</v>
      </c>
      <c r="B744" s="1" t="str">
        <f t="shared" si="474"/>
        <v>150525100</v>
      </c>
      <c r="C744" s="1" t="str">
        <f>"1041027655"</f>
        <v>1041027655</v>
      </c>
      <c r="D744" s="1" t="str">
        <f>"152326195708230686"</f>
        <v>152326195708230686</v>
      </c>
      <c r="E744" s="1" t="s">
        <v>796</v>
      </c>
      <c r="F744" s="1" t="s">
        <v>16</v>
      </c>
      <c r="G744" s="1" t="s">
        <v>17</v>
      </c>
      <c r="H744" s="1" t="str">
        <f t="shared" ref="H744:H746" si="493">"67"</f>
        <v>67</v>
      </c>
      <c r="I744" s="1" t="str">
        <f>"154.32"</f>
        <v>154.32</v>
      </c>
      <c r="J744" s="1" t="str">
        <f t="shared" si="481"/>
        <v>0</v>
      </c>
      <c r="K744" s="1" t="str">
        <f t="shared" si="476"/>
        <v>103</v>
      </c>
      <c r="L744" s="1" t="str">
        <f t="shared" si="477"/>
        <v>47</v>
      </c>
      <c r="M744" s="1" t="str">
        <f t="shared" si="478"/>
        <v>0</v>
      </c>
      <c r="N744" s="1" t="str">
        <f t="shared" si="479"/>
        <v>0</v>
      </c>
      <c r="O744" s="1" t="str">
        <f>"4.32"</f>
        <v>4.32</v>
      </c>
    </row>
    <row r="745" s="1" customFormat="1" spans="1:15">
      <c r="A745" s="1" t="str">
        <f t="shared" si="473"/>
        <v>202406</v>
      </c>
      <c r="B745" s="1" t="str">
        <f t="shared" si="474"/>
        <v>150525100</v>
      </c>
      <c r="C745" s="1" t="str">
        <f>"1041055195"</f>
        <v>1041055195</v>
      </c>
      <c r="D745" s="1" t="str">
        <f>"152326195709040673"</f>
        <v>152326195709040673</v>
      </c>
      <c r="E745" s="1" t="s">
        <v>797</v>
      </c>
      <c r="F745" s="1" t="s">
        <v>25</v>
      </c>
      <c r="G745" s="1" t="s">
        <v>17</v>
      </c>
      <c r="H745" s="1" t="str">
        <f t="shared" si="493"/>
        <v>67</v>
      </c>
      <c r="I745" s="1" t="str">
        <f>"155.27"</f>
        <v>155.27</v>
      </c>
      <c r="J745" s="1" t="str">
        <f t="shared" si="481"/>
        <v>0</v>
      </c>
      <c r="K745" s="1" t="str">
        <f t="shared" si="476"/>
        <v>103</v>
      </c>
      <c r="L745" s="1" t="str">
        <f t="shared" si="477"/>
        <v>47</v>
      </c>
      <c r="M745" s="1" t="str">
        <f t="shared" si="478"/>
        <v>0</v>
      </c>
      <c r="N745" s="1" t="str">
        <f t="shared" si="479"/>
        <v>0</v>
      </c>
      <c r="O745" s="1" t="str">
        <f>"5.27"</f>
        <v>5.27</v>
      </c>
    </row>
    <row r="746" s="1" customFormat="1" spans="1:15">
      <c r="A746" s="1" t="str">
        <f t="shared" si="473"/>
        <v>202406</v>
      </c>
      <c r="B746" s="1" t="str">
        <f t="shared" si="474"/>
        <v>150525100</v>
      </c>
      <c r="C746" s="1" t="str">
        <f>"1041065260"</f>
        <v>1041065260</v>
      </c>
      <c r="D746" s="1" t="str">
        <f>"152326195707202923"</f>
        <v>152326195707202923</v>
      </c>
      <c r="E746" s="1" t="s">
        <v>798</v>
      </c>
      <c r="F746" s="1" t="s">
        <v>16</v>
      </c>
      <c r="G746" s="1" t="s">
        <v>19</v>
      </c>
      <c r="H746" s="1" t="str">
        <f t="shared" si="493"/>
        <v>67</v>
      </c>
      <c r="I746" s="1" t="str">
        <f>"158.64"</f>
        <v>158.64</v>
      </c>
      <c r="J746" s="1" t="str">
        <f t="shared" si="481"/>
        <v>0</v>
      </c>
      <c r="K746" s="1" t="str">
        <f t="shared" si="476"/>
        <v>103</v>
      </c>
      <c r="L746" s="1" t="str">
        <f t="shared" si="477"/>
        <v>47</v>
      </c>
      <c r="M746" s="1" t="str">
        <f t="shared" si="478"/>
        <v>0</v>
      </c>
      <c r="N746" s="1" t="str">
        <f t="shared" si="479"/>
        <v>0</v>
      </c>
      <c r="O746" s="1" t="str">
        <f>"8.64"</f>
        <v>8.64</v>
      </c>
    </row>
    <row r="747" s="1" customFormat="1" spans="1:15">
      <c r="A747" s="1" t="str">
        <f t="shared" si="473"/>
        <v>202406</v>
      </c>
      <c r="B747" s="1" t="str">
        <f t="shared" si="474"/>
        <v>150525100</v>
      </c>
      <c r="C747" s="1" t="str">
        <f>"1040685977"</f>
        <v>1040685977</v>
      </c>
      <c r="D747" s="1" t="str">
        <f>"152326195604243079"</f>
        <v>152326195604243079</v>
      </c>
      <c r="E747" s="1" t="s">
        <v>799</v>
      </c>
      <c r="F747" s="1" t="s">
        <v>25</v>
      </c>
      <c r="G747" s="1" t="s">
        <v>17</v>
      </c>
      <c r="H747" s="1" t="str">
        <f>"68"</f>
        <v>68</v>
      </c>
      <c r="I747" s="1" t="str">
        <f>"154.54"</f>
        <v>154.54</v>
      </c>
      <c r="J747" s="1" t="str">
        <f t="shared" si="481"/>
        <v>0</v>
      </c>
      <c r="K747" s="1" t="str">
        <f t="shared" si="476"/>
        <v>103</v>
      </c>
      <c r="L747" s="1" t="str">
        <f t="shared" si="477"/>
        <v>47</v>
      </c>
      <c r="M747" s="1" t="str">
        <f t="shared" si="478"/>
        <v>0</v>
      </c>
      <c r="N747" s="1" t="str">
        <f t="shared" si="479"/>
        <v>0</v>
      </c>
      <c r="O747" s="1" t="str">
        <f>"4.54"</f>
        <v>4.54</v>
      </c>
    </row>
    <row r="748" s="1" customFormat="1" spans="1:15">
      <c r="A748" s="1" t="str">
        <f t="shared" si="473"/>
        <v>202406</v>
      </c>
      <c r="B748" s="1" t="str">
        <f t="shared" si="474"/>
        <v>150525100</v>
      </c>
      <c r="C748" s="1" t="str">
        <f>"1040653632"</f>
        <v>1040653632</v>
      </c>
      <c r="D748" s="1" t="str">
        <f>"152326195710230925"</f>
        <v>152326195710230925</v>
      </c>
      <c r="E748" s="1" t="s">
        <v>800</v>
      </c>
      <c r="F748" s="1" t="s">
        <v>16</v>
      </c>
      <c r="G748" s="1" t="s">
        <v>19</v>
      </c>
      <c r="H748" s="1" t="str">
        <f>"67"</f>
        <v>67</v>
      </c>
      <c r="I748" s="1" t="str">
        <f>"155.5"</f>
        <v>155.5</v>
      </c>
      <c r="J748" s="1" t="str">
        <f t="shared" si="481"/>
        <v>0</v>
      </c>
      <c r="K748" s="1" t="str">
        <f t="shared" si="476"/>
        <v>103</v>
      </c>
      <c r="L748" s="1" t="str">
        <f t="shared" si="477"/>
        <v>47</v>
      </c>
      <c r="M748" s="1" t="str">
        <f t="shared" si="478"/>
        <v>0</v>
      </c>
      <c r="N748" s="1" t="str">
        <f t="shared" si="479"/>
        <v>0</v>
      </c>
      <c r="O748" s="1" t="str">
        <f>"5.5"</f>
        <v>5.5</v>
      </c>
    </row>
    <row r="749" s="1" customFormat="1" spans="1:15">
      <c r="A749" s="1" t="str">
        <f t="shared" si="473"/>
        <v>202406</v>
      </c>
      <c r="B749" s="1" t="str">
        <f t="shared" si="474"/>
        <v>150525100</v>
      </c>
      <c r="C749" s="1" t="str">
        <f>"1040653656"</f>
        <v>1040653656</v>
      </c>
      <c r="D749" s="1" t="str">
        <f>"152326195411250926"</f>
        <v>152326195411250926</v>
      </c>
      <c r="E749" s="1" t="s">
        <v>801</v>
      </c>
      <c r="F749" s="1" t="s">
        <v>16</v>
      </c>
      <c r="G749" s="1" t="s">
        <v>19</v>
      </c>
      <c r="H749" s="1" t="str">
        <f>"70"</f>
        <v>70</v>
      </c>
      <c r="I749" s="1" t="str">
        <f>"153.55"</f>
        <v>153.55</v>
      </c>
      <c r="J749" s="1" t="str">
        <f t="shared" si="481"/>
        <v>0</v>
      </c>
      <c r="K749" s="1" t="str">
        <f t="shared" si="476"/>
        <v>103</v>
      </c>
      <c r="L749" s="1" t="str">
        <f t="shared" si="477"/>
        <v>47</v>
      </c>
      <c r="M749" s="1" t="str">
        <f t="shared" si="478"/>
        <v>0</v>
      </c>
      <c r="N749" s="1" t="str">
        <f t="shared" si="479"/>
        <v>0</v>
      </c>
      <c r="O749" s="1" t="str">
        <f>"3.55"</f>
        <v>3.55</v>
      </c>
    </row>
    <row r="750" s="1" customFormat="1" spans="1:15">
      <c r="A750" s="1" t="str">
        <f t="shared" si="473"/>
        <v>202406</v>
      </c>
      <c r="B750" s="1" t="str">
        <f t="shared" si="474"/>
        <v>150525100</v>
      </c>
      <c r="C750" s="1" t="str">
        <f>"1040647678"</f>
        <v>1040647678</v>
      </c>
      <c r="D750" s="1" t="str">
        <f>"152326196204090661"</f>
        <v>152326196204090661</v>
      </c>
      <c r="E750" s="1" t="s">
        <v>802</v>
      </c>
      <c r="F750" s="1" t="s">
        <v>16</v>
      </c>
      <c r="G750" s="1" t="s">
        <v>17</v>
      </c>
      <c r="H750" s="1" t="str">
        <f>"62"</f>
        <v>62</v>
      </c>
      <c r="I750" s="1" t="str">
        <f>"163.9"</f>
        <v>163.9</v>
      </c>
      <c r="J750" s="1" t="str">
        <f t="shared" si="481"/>
        <v>0</v>
      </c>
      <c r="K750" s="1" t="str">
        <f t="shared" si="476"/>
        <v>103</v>
      </c>
      <c r="L750" s="1" t="str">
        <f t="shared" si="477"/>
        <v>47</v>
      </c>
      <c r="M750" s="1" t="str">
        <f t="shared" si="478"/>
        <v>0</v>
      </c>
      <c r="N750" s="1" t="str">
        <f t="shared" si="479"/>
        <v>0</v>
      </c>
      <c r="O750" s="1" t="str">
        <f>"13.9"</f>
        <v>13.9</v>
      </c>
    </row>
    <row r="751" s="1" customFormat="1" spans="1:15">
      <c r="A751" s="1" t="str">
        <f t="shared" si="473"/>
        <v>202406</v>
      </c>
      <c r="B751" s="1" t="str">
        <f t="shared" si="474"/>
        <v>150525100</v>
      </c>
      <c r="C751" s="1" t="str">
        <f>"1040647706"</f>
        <v>1040647706</v>
      </c>
      <c r="D751" s="1" t="str">
        <f>"152326196310120668"</f>
        <v>152326196310120668</v>
      </c>
      <c r="E751" s="1" t="s">
        <v>803</v>
      </c>
      <c r="F751" s="1" t="s">
        <v>16</v>
      </c>
      <c r="G751" s="1" t="s">
        <v>19</v>
      </c>
      <c r="H751" s="1" t="str">
        <f>"61"</f>
        <v>61</v>
      </c>
      <c r="I751" s="1" t="str">
        <f>"164.28"</f>
        <v>164.28</v>
      </c>
      <c r="J751" s="1" t="str">
        <f t="shared" si="481"/>
        <v>0</v>
      </c>
      <c r="K751" s="1" t="str">
        <f t="shared" si="476"/>
        <v>103</v>
      </c>
      <c r="L751" s="1" t="str">
        <f t="shared" si="477"/>
        <v>47</v>
      </c>
      <c r="M751" s="1" t="str">
        <f t="shared" si="478"/>
        <v>0</v>
      </c>
      <c r="N751" s="1" t="str">
        <f t="shared" si="479"/>
        <v>0</v>
      </c>
      <c r="O751" s="1" t="str">
        <f>"14.28"</f>
        <v>14.28</v>
      </c>
    </row>
    <row r="752" s="1" customFormat="1" spans="1:15">
      <c r="A752" s="1" t="str">
        <f t="shared" si="473"/>
        <v>202406</v>
      </c>
      <c r="B752" s="1" t="str">
        <f t="shared" si="474"/>
        <v>150525100</v>
      </c>
      <c r="C752" s="1" t="str">
        <f>"1040647717"</f>
        <v>1040647717</v>
      </c>
      <c r="D752" s="1" t="str">
        <f>"152326196002090428"</f>
        <v>152326196002090428</v>
      </c>
      <c r="E752" s="1" t="s">
        <v>804</v>
      </c>
      <c r="F752" s="1" t="s">
        <v>16</v>
      </c>
      <c r="G752" s="1" t="s">
        <v>19</v>
      </c>
      <c r="H752" s="1" t="str">
        <f>"64"</f>
        <v>64</v>
      </c>
      <c r="I752" s="1" t="str">
        <f>"158.57"</f>
        <v>158.57</v>
      </c>
      <c r="J752" s="1" t="str">
        <f t="shared" si="481"/>
        <v>0</v>
      </c>
      <c r="K752" s="1" t="str">
        <f t="shared" si="476"/>
        <v>103</v>
      </c>
      <c r="L752" s="1" t="str">
        <f t="shared" si="477"/>
        <v>47</v>
      </c>
      <c r="M752" s="1" t="str">
        <f t="shared" si="478"/>
        <v>0</v>
      </c>
      <c r="N752" s="1" t="str">
        <f t="shared" si="479"/>
        <v>0</v>
      </c>
      <c r="O752" s="1" t="str">
        <f>"8.57"</f>
        <v>8.57</v>
      </c>
    </row>
    <row r="753" s="1" customFormat="1" spans="1:15">
      <c r="A753" s="1" t="str">
        <f t="shared" si="473"/>
        <v>202406</v>
      </c>
      <c r="B753" s="1" t="str">
        <f t="shared" si="474"/>
        <v>150525100</v>
      </c>
      <c r="C753" s="1" t="str">
        <f>"1040646020"</f>
        <v>1040646020</v>
      </c>
      <c r="D753" s="1" t="str">
        <f>"152326195510100720"</f>
        <v>152326195510100720</v>
      </c>
      <c r="E753" s="1" t="s">
        <v>805</v>
      </c>
      <c r="F753" s="1" t="s">
        <v>16</v>
      </c>
      <c r="G753" s="1" t="s">
        <v>17</v>
      </c>
      <c r="H753" s="1" t="str">
        <f>"69"</f>
        <v>69</v>
      </c>
      <c r="I753" s="1" t="str">
        <f>"154.52"</f>
        <v>154.52</v>
      </c>
      <c r="J753" s="1" t="str">
        <f t="shared" si="481"/>
        <v>0</v>
      </c>
      <c r="K753" s="1" t="str">
        <f t="shared" si="476"/>
        <v>103</v>
      </c>
      <c r="L753" s="1" t="str">
        <f t="shared" si="477"/>
        <v>47</v>
      </c>
      <c r="M753" s="1" t="str">
        <f t="shared" si="478"/>
        <v>0</v>
      </c>
      <c r="N753" s="1" t="str">
        <f t="shared" si="479"/>
        <v>0</v>
      </c>
      <c r="O753" s="1" t="str">
        <f>"4.52"</f>
        <v>4.52</v>
      </c>
    </row>
    <row r="754" s="1" customFormat="1" spans="1:15">
      <c r="A754" s="1" t="str">
        <f t="shared" si="473"/>
        <v>202406</v>
      </c>
      <c r="B754" s="1" t="str">
        <f t="shared" si="474"/>
        <v>150525100</v>
      </c>
      <c r="C754" s="1" t="str">
        <f>"1040646026"</f>
        <v>1040646026</v>
      </c>
      <c r="D754" s="1" t="str">
        <f>"152326195609030101"</f>
        <v>152326195609030101</v>
      </c>
      <c r="E754" s="1" t="s">
        <v>806</v>
      </c>
      <c r="F754" s="1" t="s">
        <v>16</v>
      </c>
      <c r="G754" s="1" t="s">
        <v>17</v>
      </c>
      <c r="H754" s="1" t="str">
        <f>"68"</f>
        <v>68</v>
      </c>
      <c r="I754" s="1" t="str">
        <f>"155.43"</f>
        <v>155.43</v>
      </c>
      <c r="J754" s="1" t="str">
        <f t="shared" si="481"/>
        <v>0</v>
      </c>
      <c r="K754" s="1" t="str">
        <f t="shared" si="476"/>
        <v>103</v>
      </c>
      <c r="L754" s="1" t="str">
        <f t="shared" si="477"/>
        <v>47</v>
      </c>
      <c r="M754" s="1" t="str">
        <f t="shared" si="478"/>
        <v>0</v>
      </c>
      <c r="N754" s="1" t="str">
        <f t="shared" si="479"/>
        <v>0</v>
      </c>
      <c r="O754" s="1" t="str">
        <f>"5.43"</f>
        <v>5.43</v>
      </c>
    </row>
    <row r="755" s="1" customFormat="1" spans="1:15">
      <c r="A755" s="1" t="str">
        <f t="shared" si="473"/>
        <v>202406</v>
      </c>
      <c r="B755" s="1" t="str">
        <f t="shared" si="474"/>
        <v>150525100</v>
      </c>
      <c r="C755" s="1" t="str">
        <f>"1040646028"</f>
        <v>1040646028</v>
      </c>
      <c r="D755" s="1" t="s">
        <v>807</v>
      </c>
      <c r="E755" s="1" t="s">
        <v>808</v>
      </c>
      <c r="F755" s="1" t="s">
        <v>16</v>
      </c>
      <c r="G755" s="1" t="s">
        <v>17</v>
      </c>
      <c r="H755" s="1" t="str">
        <f>"67"</f>
        <v>67</v>
      </c>
      <c r="I755" s="1" t="str">
        <f>"155.46"</f>
        <v>155.46</v>
      </c>
      <c r="J755" s="1" t="str">
        <f t="shared" si="481"/>
        <v>0</v>
      </c>
      <c r="K755" s="1" t="str">
        <f t="shared" si="476"/>
        <v>103</v>
      </c>
      <c r="L755" s="1" t="str">
        <f t="shared" si="477"/>
        <v>47</v>
      </c>
      <c r="M755" s="1" t="str">
        <f t="shared" si="478"/>
        <v>0</v>
      </c>
      <c r="N755" s="1" t="str">
        <f t="shared" si="479"/>
        <v>0</v>
      </c>
      <c r="O755" s="1" t="str">
        <f>"5.46"</f>
        <v>5.46</v>
      </c>
    </row>
    <row r="756" s="1" customFormat="1" spans="1:15">
      <c r="A756" s="1" t="str">
        <f t="shared" si="473"/>
        <v>202406</v>
      </c>
      <c r="B756" s="1" t="str">
        <f t="shared" si="474"/>
        <v>150525100</v>
      </c>
      <c r="C756" s="1" t="str">
        <f>"1040646037"</f>
        <v>1040646037</v>
      </c>
      <c r="D756" s="1" t="str">
        <f>"152326195805300666"</f>
        <v>152326195805300666</v>
      </c>
      <c r="E756" s="1" t="s">
        <v>809</v>
      </c>
      <c r="F756" s="1" t="s">
        <v>16</v>
      </c>
      <c r="G756" s="1" t="s">
        <v>17</v>
      </c>
      <c r="H756" s="1" t="str">
        <f>"66"</f>
        <v>66</v>
      </c>
      <c r="I756" s="1" t="str">
        <f>"156.5"</f>
        <v>156.5</v>
      </c>
      <c r="J756" s="1" t="str">
        <f t="shared" si="481"/>
        <v>0</v>
      </c>
      <c r="K756" s="1" t="str">
        <f t="shared" si="476"/>
        <v>103</v>
      </c>
      <c r="L756" s="1" t="str">
        <f t="shared" si="477"/>
        <v>47</v>
      </c>
      <c r="M756" s="1" t="str">
        <f t="shared" si="478"/>
        <v>0</v>
      </c>
      <c r="N756" s="1" t="str">
        <f t="shared" si="479"/>
        <v>0</v>
      </c>
      <c r="O756" s="1" t="str">
        <f>"6.5"</f>
        <v>6.5</v>
      </c>
    </row>
    <row r="757" s="1" customFormat="1" spans="1:15">
      <c r="A757" s="1" t="str">
        <f t="shared" si="473"/>
        <v>202406</v>
      </c>
      <c r="B757" s="1" t="str">
        <f t="shared" si="474"/>
        <v>150525100</v>
      </c>
      <c r="C757" s="1" t="str">
        <f>"1040646039"</f>
        <v>1040646039</v>
      </c>
      <c r="D757" s="1" t="str">
        <f>"152326195901170662"</f>
        <v>152326195901170662</v>
      </c>
      <c r="E757" s="1" t="s">
        <v>810</v>
      </c>
      <c r="F757" s="1" t="s">
        <v>16</v>
      </c>
      <c r="G757" s="1" t="s">
        <v>17</v>
      </c>
      <c r="H757" s="1" t="str">
        <f>"65"</f>
        <v>65</v>
      </c>
      <c r="I757" s="1" t="str">
        <f>"157.51"</f>
        <v>157.51</v>
      </c>
      <c r="J757" s="1" t="str">
        <f t="shared" si="481"/>
        <v>0</v>
      </c>
      <c r="K757" s="1" t="str">
        <f t="shared" si="476"/>
        <v>103</v>
      </c>
      <c r="L757" s="1" t="str">
        <f t="shared" si="477"/>
        <v>47</v>
      </c>
      <c r="M757" s="1" t="str">
        <f t="shared" si="478"/>
        <v>0</v>
      </c>
      <c r="N757" s="1" t="str">
        <f t="shared" si="479"/>
        <v>0</v>
      </c>
      <c r="O757" s="1" t="str">
        <f>"7.51"</f>
        <v>7.51</v>
      </c>
    </row>
    <row r="758" s="1" customFormat="1" spans="1:15">
      <c r="A758" s="1" t="str">
        <f t="shared" si="473"/>
        <v>202406</v>
      </c>
      <c r="B758" s="1" t="str">
        <f t="shared" si="474"/>
        <v>150525100</v>
      </c>
      <c r="C758" s="1" t="str">
        <f>"1040646047"</f>
        <v>1040646047</v>
      </c>
      <c r="D758" s="1" t="str">
        <f>"152326196205110660"</f>
        <v>152326196205110660</v>
      </c>
      <c r="E758" s="1" t="s">
        <v>811</v>
      </c>
      <c r="F758" s="1" t="s">
        <v>16</v>
      </c>
      <c r="G758" s="1" t="s">
        <v>17</v>
      </c>
      <c r="H758" s="1" t="str">
        <f t="shared" ref="H758:H761" si="494">"62"</f>
        <v>62</v>
      </c>
      <c r="I758" s="1" t="str">
        <f>"162.12"</f>
        <v>162.12</v>
      </c>
      <c r="J758" s="1" t="str">
        <f t="shared" si="481"/>
        <v>0</v>
      </c>
      <c r="K758" s="1" t="str">
        <f t="shared" si="476"/>
        <v>103</v>
      </c>
      <c r="L758" s="1" t="str">
        <f t="shared" si="477"/>
        <v>47</v>
      </c>
      <c r="M758" s="1" t="str">
        <f t="shared" si="478"/>
        <v>0</v>
      </c>
      <c r="N758" s="1" t="str">
        <f t="shared" si="479"/>
        <v>0</v>
      </c>
      <c r="O758" s="1" t="str">
        <f>"12.12"</f>
        <v>12.12</v>
      </c>
    </row>
    <row r="759" s="1" customFormat="1" spans="1:15">
      <c r="A759" s="1" t="str">
        <f t="shared" si="473"/>
        <v>202406</v>
      </c>
      <c r="B759" s="1" t="str">
        <f t="shared" si="474"/>
        <v>150525100</v>
      </c>
      <c r="C759" s="1" t="str">
        <f>"1040646048"</f>
        <v>1040646048</v>
      </c>
      <c r="D759" s="1" t="str">
        <f>"152326196209060680"</f>
        <v>152326196209060680</v>
      </c>
      <c r="E759" s="1" t="s">
        <v>812</v>
      </c>
      <c r="F759" s="1" t="s">
        <v>16</v>
      </c>
      <c r="G759" s="1" t="s">
        <v>17</v>
      </c>
      <c r="H759" s="1" t="str">
        <f t="shared" si="494"/>
        <v>62</v>
      </c>
      <c r="I759" s="1" t="str">
        <f>"162.49"</f>
        <v>162.49</v>
      </c>
      <c r="J759" s="1" t="str">
        <f t="shared" si="481"/>
        <v>0</v>
      </c>
      <c r="K759" s="1" t="str">
        <f t="shared" si="476"/>
        <v>103</v>
      </c>
      <c r="L759" s="1" t="str">
        <f t="shared" si="477"/>
        <v>47</v>
      </c>
      <c r="M759" s="1" t="str">
        <f t="shared" si="478"/>
        <v>0</v>
      </c>
      <c r="N759" s="1" t="str">
        <f t="shared" si="479"/>
        <v>0</v>
      </c>
      <c r="O759" s="1" t="str">
        <f>"12.49"</f>
        <v>12.49</v>
      </c>
    </row>
    <row r="760" s="1" customFormat="1" spans="1:15">
      <c r="A760" s="1" t="str">
        <f t="shared" si="473"/>
        <v>202406</v>
      </c>
      <c r="B760" s="1" t="str">
        <f t="shared" si="474"/>
        <v>150525100</v>
      </c>
      <c r="C760" s="1" t="str">
        <f>"1040643330"</f>
        <v>1040643330</v>
      </c>
      <c r="D760" s="1" t="str">
        <f>"152326195610016390"</f>
        <v>152326195610016390</v>
      </c>
      <c r="E760" s="1" t="s">
        <v>813</v>
      </c>
      <c r="F760" s="1" t="s">
        <v>25</v>
      </c>
      <c r="G760" s="1" t="s">
        <v>17</v>
      </c>
      <c r="H760" s="1" t="str">
        <f>"68"</f>
        <v>68</v>
      </c>
      <c r="I760" s="1" t="str">
        <f>"154.54"</f>
        <v>154.54</v>
      </c>
      <c r="J760" s="1" t="str">
        <f t="shared" si="481"/>
        <v>0</v>
      </c>
      <c r="K760" s="1" t="str">
        <f t="shared" si="476"/>
        <v>103</v>
      </c>
      <c r="L760" s="1" t="str">
        <f t="shared" si="477"/>
        <v>47</v>
      </c>
      <c r="M760" s="1" t="str">
        <f t="shared" si="478"/>
        <v>0</v>
      </c>
      <c r="N760" s="1" t="str">
        <f t="shared" si="479"/>
        <v>0</v>
      </c>
      <c r="O760" s="1" t="str">
        <f>"4.54"</f>
        <v>4.54</v>
      </c>
    </row>
    <row r="761" s="1" customFormat="1" spans="1:15">
      <c r="A761" s="1" t="str">
        <f t="shared" si="473"/>
        <v>202406</v>
      </c>
      <c r="B761" s="1" t="str">
        <f t="shared" si="474"/>
        <v>150525100</v>
      </c>
      <c r="C761" s="1" t="str">
        <f>"1040699489"</f>
        <v>1040699489</v>
      </c>
      <c r="D761" s="1" t="str">
        <f>"152326196208190678"</f>
        <v>152326196208190678</v>
      </c>
      <c r="E761" s="1" t="s">
        <v>814</v>
      </c>
      <c r="F761" s="1" t="s">
        <v>25</v>
      </c>
      <c r="G761" s="1" t="s">
        <v>17</v>
      </c>
      <c r="H761" s="1" t="str">
        <f t="shared" si="494"/>
        <v>62</v>
      </c>
      <c r="I761" s="1" t="str">
        <f>"161.47"</f>
        <v>161.47</v>
      </c>
      <c r="J761" s="1" t="str">
        <f t="shared" si="481"/>
        <v>0</v>
      </c>
      <c r="K761" s="1" t="str">
        <f t="shared" si="476"/>
        <v>103</v>
      </c>
      <c r="L761" s="1" t="str">
        <f t="shared" si="477"/>
        <v>47</v>
      </c>
      <c r="M761" s="1" t="str">
        <f t="shared" si="478"/>
        <v>0</v>
      </c>
      <c r="N761" s="1" t="str">
        <f t="shared" si="479"/>
        <v>0</v>
      </c>
      <c r="O761" s="1" t="str">
        <f>"11.47"</f>
        <v>11.47</v>
      </c>
    </row>
    <row r="762" s="1" customFormat="1" spans="1:15">
      <c r="A762" s="1" t="str">
        <f t="shared" si="473"/>
        <v>202406</v>
      </c>
      <c r="B762" s="1" t="str">
        <f t="shared" si="474"/>
        <v>150525100</v>
      </c>
      <c r="C762" s="1" t="str">
        <f>"1040752601"</f>
        <v>1040752601</v>
      </c>
      <c r="D762" s="1" t="str">
        <f>"152326196308270413"</f>
        <v>152326196308270413</v>
      </c>
      <c r="E762" s="1" t="s">
        <v>815</v>
      </c>
      <c r="F762" s="1" t="s">
        <v>25</v>
      </c>
      <c r="G762" s="1" t="s">
        <v>17</v>
      </c>
      <c r="H762" s="1" t="str">
        <f>"61"</f>
        <v>61</v>
      </c>
      <c r="I762" s="1" t="str">
        <f>"163.4"</f>
        <v>163.4</v>
      </c>
      <c r="J762" s="1" t="str">
        <f t="shared" si="481"/>
        <v>0</v>
      </c>
      <c r="K762" s="1" t="str">
        <f t="shared" si="476"/>
        <v>103</v>
      </c>
      <c r="L762" s="1" t="str">
        <f t="shared" si="477"/>
        <v>47</v>
      </c>
      <c r="M762" s="1" t="str">
        <f t="shared" si="478"/>
        <v>0</v>
      </c>
      <c r="N762" s="1" t="str">
        <f t="shared" si="479"/>
        <v>0</v>
      </c>
      <c r="O762" s="1" t="str">
        <f>"13.4"</f>
        <v>13.4</v>
      </c>
    </row>
    <row r="763" s="1" customFormat="1" spans="1:15">
      <c r="A763" s="1" t="str">
        <f t="shared" si="473"/>
        <v>202406</v>
      </c>
      <c r="B763" s="1" t="str">
        <f t="shared" si="474"/>
        <v>150525100</v>
      </c>
      <c r="C763" s="1" t="str">
        <f>"1040735383"</f>
        <v>1040735383</v>
      </c>
      <c r="D763" s="1" t="str">
        <f>"152326195708240673"</f>
        <v>152326195708240673</v>
      </c>
      <c r="E763" s="1" t="s">
        <v>816</v>
      </c>
      <c r="F763" s="1" t="s">
        <v>25</v>
      </c>
      <c r="G763" s="1" t="s">
        <v>17</v>
      </c>
      <c r="H763" s="1" t="str">
        <f>"67"</f>
        <v>67</v>
      </c>
      <c r="I763" s="1" t="str">
        <f>"158.98"</f>
        <v>158.98</v>
      </c>
      <c r="J763" s="1" t="str">
        <f t="shared" si="481"/>
        <v>0</v>
      </c>
      <c r="K763" s="1" t="str">
        <f t="shared" si="476"/>
        <v>103</v>
      </c>
      <c r="L763" s="1" t="str">
        <f t="shared" si="477"/>
        <v>47</v>
      </c>
      <c r="M763" s="1" t="str">
        <f t="shared" si="478"/>
        <v>0</v>
      </c>
      <c r="N763" s="1" t="str">
        <f t="shared" si="479"/>
        <v>0</v>
      </c>
      <c r="O763" s="1" t="str">
        <f>"8.98"</f>
        <v>8.98</v>
      </c>
    </row>
    <row r="764" s="1" customFormat="1" spans="1:15">
      <c r="A764" s="1" t="str">
        <f t="shared" si="473"/>
        <v>202406</v>
      </c>
      <c r="B764" s="1" t="str">
        <f t="shared" si="474"/>
        <v>150525100</v>
      </c>
      <c r="C764" s="1" t="str">
        <f>"1040645537"</f>
        <v>1040645537</v>
      </c>
      <c r="D764" s="1" t="str">
        <f>"152326196208230414"</f>
        <v>152326196208230414</v>
      </c>
      <c r="E764" s="1" t="s">
        <v>817</v>
      </c>
      <c r="F764" s="1" t="s">
        <v>25</v>
      </c>
      <c r="G764" s="1" t="s">
        <v>17</v>
      </c>
      <c r="H764" s="1" t="str">
        <f>"62"</f>
        <v>62</v>
      </c>
      <c r="I764" s="1" t="str">
        <f>"161.49"</f>
        <v>161.49</v>
      </c>
      <c r="J764" s="1" t="str">
        <f t="shared" si="481"/>
        <v>0</v>
      </c>
      <c r="K764" s="1" t="str">
        <f t="shared" si="476"/>
        <v>103</v>
      </c>
      <c r="L764" s="1" t="str">
        <f t="shared" si="477"/>
        <v>47</v>
      </c>
      <c r="M764" s="1" t="str">
        <f t="shared" si="478"/>
        <v>0</v>
      </c>
      <c r="N764" s="1" t="str">
        <f t="shared" si="479"/>
        <v>0</v>
      </c>
      <c r="O764" s="1" t="str">
        <f>"11.49"</f>
        <v>11.49</v>
      </c>
    </row>
    <row r="765" s="1" customFormat="1" spans="1:15">
      <c r="A765" s="1" t="str">
        <f t="shared" si="473"/>
        <v>202406</v>
      </c>
      <c r="B765" s="1" t="str">
        <f t="shared" si="474"/>
        <v>150525100</v>
      </c>
      <c r="C765" s="1" t="str">
        <f>"1040751567"</f>
        <v>1040751567</v>
      </c>
      <c r="D765" s="1" t="str">
        <f>"152326196012153074"</f>
        <v>152326196012153074</v>
      </c>
      <c r="E765" s="1" t="s">
        <v>818</v>
      </c>
      <c r="F765" s="1" t="s">
        <v>25</v>
      </c>
      <c r="G765" s="1" t="s">
        <v>17</v>
      </c>
      <c r="H765" s="1" t="str">
        <f>"64"</f>
        <v>64</v>
      </c>
      <c r="I765" s="1" t="str">
        <f>"157.73"</f>
        <v>157.73</v>
      </c>
      <c r="J765" s="1" t="str">
        <f t="shared" si="481"/>
        <v>0</v>
      </c>
      <c r="K765" s="1" t="str">
        <f t="shared" si="476"/>
        <v>103</v>
      </c>
      <c r="L765" s="1" t="str">
        <f t="shared" si="477"/>
        <v>47</v>
      </c>
      <c r="M765" s="1" t="str">
        <f t="shared" si="478"/>
        <v>0</v>
      </c>
      <c r="N765" s="1" t="str">
        <f t="shared" si="479"/>
        <v>0</v>
      </c>
      <c r="O765" s="1" t="str">
        <f>"7.73"</f>
        <v>7.73</v>
      </c>
    </row>
    <row r="766" s="1" customFormat="1" spans="1:15">
      <c r="A766" s="1" t="str">
        <f t="shared" si="473"/>
        <v>202406</v>
      </c>
      <c r="B766" s="1" t="str">
        <f t="shared" si="474"/>
        <v>150525100</v>
      </c>
      <c r="C766" s="1" t="str">
        <f>"1040761459"</f>
        <v>1040761459</v>
      </c>
      <c r="D766" s="1" t="str">
        <f>"152326196212230433"</f>
        <v>152326196212230433</v>
      </c>
      <c r="E766" s="1" t="s">
        <v>819</v>
      </c>
      <c r="F766" s="1" t="s">
        <v>25</v>
      </c>
      <c r="G766" s="1" t="s">
        <v>17</v>
      </c>
      <c r="H766" s="1" t="str">
        <f>"62"</f>
        <v>62</v>
      </c>
      <c r="I766" s="1" t="str">
        <f>"163.26"</f>
        <v>163.26</v>
      </c>
      <c r="J766" s="1" t="str">
        <f t="shared" si="481"/>
        <v>0</v>
      </c>
      <c r="K766" s="1" t="str">
        <f t="shared" si="476"/>
        <v>103</v>
      </c>
      <c r="L766" s="1" t="str">
        <f t="shared" si="477"/>
        <v>47</v>
      </c>
      <c r="M766" s="1" t="str">
        <f t="shared" si="478"/>
        <v>0</v>
      </c>
      <c r="N766" s="1" t="str">
        <f t="shared" si="479"/>
        <v>0</v>
      </c>
      <c r="O766" s="1" t="str">
        <f>"13.26"</f>
        <v>13.26</v>
      </c>
    </row>
    <row r="767" s="1" customFormat="1" spans="1:15">
      <c r="A767" s="1" t="str">
        <f t="shared" si="473"/>
        <v>202406</v>
      </c>
      <c r="B767" s="1" t="str">
        <f t="shared" si="474"/>
        <v>150525100</v>
      </c>
      <c r="C767" s="1" t="str">
        <f>"1040647246"</f>
        <v>1040647246</v>
      </c>
      <c r="D767" s="1" t="str">
        <f>"152326195906150425"</f>
        <v>152326195906150425</v>
      </c>
      <c r="E767" s="1" t="s">
        <v>820</v>
      </c>
      <c r="F767" s="1" t="s">
        <v>16</v>
      </c>
      <c r="G767" s="1" t="s">
        <v>19</v>
      </c>
      <c r="H767" s="1" t="str">
        <f>"65"</f>
        <v>65</v>
      </c>
      <c r="I767" s="1" t="str">
        <f>"157.55"</f>
        <v>157.55</v>
      </c>
      <c r="J767" s="1" t="str">
        <f t="shared" si="481"/>
        <v>0</v>
      </c>
      <c r="K767" s="1" t="str">
        <f t="shared" si="476"/>
        <v>103</v>
      </c>
      <c r="L767" s="1" t="str">
        <f t="shared" si="477"/>
        <v>47</v>
      </c>
      <c r="M767" s="1" t="str">
        <f t="shared" si="478"/>
        <v>0</v>
      </c>
      <c r="N767" s="1" t="str">
        <f t="shared" si="479"/>
        <v>0</v>
      </c>
      <c r="O767" s="1" t="str">
        <f>"7.55"</f>
        <v>7.55</v>
      </c>
    </row>
    <row r="768" s="1" customFormat="1" spans="1:15">
      <c r="A768" s="1" t="str">
        <f t="shared" si="473"/>
        <v>202406</v>
      </c>
      <c r="B768" s="1" t="str">
        <f t="shared" si="474"/>
        <v>150525100</v>
      </c>
      <c r="C768" s="1" t="str">
        <f>"1040647332"</f>
        <v>1040647332</v>
      </c>
      <c r="D768" s="1" t="str">
        <f>"152326196307270665"</f>
        <v>152326196307270665</v>
      </c>
      <c r="E768" s="1" t="s">
        <v>821</v>
      </c>
      <c r="F768" s="1" t="s">
        <v>16</v>
      </c>
      <c r="G768" s="1" t="s">
        <v>19</v>
      </c>
      <c r="H768" s="1" t="str">
        <f>"61"</f>
        <v>61</v>
      </c>
      <c r="I768" s="1" t="str">
        <f>"165.6"</f>
        <v>165.6</v>
      </c>
      <c r="J768" s="1" t="str">
        <f t="shared" si="481"/>
        <v>0</v>
      </c>
      <c r="K768" s="1" t="str">
        <f t="shared" si="476"/>
        <v>103</v>
      </c>
      <c r="L768" s="1" t="str">
        <f t="shared" si="477"/>
        <v>47</v>
      </c>
      <c r="M768" s="1" t="str">
        <f t="shared" si="478"/>
        <v>0</v>
      </c>
      <c r="N768" s="1" t="str">
        <f t="shared" si="479"/>
        <v>0</v>
      </c>
      <c r="O768" s="1" t="str">
        <f>"15.6"</f>
        <v>15.6</v>
      </c>
    </row>
    <row r="769" s="1" customFormat="1" spans="1:15">
      <c r="A769" s="1" t="str">
        <f t="shared" si="473"/>
        <v>202406</v>
      </c>
      <c r="B769" s="1" t="str">
        <f t="shared" si="474"/>
        <v>150525100</v>
      </c>
      <c r="C769" s="1" t="str">
        <f>"1040752703"</f>
        <v>1040752703</v>
      </c>
      <c r="D769" s="1" t="str">
        <f>"152326196010030417"</f>
        <v>152326196010030417</v>
      </c>
      <c r="E769" s="1" t="s">
        <v>822</v>
      </c>
      <c r="F769" s="1" t="s">
        <v>25</v>
      </c>
      <c r="G769" s="1" t="s">
        <v>17</v>
      </c>
      <c r="H769" s="1" t="str">
        <f>"64"</f>
        <v>64</v>
      </c>
      <c r="I769" s="1" t="str">
        <f>"157.73"</f>
        <v>157.73</v>
      </c>
      <c r="J769" s="1" t="str">
        <f t="shared" si="481"/>
        <v>0</v>
      </c>
      <c r="K769" s="1" t="str">
        <f t="shared" si="476"/>
        <v>103</v>
      </c>
      <c r="L769" s="1" t="str">
        <f t="shared" si="477"/>
        <v>47</v>
      </c>
      <c r="M769" s="1" t="str">
        <f t="shared" si="478"/>
        <v>0</v>
      </c>
      <c r="N769" s="1" t="str">
        <f t="shared" si="479"/>
        <v>0</v>
      </c>
      <c r="O769" s="1" t="str">
        <f>"7.73"</f>
        <v>7.73</v>
      </c>
    </row>
    <row r="770" s="1" customFormat="1" spans="1:15">
      <c r="A770" s="1" t="str">
        <f t="shared" ref="A770:A833" si="495">"202406"</f>
        <v>202406</v>
      </c>
      <c r="B770" s="1" t="str">
        <f t="shared" ref="B770:B833" si="496">"150525100"</f>
        <v>150525100</v>
      </c>
      <c r="C770" s="1" t="str">
        <f>"1040646572"</f>
        <v>1040646572</v>
      </c>
      <c r="D770" s="1" t="str">
        <f>"152326195910220668"</f>
        <v>152326195910220668</v>
      </c>
      <c r="E770" s="1" t="s">
        <v>823</v>
      </c>
      <c r="F770" s="1" t="s">
        <v>16</v>
      </c>
      <c r="G770" s="1" t="s">
        <v>19</v>
      </c>
      <c r="H770" s="1" t="str">
        <f>"65"</f>
        <v>65</v>
      </c>
      <c r="I770" s="1" t="str">
        <f>"157.57"</f>
        <v>157.57</v>
      </c>
      <c r="J770" s="1" t="str">
        <f t="shared" si="481"/>
        <v>0</v>
      </c>
      <c r="K770" s="1" t="str">
        <f t="shared" si="476"/>
        <v>103</v>
      </c>
      <c r="L770" s="1" t="str">
        <f t="shared" si="477"/>
        <v>47</v>
      </c>
      <c r="M770" s="1" t="str">
        <f t="shared" si="478"/>
        <v>0</v>
      </c>
      <c r="N770" s="1" t="str">
        <f t="shared" si="479"/>
        <v>0</v>
      </c>
      <c r="O770" s="1" t="str">
        <f>"7.57"</f>
        <v>7.57</v>
      </c>
    </row>
    <row r="771" s="1" customFormat="1" spans="1:15">
      <c r="A771" s="1" t="str">
        <f t="shared" si="495"/>
        <v>202406</v>
      </c>
      <c r="B771" s="1" t="str">
        <f t="shared" si="496"/>
        <v>150525100</v>
      </c>
      <c r="C771" s="1" t="str">
        <f>"1040646586"</f>
        <v>1040646586</v>
      </c>
      <c r="D771" s="1" t="str">
        <f>"152326196308050672"</f>
        <v>152326196308050672</v>
      </c>
      <c r="E771" s="1" t="s">
        <v>824</v>
      </c>
      <c r="F771" s="1" t="s">
        <v>25</v>
      </c>
      <c r="G771" s="1" t="s">
        <v>19</v>
      </c>
      <c r="H771" s="1" t="str">
        <f>"61"</f>
        <v>61</v>
      </c>
      <c r="I771" s="1" t="str">
        <f>"165.96"</f>
        <v>165.96</v>
      </c>
      <c r="J771" s="1" t="str">
        <f t="shared" si="481"/>
        <v>0</v>
      </c>
      <c r="K771" s="1" t="str">
        <f t="shared" si="476"/>
        <v>103</v>
      </c>
      <c r="L771" s="1" t="str">
        <f t="shared" si="477"/>
        <v>47</v>
      </c>
      <c r="M771" s="1" t="str">
        <f t="shared" si="478"/>
        <v>0</v>
      </c>
      <c r="N771" s="1" t="str">
        <f t="shared" si="479"/>
        <v>0</v>
      </c>
      <c r="O771" s="1" t="str">
        <f>"15.96"</f>
        <v>15.96</v>
      </c>
    </row>
    <row r="772" s="1" customFormat="1" spans="1:15">
      <c r="A772" s="1" t="str">
        <f t="shared" si="495"/>
        <v>202406</v>
      </c>
      <c r="B772" s="1" t="str">
        <f t="shared" si="496"/>
        <v>150525100</v>
      </c>
      <c r="C772" s="1" t="str">
        <f>"1040647875"</f>
        <v>1040647875</v>
      </c>
      <c r="D772" s="1" t="str">
        <f>"152326196206090665"</f>
        <v>152326196206090665</v>
      </c>
      <c r="E772" s="1" t="s">
        <v>825</v>
      </c>
      <c r="F772" s="1" t="s">
        <v>16</v>
      </c>
      <c r="G772" s="1" t="s">
        <v>17</v>
      </c>
      <c r="H772" s="1" t="str">
        <f>"62"</f>
        <v>62</v>
      </c>
      <c r="I772" s="1" t="str">
        <f>"163.82"</f>
        <v>163.82</v>
      </c>
      <c r="J772" s="1" t="str">
        <f t="shared" si="481"/>
        <v>0</v>
      </c>
      <c r="K772" s="1" t="str">
        <f t="shared" si="476"/>
        <v>103</v>
      </c>
      <c r="L772" s="1" t="str">
        <f t="shared" si="477"/>
        <v>47</v>
      </c>
      <c r="M772" s="1" t="str">
        <f t="shared" si="478"/>
        <v>0</v>
      </c>
      <c r="N772" s="1" t="str">
        <f t="shared" si="479"/>
        <v>0</v>
      </c>
      <c r="O772" s="1" t="str">
        <f>"13.82"</f>
        <v>13.82</v>
      </c>
    </row>
    <row r="773" s="1" customFormat="1" spans="1:15">
      <c r="A773" s="1" t="str">
        <f t="shared" si="495"/>
        <v>202406</v>
      </c>
      <c r="B773" s="1" t="str">
        <f t="shared" si="496"/>
        <v>150525100</v>
      </c>
      <c r="C773" s="1" t="str">
        <f>"1040647884"</f>
        <v>1040647884</v>
      </c>
      <c r="D773" s="1" t="str">
        <f>"152326195406270666"</f>
        <v>152326195406270666</v>
      </c>
      <c r="E773" s="1" t="s">
        <v>826</v>
      </c>
      <c r="F773" s="1" t="s">
        <v>16</v>
      </c>
      <c r="G773" s="1" t="s">
        <v>17</v>
      </c>
      <c r="H773" s="1" t="str">
        <f>"70"</f>
        <v>70</v>
      </c>
      <c r="I773" s="1" t="str">
        <f>"153.56"</f>
        <v>153.56</v>
      </c>
      <c r="J773" s="1" t="str">
        <f t="shared" si="481"/>
        <v>0</v>
      </c>
      <c r="K773" s="1" t="str">
        <f t="shared" si="476"/>
        <v>103</v>
      </c>
      <c r="L773" s="1" t="str">
        <f t="shared" si="477"/>
        <v>47</v>
      </c>
      <c r="M773" s="1" t="str">
        <f t="shared" si="478"/>
        <v>0</v>
      </c>
      <c r="N773" s="1" t="str">
        <f t="shared" si="479"/>
        <v>0</v>
      </c>
      <c r="O773" s="1" t="str">
        <f>"3.56"</f>
        <v>3.56</v>
      </c>
    </row>
    <row r="774" s="1" customFormat="1" spans="1:15">
      <c r="A774" s="1" t="str">
        <f t="shared" si="495"/>
        <v>202406</v>
      </c>
      <c r="B774" s="1" t="str">
        <f t="shared" si="496"/>
        <v>150525100</v>
      </c>
      <c r="C774" s="1" t="str">
        <f>"1040647899"</f>
        <v>1040647899</v>
      </c>
      <c r="D774" s="1" t="str">
        <f>"152326196108090661"</f>
        <v>152326196108090661</v>
      </c>
      <c r="E774" s="1" t="s">
        <v>827</v>
      </c>
      <c r="F774" s="1" t="s">
        <v>16</v>
      </c>
      <c r="G774" s="1" t="s">
        <v>17</v>
      </c>
      <c r="H774" s="1" t="str">
        <f>"63"</f>
        <v>63</v>
      </c>
      <c r="I774" s="1" t="str">
        <f>"160.47"</f>
        <v>160.47</v>
      </c>
      <c r="J774" s="1" t="str">
        <f t="shared" si="481"/>
        <v>0</v>
      </c>
      <c r="K774" s="1" t="str">
        <f t="shared" si="476"/>
        <v>103</v>
      </c>
      <c r="L774" s="1" t="str">
        <f t="shared" si="477"/>
        <v>47</v>
      </c>
      <c r="M774" s="1" t="str">
        <f t="shared" si="478"/>
        <v>0</v>
      </c>
      <c r="N774" s="1" t="str">
        <f t="shared" si="479"/>
        <v>0</v>
      </c>
      <c r="O774" s="1" t="str">
        <f>"10.47"</f>
        <v>10.47</v>
      </c>
    </row>
    <row r="775" s="1" customFormat="1" spans="1:15">
      <c r="A775" s="1" t="str">
        <f t="shared" si="495"/>
        <v>202406</v>
      </c>
      <c r="B775" s="1" t="str">
        <f t="shared" si="496"/>
        <v>150525100</v>
      </c>
      <c r="C775" s="1" t="str">
        <f>"1040710394"</f>
        <v>1040710394</v>
      </c>
      <c r="D775" s="1" t="str">
        <f>"152326195804240040"</f>
        <v>152326195804240040</v>
      </c>
      <c r="E775" s="1" t="s">
        <v>828</v>
      </c>
      <c r="F775" s="1" t="s">
        <v>16</v>
      </c>
      <c r="G775" s="1" t="s">
        <v>19</v>
      </c>
      <c r="H775" s="1" t="str">
        <f>"66"</f>
        <v>66</v>
      </c>
      <c r="I775" s="1" t="str">
        <f>"156.56"</f>
        <v>156.56</v>
      </c>
      <c r="J775" s="1" t="str">
        <f t="shared" si="481"/>
        <v>0</v>
      </c>
      <c r="K775" s="1" t="str">
        <f t="shared" si="476"/>
        <v>103</v>
      </c>
      <c r="L775" s="1" t="str">
        <f t="shared" si="477"/>
        <v>47</v>
      </c>
      <c r="M775" s="1" t="str">
        <f t="shared" si="478"/>
        <v>0</v>
      </c>
      <c r="N775" s="1" t="str">
        <f t="shared" si="479"/>
        <v>0</v>
      </c>
      <c r="O775" s="1" t="str">
        <f>"6.56"</f>
        <v>6.56</v>
      </c>
    </row>
    <row r="776" s="1" customFormat="1" spans="1:15">
      <c r="A776" s="1" t="str">
        <f t="shared" si="495"/>
        <v>202406</v>
      </c>
      <c r="B776" s="1" t="str">
        <f t="shared" si="496"/>
        <v>150525100</v>
      </c>
      <c r="C776" s="1" t="str">
        <f>"1040647926"</f>
        <v>1040647926</v>
      </c>
      <c r="D776" s="1" t="str">
        <f>"152326196203210713"</f>
        <v>152326196203210713</v>
      </c>
      <c r="E776" s="1" t="s">
        <v>829</v>
      </c>
      <c r="F776" s="1" t="s">
        <v>25</v>
      </c>
      <c r="G776" s="1" t="s">
        <v>17</v>
      </c>
      <c r="H776" s="1" t="str">
        <f>"62"</f>
        <v>62</v>
      </c>
      <c r="I776" s="1" t="str">
        <f>"162.32"</f>
        <v>162.32</v>
      </c>
      <c r="J776" s="1" t="str">
        <f t="shared" si="481"/>
        <v>0</v>
      </c>
      <c r="K776" s="1" t="str">
        <f t="shared" si="476"/>
        <v>103</v>
      </c>
      <c r="L776" s="1" t="str">
        <f t="shared" si="477"/>
        <v>47</v>
      </c>
      <c r="M776" s="1" t="str">
        <f t="shared" si="478"/>
        <v>0</v>
      </c>
      <c r="N776" s="1" t="str">
        <f t="shared" si="479"/>
        <v>0</v>
      </c>
      <c r="O776" s="1" t="str">
        <f>"12.32"</f>
        <v>12.32</v>
      </c>
    </row>
    <row r="777" s="1" customFormat="1" spans="1:15">
      <c r="A777" s="1" t="str">
        <f t="shared" si="495"/>
        <v>202406</v>
      </c>
      <c r="B777" s="1" t="str">
        <f t="shared" si="496"/>
        <v>150525100</v>
      </c>
      <c r="C777" s="1" t="str">
        <f>"1040647945"</f>
        <v>1040647945</v>
      </c>
      <c r="D777" s="1" t="str">
        <f>"152326195610250670"</f>
        <v>152326195610250670</v>
      </c>
      <c r="E777" s="1" t="s">
        <v>830</v>
      </c>
      <c r="F777" s="1" t="s">
        <v>25</v>
      </c>
      <c r="G777" s="1" t="s">
        <v>17</v>
      </c>
      <c r="H777" s="1" t="str">
        <f t="shared" ref="H777:H782" si="497">"68"</f>
        <v>68</v>
      </c>
      <c r="I777" s="1" t="str">
        <f>"155.43"</f>
        <v>155.43</v>
      </c>
      <c r="J777" s="1" t="str">
        <f t="shared" si="481"/>
        <v>0</v>
      </c>
      <c r="K777" s="1" t="str">
        <f t="shared" ref="K777:K831" si="498">"103"</f>
        <v>103</v>
      </c>
      <c r="L777" s="1" t="str">
        <f t="shared" ref="L777:L831" si="499">"47"</f>
        <v>47</v>
      </c>
      <c r="M777" s="1" t="str">
        <f t="shared" si="478"/>
        <v>0</v>
      </c>
      <c r="N777" s="1" t="str">
        <f t="shared" si="479"/>
        <v>0</v>
      </c>
      <c r="O777" s="1" t="str">
        <f>"5.43"</f>
        <v>5.43</v>
      </c>
    </row>
    <row r="778" s="1" customFormat="1" spans="1:15">
      <c r="A778" s="1" t="str">
        <f t="shared" si="495"/>
        <v>202406</v>
      </c>
      <c r="B778" s="1" t="str">
        <f t="shared" si="496"/>
        <v>150525100</v>
      </c>
      <c r="C778" s="1" t="str">
        <f>"1040647955"</f>
        <v>1040647955</v>
      </c>
      <c r="D778" s="1" t="str">
        <f>"152326196301110660"</f>
        <v>152326196301110660</v>
      </c>
      <c r="E778" s="1" t="s">
        <v>831</v>
      </c>
      <c r="F778" s="1" t="s">
        <v>16</v>
      </c>
      <c r="G778" s="1" t="s">
        <v>17</v>
      </c>
      <c r="H778" s="1" t="str">
        <f t="shared" ref="H778:H781" si="500">"61"</f>
        <v>61</v>
      </c>
      <c r="I778" s="1" t="str">
        <f>"164.28"</f>
        <v>164.28</v>
      </c>
      <c r="J778" s="1" t="str">
        <f t="shared" si="481"/>
        <v>0</v>
      </c>
      <c r="K778" s="1" t="str">
        <f t="shared" si="498"/>
        <v>103</v>
      </c>
      <c r="L778" s="1" t="str">
        <f t="shared" si="499"/>
        <v>47</v>
      </c>
      <c r="M778" s="1" t="str">
        <f t="shared" si="478"/>
        <v>0</v>
      </c>
      <c r="N778" s="1" t="str">
        <f t="shared" si="479"/>
        <v>0</v>
      </c>
      <c r="O778" s="1" t="str">
        <f>"14.28"</f>
        <v>14.28</v>
      </c>
    </row>
    <row r="779" s="1" customFormat="1" spans="1:15">
      <c r="A779" s="1" t="str">
        <f t="shared" si="495"/>
        <v>202406</v>
      </c>
      <c r="B779" s="1" t="str">
        <f t="shared" si="496"/>
        <v>150525100</v>
      </c>
      <c r="C779" s="1" t="str">
        <f>"1040762712"</f>
        <v>1040762712</v>
      </c>
      <c r="D779" s="1" t="str">
        <f>"152326195603160693"</f>
        <v>152326195603160693</v>
      </c>
      <c r="E779" s="1" t="s">
        <v>832</v>
      </c>
      <c r="F779" s="1" t="s">
        <v>25</v>
      </c>
      <c r="G779" s="1" t="s">
        <v>19</v>
      </c>
      <c r="H779" s="1" t="str">
        <f t="shared" si="497"/>
        <v>68</v>
      </c>
      <c r="I779" s="1" t="str">
        <f>"154.54"</f>
        <v>154.54</v>
      </c>
      <c r="J779" s="1" t="str">
        <f t="shared" si="481"/>
        <v>0</v>
      </c>
      <c r="K779" s="1" t="str">
        <f t="shared" si="498"/>
        <v>103</v>
      </c>
      <c r="L779" s="1" t="str">
        <f t="shared" si="499"/>
        <v>47</v>
      </c>
      <c r="M779" s="1" t="str">
        <f t="shared" si="478"/>
        <v>0</v>
      </c>
      <c r="N779" s="1" t="str">
        <f t="shared" si="479"/>
        <v>0</v>
      </c>
      <c r="O779" s="1" t="str">
        <f>"4.54"</f>
        <v>4.54</v>
      </c>
    </row>
    <row r="780" s="1" customFormat="1" spans="1:15">
      <c r="A780" s="1" t="str">
        <f t="shared" si="495"/>
        <v>202406</v>
      </c>
      <c r="B780" s="1" t="str">
        <f t="shared" si="496"/>
        <v>150525100</v>
      </c>
      <c r="C780" s="1" t="str">
        <f>"1040688389"</f>
        <v>1040688389</v>
      </c>
      <c r="D780" s="1" t="str">
        <f>"152326196307103824"</f>
        <v>152326196307103824</v>
      </c>
      <c r="E780" s="1" t="s">
        <v>681</v>
      </c>
      <c r="F780" s="1" t="s">
        <v>16</v>
      </c>
      <c r="G780" s="1" t="s">
        <v>17</v>
      </c>
      <c r="H780" s="1" t="str">
        <f t="shared" si="500"/>
        <v>61</v>
      </c>
      <c r="I780" s="1" t="str">
        <f>"163.37"</f>
        <v>163.37</v>
      </c>
      <c r="J780" s="1" t="str">
        <f t="shared" si="481"/>
        <v>0</v>
      </c>
      <c r="K780" s="1" t="str">
        <f t="shared" si="498"/>
        <v>103</v>
      </c>
      <c r="L780" s="1" t="str">
        <f t="shared" si="499"/>
        <v>47</v>
      </c>
      <c r="M780" s="1" t="str">
        <f t="shared" ref="M780:M843" si="501">"0"</f>
        <v>0</v>
      </c>
      <c r="N780" s="1" t="str">
        <f t="shared" ref="N780:N843" si="502">"0"</f>
        <v>0</v>
      </c>
      <c r="O780" s="1" t="str">
        <f>"13.37"</f>
        <v>13.37</v>
      </c>
    </row>
    <row r="781" s="1" customFormat="1" spans="1:15">
      <c r="A781" s="1" t="str">
        <f t="shared" si="495"/>
        <v>202406</v>
      </c>
      <c r="B781" s="1" t="str">
        <f t="shared" si="496"/>
        <v>150525100</v>
      </c>
      <c r="C781" s="1" t="str">
        <f>"1040688398"</f>
        <v>1040688398</v>
      </c>
      <c r="D781" s="1" t="str">
        <f>"152326196303103843"</f>
        <v>152326196303103843</v>
      </c>
      <c r="E781" s="1" t="s">
        <v>833</v>
      </c>
      <c r="F781" s="1" t="s">
        <v>16</v>
      </c>
      <c r="G781" s="1" t="s">
        <v>17</v>
      </c>
      <c r="H781" s="1" t="str">
        <f t="shared" si="500"/>
        <v>61</v>
      </c>
      <c r="I781" s="1" t="str">
        <f>"162.92"</f>
        <v>162.92</v>
      </c>
      <c r="J781" s="1" t="str">
        <f t="shared" si="481"/>
        <v>0</v>
      </c>
      <c r="K781" s="1" t="str">
        <f t="shared" si="498"/>
        <v>103</v>
      </c>
      <c r="L781" s="1" t="str">
        <f t="shared" si="499"/>
        <v>47</v>
      </c>
      <c r="M781" s="1" t="str">
        <f t="shared" si="501"/>
        <v>0</v>
      </c>
      <c r="N781" s="1" t="str">
        <f t="shared" si="502"/>
        <v>0</v>
      </c>
      <c r="O781" s="1" t="str">
        <f>"12.92"</f>
        <v>12.92</v>
      </c>
    </row>
    <row r="782" s="1" customFormat="1" spans="1:15">
      <c r="A782" s="1" t="str">
        <f t="shared" si="495"/>
        <v>202406</v>
      </c>
      <c r="B782" s="1" t="str">
        <f t="shared" si="496"/>
        <v>150525100</v>
      </c>
      <c r="C782" s="1" t="str">
        <f>"1040648007"</f>
        <v>1040648007</v>
      </c>
      <c r="D782" s="1" t="str">
        <f>"152326195601280413"</f>
        <v>152326195601280413</v>
      </c>
      <c r="E782" s="1" t="s">
        <v>834</v>
      </c>
      <c r="F782" s="1" t="s">
        <v>25</v>
      </c>
      <c r="G782" s="1" t="s">
        <v>17</v>
      </c>
      <c r="H782" s="1" t="str">
        <f t="shared" si="497"/>
        <v>68</v>
      </c>
      <c r="I782" s="1" t="str">
        <f>"155.37"</f>
        <v>155.37</v>
      </c>
      <c r="J782" s="1" t="str">
        <f t="shared" si="481"/>
        <v>0</v>
      </c>
      <c r="K782" s="1" t="str">
        <f t="shared" si="498"/>
        <v>103</v>
      </c>
      <c r="L782" s="1" t="str">
        <f t="shared" si="499"/>
        <v>47</v>
      </c>
      <c r="M782" s="1" t="str">
        <f t="shared" si="501"/>
        <v>0</v>
      </c>
      <c r="N782" s="1" t="str">
        <f t="shared" si="502"/>
        <v>0</v>
      </c>
      <c r="O782" s="1" t="str">
        <f>"5.37"</f>
        <v>5.37</v>
      </c>
    </row>
    <row r="783" s="1" customFormat="1" spans="1:15">
      <c r="A783" s="1" t="str">
        <f t="shared" si="495"/>
        <v>202406</v>
      </c>
      <c r="B783" s="1" t="str">
        <f t="shared" si="496"/>
        <v>150525100</v>
      </c>
      <c r="C783" s="1" t="str">
        <f>"1040648023"</f>
        <v>1040648023</v>
      </c>
      <c r="D783" s="1" t="str">
        <f>"152326195707100441"</f>
        <v>152326195707100441</v>
      </c>
      <c r="E783" s="1" t="s">
        <v>835</v>
      </c>
      <c r="F783" s="1" t="s">
        <v>16</v>
      </c>
      <c r="G783" s="1" t="s">
        <v>17</v>
      </c>
      <c r="H783" s="1" t="str">
        <f>"67"</f>
        <v>67</v>
      </c>
      <c r="I783" s="1" t="str">
        <f>"155.49"</f>
        <v>155.49</v>
      </c>
      <c r="J783" s="1" t="str">
        <f t="shared" si="481"/>
        <v>0</v>
      </c>
      <c r="K783" s="1" t="str">
        <f t="shared" si="498"/>
        <v>103</v>
      </c>
      <c r="L783" s="1" t="str">
        <f t="shared" si="499"/>
        <v>47</v>
      </c>
      <c r="M783" s="1" t="str">
        <f t="shared" si="501"/>
        <v>0</v>
      </c>
      <c r="N783" s="1" t="str">
        <f t="shared" si="502"/>
        <v>0</v>
      </c>
      <c r="O783" s="1" t="str">
        <f>"5.49"</f>
        <v>5.49</v>
      </c>
    </row>
    <row r="784" s="1" customFormat="1" spans="1:15">
      <c r="A784" s="1" t="str">
        <f t="shared" si="495"/>
        <v>202406</v>
      </c>
      <c r="B784" s="1" t="str">
        <f t="shared" si="496"/>
        <v>150525100</v>
      </c>
      <c r="C784" s="1" t="str">
        <f>"1040738224"</f>
        <v>1040738224</v>
      </c>
      <c r="D784" s="1" t="str">
        <f>"152326195811120047"</f>
        <v>152326195811120047</v>
      </c>
      <c r="E784" s="1" t="s">
        <v>836</v>
      </c>
      <c r="F784" s="1" t="s">
        <v>16</v>
      </c>
      <c r="G784" s="1" t="s">
        <v>17</v>
      </c>
      <c r="H784" s="1" t="str">
        <f>"66"</f>
        <v>66</v>
      </c>
      <c r="I784" s="1" t="str">
        <f>"155.62"</f>
        <v>155.62</v>
      </c>
      <c r="J784" s="1" t="str">
        <f t="shared" si="481"/>
        <v>0</v>
      </c>
      <c r="K784" s="1" t="str">
        <f t="shared" si="498"/>
        <v>103</v>
      </c>
      <c r="L784" s="1" t="str">
        <f t="shared" si="499"/>
        <v>47</v>
      </c>
      <c r="M784" s="1" t="str">
        <f t="shared" si="501"/>
        <v>0</v>
      </c>
      <c r="N784" s="1" t="str">
        <f t="shared" si="502"/>
        <v>0</v>
      </c>
      <c r="O784" s="1" t="str">
        <f>"5.62"</f>
        <v>5.62</v>
      </c>
    </row>
    <row r="785" s="1" customFormat="1" spans="1:15">
      <c r="A785" s="1" t="str">
        <f t="shared" si="495"/>
        <v>202406</v>
      </c>
      <c r="B785" s="1" t="str">
        <f t="shared" si="496"/>
        <v>150525100</v>
      </c>
      <c r="C785" s="1" t="str">
        <f>"1040728956"</f>
        <v>1040728956</v>
      </c>
      <c r="D785" s="1" t="str">
        <f>"152326195610240675"</f>
        <v>152326195610240675</v>
      </c>
      <c r="E785" s="1" t="s">
        <v>837</v>
      </c>
      <c r="F785" s="1" t="s">
        <v>25</v>
      </c>
      <c r="G785" s="1" t="s">
        <v>17</v>
      </c>
      <c r="H785" s="1" t="str">
        <f t="shared" ref="H785:H789" si="503">"68"</f>
        <v>68</v>
      </c>
      <c r="I785" s="1" t="str">
        <f>"154.54"</f>
        <v>154.54</v>
      </c>
      <c r="J785" s="1" t="str">
        <f t="shared" si="481"/>
        <v>0</v>
      </c>
      <c r="K785" s="1" t="str">
        <f t="shared" si="498"/>
        <v>103</v>
      </c>
      <c r="L785" s="1" t="str">
        <f t="shared" si="499"/>
        <v>47</v>
      </c>
      <c r="M785" s="1" t="str">
        <f t="shared" si="501"/>
        <v>0</v>
      </c>
      <c r="N785" s="1" t="str">
        <f t="shared" si="502"/>
        <v>0</v>
      </c>
      <c r="O785" s="1" t="str">
        <f>"4.54"</f>
        <v>4.54</v>
      </c>
    </row>
    <row r="786" s="1" customFormat="1" spans="1:15">
      <c r="A786" s="1" t="str">
        <f t="shared" si="495"/>
        <v>202406</v>
      </c>
      <c r="B786" s="1" t="str">
        <f t="shared" si="496"/>
        <v>150525100</v>
      </c>
      <c r="C786" s="1" t="str">
        <f>"1040654465"</f>
        <v>1040654465</v>
      </c>
      <c r="D786" s="1" t="s">
        <v>838</v>
      </c>
      <c r="E786" s="1" t="s">
        <v>839</v>
      </c>
      <c r="F786" s="1" t="s">
        <v>25</v>
      </c>
      <c r="G786" s="1" t="s">
        <v>17</v>
      </c>
      <c r="H786" s="1" t="str">
        <f t="shared" si="503"/>
        <v>68</v>
      </c>
      <c r="I786" s="1" t="str">
        <f>"154.56"</f>
        <v>154.56</v>
      </c>
      <c r="J786" s="1" t="str">
        <f t="shared" si="481"/>
        <v>0</v>
      </c>
      <c r="K786" s="1" t="str">
        <f t="shared" si="498"/>
        <v>103</v>
      </c>
      <c r="L786" s="1" t="str">
        <f t="shared" si="499"/>
        <v>47</v>
      </c>
      <c r="M786" s="1" t="str">
        <f t="shared" si="501"/>
        <v>0</v>
      </c>
      <c r="N786" s="1" t="str">
        <f t="shared" si="502"/>
        <v>0</v>
      </c>
      <c r="O786" s="1" t="str">
        <f>"4.56"</f>
        <v>4.56</v>
      </c>
    </row>
    <row r="787" s="1" customFormat="1" spans="1:15">
      <c r="A787" s="1" t="str">
        <f t="shared" si="495"/>
        <v>202406</v>
      </c>
      <c r="B787" s="1" t="str">
        <f t="shared" si="496"/>
        <v>150525100</v>
      </c>
      <c r="C787" s="1" t="str">
        <f>"1040653026"</f>
        <v>1040653026</v>
      </c>
      <c r="D787" s="1" t="str">
        <f>"152326196101093085"</f>
        <v>152326196101093085</v>
      </c>
      <c r="E787" s="1" t="s">
        <v>840</v>
      </c>
      <c r="F787" s="1" t="s">
        <v>16</v>
      </c>
      <c r="G787" s="1" t="s">
        <v>19</v>
      </c>
      <c r="H787" s="1" t="str">
        <f>"63"</f>
        <v>63</v>
      </c>
      <c r="I787" s="1" t="str">
        <f>"159.71"</f>
        <v>159.71</v>
      </c>
      <c r="J787" s="1" t="str">
        <f t="shared" si="481"/>
        <v>0</v>
      </c>
      <c r="K787" s="1" t="str">
        <f t="shared" si="498"/>
        <v>103</v>
      </c>
      <c r="L787" s="1" t="str">
        <f t="shared" si="499"/>
        <v>47</v>
      </c>
      <c r="M787" s="1" t="str">
        <f t="shared" si="501"/>
        <v>0</v>
      </c>
      <c r="N787" s="1" t="str">
        <f t="shared" si="502"/>
        <v>0</v>
      </c>
      <c r="O787" s="1" t="str">
        <f>"9.71"</f>
        <v>9.71</v>
      </c>
    </row>
    <row r="788" s="1" customFormat="1" spans="1:15">
      <c r="A788" s="1" t="str">
        <f t="shared" si="495"/>
        <v>202406</v>
      </c>
      <c r="B788" s="1" t="str">
        <f t="shared" si="496"/>
        <v>150525100</v>
      </c>
      <c r="C788" s="1" t="str">
        <f>"1040653059"</f>
        <v>1040653059</v>
      </c>
      <c r="D788" s="1" t="str">
        <f>"152326195407273316"</f>
        <v>152326195407273316</v>
      </c>
      <c r="E788" s="1" t="s">
        <v>841</v>
      </c>
      <c r="F788" s="1" t="s">
        <v>25</v>
      </c>
      <c r="G788" s="1" t="s">
        <v>17</v>
      </c>
      <c r="H788" s="1" t="str">
        <f>"70"</f>
        <v>70</v>
      </c>
      <c r="I788" s="1" t="str">
        <f>"153.56"</f>
        <v>153.56</v>
      </c>
      <c r="J788" s="1" t="str">
        <f t="shared" ref="J788:J831" si="504">"0"</f>
        <v>0</v>
      </c>
      <c r="K788" s="1" t="str">
        <f t="shared" si="498"/>
        <v>103</v>
      </c>
      <c r="L788" s="1" t="str">
        <f t="shared" si="499"/>
        <v>47</v>
      </c>
      <c r="M788" s="1" t="str">
        <f t="shared" si="501"/>
        <v>0</v>
      </c>
      <c r="N788" s="1" t="str">
        <f t="shared" si="502"/>
        <v>0</v>
      </c>
      <c r="O788" s="1" t="str">
        <f>"3.56"</f>
        <v>3.56</v>
      </c>
    </row>
    <row r="789" s="1" customFormat="1" spans="1:15">
      <c r="A789" s="1" t="str">
        <f t="shared" si="495"/>
        <v>202406</v>
      </c>
      <c r="B789" s="1" t="str">
        <f t="shared" si="496"/>
        <v>150525100</v>
      </c>
      <c r="C789" s="1" t="str">
        <f>"1040688429"</f>
        <v>1040688429</v>
      </c>
      <c r="D789" s="1" t="str">
        <f>"152326195604100449"</f>
        <v>152326195604100449</v>
      </c>
      <c r="E789" s="1" t="s">
        <v>842</v>
      </c>
      <c r="F789" s="1" t="s">
        <v>16</v>
      </c>
      <c r="G789" s="1" t="s">
        <v>17</v>
      </c>
      <c r="H789" s="1" t="str">
        <f t="shared" si="503"/>
        <v>68</v>
      </c>
      <c r="I789" s="1" t="str">
        <f>"154.84"</f>
        <v>154.84</v>
      </c>
      <c r="J789" s="1" t="str">
        <f t="shared" si="504"/>
        <v>0</v>
      </c>
      <c r="K789" s="1" t="str">
        <f t="shared" si="498"/>
        <v>103</v>
      </c>
      <c r="L789" s="1" t="str">
        <f t="shared" si="499"/>
        <v>47</v>
      </c>
      <c r="M789" s="1" t="str">
        <f t="shared" si="501"/>
        <v>0</v>
      </c>
      <c r="N789" s="1" t="str">
        <f t="shared" si="502"/>
        <v>0</v>
      </c>
      <c r="O789" s="1" t="str">
        <f>"4.84"</f>
        <v>4.84</v>
      </c>
    </row>
    <row r="790" s="1" customFormat="1" spans="1:15">
      <c r="A790" s="1" t="str">
        <f t="shared" si="495"/>
        <v>202406</v>
      </c>
      <c r="B790" s="1" t="str">
        <f t="shared" si="496"/>
        <v>150525100</v>
      </c>
      <c r="C790" s="1" t="str">
        <f>"1040648067"</f>
        <v>1040648067</v>
      </c>
      <c r="D790" s="1" t="str">
        <f>"152326196001040410"</f>
        <v>152326196001040410</v>
      </c>
      <c r="E790" s="1" t="s">
        <v>843</v>
      </c>
      <c r="F790" s="1" t="s">
        <v>25</v>
      </c>
      <c r="G790" s="1" t="s">
        <v>19</v>
      </c>
      <c r="H790" s="1" t="str">
        <f>"65"</f>
        <v>65</v>
      </c>
      <c r="I790" s="1" t="str">
        <f>"158.55"</f>
        <v>158.55</v>
      </c>
      <c r="J790" s="1" t="str">
        <f t="shared" si="504"/>
        <v>0</v>
      </c>
      <c r="K790" s="1" t="str">
        <f t="shared" si="498"/>
        <v>103</v>
      </c>
      <c r="L790" s="1" t="str">
        <f t="shared" si="499"/>
        <v>47</v>
      </c>
      <c r="M790" s="1" t="str">
        <f t="shared" si="501"/>
        <v>0</v>
      </c>
      <c r="N790" s="1" t="str">
        <f t="shared" si="502"/>
        <v>0</v>
      </c>
      <c r="O790" s="1" t="str">
        <f>"8.55"</f>
        <v>8.55</v>
      </c>
    </row>
    <row r="791" s="1" customFormat="1" spans="1:15">
      <c r="A791" s="1" t="str">
        <f t="shared" si="495"/>
        <v>202406</v>
      </c>
      <c r="B791" s="1" t="str">
        <f t="shared" si="496"/>
        <v>150525100</v>
      </c>
      <c r="C791" s="1" t="str">
        <f>"1040654442"</f>
        <v>1040654442</v>
      </c>
      <c r="D791" s="1" t="str">
        <f>"152326195709303322"</f>
        <v>152326195709303322</v>
      </c>
      <c r="E791" s="1" t="s">
        <v>844</v>
      </c>
      <c r="F791" s="1" t="s">
        <v>16</v>
      </c>
      <c r="G791" s="1" t="s">
        <v>17</v>
      </c>
      <c r="H791" s="1" t="str">
        <f>"67"</f>
        <v>67</v>
      </c>
      <c r="I791" s="1" t="str">
        <f>"154.59"</f>
        <v>154.59</v>
      </c>
      <c r="J791" s="1" t="str">
        <f t="shared" si="504"/>
        <v>0</v>
      </c>
      <c r="K791" s="1" t="str">
        <f t="shared" si="498"/>
        <v>103</v>
      </c>
      <c r="L791" s="1" t="str">
        <f t="shared" si="499"/>
        <v>47</v>
      </c>
      <c r="M791" s="1" t="str">
        <f t="shared" si="501"/>
        <v>0</v>
      </c>
      <c r="N791" s="1" t="str">
        <f t="shared" si="502"/>
        <v>0</v>
      </c>
      <c r="O791" s="1" t="str">
        <f>"4.59"</f>
        <v>4.59</v>
      </c>
    </row>
    <row r="792" s="1" customFormat="1" spans="1:15">
      <c r="A792" s="1" t="str">
        <f t="shared" si="495"/>
        <v>202406</v>
      </c>
      <c r="B792" s="1" t="str">
        <f t="shared" si="496"/>
        <v>150525100</v>
      </c>
      <c r="C792" s="1" t="str">
        <f>"1040688495"</f>
        <v>1040688495</v>
      </c>
      <c r="D792" s="1" t="str">
        <f>"152326195503120424"</f>
        <v>152326195503120424</v>
      </c>
      <c r="E792" s="1" t="s">
        <v>845</v>
      </c>
      <c r="F792" s="1" t="s">
        <v>16</v>
      </c>
      <c r="G792" s="1" t="s">
        <v>17</v>
      </c>
      <c r="H792" s="1" t="str">
        <f>"69"</f>
        <v>69</v>
      </c>
      <c r="I792" s="1" t="str">
        <f>"153.96"</f>
        <v>153.96</v>
      </c>
      <c r="J792" s="1" t="str">
        <f t="shared" si="504"/>
        <v>0</v>
      </c>
      <c r="K792" s="1" t="str">
        <f t="shared" si="498"/>
        <v>103</v>
      </c>
      <c r="L792" s="1" t="str">
        <f t="shared" si="499"/>
        <v>47</v>
      </c>
      <c r="M792" s="1" t="str">
        <f t="shared" si="501"/>
        <v>0</v>
      </c>
      <c r="N792" s="1" t="str">
        <f t="shared" si="502"/>
        <v>0</v>
      </c>
      <c r="O792" s="1" t="str">
        <f>"3.96"</f>
        <v>3.96</v>
      </c>
    </row>
    <row r="793" s="1" customFormat="1" spans="1:15">
      <c r="A793" s="1" t="str">
        <f t="shared" si="495"/>
        <v>202406</v>
      </c>
      <c r="B793" s="1" t="str">
        <f t="shared" si="496"/>
        <v>150525100</v>
      </c>
      <c r="C793" s="1" t="str">
        <f>"1040688496"</f>
        <v>1040688496</v>
      </c>
      <c r="D793" s="1" t="str">
        <f>"152326195306100416"</f>
        <v>152326195306100416</v>
      </c>
      <c r="E793" s="1" t="s">
        <v>846</v>
      </c>
      <c r="F793" s="1" t="s">
        <v>25</v>
      </c>
      <c r="G793" s="1" t="s">
        <v>17</v>
      </c>
      <c r="H793" s="1" t="str">
        <f>"71"</f>
        <v>71</v>
      </c>
      <c r="I793" s="1" t="str">
        <f>"162.25"</f>
        <v>162.25</v>
      </c>
      <c r="J793" s="1" t="str">
        <f t="shared" si="504"/>
        <v>0</v>
      </c>
      <c r="K793" s="1" t="str">
        <f t="shared" si="498"/>
        <v>103</v>
      </c>
      <c r="L793" s="1" t="str">
        <f t="shared" si="499"/>
        <v>47</v>
      </c>
      <c r="M793" s="1" t="str">
        <f t="shared" si="501"/>
        <v>0</v>
      </c>
      <c r="N793" s="1" t="str">
        <f t="shared" si="502"/>
        <v>0</v>
      </c>
      <c r="O793" s="1" t="str">
        <f>"2.25"</f>
        <v>2.25</v>
      </c>
    </row>
    <row r="794" s="1" customFormat="1" spans="1:15">
      <c r="A794" s="1" t="str">
        <f t="shared" si="495"/>
        <v>202406</v>
      </c>
      <c r="B794" s="1" t="str">
        <f t="shared" si="496"/>
        <v>150525100</v>
      </c>
      <c r="C794" s="1" t="str">
        <f>"1040688521"</f>
        <v>1040688521</v>
      </c>
      <c r="D794" s="1" t="s">
        <v>847</v>
      </c>
      <c r="E794" s="1" t="s">
        <v>848</v>
      </c>
      <c r="F794" s="1" t="s">
        <v>16</v>
      </c>
      <c r="G794" s="1" t="s">
        <v>17</v>
      </c>
      <c r="H794" s="1" t="str">
        <f>"72"</f>
        <v>72</v>
      </c>
      <c r="I794" s="1" t="str">
        <f>"161.5"</f>
        <v>161.5</v>
      </c>
      <c r="J794" s="1" t="str">
        <f t="shared" si="504"/>
        <v>0</v>
      </c>
      <c r="K794" s="1" t="str">
        <f t="shared" si="498"/>
        <v>103</v>
      </c>
      <c r="L794" s="1" t="str">
        <f t="shared" si="499"/>
        <v>47</v>
      </c>
      <c r="M794" s="1" t="str">
        <f t="shared" si="501"/>
        <v>0</v>
      </c>
      <c r="N794" s="1" t="str">
        <f t="shared" si="502"/>
        <v>0</v>
      </c>
      <c r="O794" s="1" t="str">
        <f>"1.5"</f>
        <v>1.5</v>
      </c>
    </row>
    <row r="795" s="1" customFormat="1" spans="1:15">
      <c r="A795" s="1" t="str">
        <f t="shared" si="495"/>
        <v>202406</v>
      </c>
      <c r="B795" s="1" t="str">
        <f t="shared" si="496"/>
        <v>150525100</v>
      </c>
      <c r="C795" s="1" t="str">
        <f>"1040646827"</f>
        <v>1040646827</v>
      </c>
      <c r="D795" s="1" t="str">
        <f>"152326196209010413"</f>
        <v>152326196209010413</v>
      </c>
      <c r="E795" s="1" t="s">
        <v>849</v>
      </c>
      <c r="F795" s="1" t="s">
        <v>25</v>
      </c>
      <c r="G795" s="1" t="s">
        <v>17</v>
      </c>
      <c r="H795" s="1" t="str">
        <f>"62"</f>
        <v>62</v>
      </c>
      <c r="I795" s="1" t="str">
        <f>"162.49"</f>
        <v>162.49</v>
      </c>
      <c r="J795" s="1" t="str">
        <f t="shared" si="504"/>
        <v>0</v>
      </c>
      <c r="K795" s="1" t="str">
        <f t="shared" si="498"/>
        <v>103</v>
      </c>
      <c r="L795" s="1" t="str">
        <f t="shared" si="499"/>
        <v>47</v>
      </c>
      <c r="M795" s="1" t="str">
        <f t="shared" si="501"/>
        <v>0</v>
      </c>
      <c r="N795" s="1" t="str">
        <f t="shared" si="502"/>
        <v>0</v>
      </c>
      <c r="O795" s="1" t="str">
        <f>"12.49"</f>
        <v>12.49</v>
      </c>
    </row>
    <row r="796" s="1" customFormat="1" spans="1:15">
      <c r="A796" s="1" t="str">
        <f t="shared" si="495"/>
        <v>202406</v>
      </c>
      <c r="B796" s="1" t="str">
        <f t="shared" si="496"/>
        <v>150525100</v>
      </c>
      <c r="C796" s="1" t="str">
        <f>"1040646858"</f>
        <v>1040646858</v>
      </c>
      <c r="D796" s="1" t="str">
        <f>"152326196310070410"</f>
        <v>152326196310070410</v>
      </c>
      <c r="E796" s="1" t="s">
        <v>850</v>
      </c>
      <c r="F796" s="1" t="s">
        <v>25</v>
      </c>
      <c r="G796" s="1" t="s">
        <v>17</v>
      </c>
      <c r="H796" s="1" t="str">
        <f>"61"</f>
        <v>61</v>
      </c>
      <c r="I796" s="1" t="str">
        <f>"164.44"</f>
        <v>164.44</v>
      </c>
      <c r="J796" s="1" t="str">
        <f t="shared" si="504"/>
        <v>0</v>
      </c>
      <c r="K796" s="1" t="str">
        <f t="shared" si="498"/>
        <v>103</v>
      </c>
      <c r="L796" s="1" t="str">
        <f t="shared" si="499"/>
        <v>47</v>
      </c>
      <c r="M796" s="1" t="str">
        <f t="shared" si="501"/>
        <v>0</v>
      </c>
      <c r="N796" s="1" t="str">
        <f t="shared" si="502"/>
        <v>0</v>
      </c>
      <c r="O796" s="1" t="str">
        <f>"14.44"</f>
        <v>14.44</v>
      </c>
    </row>
    <row r="797" s="1" customFormat="1" spans="1:15">
      <c r="A797" s="1" t="str">
        <f t="shared" si="495"/>
        <v>202406</v>
      </c>
      <c r="B797" s="1" t="str">
        <f t="shared" si="496"/>
        <v>150525100</v>
      </c>
      <c r="C797" s="1" t="str">
        <f>"1040653150"</f>
        <v>1040653150</v>
      </c>
      <c r="D797" s="1" t="str">
        <f>"152326195509273819"</f>
        <v>152326195509273819</v>
      </c>
      <c r="E797" s="1" t="s">
        <v>851</v>
      </c>
      <c r="F797" s="1" t="s">
        <v>25</v>
      </c>
      <c r="G797" s="1" t="s">
        <v>17</v>
      </c>
      <c r="H797" s="1" t="str">
        <f>"69"</f>
        <v>69</v>
      </c>
      <c r="I797" s="1" t="str">
        <f>"154.51"</f>
        <v>154.51</v>
      </c>
      <c r="J797" s="1" t="str">
        <f t="shared" si="504"/>
        <v>0</v>
      </c>
      <c r="K797" s="1" t="str">
        <f t="shared" si="498"/>
        <v>103</v>
      </c>
      <c r="L797" s="1" t="str">
        <f t="shared" si="499"/>
        <v>47</v>
      </c>
      <c r="M797" s="1" t="str">
        <f t="shared" si="501"/>
        <v>0</v>
      </c>
      <c r="N797" s="1" t="str">
        <f t="shared" si="502"/>
        <v>0</v>
      </c>
      <c r="O797" s="1" t="str">
        <f>"4.51"</f>
        <v>4.51</v>
      </c>
    </row>
    <row r="798" s="1" customFormat="1" spans="1:15">
      <c r="A798" s="1" t="str">
        <f t="shared" si="495"/>
        <v>202406</v>
      </c>
      <c r="B798" s="1" t="str">
        <f t="shared" si="496"/>
        <v>150525100</v>
      </c>
      <c r="C798" s="1" t="str">
        <f>"1040653238"</f>
        <v>1040653238</v>
      </c>
      <c r="D798" s="1" t="str">
        <f>"152326196402123313"</f>
        <v>152326196402123313</v>
      </c>
      <c r="E798" s="1" t="s">
        <v>852</v>
      </c>
      <c r="F798" s="1" t="s">
        <v>25</v>
      </c>
      <c r="G798" s="1" t="s">
        <v>17</v>
      </c>
      <c r="H798" s="1" t="str">
        <f>"60"</f>
        <v>60</v>
      </c>
      <c r="I798" s="1" t="str">
        <f>"164.26"</f>
        <v>164.26</v>
      </c>
      <c r="J798" s="1" t="str">
        <f t="shared" si="504"/>
        <v>0</v>
      </c>
      <c r="K798" s="1" t="str">
        <f t="shared" si="498"/>
        <v>103</v>
      </c>
      <c r="L798" s="1" t="str">
        <f t="shared" si="499"/>
        <v>47</v>
      </c>
      <c r="M798" s="1" t="str">
        <f t="shared" si="501"/>
        <v>0</v>
      </c>
      <c r="N798" s="1" t="str">
        <f t="shared" si="502"/>
        <v>0</v>
      </c>
      <c r="O798" s="1" t="str">
        <f>"14.26"</f>
        <v>14.26</v>
      </c>
    </row>
    <row r="799" s="1" customFormat="1" spans="1:15">
      <c r="A799" s="1" t="str">
        <f t="shared" si="495"/>
        <v>202406</v>
      </c>
      <c r="B799" s="1" t="str">
        <f t="shared" si="496"/>
        <v>150525100</v>
      </c>
      <c r="C799" s="1" t="str">
        <f>"1040653256"</f>
        <v>1040653256</v>
      </c>
      <c r="D799" s="1" t="str">
        <f>"152326195610213327"</f>
        <v>152326195610213327</v>
      </c>
      <c r="E799" s="1" t="s">
        <v>853</v>
      </c>
      <c r="F799" s="1" t="s">
        <v>16</v>
      </c>
      <c r="G799" s="1" t="s">
        <v>17</v>
      </c>
      <c r="H799" s="1" t="str">
        <f>"68"</f>
        <v>68</v>
      </c>
      <c r="I799" s="1" t="str">
        <f>"155.44"</f>
        <v>155.44</v>
      </c>
      <c r="J799" s="1" t="str">
        <f t="shared" si="504"/>
        <v>0</v>
      </c>
      <c r="K799" s="1" t="str">
        <f t="shared" si="498"/>
        <v>103</v>
      </c>
      <c r="L799" s="1" t="str">
        <f t="shared" si="499"/>
        <v>47</v>
      </c>
      <c r="M799" s="1" t="str">
        <f t="shared" si="501"/>
        <v>0</v>
      </c>
      <c r="N799" s="1" t="str">
        <f t="shared" si="502"/>
        <v>0</v>
      </c>
      <c r="O799" s="1" t="str">
        <f>"5.44"</f>
        <v>5.44</v>
      </c>
    </row>
    <row r="800" s="1" customFormat="1" spans="1:15">
      <c r="A800" s="1" t="str">
        <f t="shared" si="495"/>
        <v>202406</v>
      </c>
      <c r="B800" s="1" t="str">
        <f t="shared" si="496"/>
        <v>150525100</v>
      </c>
      <c r="C800" s="1" t="str">
        <f>"1040653354"</f>
        <v>1040653354</v>
      </c>
      <c r="D800" s="1" t="str">
        <f>"152326196010053328"</f>
        <v>152326196010053328</v>
      </c>
      <c r="E800" s="1" t="s">
        <v>854</v>
      </c>
      <c r="F800" s="1" t="s">
        <v>16</v>
      </c>
      <c r="G800" s="1" t="s">
        <v>17</v>
      </c>
      <c r="H800" s="1" t="str">
        <f>"64"</f>
        <v>64</v>
      </c>
      <c r="I800" s="1" t="str">
        <f>"158.66"</f>
        <v>158.66</v>
      </c>
      <c r="J800" s="1" t="str">
        <f t="shared" si="504"/>
        <v>0</v>
      </c>
      <c r="K800" s="1" t="str">
        <f t="shared" si="498"/>
        <v>103</v>
      </c>
      <c r="L800" s="1" t="str">
        <f t="shared" si="499"/>
        <v>47</v>
      </c>
      <c r="M800" s="1" t="str">
        <f t="shared" si="501"/>
        <v>0</v>
      </c>
      <c r="N800" s="1" t="str">
        <f t="shared" si="502"/>
        <v>0</v>
      </c>
      <c r="O800" s="1" t="str">
        <f>"8.66"</f>
        <v>8.66</v>
      </c>
    </row>
    <row r="801" s="1" customFormat="1" spans="1:15">
      <c r="A801" s="1" t="str">
        <f t="shared" si="495"/>
        <v>202406</v>
      </c>
      <c r="B801" s="1" t="str">
        <f t="shared" si="496"/>
        <v>150525100</v>
      </c>
      <c r="C801" s="1" t="str">
        <f>"1040653379"</f>
        <v>1040653379</v>
      </c>
      <c r="D801" s="1" t="str">
        <f>"152326195807233313"</f>
        <v>152326195807233313</v>
      </c>
      <c r="E801" s="1" t="s">
        <v>855</v>
      </c>
      <c r="F801" s="1" t="s">
        <v>25</v>
      </c>
      <c r="G801" s="1" t="s">
        <v>17</v>
      </c>
      <c r="H801" s="1" t="str">
        <f t="shared" ref="H801:H804" si="505">"66"</f>
        <v>66</v>
      </c>
      <c r="I801" s="1" t="str">
        <f>"157.49"</f>
        <v>157.49</v>
      </c>
      <c r="J801" s="1" t="str">
        <f t="shared" si="504"/>
        <v>0</v>
      </c>
      <c r="K801" s="1" t="str">
        <f t="shared" si="498"/>
        <v>103</v>
      </c>
      <c r="L801" s="1" t="str">
        <f t="shared" si="499"/>
        <v>47</v>
      </c>
      <c r="M801" s="1" t="str">
        <f t="shared" si="501"/>
        <v>0</v>
      </c>
      <c r="N801" s="1" t="str">
        <f t="shared" si="502"/>
        <v>0</v>
      </c>
      <c r="O801" s="1" t="str">
        <f>"7.49"</f>
        <v>7.49</v>
      </c>
    </row>
    <row r="802" s="1" customFormat="1" spans="1:15">
      <c r="A802" s="1" t="str">
        <f t="shared" si="495"/>
        <v>202406</v>
      </c>
      <c r="B802" s="1" t="str">
        <f t="shared" si="496"/>
        <v>150525100</v>
      </c>
      <c r="C802" s="1" t="str">
        <f>"1040653387"</f>
        <v>1040653387</v>
      </c>
      <c r="D802" s="1" t="str">
        <f>"152326195904103334"</f>
        <v>152326195904103334</v>
      </c>
      <c r="E802" s="1" t="s">
        <v>856</v>
      </c>
      <c r="F802" s="1" t="s">
        <v>25</v>
      </c>
      <c r="G802" s="1" t="s">
        <v>17</v>
      </c>
      <c r="H802" s="1" t="str">
        <f>"65"</f>
        <v>65</v>
      </c>
      <c r="I802" s="1" t="str">
        <f>"157.54"</f>
        <v>157.54</v>
      </c>
      <c r="J802" s="1" t="str">
        <f t="shared" si="504"/>
        <v>0</v>
      </c>
      <c r="K802" s="1" t="str">
        <f t="shared" si="498"/>
        <v>103</v>
      </c>
      <c r="L802" s="1" t="str">
        <f t="shared" si="499"/>
        <v>47</v>
      </c>
      <c r="M802" s="1" t="str">
        <f t="shared" si="501"/>
        <v>0</v>
      </c>
      <c r="N802" s="1" t="str">
        <f t="shared" si="502"/>
        <v>0</v>
      </c>
      <c r="O802" s="1" t="str">
        <f>"7.54"</f>
        <v>7.54</v>
      </c>
    </row>
    <row r="803" s="1" customFormat="1" spans="1:15">
      <c r="A803" s="1" t="str">
        <f t="shared" si="495"/>
        <v>202406</v>
      </c>
      <c r="B803" s="1" t="str">
        <f t="shared" si="496"/>
        <v>150525100</v>
      </c>
      <c r="C803" s="1" t="str">
        <f>"1040653475"</f>
        <v>1040653475</v>
      </c>
      <c r="D803" s="1" t="str">
        <f>"152326195901013333"</f>
        <v>152326195901013333</v>
      </c>
      <c r="E803" s="1" t="s">
        <v>857</v>
      </c>
      <c r="F803" s="1" t="s">
        <v>25</v>
      </c>
      <c r="G803" s="1" t="s">
        <v>17</v>
      </c>
      <c r="H803" s="1" t="str">
        <f t="shared" si="505"/>
        <v>66</v>
      </c>
      <c r="I803" s="1" t="str">
        <f>"157.51"</f>
        <v>157.51</v>
      </c>
      <c r="J803" s="1" t="str">
        <f t="shared" si="504"/>
        <v>0</v>
      </c>
      <c r="K803" s="1" t="str">
        <f t="shared" si="498"/>
        <v>103</v>
      </c>
      <c r="L803" s="1" t="str">
        <f t="shared" si="499"/>
        <v>47</v>
      </c>
      <c r="M803" s="1" t="str">
        <f t="shared" si="501"/>
        <v>0</v>
      </c>
      <c r="N803" s="1" t="str">
        <f t="shared" si="502"/>
        <v>0</v>
      </c>
      <c r="O803" s="1" t="str">
        <f>"7.51"</f>
        <v>7.51</v>
      </c>
    </row>
    <row r="804" s="1" customFormat="1" spans="1:15">
      <c r="A804" s="1" t="str">
        <f t="shared" si="495"/>
        <v>202406</v>
      </c>
      <c r="B804" s="1" t="str">
        <f t="shared" si="496"/>
        <v>150525100</v>
      </c>
      <c r="C804" s="1" t="str">
        <f>"1040653494"</f>
        <v>1040653494</v>
      </c>
      <c r="D804" s="1" t="str">
        <f>"152326195809123329"</f>
        <v>152326195809123329</v>
      </c>
      <c r="E804" s="1" t="s">
        <v>858</v>
      </c>
      <c r="F804" s="1" t="s">
        <v>16</v>
      </c>
      <c r="G804" s="1" t="s">
        <v>17</v>
      </c>
      <c r="H804" s="1" t="str">
        <f t="shared" si="505"/>
        <v>66</v>
      </c>
      <c r="I804" s="1" t="str">
        <f>"156.54"</f>
        <v>156.54</v>
      </c>
      <c r="J804" s="1" t="str">
        <f t="shared" si="504"/>
        <v>0</v>
      </c>
      <c r="K804" s="1" t="str">
        <f t="shared" si="498"/>
        <v>103</v>
      </c>
      <c r="L804" s="1" t="str">
        <f t="shared" si="499"/>
        <v>47</v>
      </c>
      <c r="M804" s="1" t="str">
        <f t="shared" si="501"/>
        <v>0</v>
      </c>
      <c r="N804" s="1" t="str">
        <f t="shared" si="502"/>
        <v>0</v>
      </c>
      <c r="O804" s="1" t="str">
        <f>"6.54"</f>
        <v>6.54</v>
      </c>
    </row>
    <row r="805" s="1" customFormat="1" spans="1:15">
      <c r="A805" s="1" t="str">
        <f t="shared" si="495"/>
        <v>202406</v>
      </c>
      <c r="B805" s="1" t="str">
        <f t="shared" si="496"/>
        <v>150525100</v>
      </c>
      <c r="C805" s="1" t="str">
        <f>"1040653535"</f>
        <v>1040653535</v>
      </c>
      <c r="D805" s="1" t="str">
        <f>"152326195410263311"</f>
        <v>152326195410263311</v>
      </c>
      <c r="E805" s="1" t="s">
        <v>859</v>
      </c>
      <c r="F805" s="1" t="s">
        <v>25</v>
      </c>
      <c r="G805" s="1" t="s">
        <v>17</v>
      </c>
      <c r="H805" s="1" t="str">
        <f>"70"</f>
        <v>70</v>
      </c>
      <c r="I805" s="1" t="str">
        <f>"153.56"</f>
        <v>153.56</v>
      </c>
      <c r="J805" s="1" t="str">
        <f t="shared" si="504"/>
        <v>0</v>
      </c>
      <c r="K805" s="1" t="str">
        <f t="shared" si="498"/>
        <v>103</v>
      </c>
      <c r="L805" s="1" t="str">
        <f t="shared" si="499"/>
        <v>47</v>
      </c>
      <c r="M805" s="1" t="str">
        <f t="shared" si="501"/>
        <v>0</v>
      </c>
      <c r="N805" s="1" t="str">
        <f t="shared" si="502"/>
        <v>0</v>
      </c>
      <c r="O805" s="1" t="str">
        <f>"3.56"</f>
        <v>3.56</v>
      </c>
    </row>
    <row r="806" s="1" customFormat="1" spans="1:15">
      <c r="A806" s="1" t="str">
        <f t="shared" si="495"/>
        <v>202406</v>
      </c>
      <c r="B806" s="1" t="str">
        <f t="shared" si="496"/>
        <v>150525100</v>
      </c>
      <c r="C806" s="1" t="str">
        <f>"1040693096"</f>
        <v>1040693096</v>
      </c>
      <c r="D806" s="1" t="str">
        <f>"152326196209093087"</f>
        <v>152326196209093087</v>
      </c>
      <c r="E806" s="1" t="s">
        <v>860</v>
      </c>
      <c r="F806" s="1" t="s">
        <v>16</v>
      </c>
      <c r="G806" s="1" t="s">
        <v>17</v>
      </c>
      <c r="H806" s="1" t="str">
        <f t="shared" ref="H806:H810" si="506">"62"</f>
        <v>62</v>
      </c>
      <c r="I806" s="1" t="str">
        <f>"160.92"</f>
        <v>160.92</v>
      </c>
      <c r="J806" s="1" t="str">
        <f t="shared" si="504"/>
        <v>0</v>
      </c>
      <c r="K806" s="1" t="str">
        <f t="shared" si="498"/>
        <v>103</v>
      </c>
      <c r="L806" s="1" t="str">
        <f t="shared" si="499"/>
        <v>47</v>
      </c>
      <c r="M806" s="1" t="str">
        <f t="shared" si="501"/>
        <v>0</v>
      </c>
      <c r="N806" s="1" t="str">
        <f t="shared" si="502"/>
        <v>0</v>
      </c>
      <c r="O806" s="1" t="str">
        <f>"10.92"</f>
        <v>10.92</v>
      </c>
    </row>
    <row r="807" s="1" customFormat="1" spans="1:15">
      <c r="A807" s="1" t="str">
        <f t="shared" si="495"/>
        <v>202406</v>
      </c>
      <c r="B807" s="1" t="str">
        <f t="shared" si="496"/>
        <v>150525100</v>
      </c>
      <c r="C807" s="1" t="str">
        <f>"1040676045"</f>
        <v>1040676045</v>
      </c>
      <c r="D807" s="1" t="str">
        <f>"152326196206113820"</f>
        <v>152326196206113820</v>
      </c>
      <c r="E807" s="1" t="s">
        <v>861</v>
      </c>
      <c r="F807" s="1" t="s">
        <v>16</v>
      </c>
      <c r="G807" s="1" t="s">
        <v>19</v>
      </c>
      <c r="H807" s="1" t="str">
        <f t="shared" si="506"/>
        <v>62</v>
      </c>
      <c r="I807" s="1" t="str">
        <f>"161.39"</f>
        <v>161.39</v>
      </c>
      <c r="J807" s="1" t="str">
        <f t="shared" si="504"/>
        <v>0</v>
      </c>
      <c r="K807" s="1" t="str">
        <f t="shared" si="498"/>
        <v>103</v>
      </c>
      <c r="L807" s="1" t="str">
        <f t="shared" si="499"/>
        <v>47</v>
      </c>
      <c r="M807" s="1" t="str">
        <f t="shared" si="501"/>
        <v>0</v>
      </c>
      <c r="N807" s="1" t="str">
        <f t="shared" si="502"/>
        <v>0</v>
      </c>
      <c r="O807" s="1" t="str">
        <f>"11.39"</f>
        <v>11.39</v>
      </c>
    </row>
    <row r="808" s="1" customFormat="1" spans="1:15">
      <c r="A808" s="1" t="str">
        <f t="shared" si="495"/>
        <v>202406</v>
      </c>
      <c r="B808" s="1" t="str">
        <f t="shared" si="496"/>
        <v>150525100</v>
      </c>
      <c r="C808" s="1" t="str">
        <f>"1040760467"</f>
        <v>1040760467</v>
      </c>
      <c r="D808" s="1" t="str">
        <f>"152326195508230681"</f>
        <v>152326195508230681</v>
      </c>
      <c r="E808" s="1" t="s">
        <v>862</v>
      </c>
      <c r="F808" s="1" t="s">
        <v>16</v>
      </c>
      <c r="G808" s="1" t="s">
        <v>19</v>
      </c>
      <c r="H808" s="1" t="str">
        <f>"69"</f>
        <v>69</v>
      </c>
      <c r="I808" s="1" t="str">
        <f>"153.6"</f>
        <v>153.6</v>
      </c>
      <c r="J808" s="1" t="str">
        <f t="shared" si="504"/>
        <v>0</v>
      </c>
      <c r="K808" s="1" t="str">
        <f t="shared" si="498"/>
        <v>103</v>
      </c>
      <c r="L808" s="1" t="str">
        <f t="shared" si="499"/>
        <v>47</v>
      </c>
      <c r="M808" s="1" t="str">
        <f t="shared" si="501"/>
        <v>0</v>
      </c>
      <c r="N808" s="1" t="str">
        <f t="shared" si="502"/>
        <v>0</v>
      </c>
      <c r="O808" s="1" t="str">
        <f>"3.6"</f>
        <v>3.6</v>
      </c>
    </row>
    <row r="809" s="1" customFormat="1" spans="1:15">
      <c r="A809" s="1" t="str">
        <f t="shared" si="495"/>
        <v>202406</v>
      </c>
      <c r="B809" s="1" t="str">
        <f t="shared" si="496"/>
        <v>150525100</v>
      </c>
      <c r="C809" s="1" t="str">
        <f>"1040647047"</f>
        <v>1040647047</v>
      </c>
      <c r="D809" s="1" t="str">
        <f>"152326195503113814"</f>
        <v>152326195503113814</v>
      </c>
      <c r="E809" s="1" t="s">
        <v>863</v>
      </c>
      <c r="F809" s="1" t="s">
        <v>25</v>
      </c>
      <c r="G809" s="1" t="s">
        <v>17</v>
      </c>
      <c r="H809" s="1" t="str">
        <f>"69"</f>
        <v>69</v>
      </c>
      <c r="I809" s="1" t="str">
        <f>"158.45"</f>
        <v>158.45</v>
      </c>
      <c r="J809" s="1" t="str">
        <f t="shared" si="504"/>
        <v>0</v>
      </c>
      <c r="K809" s="1" t="str">
        <f t="shared" si="498"/>
        <v>103</v>
      </c>
      <c r="L809" s="1" t="str">
        <f t="shared" si="499"/>
        <v>47</v>
      </c>
      <c r="M809" s="1" t="str">
        <f t="shared" si="501"/>
        <v>0</v>
      </c>
      <c r="N809" s="1" t="str">
        <f t="shared" si="502"/>
        <v>0</v>
      </c>
      <c r="O809" s="1" t="str">
        <f>"8.45"</f>
        <v>8.45</v>
      </c>
    </row>
    <row r="810" s="1" customFormat="1" spans="1:15">
      <c r="A810" s="1" t="str">
        <f t="shared" si="495"/>
        <v>202406</v>
      </c>
      <c r="B810" s="1" t="str">
        <f t="shared" si="496"/>
        <v>150525100</v>
      </c>
      <c r="C810" s="1" t="str">
        <f>"1040646367"</f>
        <v>1040646367</v>
      </c>
      <c r="D810" s="1" t="str">
        <f>"152326196209090417"</f>
        <v>152326196209090417</v>
      </c>
      <c r="E810" s="1" t="s">
        <v>864</v>
      </c>
      <c r="F810" s="1" t="s">
        <v>25</v>
      </c>
      <c r="G810" s="1" t="s">
        <v>19</v>
      </c>
      <c r="H810" s="1" t="str">
        <f t="shared" si="506"/>
        <v>62</v>
      </c>
      <c r="I810" s="1" t="str">
        <f>"164.29"</f>
        <v>164.29</v>
      </c>
      <c r="J810" s="1" t="str">
        <f t="shared" si="504"/>
        <v>0</v>
      </c>
      <c r="K810" s="1" t="str">
        <f t="shared" si="498"/>
        <v>103</v>
      </c>
      <c r="L810" s="1" t="str">
        <f t="shared" si="499"/>
        <v>47</v>
      </c>
      <c r="M810" s="1" t="str">
        <f t="shared" si="501"/>
        <v>0</v>
      </c>
      <c r="N810" s="1" t="str">
        <f t="shared" si="502"/>
        <v>0</v>
      </c>
      <c r="O810" s="1" t="str">
        <f>"14.29"</f>
        <v>14.29</v>
      </c>
    </row>
    <row r="811" s="1" customFormat="1" spans="1:15">
      <c r="A811" s="1" t="str">
        <f t="shared" si="495"/>
        <v>202406</v>
      </c>
      <c r="B811" s="1" t="str">
        <f t="shared" si="496"/>
        <v>150525100</v>
      </c>
      <c r="C811" s="1" t="str">
        <f>"1040646432"</f>
        <v>1040646432</v>
      </c>
      <c r="D811" s="1" t="str">
        <f>"152326195601240411"</f>
        <v>152326195601240411</v>
      </c>
      <c r="E811" s="1" t="s">
        <v>865</v>
      </c>
      <c r="F811" s="1" t="s">
        <v>25</v>
      </c>
      <c r="G811" s="1" t="s">
        <v>19</v>
      </c>
      <c r="H811" s="1" t="str">
        <f t="shared" ref="H811:H815" si="507">"68"</f>
        <v>68</v>
      </c>
      <c r="I811" s="1" t="str">
        <f>"155.43"</f>
        <v>155.43</v>
      </c>
      <c r="J811" s="1" t="str">
        <f t="shared" si="504"/>
        <v>0</v>
      </c>
      <c r="K811" s="1" t="str">
        <f t="shared" si="498"/>
        <v>103</v>
      </c>
      <c r="L811" s="1" t="str">
        <f t="shared" si="499"/>
        <v>47</v>
      </c>
      <c r="M811" s="1" t="str">
        <f t="shared" si="501"/>
        <v>0</v>
      </c>
      <c r="N811" s="1" t="str">
        <f t="shared" si="502"/>
        <v>0</v>
      </c>
      <c r="O811" s="1" t="str">
        <f>"5.43"</f>
        <v>5.43</v>
      </c>
    </row>
    <row r="812" s="1" customFormat="1" spans="1:15">
      <c r="A812" s="1" t="str">
        <f t="shared" si="495"/>
        <v>202406</v>
      </c>
      <c r="B812" s="1" t="str">
        <f t="shared" si="496"/>
        <v>150525100</v>
      </c>
      <c r="C812" s="1" t="str">
        <f>"1040647276"</f>
        <v>1040647276</v>
      </c>
      <c r="D812" s="1" t="str">
        <f>"152326195609250921"</f>
        <v>152326195609250921</v>
      </c>
      <c r="E812" s="1" t="s">
        <v>866</v>
      </c>
      <c r="F812" s="1" t="s">
        <v>16</v>
      </c>
      <c r="G812" s="1" t="s">
        <v>19</v>
      </c>
      <c r="H812" s="1" t="str">
        <f t="shared" si="507"/>
        <v>68</v>
      </c>
      <c r="I812" s="1" t="str">
        <f>"155.4"</f>
        <v>155.4</v>
      </c>
      <c r="J812" s="1" t="str">
        <f t="shared" si="504"/>
        <v>0</v>
      </c>
      <c r="K812" s="1" t="str">
        <f t="shared" si="498"/>
        <v>103</v>
      </c>
      <c r="L812" s="1" t="str">
        <f t="shared" si="499"/>
        <v>47</v>
      </c>
      <c r="M812" s="1" t="str">
        <f t="shared" si="501"/>
        <v>0</v>
      </c>
      <c r="N812" s="1" t="str">
        <f t="shared" si="502"/>
        <v>0</v>
      </c>
      <c r="O812" s="1" t="str">
        <f>"5.4"</f>
        <v>5.4</v>
      </c>
    </row>
    <row r="813" s="1" customFormat="1" spans="1:15">
      <c r="A813" s="1" t="str">
        <f t="shared" si="495"/>
        <v>202406</v>
      </c>
      <c r="B813" s="1" t="str">
        <f t="shared" si="496"/>
        <v>150525100</v>
      </c>
      <c r="C813" s="1" t="str">
        <f>"1040647281"</f>
        <v>1040647281</v>
      </c>
      <c r="D813" s="1" t="str">
        <f>"152326195904010912"</f>
        <v>152326195904010912</v>
      </c>
      <c r="E813" s="1" t="s">
        <v>867</v>
      </c>
      <c r="F813" s="1" t="s">
        <v>25</v>
      </c>
      <c r="G813" s="1" t="s">
        <v>19</v>
      </c>
      <c r="H813" s="1" t="str">
        <f>"65"</f>
        <v>65</v>
      </c>
      <c r="I813" s="1" t="str">
        <f>"158.4"</f>
        <v>158.4</v>
      </c>
      <c r="J813" s="1" t="str">
        <f t="shared" si="504"/>
        <v>0</v>
      </c>
      <c r="K813" s="1" t="str">
        <f t="shared" si="498"/>
        <v>103</v>
      </c>
      <c r="L813" s="1" t="str">
        <f t="shared" si="499"/>
        <v>47</v>
      </c>
      <c r="M813" s="1" t="str">
        <f t="shared" si="501"/>
        <v>0</v>
      </c>
      <c r="N813" s="1" t="str">
        <f t="shared" si="502"/>
        <v>0</v>
      </c>
      <c r="O813" s="1" t="str">
        <f>"8.4"</f>
        <v>8.4</v>
      </c>
    </row>
    <row r="814" s="1" customFormat="1" spans="1:15">
      <c r="A814" s="1" t="str">
        <f t="shared" si="495"/>
        <v>202406</v>
      </c>
      <c r="B814" s="1" t="str">
        <f t="shared" si="496"/>
        <v>150525100</v>
      </c>
      <c r="C814" s="1" t="str">
        <f>"1040647285"</f>
        <v>1040647285</v>
      </c>
      <c r="D814" s="1" t="str">
        <f>"152326195611010927"</f>
        <v>152326195611010927</v>
      </c>
      <c r="E814" s="1" t="s">
        <v>868</v>
      </c>
      <c r="F814" s="1" t="s">
        <v>16</v>
      </c>
      <c r="G814" s="1" t="s">
        <v>19</v>
      </c>
      <c r="H814" s="1" t="str">
        <f t="shared" si="507"/>
        <v>68</v>
      </c>
      <c r="I814" s="1" t="str">
        <f>"170.9"</f>
        <v>170.9</v>
      </c>
      <c r="J814" s="1" t="str">
        <f t="shared" si="504"/>
        <v>0</v>
      </c>
      <c r="K814" s="1" t="str">
        <f t="shared" si="498"/>
        <v>103</v>
      </c>
      <c r="L814" s="1" t="str">
        <f t="shared" si="499"/>
        <v>47</v>
      </c>
      <c r="M814" s="1" t="str">
        <f t="shared" si="501"/>
        <v>0</v>
      </c>
      <c r="N814" s="1" t="str">
        <f t="shared" si="502"/>
        <v>0</v>
      </c>
      <c r="O814" s="1" t="str">
        <f>"20.9"</f>
        <v>20.9</v>
      </c>
    </row>
    <row r="815" s="1" customFormat="1" spans="1:15">
      <c r="A815" s="1" t="str">
        <f t="shared" si="495"/>
        <v>202406</v>
      </c>
      <c r="B815" s="1" t="str">
        <f t="shared" si="496"/>
        <v>150525100</v>
      </c>
      <c r="C815" s="1" t="str">
        <f>"1040647291"</f>
        <v>1040647291</v>
      </c>
      <c r="D815" s="1" t="str">
        <f>"152326195603040923"</f>
        <v>152326195603040923</v>
      </c>
      <c r="E815" s="1" t="s">
        <v>869</v>
      </c>
      <c r="F815" s="1" t="s">
        <v>16</v>
      </c>
      <c r="G815" s="1" t="s">
        <v>19</v>
      </c>
      <c r="H815" s="1" t="str">
        <f t="shared" si="507"/>
        <v>68</v>
      </c>
      <c r="I815" s="1" t="str">
        <f>"155.4"</f>
        <v>155.4</v>
      </c>
      <c r="J815" s="1" t="str">
        <f t="shared" si="504"/>
        <v>0</v>
      </c>
      <c r="K815" s="1" t="str">
        <f t="shared" si="498"/>
        <v>103</v>
      </c>
      <c r="L815" s="1" t="str">
        <f t="shared" si="499"/>
        <v>47</v>
      </c>
      <c r="M815" s="1" t="str">
        <f t="shared" si="501"/>
        <v>0</v>
      </c>
      <c r="N815" s="1" t="str">
        <f t="shared" si="502"/>
        <v>0</v>
      </c>
      <c r="O815" s="1" t="str">
        <f>"5.4"</f>
        <v>5.4</v>
      </c>
    </row>
    <row r="816" s="1" customFormat="1" spans="1:15">
      <c r="A816" s="1" t="str">
        <f t="shared" si="495"/>
        <v>202406</v>
      </c>
      <c r="B816" s="1" t="str">
        <f t="shared" si="496"/>
        <v>150525100</v>
      </c>
      <c r="C816" s="1" t="str">
        <f>"1040647308"</f>
        <v>1040647308</v>
      </c>
      <c r="D816" s="1" t="str">
        <f>"152326195301220929"</f>
        <v>152326195301220929</v>
      </c>
      <c r="E816" s="1" t="s">
        <v>870</v>
      </c>
      <c r="F816" s="1" t="s">
        <v>16</v>
      </c>
      <c r="G816" s="1" t="s">
        <v>19</v>
      </c>
      <c r="H816" s="1" t="str">
        <f>"71"</f>
        <v>71</v>
      </c>
      <c r="I816" s="1" t="str">
        <f>"162.54"</f>
        <v>162.54</v>
      </c>
      <c r="J816" s="1" t="str">
        <f t="shared" si="504"/>
        <v>0</v>
      </c>
      <c r="K816" s="1" t="str">
        <f t="shared" si="498"/>
        <v>103</v>
      </c>
      <c r="L816" s="1" t="str">
        <f t="shared" si="499"/>
        <v>47</v>
      </c>
      <c r="M816" s="1" t="str">
        <f t="shared" si="501"/>
        <v>0</v>
      </c>
      <c r="N816" s="1" t="str">
        <f t="shared" si="502"/>
        <v>0</v>
      </c>
      <c r="O816" s="1" t="str">
        <f>"2.54"</f>
        <v>2.54</v>
      </c>
    </row>
    <row r="817" s="1" customFormat="1" spans="1:15">
      <c r="A817" s="1" t="str">
        <f t="shared" si="495"/>
        <v>202406</v>
      </c>
      <c r="B817" s="1" t="str">
        <f t="shared" si="496"/>
        <v>150525100</v>
      </c>
      <c r="C817" s="1" t="str">
        <f>"1040647369"</f>
        <v>1040647369</v>
      </c>
      <c r="D817" s="1" t="str">
        <f>"152326195405043824"</f>
        <v>152326195405043824</v>
      </c>
      <c r="E817" s="1" t="s">
        <v>871</v>
      </c>
      <c r="F817" s="1" t="s">
        <v>16</v>
      </c>
      <c r="G817" s="1" t="s">
        <v>19</v>
      </c>
      <c r="H817" s="1" t="str">
        <f>"70"</f>
        <v>70</v>
      </c>
      <c r="I817" s="1" t="str">
        <f>"163.55"</f>
        <v>163.55</v>
      </c>
      <c r="J817" s="1" t="str">
        <f t="shared" si="504"/>
        <v>0</v>
      </c>
      <c r="K817" s="1" t="str">
        <f t="shared" si="498"/>
        <v>103</v>
      </c>
      <c r="L817" s="1" t="str">
        <f t="shared" si="499"/>
        <v>47</v>
      </c>
      <c r="M817" s="1" t="str">
        <f t="shared" si="501"/>
        <v>0</v>
      </c>
      <c r="N817" s="1" t="str">
        <f t="shared" si="502"/>
        <v>0</v>
      </c>
      <c r="O817" s="1" t="str">
        <f>"3.55"</f>
        <v>3.55</v>
      </c>
    </row>
    <row r="818" s="1" customFormat="1" spans="1:15">
      <c r="A818" s="1" t="str">
        <f t="shared" si="495"/>
        <v>202406</v>
      </c>
      <c r="B818" s="1" t="str">
        <f t="shared" si="496"/>
        <v>150525100</v>
      </c>
      <c r="C818" s="1" t="str">
        <f>"1040647370"</f>
        <v>1040647370</v>
      </c>
      <c r="D818" s="1" t="str">
        <f>"152326195408213817"</f>
        <v>152326195408213817</v>
      </c>
      <c r="E818" s="1" t="s">
        <v>872</v>
      </c>
      <c r="F818" s="1" t="s">
        <v>25</v>
      </c>
      <c r="G818" s="1" t="s">
        <v>17</v>
      </c>
      <c r="H818" s="1" t="str">
        <f>"70"</f>
        <v>70</v>
      </c>
      <c r="I818" s="1" t="str">
        <f>"153.55"</f>
        <v>153.55</v>
      </c>
      <c r="J818" s="1" t="str">
        <f t="shared" si="504"/>
        <v>0</v>
      </c>
      <c r="K818" s="1" t="str">
        <f t="shared" si="498"/>
        <v>103</v>
      </c>
      <c r="L818" s="1" t="str">
        <f t="shared" si="499"/>
        <v>47</v>
      </c>
      <c r="M818" s="1" t="str">
        <f t="shared" si="501"/>
        <v>0</v>
      </c>
      <c r="N818" s="1" t="str">
        <f t="shared" si="502"/>
        <v>0</v>
      </c>
      <c r="O818" s="1" t="str">
        <f>"3.55"</f>
        <v>3.55</v>
      </c>
    </row>
    <row r="819" s="1" customFormat="1" spans="1:15">
      <c r="A819" s="1" t="str">
        <f t="shared" si="495"/>
        <v>202406</v>
      </c>
      <c r="B819" s="1" t="str">
        <f t="shared" si="496"/>
        <v>150525100</v>
      </c>
      <c r="C819" s="1" t="str">
        <f>"1040647389"</f>
        <v>1040647389</v>
      </c>
      <c r="D819" s="1" t="str">
        <f>"152326196301213838"</f>
        <v>152326196301213838</v>
      </c>
      <c r="E819" s="1" t="s">
        <v>873</v>
      </c>
      <c r="F819" s="1" t="s">
        <v>25</v>
      </c>
      <c r="G819" s="1" t="s">
        <v>17</v>
      </c>
      <c r="H819" s="1" t="str">
        <f>"61"</f>
        <v>61</v>
      </c>
      <c r="I819" s="1" t="str">
        <f>"164.28"</f>
        <v>164.28</v>
      </c>
      <c r="J819" s="1" t="str">
        <f t="shared" si="504"/>
        <v>0</v>
      </c>
      <c r="K819" s="1" t="str">
        <f t="shared" si="498"/>
        <v>103</v>
      </c>
      <c r="L819" s="1" t="str">
        <f t="shared" si="499"/>
        <v>47</v>
      </c>
      <c r="M819" s="1" t="str">
        <f t="shared" si="501"/>
        <v>0</v>
      </c>
      <c r="N819" s="1" t="str">
        <f t="shared" si="502"/>
        <v>0</v>
      </c>
      <c r="O819" s="1" t="str">
        <f>"14.28"</f>
        <v>14.28</v>
      </c>
    </row>
    <row r="820" s="1" customFormat="1" spans="1:15">
      <c r="A820" s="1" t="str">
        <f t="shared" si="495"/>
        <v>202406</v>
      </c>
      <c r="B820" s="1" t="str">
        <f t="shared" si="496"/>
        <v>150525100</v>
      </c>
      <c r="C820" s="1" t="str">
        <f>"1040647440"</f>
        <v>1040647440</v>
      </c>
      <c r="D820" s="1" t="s">
        <v>874</v>
      </c>
      <c r="E820" s="1" t="s">
        <v>875</v>
      </c>
      <c r="F820" s="1" t="s">
        <v>16</v>
      </c>
      <c r="G820" s="1" t="s">
        <v>19</v>
      </c>
      <c r="H820" s="1" t="str">
        <f>"67"</f>
        <v>67</v>
      </c>
      <c r="I820" s="1" t="str">
        <f>"155.52"</f>
        <v>155.52</v>
      </c>
      <c r="J820" s="1" t="str">
        <f t="shared" si="504"/>
        <v>0</v>
      </c>
      <c r="K820" s="1" t="str">
        <f t="shared" si="498"/>
        <v>103</v>
      </c>
      <c r="L820" s="1" t="str">
        <f t="shared" si="499"/>
        <v>47</v>
      </c>
      <c r="M820" s="1" t="str">
        <f t="shared" si="501"/>
        <v>0</v>
      </c>
      <c r="N820" s="1" t="str">
        <f t="shared" si="502"/>
        <v>0</v>
      </c>
      <c r="O820" s="1" t="str">
        <f>"5.52"</f>
        <v>5.52</v>
      </c>
    </row>
    <row r="821" s="1" customFormat="1" spans="1:15">
      <c r="A821" s="1" t="str">
        <f t="shared" si="495"/>
        <v>202406</v>
      </c>
      <c r="B821" s="1" t="str">
        <f t="shared" si="496"/>
        <v>150525100</v>
      </c>
      <c r="C821" s="1" t="str">
        <f>"1040687537"</f>
        <v>1040687537</v>
      </c>
      <c r="D821" s="1" t="str">
        <f>"152326195705070680"</f>
        <v>152326195705070680</v>
      </c>
      <c r="E821" s="1" t="s">
        <v>876</v>
      </c>
      <c r="F821" s="1" t="s">
        <v>16</v>
      </c>
      <c r="G821" s="1" t="s">
        <v>17</v>
      </c>
      <c r="H821" s="1" t="str">
        <f>"67"</f>
        <v>67</v>
      </c>
      <c r="I821" s="1" t="str">
        <f>"155.17"</f>
        <v>155.17</v>
      </c>
      <c r="J821" s="1" t="str">
        <f t="shared" si="504"/>
        <v>0</v>
      </c>
      <c r="K821" s="1" t="str">
        <f t="shared" si="498"/>
        <v>103</v>
      </c>
      <c r="L821" s="1" t="str">
        <f t="shared" si="499"/>
        <v>47</v>
      </c>
      <c r="M821" s="1" t="str">
        <f t="shared" si="501"/>
        <v>0</v>
      </c>
      <c r="N821" s="1" t="str">
        <f t="shared" si="502"/>
        <v>0</v>
      </c>
      <c r="O821" s="1" t="str">
        <f>"5.17"</f>
        <v>5.17</v>
      </c>
    </row>
    <row r="822" s="1" customFormat="1" spans="1:15">
      <c r="A822" s="1" t="str">
        <f t="shared" si="495"/>
        <v>202406</v>
      </c>
      <c r="B822" s="1" t="str">
        <f t="shared" si="496"/>
        <v>150525100</v>
      </c>
      <c r="C822" s="1" t="str">
        <f>"1040647562"</f>
        <v>1040647562</v>
      </c>
      <c r="D822" s="1" t="str">
        <f>"152326195502206381"</f>
        <v>152326195502206381</v>
      </c>
      <c r="E822" s="1" t="s">
        <v>877</v>
      </c>
      <c r="F822" s="1" t="s">
        <v>16</v>
      </c>
      <c r="G822" s="1" t="s">
        <v>19</v>
      </c>
      <c r="H822" s="1" t="str">
        <f>"69"</f>
        <v>69</v>
      </c>
      <c r="I822" s="1" t="str">
        <f>"155.28"</f>
        <v>155.28</v>
      </c>
      <c r="J822" s="1" t="str">
        <f t="shared" si="504"/>
        <v>0</v>
      </c>
      <c r="K822" s="1" t="str">
        <f t="shared" si="498"/>
        <v>103</v>
      </c>
      <c r="L822" s="1" t="str">
        <f t="shared" si="499"/>
        <v>47</v>
      </c>
      <c r="M822" s="1" t="str">
        <f t="shared" si="501"/>
        <v>0</v>
      </c>
      <c r="N822" s="1" t="str">
        <f t="shared" si="502"/>
        <v>0</v>
      </c>
      <c r="O822" s="1" t="str">
        <f>"5.28"</f>
        <v>5.28</v>
      </c>
    </row>
    <row r="823" s="1" customFormat="1" spans="1:15">
      <c r="A823" s="1" t="str">
        <f t="shared" si="495"/>
        <v>202406</v>
      </c>
      <c r="B823" s="1" t="str">
        <f t="shared" si="496"/>
        <v>150525100</v>
      </c>
      <c r="C823" s="1" t="str">
        <f>"1040647587"</f>
        <v>1040647587</v>
      </c>
      <c r="D823" s="1" t="str">
        <f>"152326195812156375"</f>
        <v>152326195812156375</v>
      </c>
      <c r="E823" s="1" t="s">
        <v>878</v>
      </c>
      <c r="F823" s="1" t="s">
        <v>25</v>
      </c>
      <c r="G823" s="1" t="s">
        <v>19</v>
      </c>
      <c r="H823" s="1" t="str">
        <f>"66"</f>
        <v>66</v>
      </c>
      <c r="I823" s="1" t="str">
        <f>"156.56"</f>
        <v>156.56</v>
      </c>
      <c r="J823" s="1" t="str">
        <f t="shared" si="504"/>
        <v>0</v>
      </c>
      <c r="K823" s="1" t="str">
        <f t="shared" si="498"/>
        <v>103</v>
      </c>
      <c r="L823" s="1" t="str">
        <f t="shared" si="499"/>
        <v>47</v>
      </c>
      <c r="M823" s="1" t="str">
        <f t="shared" si="501"/>
        <v>0</v>
      </c>
      <c r="N823" s="1" t="str">
        <f t="shared" si="502"/>
        <v>0</v>
      </c>
      <c r="O823" s="1" t="str">
        <f>"6.56"</f>
        <v>6.56</v>
      </c>
    </row>
    <row r="824" s="1" customFormat="1" spans="1:15">
      <c r="A824" s="1" t="str">
        <f t="shared" si="495"/>
        <v>202406</v>
      </c>
      <c r="B824" s="1" t="str">
        <f t="shared" si="496"/>
        <v>150525100</v>
      </c>
      <c r="C824" s="1" t="str">
        <f>"1040647595"</f>
        <v>1040647595</v>
      </c>
      <c r="D824" s="1" t="str">
        <f>"152326196007236123"</f>
        <v>152326196007236123</v>
      </c>
      <c r="E824" s="1" t="s">
        <v>879</v>
      </c>
      <c r="F824" s="1" t="s">
        <v>16</v>
      </c>
      <c r="G824" s="1" t="s">
        <v>19</v>
      </c>
      <c r="H824" s="1" t="str">
        <f>"64"</f>
        <v>64</v>
      </c>
      <c r="I824" s="1" t="str">
        <f>"158.63"</f>
        <v>158.63</v>
      </c>
      <c r="J824" s="1" t="str">
        <f t="shared" si="504"/>
        <v>0</v>
      </c>
      <c r="K824" s="1" t="str">
        <f t="shared" si="498"/>
        <v>103</v>
      </c>
      <c r="L824" s="1" t="str">
        <f t="shared" si="499"/>
        <v>47</v>
      </c>
      <c r="M824" s="1" t="str">
        <f t="shared" si="501"/>
        <v>0</v>
      </c>
      <c r="N824" s="1" t="str">
        <f t="shared" si="502"/>
        <v>0</v>
      </c>
      <c r="O824" s="1" t="str">
        <f>"8.63"</f>
        <v>8.63</v>
      </c>
    </row>
    <row r="825" s="1" customFormat="1" spans="1:15">
      <c r="A825" s="1" t="str">
        <f t="shared" si="495"/>
        <v>202406</v>
      </c>
      <c r="B825" s="1" t="str">
        <f t="shared" si="496"/>
        <v>150525100</v>
      </c>
      <c r="C825" s="1" t="str">
        <f>"1040647609"</f>
        <v>1040647609</v>
      </c>
      <c r="D825" s="1" t="str">
        <f>"152326195601076383"</f>
        <v>152326195601076383</v>
      </c>
      <c r="E825" s="1" t="s">
        <v>880</v>
      </c>
      <c r="F825" s="1" t="s">
        <v>16</v>
      </c>
      <c r="G825" s="1" t="s">
        <v>17</v>
      </c>
      <c r="H825" s="1" t="str">
        <f>"69"</f>
        <v>69</v>
      </c>
      <c r="I825" s="1" t="str">
        <f>"155.43"</f>
        <v>155.43</v>
      </c>
      <c r="J825" s="1" t="str">
        <f t="shared" si="504"/>
        <v>0</v>
      </c>
      <c r="K825" s="1" t="str">
        <f t="shared" si="498"/>
        <v>103</v>
      </c>
      <c r="L825" s="1" t="str">
        <f t="shared" si="499"/>
        <v>47</v>
      </c>
      <c r="M825" s="1" t="str">
        <f t="shared" si="501"/>
        <v>0</v>
      </c>
      <c r="N825" s="1" t="str">
        <f t="shared" si="502"/>
        <v>0</v>
      </c>
      <c r="O825" s="1" t="str">
        <f>"5.43"</f>
        <v>5.43</v>
      </c>
    </row>
    <row r="826" s="1" customFormat="1" spans="1:15">
      <c r="A826" s="1" t="str">
        <f t="shared" si="495"/>
        <v>202406</v>
      </c>
      <c r="B826" s="1" t="str">
        <f t="shared" si="496"/>
        <v>150525100</v>
      </c>
      <c r="C826" s="1" t="str">
        <f>"1040687639"</f>
        <v>1040687639</v>
      </c>
      <c r="D826" s="1" t="str">
        <f>"152326196310190666"</f>
        <v>152326196310190666</v>
      </c>
      <c r="E826" s="1" t="s">
        <v>881</v>
      </c>
      <c r="F826" s="1" t="s">
        <v>16</v>
      </c>
      <c r="G826" s="1" t="s">
        <v>19</v>
      </c>
      <c r="H826" s="1" t="str">
        <f>"61"</f>
        <v>61</v>
      </c>
      <c r="I826" s="1" t="str">
        <f>"164.11"</f>
        <v>164.11</v>
      </c>
      <c r="J826" s="1" t="str">
        <f t="shared" si="504"/>
        <v>0</v>
      </c>
      <c r="K826" s="1" t="str">
        <f t="shared" si="498"/>
        <v>103</v>
      </c>
      <c r="L826" s="1" t="str">
        <f t="shared" si="499"/>
        <v>47</v>
      </c>
      <c r="M826" s="1" t="str">
        <f t="shared" si="501"/>
        <v>0</v>
      </c>
      <c r="N826" s="1" t="str">
        <f t="shared" si="502"/>
        <v>0</v>
      </c>
      <c r="O826" s="1" t="str">
        <f>"14.11"</f>
        <v>14.11</v>
      </c>
    </row>
    <row r="827" s="1" customFormat="1" spans="1:15">
      <c r="A827" s="1" t="str">
        <f t="shared" si="495"/>
        <v>202406</v>
      </c>
      <c r="B827" s="1" t="str">
        <f t="shared" si="496"/>
        <v>150525100</v>
      </c>
      <c r="C827" s="1" t="str">
        <f>"1040647630"</f>
        <v>1040647630</v>
      </c>
      <c r="D827" s="1" t="str">
        <f>"152326196404266385"</f>
        <v>152326196404266385</v>
      </c>
      <c r="E827" s="1" t="s">
        <v>882</v>
      </c>
      <c r="F827" s="1" t="s">
        <v>16</v>
      </c>
      <c r="G827" s="1" t="s">
        <v>17</v>
      </c>
      <c r="H827" s="1" t="str">
        <f>"60"</f>
        <v>60</v>
      </c>
      <c r="I827" s="1" t="str">
        <f>"167.98"</f>
        <v>167.98</v>
      </c>
      <c r="J827" s="1" t="str">
        <f t="shared" si="504"/>
        <v>0</v>
      </c>
      <c r="K827" s="1" t="str">
        <f t="shared" si="498"/>
        <v>103</v>
      </c>
      <c r="L827" s="1" t="str">
        <f t="shared" si="499"/>
        <v>47</v>
      </c>
      <c r="M827" s="1" t="str">
        <f t="shared" si="501"/>
        <v>0</v>
      </c>
      <c r="N827" s="1" t="str">
        <f t="shared" si="502"/>
        <v>0</v>
      </c>
      <c r="O827" s="1" t="str">
        <f>"17.98"</f>
        <v>17.98</v>
      </c>
    </row>
    <row r="828" s="1" customFormat="1" spans="1:15">
      <c r="A828" s="1" t="str">
        <f t="shared" si="495"/>
        <v>202406</v>
      </c>
      <c r="B828" s="1" t="str">
        <f t="shared" si="496"/>
        <v>150525100</v>
      </c>
      <c r="C828" s="1" t="str">
        <f>"1040687683"</f>
        <v>1040687683</v>
      </c>
      <c r="D828" s="1" t="s">
        <v>883</v>
      </c>
      <c r="E828" s="1" t="s">
        <v>884</v>
      </c>
      <c r="F828" s="1" t="s">
        <v>25</v>
      </c>
      <c r="G828" s="1" t="s">
        <v>17</v>
      </c>
      <c r="H828" s="1" t="str">
        <f>"63"</f>
        <v>63</v>
      </c>
      <c r="I828" s="1" t="str">
        <f>"160.09"</f>
        <v>160.09</v>
      </c>
      <c r="J828" s="1" t="str">
        <f t="shared" si="504"/>
        <v>0</v>
      </c>
      <c r="K828" s="1" t="str">
        <f t="shared" si="498"/>
        <v>103</v>
      </c>
      <c r="L828" s="1" t="str">
        <f t="shared" si="499"/>
        <v>47</v>
      </c>
      <c r="M828" s="1" t="str">
        <f t="shared" si="501"/>
        <v>0</v>
      </c>
      <c r="N828" s="1" t="str">
        <f t="shared" si="502"/>
        <v>0</v>
      </c>
      <c r="O828" s="1" t="str">
        <f>"10.09"</f>
        <v>10.09</v>
      </c>
    </row>
    <row r="829" s="1" customFormat="1" spans="1:15">
      <c r="A829" s="1" t="str">
        <f t="shared" si="495"/>
        <v>202406</v>
      </c>
      <c r="B829" s="1" t="str">
        <f t="shared" si="496"/>
        <v>150525100</v>
      </c>
      <c r="C829" s="1" t="str">
        <f>"1040687686"</f>
        <v>1040687686</v>
      </c>
      <c r="D829" s="1" t="str">
        <f>"152326196306160675"</f>
        <v>152326196306160675</v>
      </c>
      <c r="E829" s="1" t="s">
        <v>885</v>
      </c>
      <c r="F829" s="1" t="s">
        <v>25</v>
      </c>
      <c r="G829" s="1" t="s">
        <v>17</v>
      </c>
      <c r="H829" s="1" t="str">
        <f>"61"</f>
        <v>61</v>
      </c>
      <c r="I829" s="1" t="str">
        <f>"164.04"</f>
        <v>164.04</v>
      </c>
      <c r="J829" s="1" t="str">
        <f t="shared" si="504"/>
        <v>0</v>
      </c>
      <c r="K829" s="1" t="str">
        <f t="shared" si="498"/>
        <v>103</v>
      </c>
      <c r="L829" s="1" t="str">
        <f t="shared" si="499"/>
        <v>47</v>
      </c>
      <c r="M829" s="1" t="str">
        <f t="shared" si="501"/>
        <v>0</v>
      </c>
      <c r="N829" s="1" t="str">
        <f t="shared" si="502"/>
        <v>0</v>
      </c>
      <c r="O829" s="1" t="str">
        <f>"14.04"</f>
        <v>14.04</v>
      </c>
    </row>
    <row r="830" s="1" customFormat="1" spans="1:15">
      <c r="A830" s="1" t="str">
        <f t="shared" si="495"/>
        <v>202406</v>
      </c>
      <c r="B830" s="1" t="str">
        <f t="shared" si="496"/>
        <v>150525100</v>
      </c>
      <c r="C830" s="1" t="str">
        <f>"1040687732"</f>
        <v>1040687732</v>
      </c>
      <c r="D830" s="1" t="str">
        <f>"152326195506133343"</f>
        <v>152326195506133343</v>
      </c>
      <c r="E830" s="1" t="s">
        <v>886</v>
      </c>
      <c r="F830" s="1" t="s">
        <v>16</v>
      </c>
      <c r="G830" s="1" t="s">
        <v>19</v>
      </c>
      <c r="H830" s="1" t="str">
        <f>"69"</f>
        <v>69</v>
      </c>
      <c r="I830" s="1" t="str">
        <f>"154.2"</f>
        <v>154.2</v>
      </c>
      <c r="J830" s="1" t="str">
        <f t="shared" si="504"/>
        <v>0</v>
      </c>
      <c r="K830" s="1" t="str">
        <f t="shared" si="498"/>
        <v>103</v>
      </c>
      <c r="L830" s="1" t="str">
        <f t="shared" si="499"/>
        <v>47</v>
      </c>
      <c r="M830" s="1" t="str">
        <f t="shared" si="501"/>
        <v>0</v>
      </c>
      <c r="N830" s="1" t="str">
        <f t="shared" si="502"/>
        <v>0</v>
      </c>
      <c r="O830" s="1" t="str">
        <f>"4.2"</f>
        <v>4.2</v>
      </c>
    </row>
    <row r="831" s="1" customFormat="1" spans="1:15">
      <c r="A831" s="1" t="str">
        <f t="shared" si="495"/>
        <v>202406</v>
      </c>
      <c r="B831" s="1" t="str">
        <f t="shared" si="496"/>
        <v>150525100</v>
      </c>
      <c r="C831" s="1" t="str">
        <f>"1040648127"</f>
        <v>1040648127</v>
      </c>
      <c r="D831" s="1" t="str">
        <f>"152326196112150014"</f>
        <v>152326196112150014</v>
      </c>
      <c r="E831" s="1" t="s">
        <v>887</v>
      </c>
      <c r="F831" s="1" t="s">
        <v>25</v>
      </c>
      <c r="G831" s="1" t="s">
        <v>19</v>
      </c>
      <c r="H831" s="1" t="str">
        <f>"63"</f>
        <v>63</v>
      </c>
      <c r="I831" s="1" t="str">
        <f>"159.28"</f>
        <v>159.28</v>
      </c>
      <c r="J831" s="1" t="str">
        <f t="shared" si="504"/>
        <v>0</v>
      </c>
      <c r="K831" s="1" t="str">
        <f t="shared" si="498"/>
        <v>103</v>
      </c>
      <c r="L831" s="1" t="str">
        <f t="shared" si="499"/>
        <v>47</v>
      </c>
      <c r="M831" s="1" t="str">
        <f t="shared" si="501"/>
        <v>0</v>
      </c>
      <c r="N831" s="1" t="str">
        <f t="shared" si="502"/>
        <v>0</v>
      </c>
      <c r="O831" s="1" t="str">
        <f>"9.28"</f>
        <v>9.28</v>
      </c>
    </row>
    <row r="832" s="1" customFormat="1" spans="1:15">
      <c r="A832" s="1" t="str">
        <f t="shared" si="495"/>
        <v>202406</v>
      </c>
      <c r="B832" s="1" t="str">
        <f t="shared" si="496"/>
        <v>150525100</v>
      </c>
      <c r="C832" s="1" t="str">
        <f>"1040648151"</f>
        <v>1040648151</v>
      </c>
      <c r="D832" s="1" t="str">
        <f>"152326195406120422"</f>
        <v>152326195406120422</v>
      </c>
      <c r="E832" s="1" t="s">
        <v>482</v>
      </c>
      <c r="F832" s="1" t="s">
        <v>16</v>
      </c>
      <c r="G832" s="1" t="s">
        <v>19</v>
      </c>
      <c r="H832" s="1" t="str">
        <f>"70"</f>
        <v>70</v>
      </c>
      <c r="I832" s="1" t="str">
        <f>"640.8"</f>
        <v>640.8</v>
      </c>
      <c r="J832" s="1" t="str">
        <f>"480.6"</f>
        <v>480.6</v>
      </c>
      <c r="K832" s="1" t="str">
        <f>"412"</f>
        <v>412</v>
      </c>
      <c r="L832" s="1" t="str">
        <f>"188"</f>
        <v>188</v>
      </c>
      <c r="M832" s="1" t="str">
        <f t="shared" si="501"/>
        <v>0</v>
      </c>
      <c r="N832" s="1" t="str">
        <f t="shared" si="502"/>
        <v>0</v>
      </c>
      <c r="O832" s="1" t="str">
        <f>"40.8"</f>
        <v>40.8</v>
      </c>
    </row>
    <row r="833" s="1" customFormat="1" spans="1:15">
      <c r="A833" s="1" t="str">
        <f t="shared" si="495"/>
        <v>202406</v>
      </c>
      <c r="B833" s="1" t="str">
        <f t="shared" si="496"/>
        <v>150525100</v>
      </c>
      <c r="C833" s="1" t="str">
        <f>"1040687745"</f>
        <v>1040687745</v>
      </c>
      <c r="D833" s="1" t="str">
        <f>"152326195412123312"</f>
        <v>152326195412123312</v>
      </c>
      <c r="E833" s="1" t="s">
        <v>888</v>
      </c>
      <c r="F833" s="1" t="s">
        <v>25</v>
      </c>
      <c r="G833" s="1" t="s">
        <v>17</v>
      </c>
      <c r="H833" s="1" t="str">
        <f>"70"</f>
        <v>70</v>
      </c>
      <c r="I833" s="1" t="str">
        <f>"164.04"</f>
        <v>164.04</v>
      </c>
      <c r="J833" s="1" t="str">
        <f t="shared" ref="J833:J842" si="508">"0"</f>
        <v>0</v>
      </c>
      <c r="K833" s="1" t="str">
        <f t="shared" ref="K833:K842" si="509">"103"</f>
        <v>103</v>
      </c>
      <c r="L833" s="1" t="str">
        <f t="shared" ref="L833:L842" si="510">"47"</f>
        <v>47</v>
      </c>
      <c r="M833" s="1" t="str">
        <f t="shared" si="501"/>
        <v>0</v>
      </c>
      <c r="N833" s="1" t="str">
        <f t="shared" si="502"/>
        <v>0</v>
      </c>
      <c r="O833" s="1" t="str">
        <f>"14.04"</f>
        <v>14.04</v>
      </c>
    </row>
    <row r="834" s="1" customFormat="1" spans="1:15">
      <c r="A834" s="1" t="str">
        <f t="shared" ref="A834:A897" si="511">"202406"</f>
        <v>202406</v>
      </c>
      <c r="B834" s="1" t="str">
        <f t="shared" ref="B834:B897" si="512">"150525100"</f>
        <v>150525100</v>
      </c>
      <c r="C834" s="1" t="str">
        <f>"1040687762"</f>
        <v>1040687762</v>
      </c>
      <c r="D834" s="1" t="str">
        <f>"152326195910203323"</f>
        <v>152326195910203323</v>
      </c>
      <c r="E834" s="1" t="s">
        <v>889</v>
      </c>
      <c r="F834" s="1" t="s">
        <v>16</v>
      </c>
      <c r="G834" s="1" t="s">
        <v>19</v>
      </c>
      <c r="H834" s="1" t="str">
        <f>"65"</f>
        <v>65</v>
      </c>
      <c r="I834" s="1" t="str">
        <f>"154.63"</f>
        <v>154.63</v>
      </c>
      <c r="J834" s="1" t="str">
        <f t="shared" si="508"/>
        <v>0</v>
      </c>
      <c r="K834" s="1" t="str">
        <f t="shared" si="509"/>
        <v>103</v>
      </c>
      <c r="L834" s="1" t="str">
        <f t="shared" si="510"/>
        <v>47</v>
      </c>
      <c r="M834" s="1" t="str">
        <f t="shared" si="501"/>
        <v>0</v>
      </c>
      <c r="N834" s="1" t="str">
        <f t="shared" si="502"/>
        <v>0</v>
      </c>
      <c r="O834" s="1" t="str">
        <f>"4.63"</f>
        <v>4.63</v>
      </c>
    </row>
    <row r="835" s="1" customFormat="1" spans="1:15">
      <c r="A835" s="1" t="str">
        <f t="shared" si="511"/>
        <v>202406</v>
      </c>
      <c r="B835" s="1" t="str">
        <f t="shared" si="512"/>
        <v>150525100</v>
      </c>
      <c r="C835" s="1" t="str">
        <f>"1040687765"</f>
        <v>1040687765</v>
      </c>
      <c r="D835" s="1" t="str">
        <f>"152326195904043327"</f>
        <v>152326195904043327</v>
      </c>
      <c r="E835" s="1" t="s">
        <v>890</v>
      </c>
      <c r="F835" s="1" t="s">
        <v>16</v>
      </c>
      <c r="G835" s="1" t="s">
        <v>17</v>
      </c>
      <c r="H835" s="1" t="str">
        <f>"65"</f>
        <v>65</v>
      </c>
      <c r="I835" s="1" t="str">
        <f>"163.29"</f>
        <v>163.29</v>
      </c>
      <c r="J835" s="1" t="str">
        <f t="shared" si="508"/>
        <v>0</v>
      </c>
      <c r="K835" s="1" t="str">
        <f t="shared" si="509"/>
        <v>103</v>
      </c>
      <c r="L835" s="1" t="str">
        <f t="shared" si="510"/>
        <v>47</v>
      </c>
      <c r="M835" s="1" t="str">
        <f t="shared" si="501"/>
        <v>0</v>
      </c>
      <c r="N835" s="1" t="str">
        <f t="shared" si="502"/>
        <v>0</v>
      </c>
      <c r="O835" s="1" t="str">
        <f>"13.29"</f>
        <v>13.29</v>
      </c>
    </row>
    <row r="836" s="1" customFormat="1" spans="1:15">
      <c r="A836" s="1" t="str">
        <f t="shared" si="511"/>
        <v>202406</v>
      </c>
      <c r="B836" s="1" t="str">
        <f t="shared" si="512"/>
        <v>150525100</v>
      </c>
      <c r="C836" s="1" t="str">
        <f>"1040687798"</f>
        <v>1040687798</v>
      </c>
      <c r="D836" s="1" t="str">
        <f>"152326195511170667"</f>
        <v>152326195511170667</v>
      </c>
      <c r="E836" s="1" t="s">
        <v>891</v>
      </c>
      <c r="F836" s="1" t="s">
        <v>16</v>
      </c>
      <c r="G836" s="1" t="s">
        <v>17</v>
      </c>
      <c r="H836" s="1" t="str">
        <f>"69"</f>
        <v>69</v>
      </c>
      <c r="I836" s="1" t="str">
        <f>"154.2"</f>
        <v>154.2</v>
      </c>
      <c r="J836" s="1" t="str">
        <f t="shared" si="508"/>
        <v>0</v>
      </c>
      <c r="K836" s="1" t="str">
        <f t="shared" si="509"/>
        <v>103</v>
      </c>
      <c r="L836" s="1" t="str">
        <f t="shared" si="510"/>
        <v>47</v>
      </c>
      <c r="M836" s="1" t="str">
        <f t="shared" si="501"/>
        <v>0</v>
      </c>
      <c r="N836" s="1" t="str">
        <f t="shared" si="502"/>
        <v>0</v>
      </c>
      <c r="O836" s="1" t="str">
        <f>"4.2"</f>
        <v>4.2</v>
      </c>
    </row>
    <row r="837" s="1" customFormat="1" spans="1:15">
      <c r="A837" s="1" t="str">
        <f t="shared" si="511"/>
        <v>202406</v>
      </c>
      <c r="B837" s="1" t="str">
        <f t="shared" si="512"/>
        <v>150525100</v>
      </c>
      <c r="C837" s="1" t="str">
        <f>"1040687842"</f>
        <v>1040687842</v>
      </c>
      <c r="D837" s="1" t="str">
        <f>"152326195810063829"</f>
        <v>152326195810063829</v>
      </c>
      <c r="E837" s="1" t="s">
        <v>892</v>
      </c>
      <c r="F837" s="1" t="s">
        <v>16</v>
      </c>
      <c r="G837" s="1" t="s">
        <v>19</v>
      </c>
      <c r="H837" s="1" t="str">
        <f>"66"</f>
        <v>66</v>
      </c>
      <c r="I837" s="1" t="str">
        <f>"160.93"</f>
        <v>160.93</v>
      </c>
      <c r="J837" s="1" t="str">
        <f t="shared" si="508"/>
        <v>0</v>
      </c>
      <c r="K837" s="1" t="str">
        <f t="shared" si="509"/>
        <v>103</v>
      </c>
      <c r="L837" s="1" t="str">
        <f t="shared" si="510"/>
        <v>47</v>
      </c>
      <c r="M837" s="1" t="str">
        <f t="shared" si="501"/>
        <v>0</v>
      </c>
      <c r="N837" s="1" t="str">
        <f t="shared" si="502"/>
        <v>0</v>
      </c>
      <c r="O837" s="1" t="str">
        <f>"10.93"</f>
        <v>10.93</v>
      </c>
    </row>
    <row r="838" s="1" customFormat="1" spans="1:15">
      <c r="A838" s="1" t="str">
        <f t="shared" si="511"/>
        <v>202406</v>
      </c>
      <c r="B838" s="1" t="str">
        <f t="shared" si="512"/>
        <v>150525100</v>
      </c>
      <c r="C838" s="1" t="str">
        <f>"1040687843"</f>
        <v>1040687843</v>
      </c>
      <c r="D838" s="1" t="str">
        <f>"152326196212183825"</f>
        <v>152326196212183825</v>
      </c>
      <c r="E838" s="1" t="s">
        <v>893</v>
      </c>
      <c r="F838" s="1" t="s">
        <v>16</v>
      </c>
      <c r="G838" s="1" t="s">
        <v>17</v>
      </c>
      <c r="H838" s="1" t="str">
        <f t="shared" ref="H838:H846" si="513">"62"</f>
        <v>62</v>
      </c>
      <c r="I838" s="1" t="str">
        <f>"162.22"</f>
        <v>162.22</v>
      </c>
      <c r="J838" s="1" t="str">
        <f t="shared" si="508"/>
        <v>0</v>
      </c>
      <c r="K838" s="1" t="str">
        <f t="shared" si="509"/>
        <v>103</v>
      </c>
      <c r="L838" s="1" t="str">
        <f t="shared" si="510"/>
        <v>47</v>
      </c>
      <c r="M838" s="1" t="str">
        <f t="shared" si="501"/>
        <v>0</v>
      </c>
      <c r="N838" s="1" t="str">
        <f t="shared" si="502"/>
        <v>0</v>
      </c>
      <c r="O838" s="1" t="str">
        <f>"12.22"</f>
        <v>12.22</v>
      </c>
    </row>
    <row r="839" s="1" customFormat="1" spans="1:15">
      <c r="A839" s="1" t="str">
        <f t="shared" si="511"/>
        <v>202406</v>
      </c>
      <c r="B839" s="1" t="str">
        <f t="shared" si="512"/>
        <v>150525100</v>
      </c>
      <c r="C839" s="1" t="str">
        <f>"1040687846"</f>
        <v>1040687846</v>
      </c>
      <c r="D839" s="1" t="str">
        <f>"152326196106133832"</f>
        <v>152326196106133832</v>
      </c>
      <c r="E839" s="1" t="s">
        <v>894</v>
      </c>
      <c r="F839" s="1" t="s">
        <v>25</v>
      </c>
      <c r="G839" s="1" t="s">
        <v>17</v>
      </c>
      <c r="H839" s="1" t="str">
        <f>"63"</f>
        <v>63</v>
      </c>
      <c r="I839" s="1" t="str">
        <f>"160.14"</f>
        <v>160.14</v>
      </c>
      <c r="J839" s="1" t="str">
        <f t="shared" si="508"/>
        <v>0</v>
      </c>
      <c r="K839" s="1" t="str">
        <f t="shared" si="509"/>
        <v>103</v>
      </c>
      <c r="L839" s="1" t="str">
        <f t="shared" si="510"/>
        <v>47</v>
      </c>
      <c r="M839" s="1" t="str">
        <f t="shared" si="501"/>
        <v>0</v>
      </c>
      <c r="N839" s="1" t="str">
        <f t="shared" si="502"/>
        <v>0</v>
      </c>
      <c r="O839" s="1" t="str">
        <f>"10.14"</f>
        <v>10.14</v>
      </c>
    </row>
    <row r="840" s="1" customFormat="1" spans="1:15">
      <c r="A840" s="1" t="str">
        <f t="shared" si="511"/>
        <v>202406</v>
      </c>
      <c r="B840" s="1" t="str">
        <f t="shared" si="512"/>
        <v>150525100</v>
      </c>
      <c r="C840" s="1" t="str">
        <f>"1040653674"</f>
        <v>1040653674</v>
      </c>
      <c r="D840" s="1" t="str">
        <f>"152326195509243089"</f>
        <v>152326195509243089</v>
      </c>
      <c r="E840" s="1" t="s">
        <v>895</v>
      </c>
      <c r="F840" s="1" t="s">
        <v>16</v>
      </c>
      <c r="G840" s="1" t="s">
        <v>19</v>
      </c>
      <c r="H840" s="1" t="str">
        <f>"69"</f>
        <v>69</v>
      </c>
      <c r="I840" s="1" t="str">
        <f>"154.51"</f>
        <v>154.51</v>
      </c>
      <c r="J840" s="1" t="str">
        <f t="shared" si="508"/>
        <v>0</v>
      </c>
      <c r="K840" s="1" t="str">
        <f t="shared" si="509"/>
        <v>103</v>
      </c>
      <c r="L840" s="1" t="str">
        <f t="shared" si="510"/>
        <v>47</v>
      </c>
      <c r="M840" s="1" t="str">
        <f t="shared" si="501"/>
        <v>0</v>
      </c>
      <c r="N840" s="1" t="str">
        <f t="shared" si="502"/>
        <v>0</v>
      </c>
      <c r="O840" s="1" t="str">
        <f>"4.51"</f>
        <v>4.51</v>
      </c>
    </row>
    <row r="841" s="1" customFormat="1" spans="1:15">
      <c r="A841" s="1" t="str">
        <f t="shared" si="511"/>
        <v>202406</v>
      </c>
      <c r="B841" s="1" t="str">
        <f t="shared" si="512"/>
        <v>150525100</v>
      </c>
      <c r="C841" s="1" t="str">
        <f>"1040653688"</f>
        <v>1040653688</v>
      </c>
      <c r="D841" s="1" t="str">
        <f>"152326196203153077"</f>
        <v>152326196203153077</v>
      </c>
      <c r="E841" s="1" t="s">
        <v>896</v>
      </c>
      <c r="F841" s="1" t="s">
        <v>25</v>
      </c>
      <c r="G841" s="1" t="s">
        <v>19</v>
      </c>
      <c r="H841" s="1" t="str">
        <f t="shared" si="513"/>
        <v>62</v>
      </c>
      <c r="I841" s="1" t="str">
        <f>"162.56"</f>
        <v>162.56</v>
      </c>
      <c r="J841" s="1" t="str">
        <f t="shared" si="508"/>
        <v>0</v>
      </c>
      <c r="K841" s="1" t="str">
        <f t="shared" si="509"/>
        <v>103</v>
      </c>
      <c r="L841" s="1" t="str">
        <f t="shared" si="510"/>
        <v>47</v>
      </c>
      <c r="M841" s="1" t="str">
        <f t="shared" si="501"/>
        <v>0</v>
      </c>
      <c r="N841" s="1" t="str">
        <f t="shared" si="502"/>
        <v>0</v>
      </c>
      <c r="O841" s="1" t="str">
        <f>"12.56"</f>
        <v>12.56</v>
      </c>
    </row>
    <row r="842" s="1" customFormat="1" spans="1:15">
      <c r="A842" s="1" t="str">
        <f t="shared" si="511"/>
        <v>202406</v>
      </c>
      <c r="B842" s="1" t="str">
        <f t="shared" si="512"/>
        <v>150525100</v>
      </c>
      <c r="C842" s="1" t="str">
        <f>"1040653690"</f>
        <v>1040653690</v>
      </c>
      <c r="D842" s="1" t="str">
        <f>"152326195707013102"</f>
        <v>152326195707013102</v>
      </c>
      <c r="E842" s="1" t="s">
        <v>897</v>
      </c>
      <c r="F842" s="1" t="s">
        <v>16</v>
      </c>
      <c r="G842" s="1" t="s">
        <v>19</v>
      </c>
      <c r="H842" s="1" t="str">
        <f>"67"</f>
        <v>67</v>
      </c>
      <c r="I842" s="1" t="str">
        <f>"155.48"</f>
        <v>155.48</v>
      </c>
      <c r="J842" s="1" t="str">
        <f t="shared" si="508"/>
        <v>0</v>
      </c>
      <c r="K842" s="1" t="str">
        <f t="shared" si="509"/>
        <v>103</v>
      </c>
      <c r="L842" s="1" t="str">
        <f t="shared" si="510"/>
        <v>47</v>
      </c>
      <c r="M842" s="1" t="str">
        <f t="shared" si="501"/>
        <v>0</v>
      </c>
      <c r="N842" s="1" t="str">
        <f t="shared" si="502"/>
        <v>0</v>
      </c>
      <c r="O842" s="1" t="str">
        <f>"5.48"</f>
        <v>5.48</v>
      </c>
    </row>
    <row r="843" s="1" customFormat="1" spans="1:15">
      <c r="A843" s="1" t="str">
        <f t="shared" si="511"/>
        <v>202406</v>
      </c>
      <c r="B843" s="1" t="str">
        <f t="shared" si="512"/>
        <v>150525100</v>
      </c>
      <c r="C843" s="1" t="str">
        <f>"1040687904"</f>
        <v>1040687904</v>
      </c>
      <c r="D843" s="1" t="str">
        <f>"152326196209100419"</f>
        <v>152326196209100419</v>
      </c>
      <c r="E843" s="1" t="s">
        <v>898</v>
      </c>
      <c r="F843" s="1" t="s">
        <v>25</v>
      </c>
      <c r="G843" s="1" t="s">
        <v>17</v>
      </c>
      <c r="H843" s="1" t="str">
        <f t="shared" si="513"/>
        <v>62</v>
      </c>
      <c r="I843" s="1" t="str">
        <f>"654.44"</f>
        <v>654.44</v>
      </c>
      <c r="J843" s="1" t="str">
        <f>"490.83"</f>
        <v>490.83</v>
      </c>
      <c r="K843" s="1" t="str">
        <f>"412"</f>
        <v>412</v>
      </c>
      <c r="L843" s="1" t="str">
        <f>"188"</f>
        <v>188</v>
      </c>
      <c r="M843" s="1" t="str">
        <f t="shared" si="501"/>
        <v>0</v>
      </c>
      <c r="N843" s="1" t="str">
        <f t="shared" si="502"/>
        <v>0</v>
      </c>
      <c r="O843" s="1" t="str">
        <f>"54.44"</f>
        <v>54.44</v>
      </c>
    </row>
    <row r="844" s="1" customFormat="1" spans="1:15">
      <c r="A844" s="1" t="str">
        <f t="shared" si="511"/>
        <v>202406</v>
      </c>
      <c r="B844" s="1" t="str">
        <f t="shared" si="512"/>
        <v>150525100</v>
      </c>
      <c r="C844" s="1" t="str">
        <f>"1040687920"</f>
        <v>1040687920</v>
      </c>
      <c r="D844" s="1" t="str">
        <f>"152326196207183345"</f>
        <v>152326196207183345</v>
      </c>
      <c r="E844" s="1" t="s">
        <v>899</v>
      </c>
      <c r="F844" s="1" t="s">
        <v>16</v>
      </c>
      <c r="G844" s="1" t="s">
        <v>17</v>
      </c>
      <c r="H844" s="1" t="str">
        <f t="shared" si="513"/>
        <v>62</v>
      </c>
      <c r="I844" s="1" t="str">
        <f>"162.09"</f>
        <v>162.09</v>
      </c>
      <c r="J844" s="1" t="str">
        <f t="shared" ref="J844:N844" si="514">"0"</f>
        <v>0</v>
      </c>
      <c r="K844" s="1" t="str">
        <f t="shared" ref="K844:K848" si="515">"103"</f>
        <v>103</v>
      </c>
      <c r="L844" s="1" t="str">
        <f t="shared" ref="L844:L848" si="516">"47"</f>
        <v>47</v>
      </c>
      <c r="M844" s="1" t="str">
        <f t="shared" si="514"/>
        <v>0</v>
      </c>
      <c r="N844" s="1" t="str">
        <f t="shared" si="514"/>
        <v>0</v>
      </c>
      <c r="O844" s="1" t="str">
        <f>"12.09"</f>
        <v>12.09</v>
      </c>
    </row>
    <row r="845" s="1" customFormat="1" spans="1:15">
      <c r="A845" s="1" t="str">
        <f t="shared" si="511"/>
        <v>202406</v>
      </c>
      <c r="B845" s="1" t="str">
        <f t="shared" si="512"/>
        <v>150525100</v>
      </c>
      <c r="C845" s="1" t="str">
        <f>"1040687925"</f>
        <v>1040687925</v>
      </c>
      <c r="D845" s="1" t="s">
        <v>900</v>
      </c>
      <c r="E845" s="1" t="s">
        <v>901</v>
      </c>
      <c r="F845" s="1" t="s">
        <v>16</v>
      </c>
      <c r="G845" s="1" t="s">
        <v>17</v>
      </c>
      <c r="H845" s="1" t="str">
        <f t="shared" si="513"/>
        <v>62</v>
      </c>
      <c r="I845" s="1" t="str">
        <f>"162.76"</f>
        <v>162.76</v>
      </c>
      <c r="J845" s="1" t="str">
        <f t="shared" ref="J845:N845" si="517">"0"</f>
        <v>0</v>
      </c>
      <c r="K845" s="1" t="str">
        <f t="shared" si="515"/>
        <v>103</v>
      </c>
      <c r="L845" s="1" t="str">
        <f t="shared" si="516"/>
        <v>47</v>
      </c>
      <c r="M845" s="1" t="str">
        <f t="shared" si="517"/>
        <v>0</v>
      </c>
      <c r="N845" s="1" t="str">
        <f t="shared" si="517"/>
        <v>0</v>
      </c>
      <c r="O845" s="1" t="str">
        <f>"12.76"</f>
        <v>12.76</v>
      </c>
    </row>
    <row r="846" s="1" customFormat="1" spans="1:15">
      <c r="A846" s="1" t="str">
        <f t="shared" si="511"/>
        <v>202406</v>
      </c>
      <c r="B846" s="1" t="str">
        <f t="shared" si="512"/>
        <v>150525100</v>
      </c>
      <c r="C846" s="1" t="str">
        <f>"1040687929"</f>
        <v>1040687929</v>
      </c>
      <c r="D846" s="1" t="s">
        <v>902</v>
      </c>
      <c r="E846" s="1" t="s">
        <v>903</v>
      </c>
      <c r="F846" s="1" t="s">
        <v>25</v>
      </c>
      <c r="G846" s="1" t="s">
        <v>17</v>
      </c>
      <c r="H846" s="1" t="str">
        <f t="shared" si="513"/>
        <v>62</v>
      </c>
      <c r="I846" s="1" t="str">
        <f>"161.92"</f>
        <v>161.92</v>
      </c>
      <c r="J846" s="1" t="str">
        <f t="shared" ref="J846:N846" si="518">"0"</f>
        <v>0</v>
      </c>
      <c r="K846" s="1" t="str">
        <f t="shared" si="515"/>
        <v>103</v>
      </c>
      <c r="L846" s="1" t="str">
        <f t="shared" si="516"/>
        <v>47</v>
      </c>
      <c r="M846" s="1" t="str">
        <f t="shared" si="518"/>
        <v>0</v>
      </c>
      <c r="N846" s="1" t="str">
        <f t="shared" si="518"/>
        <v>0</v>
      </c>
      <c r="O846" s="1" t="str">
        <f>"11.92"</f>
        <v>11.92</v>
      </c>
    </row>
    <row r="847" s="1" customFormat="1" spans="1:15">
      <c r="A847" s="1" t="str">
        <f t="shared" si="511"/>
        <v>202406</v>
      </c>
      <c r="B847" s="1" t="str">
        <f t="shared" si="512"/>
        <v>150525100</v>
      </c>
      <c r="C847" s="1" t="str">
        <f>"1040687930"</f>
        <v>1040687930</v>
      </c>
      <c r="D847" s="1" t="str">
        <f>"152326195911283310"</f>
        <v>152326195911283310</v>
      </c>
      <c r="E847" s="1" t="s">
        <v>904</v>
      </c>
      <c r="F847" s="1" t="s">
        <v>25</v>
      </c>
      <c r="G847" s="1" t="s">
        <v>17</v>
      </c>
      <c r="H847" s="1" t="str">
        <f>"65"</f>
        <v>65</v>
      </c>
      <c r="I847" s="1" t="str">
        <f>"157.27"</f>
        <v>157.27</v>
      </c>
      <c r="J847" s="1" t="str">
        <f t="shared" ref="J847:N847" si="519">"0"</f>
        <v>0</v>
      </c>
      <c r="K847" s="1" t="str">
        <f t="shared" si="515"/>
        <v>103</v>
      </c>
      <c r="L847" s="1" t="str">
        <f t="shared" si="516"/>
        <v>47</v>
      </c>
      <c r="M847" s="1" t="str">
        <f t="shared" si="519"/>
        <v>0</v>
      </c>
      <c r="N847" s="1" t="str">
        <f t="shared" si="519"/>
        <v>0</v>
      </c>
      <c r="O847" s="1" t="str">
        <f>"7.27"</f>
        <v>7.27</v>
      </c>
    </row>
    <row r="848" s="1" customFormat="1" spans="1:15">
      <c r="A848" s="1" t="str">
        <f t="shared" si="511"/>
        <v>202406</v>
      </c>
      <c r="B848" s="1" t="str">
        <f t="shared" si="512"/>
        <v>150525100</v>
      </c>
      <c r="C848" s="1" t="str">
        <f>"1040687936"</f>
        <v>1040687936</v>
      </c>
      <c r="D848" s="1" t="str">
        <f>"152326195504273326"</f>
        <v>152326195504273326</v>
      </c>
      <c r="E848" s="1" t="s">
        <v>905</v>
      </c>
      <c r="F848" s="1" t="s">
        <v>16</v>
      </c>
      <c r="G848" s="1" t="s">
        <v>17</v>
      </c>
      <c r="H848" s="1" t="str">
        <f>"69"</f>
        <v>69</v>
      </c>
      <c r="I848" s="1" t="str">
        <f>"154.2"</f>
        <v>154.2</v>
      </c>
      <c r="J848" s="1" t="str">
        <f t="shared" ref="J848:N848" si="520">"0"</f>
        <v>0</v>
      </c>
      <c r="K848" s="1" t="str">
        <f t="shared" si="515"/>
        <v>103</v>
      </c>
      <c r="L848" s="1" t="str">
        <f t="shared" si="516"/>
        <v>47</v>
      </c>
      <c r="M848" s="1" t="str">
        <f t="shared" si="520"/>
        <v>0</v>
      </c>
      <c r="N848" s="1" t="str">
        <f t="shared" si="520"/>
        <v>0</v>
      </c>
      <c r="O848" s="1" t="str">
        <f>"4.2"</f>
        <v>4.2</v>
      </c>
    </row>
    <row r="849" s="1" customFormat="1" spans="1:15">
      <c r="A849" s="1" t="str">
        <f t="shared" si="511"/>
        <v>202406</v>
      </c>
      <c r="B849" s="1" t="str">
        <f t="shared" si="512"/>
        <v>150525100</v>
      </c>
      <c r="C849" s="1" t="str">
        <f>"1040688111"</f>
        <v>1040688111</v>
      </c>
      <c r="D849" s="1" t="str">
        <f>"152326195211210428"</f>
        <v>152326195211210428</v>
      </c>
      <c r="E849" s="1" t="s">
        <v>906</v>
      </c>
      <c r="F849" s="1" t="s">
        <v>16</v>
      </c>
      <c r="G849" s="1" t="s">
        <v>17</v>
      </c>
      <c r="H849" s="1" t="str">
        <f>"72"</f>
        <v>72</v>
      </c>
      <c r="I849" s="1" t="str">
        <f>"2271.3"</f>
        <v>2271.3</v>
      </c>
      <c r="J849" s="1" t="str">
        <f>"2096.2"</f>
        <v>2096.2</v>
      </c>
      <c r="K849" s="1" t="str">
        <f>"1334"</f>
        <v>1334</v>
      </c>
      <c r="L849" s="1" t="str">
        <f>"611"</f>
        <v>611</v>
      </c>
      <c r="M849" s="1" t="str">
        <f>"0"</f>
        <v>0</v>
      </c>
      <c r="N849" s="1" t="str">
        <f>"0"</f>
        <v>0</v>
      </c>
      <c r="O849" s="1" t="str">
        <f>"196.3"</f>
        <v>196.3</v>
      </c>
    </row>
    <row r="850" s="1" customFormat="1" spans="1:15">
      <c r="A850" s="1" t="str">
        <f t="shared" si="511"/>
        <v>202406</v>
      </c>
      <c r="B850" s="1" t="str">
        <f t="shared" si="512"/>
        <v>150525100</v>
      </c>
      <c r="C850" s="1" t="str">
        <f>"1040688117"</f>
        <v>1040688117</v>
      </c>
      <c r="D850" s="1" t="str">
        <f>"152326195405290411"</f>
        <v>152326195405290411</v>
      </c>
      <c r="E850" s="1" t="s">
        <v>258</v>
      </c>
      <c r="F850" s="1" t="s">
        <v>25</v>
      </c>
      <c r="G850" s="1" t="s">
        <v>17</v>
      </c>
      <c r="H850" s="1" t="str">
        <f>"70"</f>
        <v>70</v>
      </c>
      <c r="I850" s="1" t="str">
        <f>"163.25"</f>
        <v>163.25</v>
      </c>
      <c r="J850" s="1" t="str">
        <f t="shared" ref="J850:N850" si="521">"0"</f>
        <v>0</v>
      </c>
      <c r="K850" s="1" t="str">
        <f t="shared" ref="K850:K861" si="522">"103"</f>
        <v>103</v>
      </c>
      <c r="L850" s="1" t="str">
        <f t="shared" ref="L850:L861" si="523">"47"</f>
        <v>47</v>
      </c>
      <c r="M850" s="1" t="str">
        <f t="shared" si="521"/>
        <v>0</v>
      </c>
      <c r="N850" s="1" t="str">
        <f t="shared" si="521"/>
        <v>0</v>
      </c>
      <c r="O850" s="1" t="str">
        <f>"3.25"</f>
        <v>3.25</v>
      </c>
    </row>
    <row r="851" s="1" customFormat="1" spans="1:15">
      <c r="A851" s="1" t="str">
        <f t="shared" si="511"/>
        <v>202406</v>
      </c>
      <c r="B851" s="1" t="str">
        <f t="shared" si="512"/>
        <v>150525100</v>
      </c>
      <c r="C851" s="1" t="str">
        <f>"1040688124"</f>
        <v>1040688124</v>
      </c>
      <c r="D851" s="1" t="str">
        <f>"152326195708180447"</f>
        <v>152326195708180447</v>
      </c>
      <c r="E851" s="1" t="s">
        <v>907</v>
      </c>
      <c r="F851" s="1" t="s">
        <v>16</v>
      </c>
      <c r="G851" s="1" t="s">
        <v>17</v>
      </c>
      <c r="H851" s="1" t="str">
        <f>"67"</f>
        <v>67</v>
      </c>
      <c r="I851" s="1" t="str">
        <f>"155.18"</f>
        <v>155.18</v>
      </c>
      <c r="J851" s="1" t="str">
        <f t="shared" ref="J851:N851" si="524">"0"</f>
        <v>0</v>
      </c>
      <c r="K851" s="1" t="str">
        <f t="shared" si="522"/>
        <v>103</v>
      </c>
      <c r="L851" s="1" t="str">
        <f t="shared" si="523"/>
        <v>47</v>
      </c>
      <c r="M851" s="1" t="str">
        <f t="shared" si="524"/>
        <v>0</v>
      </c>
      <c r="N851" s="1" t="str">
        <f t="shared" si="524"/>
        <v>0</v>
      </c>
      <c r="O851" s="1" t="str">
        <f>"5.18"</f>
        <v>5.18</v>
      </c>
    </row>
    <row r="852" s="1" customFormat="1" spans="1:15">
      <c r="A852" s="1" t="str">
        <f t="shared" si="511"/>
        <v>202406</v>
      </c>
      <c r="B852" s="1" t="str">
        <f t="shared" si="512"/>
        <v>150525100</v>
      </c>
      <c r="C852" s="1" t="str">
        <f>"1040688136"</f>
        <v>1040688136</v>
      </c>
      <c r="D852" s="1" t="str">
        <f>"152326195811050448"</f>
        <v>152326195811050448</v>
      </c>
      <c r="E852" s="1" t="s">
        <v>908</v>
      </c>
      <c r="F852" s="1" t="s">
        <v>16</v>
      </c>
      <c r="G852" s="1" t="s">
        <v>17</v>
      </c>
      <c r="H852" s="1" t="str">
        <f>"66"</f>
        <v>66</v>
      </c>
      <c r="I852" s="1" t="str">
        <f>"160.87"</f>
        <v>160.87</v>
      </c>
      <c r="J852" s="1" t="str">
        <f t="shared" ref="J852:N852" si="525">"0"</f>
        <v>0</v>
      </c>
      <c r="K852" s="1" t="str">
        <f t="shared" si="522"/>
        <v>103</v>
      </c>
      <c r="L852" s="1" t="str">
        <f t="shared" si="523"/>
        <v>47</v>
      </c>
      <c r="M852" s="1" t="str">
        <f t="shared" si="525"/>
        <v>0</v>
      </c>
      <c r="N852" s="1" t="str">
        <f t="shared" si="525"/>
        <v>0</v>
      </c>
      <c r="O852" s="1" t="str">
        <f>"10.87"</f>
        <v>10.87</v>
      </c>
    </row>
    <row r="853" s="1" customFormat="1" spans="1:15">
      <c r="A853" s="1" t="str">
        <f t="shared" si="511"/>
        <v>202406</v>
      </c>
      <c r="B853" s="1" t="str">
        <f t="shared" si="512"/>
        <v>150525100</v>
      </c>
      <c r="C853" s="1" t="str">
        <f>"1040688140"</f>
        <v>1040688140</v>
      </c>
      <c r="D853" s="1" t="s">
        <v>909</v>
      </c>
      <c r="E853" s="1" t="s">
        <v>910</v>
      </c>
      <c r="F853" s="1" t="s">
        <v>16</v>
      </c>
      <c r="G853" s="1" t="s">
        <v>17</v>
      </c>
      <c r="H853" s="1" t="str">
        <f>"66"</f>
        <v>66</v>
      </c>
      <c r="I853" s="1" t="str">
        <f>"156.22"</f>
        <v>156.22</v>
      </c>
      <c r="J853" s="1" t="str">
        <f t="shared" ref="J853:N853" si="526">"0"</f>
        <v>0</v>
      </c>
      <c r="K853" s="1" t="str">
        <f t="shared" si="522"/>
        <v>103</v>
      </c>
      <c r="L853" s="1" t="str">
        <f t="shared" si="523"/>
        <v>47</v>
      </c>
      <c r="M853" s="1" t="str">
        <f t="shared" si="526"/>
        <v>0</v>
      </c>
      <c r="N853" s="1" t="str">
        <f t="shared" si="526"/>
        <v>0</v>
      </c>
      <c r="O853" s="1" t="str">
        <f>"6.22"</f>
        <v>6.22</v>
      </c>
    </row>
    <row r="854" s="1" customFormat="1" spans="1:15">
      <c r="A854" s="1" t="str">
        <f t="shared" si="511"/>
        <v>202406</v>
      </c>
      <c r="B854" s="1" t="str">
        <f t="shared" si="512"/>
        <v>150525100</v>
      </c>
      <c r="C854" s="1" t="str">
        <f>"1040688145"</f>
        <v>1040688145</v>
      </c>
      <c r="D854" s="1" t="s">
        <v>911</v>
      </c>
      <c r="E854" s="1" t="s">
        <v>912</v>
      </c>
      <c r="F854" s="1" t="s">
        <v>25</v>
      </c>
      <c r="G854" s="1" t="s">
        <v>17</v>
      </c>
      <c r="H854" s="1" t="str">
        <f>"68"</f>
        <v>68</v>
      </c>
      <c r="I854" s="1" t="str">
        <f>"155.12"</f>
        <v>155.12</v>
      </c>
      <c r="J854" s="1" t="str">
        <f t="shared" ref="J854:N854" si="527">"0"</f>
        <v>0</v>
      </c>
      <c r="K854" s="1" t="str">
        <f t="shared" si="522"/>
        <v>103</v>
      </c>
      <c r="L854" s="1" t="str">
        <f t="shared" si="523"/>
        <v>47</v>
      </c>
      <c r="M854" s="1" t="str">
        <f t="shared" si="527"/>
        <v>0</v>
      </c>
      <c r="N854" s="1" t="str">
        <f t="shared" si="527"/>
        <v>0</v>
      </c>
      <c r="O854" s="1" t="str">
        <f>"5.12"</f>
        <v>5.12</v>
      </c>
    </row>
    <row r="855" s="1" customFormat="1" spans="1:15">
      <c r="A855" s="1" t="str">
        <f t="shared" si="511"/>
        <v>202406</v>
      </c>
      <c r="B855" s="1" t="str">
        <f t="shared" si="512"/>
        <v>150525100</v>
      </c>
      <c r="C855" s="1" t="str">
        <f>"1040688194"</f>
        <v>1040688194</v>
      </c>
      <c r="D855" s="1" t="str">
        <f>"152326196301250014"</f>
        <v>152326196301250014</v>
      </c>
      <c r="E855" s="1" t="s">
        <v>913</v>
      </c>
      <c r="F855" s="1" t="s">
        <v>25</v>
      </c>
      <c r="G855" s="1" t="s">
        <v>17</v>
      </c>
      <c r="H855" s="1" t="str">
        <f>"61"</f>
        <v>61</v>
      </c>
      <c r="I855" s="1" t="str">
        <f>"200.42"</f>
        <v>200.42</v>
      </c>
      <c r="J855" s="1" t="str">
        <f t="shared" ref="J855:N855" si="528">"0"</f>
        <v>0</v>
      </c>
      <c r="K855" s="1" t="str">
        <f t="shared" si="522"/>
        <v>103</v>
      </c>
      <c r="L855" s="1" t="str">
        <f t="shared" si="523"/>
        <v>47</v>
      </c>
      <c r="M855" s="1" t="str">
        <f t="shared" si="528"/>
        <v>0</v>
      </c>
      <c r="N855" s="1" t="str">
        <f t="shared" si="528"/>
        <v>0</v>
      </c>
      <c r="O855" s="1" t="str">
        <f>"50.42"</f>
        <v>50.42</v>
      </c>
    </row>
    <row r="856" s="1" customFormat="1" spans="1:15">
      <c r="A856" s="1" t="str">
        <f t="shared" si="511"/>
        <v>202406</v>
      </c>
      <c r="B856" s="1" t="str">
        <f t="shared" si="512"/>
        <v>150525100</v>
      </c>
      <c r="C856" s="1" t="str">
        <f>"1040907438"</f>
        <v>1040907438</v>
      </c>
      <c r="D856" s="1" t="str">
        <f>"152326196203053340"</f>
        <v>152326196203053340</v>
      </c>
      <c r="E856" s="1" t="s">
        <v>914</v>
      </c>
      <c r="F856" s="1" t="s">
        <v>16</v>
      </c>
      <c r="G856" s="1" t="s">
        <v>17</v>
      </c>
      <c r="H856" s="1" t="str">
        <f>"62"</f>
        <v>62</v>
      </c>
      <c r="I856" s="1" t="str">
        <f>"161.05"</f>
        <v>161.05</v>
      </c>
      <c r="J856" s="1" t="str">
        <f t="shared" ref="J856:N856" si="529">"0"</f>
        <v>0</v>
      </c>
      <c r="K856" s="1" t="str">
        <f t="shared" si="522"/>
        <v>103</v>
      </c>
      <c r="L856" s="1" t="str">
        <f t="shared" si="523"/>
        <v>47</v>
      </c>
      <c r="M856" s="1" t="str">
        <f t="shared" si="529"/>
        <v>0</v>
      </c>
      <c r="N856" s="1" t="str">
        <f t="shared" si="529"/>
        <v>0</v>
      </c>
      <c r="O856" s="1" t="str">
        <f>"11.05"</f>
        <v>11.05</v>
      </c>
    </row>
    <row r="857" s="1" customFormat="1" spans="1:15">
      <c r="A857" s="1" t="str">
        <f t="shared" si="511"/>
        <v>202406</v>
      </c>
      <c r="B857" s="1" t="str">
        <f t="shared" si="512"/>
        <v>150525100</v>
      </c>
      <c r="C857" s="1" t="str">
        <f>"1040914931"</f>
        <v>1040914931</v>
      </c>
      <c r="D857" s="1" t="str">
        <f>"152326196008100420"</f>
        <v>152326196008100420</v>
      </c>
      <c r="E857" s="1" t="s">
        <v>312</v>
      </c>
      <c r="F857" s="1" t="s">
        <v>16</v>
      </c>
      <c r="G857" s="1" t="s">
        <v>17</v>
      </c>
      <c r="H857" s="1" t="str">
        <f>"64"</f>
        <v>64</v>
      </c>
      <c r="I857" s="1" t="str">
        <f>"219.16"</f>
        <v>219.16</v>
      </c>
      <c r="J857" s="1" t="str">
        <f t="shared" ref="J857:N857" si="530">"0"</f>
        <v>0</v>
      </c>
      <c r="K857" s="1" t="str">
        <f t="shared" si="522"/>
        <v>103</v>
      </c>
      <c r="L857" s="1" t="str">
        <f t="shared" si="523"/>
        <v>47</v>
      </c>
      <c r="M857" s="1" t="str">
        <f t="shared" si="530"/>
        <v>0</v>
      </c>
      <c r="N857" s="1" t="str">
        <f t="shared" si="530"/>
        <v>0</v>
      </c>
      <c r="O857" s="1" t="str">
        <f>"69.16"</f>
        <v>69.16</v>
      </c>
    </row>
    <row r="858" s="1" customFormat="1" spans="1:15">
      <c r="A858" s="1" t="str">
        <f t="shared" si="511"/>
        <v>202406</v>
      </c>
      <c r="B858" s="1" t="str">
        <f t="shared" si="512"/>
        <v>150525100</v>
      </c>
      <c r="C858" s="1" t="str">
        <f>"1040935329"</f>
        <v>1040935329</v>
      </c>
      <c r="D858" s="1" t="str">
        <f>"152326196309080427"</f>
        <v>152326196309080427</v>
      </c>
      <c r="E858" s="1" t="s">
        <v>533</v>
      </c>
      <c r="F858" s="1" t="s">
        <v>16</v>
      </c>
      <c r="G858" s="1" t="s">
        <v>17</v>
      </c>
      <c r="H858" s="1" t="str">
        <f>"61"</f>
        <v>61</v>
      </c>
      <c r="I858" s="1" t="str">
        <f>"165.76"</f>
        <v>165.76</v>
      </c>
      <c r="J858" s="1" t="str">
        <f t="shared" ref="J858:N858" si="531">"0"</f>
        <v>0</v>
      </c>
      <c r="K858" s="1" t="str">
        <f t="shared" si="522"/>
        <v>103</v>
      </c>
      <c r="L858" s="1" t="str">
        <f t="shared" si="523"/>
        <v>47</v>
      </c>
      <c r="M858" s="1" t="str">
        <f t="shared" si="531"/>
        <v>0</v>
      </c>
      <c r="N858" s="1" t="str">
        <f t="shared" si="531"/>
        <v>0</v>
      </c>
      <c r="O858" s="1" t="str">
        <f>"15.76"</f>
        <v>15.76</v>
      </c>
    </row>
    <row r="859" s="1" customFormat="1" spans="1:15">
      <c r="A859" s="1" t="str">
        <f t="shared" si="511"/>
        <v>202406</v>
      </c>
      <c r="B859" s="1" t="str">
        <f t="shared" si="512"/>
        <v>150525100</v>
      </c>
      <c r="C859" s="1" t="str">
        <f>"1040935355"</f>
        <v>1040935355</v>
      </c>
      <c r="D859" s="1" t="str">
        <f>"152326196111140420"</f>
        <v>152326196111140420</v>
      </c>
      <c r="E859" s="1" t="s">
        <v>915</v>
      </c>
      <c r="F859" s="1" t="s">
        <v>16</v>
      </c>
      <c r="G859" s="1" t="s">
        <v>17</v>
      </c>
      <c r="H859" s="1" t="str">
        <f>"63"</f>
        <v>63</v>
      </c>
      <c r="I859" s="1" t="str">
        <f>"160.4"</f>
        <v>160.4</v>
      </c>
      <c r="J859" s="1" t="str">
        <f t="shared" ref="J859:N859" si="532">"0"</f>
        <v>0</v>
      </c>
      <c r="K859" s="1" t="str">
        <f t="shared" si="522"/>
        <v>103</v>
      </c>
      <c r="L859" s="1" t="str">
        <f t="shared" si="523"/>
        <v>47</v>
      </c>
      <c r="M859" s="1" t="str">
        <f t="shared" si="532"/>
        <v>0</v>
      </c>
      <c r="N859" s="1" t="str">
        <f t="shared" si="532"/>
        <v>0</v>
      </c>
      <c r="O859" s="1" t="str">
        <f>"10.4"</f>
        <v>10.4</v>
      </c>
    </row>
    <row r="860" s="1" customFormat="1" spans="1:15">
      <c r="A860" s="1" t="str">
        <f t="shared" si="511"/>
        <v>202406</v>
      </c>
      <c r="B860" s="1" t="str">
        <f t="shared" si="512"/>
        <v>150525100</v>
      </c>
      <c r="C860" s="1" t="str">
        <f>"1040935383"</f>
        <v>1040935383</v>
      </c>
      <c r="D860" s="1" t="str">
        <f>"152326195709190022"</f>
        <v>152326195709190022</v>
      </c>
      <c r="E860" s="1" t="s">
        <v>916</v>
      </c>
      <c r="F860" s="1" t="s">
        <v>16</v>
      </c>
      <c r="G860" s="1" t="s">
        <v>17</v>
      </c>
      <c r="H860" s="1" t="str">
        <f>"67"</f>
        <v>67</v>
      </c>
      <c r="I860" s="1" t="str">
        <f>"155.49"</f>
        <v>155.49</v>
      </c>
      <c r="J860" s="1" t="str">
        <f t="shared" ref="J860:N860" si="533">"0"</f>
        <v>0</v>
      </c>
      <c r="K860" s="1" t="str">
        <f t="shared" si="522"/>
        <v>103</v>
      </c>
      <c r="L860" s="1" t="str">
        <f t="shared" si="523"/>
        <v>47</v>
      </c>
      <c r="M860" s="1" t="str">
        <f t="shared" si="533"/>
        <v>0</v>
      </c>
      <c r="N860" s="1" t="str">
        <f t="shared" si="533"/>
        <v>0</v>
      </c>
      <c r="O860" s="1" t="str">
        <f>"5.49"</f>
        <v>5.49</v>
      </c>
    </row>
    <row r="861" s="1" customFormat="1" spans="1:15">
      <c r="A861" s="1" t="str">
        <f t="shared" si="511"/>
        <v>202406</v>
      </c>
      <c r="B861" s="1" t="str">
        <f t="shared" si="512"/>
        <v>150525100</v>
      </c>
      <c r="C861" s="1" t="str">
        <f>"1040935398"</f>
        <v>1040935398</v>
      </c>
      <c r="D861" s="1" t="str">
        <f>"152326195912060020"</f>
        <v>152326195912060020</v>
      </c>
      <c r="E861" s="1" t="s">
        <v>917</v>
      </c>
      <c r="F861" s="1" t="s">
        <v>16</v>
      </c>
      <c r="G861" s="1" t="s">
        <v>17</v>
      </c>
      <c r="H861" s="1" t="str">
        <f>"65"</f>
        <v>65</v>
      </c>
      <c r="I861" s="1" t="str">
        <f>"158.55"</f>
        <v>158.55</v>
      </c>
      <c r="J861" s="1" t="str">
        <f t="shared" ref="J861:N861" si="534">"0"</f>
        <v>0</v>
      </c>
      <c r="K861" s="1" t="str">
        <f t="shared" si="522"/>
        <v>103</v>
      </c>
      <c r="L861" s="1" t="str">
        <f t="shared" si="523"/>
        <v>47</v>
      </c>
      <c r="M861" s="1" t="str">
        <f t="shared" si="534"/>
        <v>0</v>
      </c>
      <c r="N861" s="1" t="str">
        <f t="shared" si="534"/>
        <v>0</v>
      </c>
      <c r="O861" s="1" t="str">
        <f>"8.55"</f>
        <v>8.55</v>
      </c>
    </row>
    <row r="862" s="1" customFormat="1" spans="1:15">
      <c r="A862" s="1" t="str">
        <f t="shared" si="511"/>
        <v>202406</v>
      </c>
      <c r="B862" s="1" t="str">
        <f t="shared" si="512"/>
        <v>150525100</v>
      </c>
      <c r="C862" s="1" t="str">
        <f>"1040935400"</f>
        <v>1040935400</v>
      </c>
      <c r="D862" s="1" t="str">
        <f>"152326196002100032"</f>
        <v>152326196002100032</v>
      </c>
      <c r="E862" s="1" t="s">
        <v>918</v>
      </c>
      <c r="F862" s="1" t="s">
        <v>25</v>
      </c>
      <c r="G862" s="1" t="s">
        <v>17</v>
      </c>
      <c r="H862" s="1" t="str">
        <f>"64"</f>
        <v>64</v>
      </c>
      <c r="I862" s="1" t="str">
        <f>"2690.9"</f>
        <v>2690.9</v>
      </c>
      <c r="J862" s="1" t="str">
        <f t="shared" ref="J862:O862" si="535">"0"</f>
        <v>0</v>
      </c>
      <c r="K862" s="1" t="str">
        <f t="shared" si="535"/>
        <v>0</v>
      </c>
      <c r="L862" s="1" t="str">
        <f t="shared" si="535"/>
        <v>0</v>
      </c>
      <c r="M862" s="1" t="str">
        <f t="shared" si="535"/>
        <v>0</v>
      </c>
      <c r="N862" s="1" t="str">
        <f t="shared" si="535"/>
        <v>0</v>
      </c>
      <c r="O862" s="1" t="str">
        <f t="shared" si="535"/>
        <v>0</v>
      </c>
    </row>
    <row r="863" s="1" customFormat="1" spans="1:15">
      <c r="A863" s="1" t="str">
        <f t="shared" si="511"/>
        <v>202406</v>
      </c>
      <c r="B863" s="1" t="str">
        <f t="shared" si="512"/>
        <v>150525100</v>
      </c>
      <c r="C863" s="1" t="str">
        <f>"1040932966"</f>
        <v>1040932966</v>
      </c>
      <c r="D863" s="1" t="str">
        <f>"152326195902240028"</f>
        <v>152326195902240028</v>
      </c>
      <c r="E863" s="1" t="s">
        <v>919</v>
      </c>
      <c r="F863" s="1" t="s">
        <v>16</v>
      </c>
      <c r="G863" s="1" t="s">
        <v>17</v>
      </c>
      <c r="H863" s="1" t="str">
        <f t="shared" ref="H863:H868" si="536">"65"</f>
        <v>65</v>
      </c>
      <c r="I863" s="1" t="str">
        <f>"164.5"</f>
        <v>164.5</v>
      </c>
      <c r="J863" s="1" t="str">
        <f t="shared" ref="J863:N863" si="537">"0"</f>
        <v>0</v>
      </c>
      <c r="K863" s="1" t="str">
        <f t="shared" ref="K863:K876" si="538">"103"</f>
        <v>103</v>
      </c>
      <c r="L863" s="1" t="str">
        <f t="shared" ref="L863:L876" si="539">"47"</f>
        <v>47</v>
      </c>
      <c r="M863" s="1" t="str">
        <f t="shared" si="537"/>
        <v>0</v>
      </c>
      <c r="N863" s="1" t="str">
        <f t="shared" si="537"/>
        <v>0</v>
      </c>
      <c r="O863" s="1" t="str">
        <f>"14.5"</f>
        <v>14.5</v>
      </c>
    </row>
    <row r="864" s="1" customFormat="1" spans="1:15">
      <c r="A864" s="1" t="str">
        <f t="shared" si="511"/>
        <v>202406</v>
      </c>
      <c r="B864" s="1" t="str">
        <f t="shared" si="512"/>
        <v>150525100</v>
      </c>
      <c r="C864" s="1" t="str">
        <f>"1040924359"</f>
        <v>1040924359</v>
      </c>
      <c r="D864" s="1" t="str">
        <f>"152326196311013311"</f>
        <v>152326196311013311</v>
      </c>
      <c r="E864" s="1" t="s">
        <v>920</v>
      </c>
      <c r="F864" s="1" t="s">
        <v>25</v>
      </c>
      <c r="G864" s="1" t="s">
        <v>19</v>
      </c>
      <c r="H864" s="1" t="str">
        <f>"61"</f>
        <v>61</v>
      </c>
      <c r="I864" s="1" t="str">
        <f>"163.13"</f>
        <v>163.13</v>
      </c>
      <c r="J864" s="1" t="str">
        <f t="shared" ref="J864:N864" si="540">"0"</f>
        <v>0</v>
      </c>
      <c r="K864" s="1" t="str">
        <f t="shared" si="538"/>
        <v>103</v>
      </c>
      <c r="L864" s="1" t="str">
        <f t="shared" si="539"/>
        <v>47</v>
      </c>
      <c r="M864" s="1" t="str">
        <f t="shared" si="540"/>
        <v>0</v>
      </c>
      <c r="N864" s="1" t="str">
        <f t="shared" si="540"/>
        <v>0</v>
      </c>
      <c r="O864" s="1" t="str">
        <f>"13.13"</f>
        <v>13.13</v>
      </c>
    </row>
    <row r="865" s="1" customFormat="1" spans="1:15">
      <c r="A865" s="1" t="str">
        <f t="shared" si="511"/>
        <v>202406</v>
      </c>
      <c r="B865" s="1" t="str">
        <f t="shared" si="512"/>
        <v>150525100</v>
      </c>
      <c r="C865" s="1" t="str">
        <f>"1040910913"</f>
        <v>1040910913</v>
      </c>
      <c r="D865" s="1" t="str">
        <f>"152326196105203317"</f>
        <v>152326196105203317</v>
      </c>
      <c r="E865" s="1" t="s">
        <v>921</v>
      </c>
      <c r="F865" s="1" t="s">
        <v>25</v>
      </c>
      <c r="G865" s="1" t="s">
        <v>19</v>
      </c>
      <c r="H865" s="1" t="str">
        <f>"63"</f>
        <v>63</v>
      </c>
      <c r="I865" s="1" t="str">
        <f>"159.18"</f>
        <v>159.18</v>
      </c>
      <c r="J865" s="1" t="str">
        <f t="shared" ref="J865:N865" si="541">"0"</f>
        <v>0</v>
      </c>
      <c r="K865" s="1" t="str">
        <f t="shared" si="538"/>
        <v>103</v>
      </c>
      <c r="L865" s="1" t="str">
        <f t="shared" si="539"/>
        <v>47</v>
      </c>
      <c r="M865" s="1" t="str">
        <f t="shared" si="541"/>
        <v>0</v>
      </c>
      <c r="N865" s="1" t="str">
        <f t="shared" si="541"/>
        <v>0</v>
      </c>
      <c r="O865" s="1" t="str">
        <f>"9.18"</f>
        <v>9.18</v>
      </c>
    </row>
    <row r="866" s="1" customFormat="1" spans="1:15">
      <c r="A866" s="1" t="str">
        <f t="shared" si="511"/>
        <v>202406</v>
      </c>
      <c r="B866" s="1" t="str">
        <f t="shared" si="512"/>
        <v>150525100</v>
      </c>
      <c r="C866" s="1" t="str">
        <f>"1040924347"</f>
        <v>1040924347</v>
      </c>
      <c r="D866" s="1" t="str">
        <f>"152326196209053317"</f>
        <v>152326196209053317</v>
      </c>
      <c r="E866" s="1" t="s">
        <v>922</v>
      </c>
      <c r="F866" s="1" t="s">
        <v>25</v>
      </c>
      <c r="G866" s="1" t="s">
        <v>19</v>
      </c>
      <c r="H866" s="1" t="str">
        <f>"62"</f>
        <v>62</v>
      </c>
      <c r="I866" s="1" t="str">
        <f>"161.19"</f>
        <v>161.19</v>
      </c>
      <c r="J866" s="1" t="str">
        <f t="shared" ref="J866:N866" si="542">"0"</f>
        <v>0</v>
      </c>
      <c r="K866" s="1" t="str">
        <f t="shared" si="538"/>
        <v>103</v>
      </c>
      <c r="L866" s="1" t="str">
        <f t="shared" si="539"/>
        <v>47</v>
      </c>
      <c r="M866" s="1" t="str">
        <f t="shared" si="542"/>
        <v>0</v>
      </c>
      <c r="N866" s="1" t="str">
        <f t="shared" si="542"/>
        <v>0</v>
      </c>
      <c r="O866" s="1" t="str">
        <f>"11.19"</f>
        <v>11.19</v>
      </c>
    </row>
    <row r="867" s="1" customFormat="1" spans="1:15">
      <c r="A867" s="1" t="str">
        <f t="shared" si="511"/>
        <v>202406</v>
      </c>
      <c r="B867" s="1" t="str">
        <f t="shared" si="512"/>
        <v>150525100</v>
      </c>
      <c r="C867" s="1" t="str">
        <f>"1041077741"</f>
        <v>1041077741</v>
      </c>
      <c r="D867" s="1" t="str">
        <f>"152326195901113326"</f>
        <v>152326195901113326</v>
      </c>
      <c r="E867" s="1" t="s">
        <v>923</v>
      </c>
      <c r="F867" s="1" t="s">
        <v>16</v>
      </c>
      <c r="G867" s="1" t="s">
        <v>17</v>
      </c>
      <c r="H867" s="1" t="str">
        <f t="shared" si="536"/>
        <v>65</v>
      </c>
      <c r="I867" s="1" t="str">
        <f>"154.85"</f>
        <v>154.85</v>
      </c>
      <c r="J867" s="1" t="str">
        <f t="shared" ref="J867:N867" si="543">"0"</f>
        <v>0</v>
      </c>
      <c r="K867" s="1" t="str">
        <f t="shared" si="538"/>
        <v>103</v>
      </c>
      <c r="L867" s="1" t="str">
        <f t="shared" si="539"/>
        <v>47</v>
      </c>
      <c r="M867" s="1" t="str">
        <f t="shared" si="543"/>
        <v>0</v>
      </c>
      <c r="N867" s="1" t="str">
        <f t="shared" si="543"/>
        <v>0</v>
      </c>
      <c r="O867" s="1" t="str">
        <f>"4.85"</f>
        <v>4.85</v>
      </c>
    </row>
    <row r="868" s="1" customFormat="1" spans="1:15">
      <c r="A868" s="1" t="str">
        <f t="shared" si="511"/>
        <v>202406</v>
      </c>
      <c r="B868" s="1" t="str">
        <f t="shared" si="512"/>
        <v>150525100</v>
      </c>
      <c r="C868" s="1" t="str">
        <f>"1041077744"</f>
        <v>1041077744</v>
      </c>
      <c r="D868" s="1" t="s">
        <v>924</v>
      </c>
      <c r="E868" s="1" t="s">
        <v>925</v>
      </c>
      <c r="F868" s="1" t="s">
        <v>16</v>
      </c>
      <c r="G868" s="1" t="s">
        <v>17</v>
      </c>
      <c r="H868" s="1" t="str">
        <f t="shared" si="536"/>
        <v>65</v>
      </c>
      <c r="I868" s="1" t="str">
        <f>"156.85"</f>
        <v>156.85</v>
      </c>
      <c r="J868" s="1" t="str">
        <f t="shared" ref="J868:N868" si="544">"0"</f>
        <v>0</v>
      </c>
      <c r="K868" s="1" t="str">
        <f t="shared" si="538"/>
        <v>103</v>
      </c>
      <c r="L868" s="1" t="str">
        <f t="shared" si="539"/>
        <v>47</v>
      </c>
      <c r="M868" s="1" t="str">
        <f t="shared" si="544"/>
        <v>0</v>
      </c>
      <c r="N868" s="1" t="str">
        <f t="shared" si="544"/>
        <v>0</v>
      </c>
      <c r="O868" s="1" t="str">
        <f>"6.85"</f>
        <v>6.85</v>
      </c>
    </row>
    <row r="869" s="1" customFormat="1" spans="1:15">
      <c r="A869" s="1" t="str">
        <f t="shared" si="511"/>
        <v>202406</v>
      </c>
      <c r="B869" s="1" t="str">
        <f t="shared" si="512"/>
        <v>150525100</v>
      </c>
      <c r="C869" s="1" t="str">
        <f>"1040991530"</f>
        <v>1040991530</v>
      </c>
      <c r="D869" s="1" t="str">
        <f>"152326195709226128"</f>
        <v>152326195709226128</v>
      </c>
      <c r="E869" s="1" t="s">
        <v>926</v>
      </c>
      <c r="F869" s="1" t="s">
        <v>16</v>
      </c>
      <c r="G869" s="1" t="s">
        <v>17</v>
      </c>
      <c r="H869" s="1" t="str">
        <f>"67"</f>
        <v>67</v>
      </c>
      <c r="I869" s="1" t="str">
        <f>"154.32"</f>
        <v>154.32</v>
      </c>
      <c r="J869" s="1" t="str">
        <f t="shared" ref="J869:N869" si="545">"0"</f>
        <v>0</v>
      </c>
      <c r="K869" s="1" t="str">
        <f t="shared" si="538"/>
        <v>103</v>
      </c>
      <c r="L869" s="1" t="str">
        <f t="shared" si="539"/>
        <v>47</v>
      </c>
      <c r="M869" s="1" t="str">
        <f t="shared" si="545"/>
        <v>0</v>
      </c>
      <c r="N869" s="1" t="str">
        <f t="shared" si="545"/>
        <v>0</v>
      </c>
      <c r="O869" s="1" t="str">
        <f>"4.32"</f>
        <v>4.32</v>
      </c>
    </row>
    <row r="870" s="1" customFormat="1" spans="1:15">
      <c r="A870" s="1" t="str">
        <f t="shared" si="511"/>
        <v>202406</v>
      </c>
      <c r="B870" s="1" t="str">
        <f t="shared" si="512"/>
        <v>150525100</v>
      </c>
      <c r="C870" s="1" t="str">
        <f>"1040832513"</f>
        <v>1040832513</v>
      </c>
      <c r="D870" s="1" t="str">
        <f>"152326192806200049"</f>
        <v>152326192806200049</v>
      </c>
      <c r="E870" s="1" t="s">
        <v>441</v>
      </c>
      <c r="F870" s="1" t="s">
        <v>16</v>
      </c>
      <c r="G870" s="1" t="s">
        <v>17</v>
      </c>
      <c r="H870" s="1" t="str">
        <f>"96"</f>
        <v>96</v>
      </c>
      <c r="I870" s="1" t="str">
        <f t="shared" ref="I870:I876" si="546">"170"</f>
        <v>170</v>
      </c>
      <c r="J870" s="1" t="str">
        <f t="shared" ref="J870:O870" si="547">"0"</f>
        <v>0</v>
      </c>
      <c r="K870" s="1" t="str">
        <f t="shared" si="538"/>
        <v>103</v>
      </c>
      <c r="L870" s="1" t="str">
        <f t="shared" si="539"/>
        <v>47</v>
      </c>
      <c r="M870" s="1" t="str">
        <f t="shared" si="547"/>
        <v>0</v>
      </c>
      <c r="N870" s="1" t="str">
        <f t="shared" si="547"/>
        <v>0</v>
      </c>
      <c r="O870" s="1" t="str">
        <f t="shared" si="547"/>
        <v>0</v>
      </c>
    </row>
    <row r="871" s="1" customFormat="1" spans="1:15">
      <c r="A871" s="1" t="str">
        <f t="shared" si="511"/>
        <v>202406</v>
      </c>
      <c r="B871" s="1" t="str">
        <f t="shared" si="512"/>
        <v>150525100</v>
      </c>
      <c r="C871" s="1" t="str">
        <f>"1040832519"</f>
        <v>1040832519</v>
      </c>
      <c r="D871" s="1" t="s">
        <v>927</v>
      </c>
      <c r="E871" s="1" t="s">
        <v>928</v>
      </c>
      <c r="F871" s="1" t="s">
        <v>16</v>
      </c>
      <c r="G871" s="1" t="s">
        <v>17</v>
      </c>
      <c r="H871" s="1" t="str">
        <f>"80"</f>
        <v>80</v>
      </c>
      <c r="I871" s="1" t="str">
        <f t="shared" si="546"/>
        <v>170</v>
      </c>
      <c r="J871" s="1" t="str">
        <f t="shared" ref="J871:O871" si="548">"0"</f>
        <v>0</v>
      </c>
      <c r="K871" s="1" t="str">
        <f t="shared" si="538"/>
        <v>103</v>
      </c>
      <c r="L871" s="1" t="str">
        <f t="shared" si="539"/>
        <v>47</v>
      </c>
      <c r="M871" s="1" t="str">
        <f t="shared" si="548"/>
        <v>0</v>
      </c>
      <c r="N871" s="1" t="str">
        <f t="shared" si="548"/>
        <v>0</v>
      </c>
      <c r="O871" s="1" t="str">
        <f t="shared" si="548"/>
        <v>0</v>
      </c>
    </row>
    <row r="872" s="1" customFormat="1" spans="1:15">
      <c r="A872" s="1" t="str">
        <f t="shared" si="511"/>
        <v>202406</v>
      </c>
      <c r="B872" s="1" t="str">
        <f t="shared" si="512"/>
        <v>150525100</v>
      </c>
      <c r="C872" s="1" t="str">
        <f>"1040832521"</f>
        <v>1040832521</v>
      </c>
      <c r="D872" s="1" t="str">
        <f>"152326194702277622"</f>
        <v>152326194702277622</v>
      </c>
      <c r="E872" s="1" t="s">
        <v>58</v>
      </c>
      <c r="F872" s="1" t="s">
        <v>16</v>
      </c>
      <c r="G872" s="1" t="s">
        <v>19</v>
      </c>
      <c r="H872" s="1" t="str">
        <f>"77"</f>
        <v>77</v>
      </c>
      <c r="I872" s="1" t="str">
        <f>"160"</f>
        <v>160</v>
      </c>
      <c r="J872" s="1" t="str">
        <f t="shared" ref="J872:O872" si="549">"0"</f>
        <v>0</v>
      </c>
      <c r="K872" s="1" t="str">
        <f t="shared" si="538"/>
        <v>103</v>
      </c>
      <c r="L872" s="1" t="str">
        <f t="shared" si="539"/>
        <v>47</v>
      </c>
      <c r="M872" s="1" t="str">
        <f t="shared" si="549"/>
        <v>0</v>
      </c>
      <c r="N872" s="1" t="str">
        <f t="shared" si="549"/>
        <v>0</v>
      </c>
      <c r="O872" s="1" t="str">
        <f t="shared" si="549"/>
        <v>0</v>
      </c>
    </row>
    <row r="873" s="1" customFormat="1" spans="1:15">
      <c r="A873" s="1" t="str">
        <f t="shared" si="511"/>
        <v>202406</v>
      </c>
      <c r="B873" s="1" t="str">
        <f t="shared" si="512"/>
        <v>150525100</v>
      </c>
      <c r="C873" s="1" t="str">
        <f>"1040832526"</f>
        <v>1040832526</v>
      </c>
      <c r="D873" s="1" t="str">
        <f>"152326194911255876"</f>
        <v>152326194911255876</v>
      </c>
      <c r="E873" s="1" t="s">
        <v>929</v>
      </c>
      <c r="F873" s="1" t="s">
        <v>25</v>
      </c>
      <c r="G873" s="1" t="s">
        <v>17</v>
      </c>
      <c r="H873" s="1" t="str">
        <f>"75"</f>
        <v>75</v>
      </c>
      <c r="I873" s="1" t="str">
        <f>"160"</f>
        <v>160</v>
      </c>
      <c r="J873" s="1" t="str">
        <f t="shared" ref="J873:O873" si="550">"0"</f>
        <v>0</v>
      </c>
      <c r="K873" s="1" t="str">
        <f t="shared" si="538"/>
        <v>103</v>
      </c>
      <c r="L873" s="1" t="str">
        <f t="shared" si="539"/>
        <v>47</v>
      </c>
      <c r="M873" s="1" t="str">
        <f t="shared" si="550"/>
        <v>0</v>
      </c>
      <c r="N873" s="1" t="str">
        <f t="shared" si="550"/>
        <v>0</v>
      </c>
      <c r="O873" s="1" t="str">
        <f t="shared" si="550"/>
        <v>0</v>
      </c>
    </row>
    <row r="874" s="1" customFormat="1" spans="1:15">
      <c r="A874" s="1" t="str">
        <f t="shared" si="511"/>
        <v>202406</v>
      </c>
      <c r="B874" s="1" t="str">
        <f t="shared" si="512"/>
        <v>150525100</v>
      </c>
      <c r="C874" s="1" t="str">
        <f>"1040832542"</f>
        <v>1040832542</v>
      </c>
      <c r="D874" s="1" t="str">
        <f>"152326194008170024"</f>
        <v>152326194008170024</v>
      </c>
      <c r="E874" s="1" t="s">
        <v>930</v>
      </c>
      <c r="F874" s="1" t="s">
        <v>16</v>
      </c>
      <c r="G874" s="1" t="s">
        <v>17</v>
      </c>
      <c r="H874" s="1" t="str">
        <f>"84"</f>
        <v>84</v>
      </c>
      <c r="I874" s="1" t="str">
        <f t="shared" si="546"/>
        <v>170</v>
      </c>
      <c r="J874" s="1" t="str">
        <f t="shared" ref="J874:O874" si="551">"0"</f>
        <v>0</v>
      </c>
      <c r="K874" s="1" t="str">
        <f t="shared" si="538"/>
        <v>103</v>
      </c>
      <c r="L874" s="1" t="str">
        <f t="shared" si="539"/>
        <v>47</v>
      </c>
      <c r="M874" s="1" t="str">
        <f t="shared" si="551"/>
        <v>0</v>
      </c>
      <c r="N874" s="1" t="str">
        <f t="shared" si="551"/>
        <v>0</v>
      </c>
      <c r="O874" s="1" t="str">
        <f t="shared" si="551"/>
        <v>0</v>
      </c>
    </row>
    <row r="875" s="1" customFormat="1" spans="1:15">
      <c r="A875" s="1" t="str">
        <f t="shared" si="511"/>
        <v>202406</v>
      </c>
      <c r="B875" s="1" t="str">
        <f t="shared" si="512"/>
        <v>150525100</v>
      </c>
      <c r="C875" s="1" t="str">
        <f>"1040832552"</f>
        <v>1040832552</v>
      </c>
      <c r="D875" s="1" t="str">
        <f>"152326193812280043"</f>
        <v>152326193812280043</v>
      </c>
      <c r="E875" s="1" t="s">
        <v>931</v>
      </c>
      <c r="F875" s="1" t="s">
        <v>16</v>
      </c>
      <c r="G875" s="1" t="s">
        <v>17</v>
      </c>
      <c r="H875" s="1" t="str">
        <f>"86"</f>
        <v>86</v>
      </c>
      <c r="I875" s="1" t="str">
        <f t="shared" si="546"/>
        <v>170</v>
      </c>
      <c r="J875" s="1" t="str">
        <f t="shared" ref="J875:O875" si="552">"0"</f>
        <v>0</v>
      </c>
      <c r="K875" s="1" t="str">
        <f t="shared" si="538"/>
        <v>103</v>
      </c>
      <c r="L875" s="1" t="str">
        <f t="shared" si="539"/>
        <v>47</v>
      </c>
      <c r="M875" s="1" t="str">
        <f t="shared" si="552"/>
        <v>0</v>
      </c>
      <c r="N875" s="1" t="str">
        <f t="shared" si="552"/>
        <v>0</v>
      </c>
      <c r="O875" s="1" t="str">
        <f t="shared" si="552"/>
        <v>0</v>
      </c>
    </row>
    <row r="876" s="1" customFormat="1" spans="1:15">
      <c r="A876" s="1" t="str">
        <f t="shared" si="511"/>
        <v>202406</v>
      </c>
      <c r="B876" s="1" t="str">
        <f t="shared" si="512"/>
        <v>150525100</v>
      </c>
      <c r="C876" s="1" t="str">
        <f>"1040832609"</f>
        <v>1040832609</v>
      </c>
      <c r="D876" s="1" t="str">
        <f>"152326193606160665"</f>
        <v>152326193606160665</v>
      </c>
      <c r="E876" s="1" t="s">
        <v>932</v>
      </c>
      <c r="F876" s="1" t="s">
        <v>16</v>
      </c>
      <c r="G876" s="1" t="s">
        <v>17</v>
      </c>
      <c r="H876" s="1" t="str">
        <f>"88"</f>
        <v>88</v>
      </c>
      <c r="I876" s="1" t="str">
        <f t="shared" si="546"/>
        <v>170</v>
      </c>
      <c r="J876" s="1" t="str">
        <f t="shared" ref="J876:O876" si="553">"0"</f>
        <v>0</v>
      </c>
      <c r="K876" s="1" t="str">
        <f t="shared" si="538"/>
        <v>103</v>
      </c>
      <c r="L876" s="1" t="str">
        <f t="shared" si="539"/>
        <v>47</v>
      </c>
      <c r="M876" s="1" t="str">
        <f t="shared" si="553"/>
        <v>0</v>
      </c>
      <c r="N876" s="1" t="str">
        <f t="shared" si="553"/>
        <v>0</v>
      </c>
      <c r="O876" s="1" t="str">
        <f t="shared" si="553"/>
        <v>0</v>
      </c>
    </row>
    <row r="877" s="1" customFormat="1" spans="1:15">
      <c r="A877" s="1" t="str">
        <f t="shared" si="511"/>
        <v>202406</v>
      </c>
      <c r="B877" s="1" t="str">
        <f t="shared" si="512"/>
        <v>150525100</v>
      </c>
      <c r="C877" s="1" t="str">
        <f>"1040832614"</f>
        <v>1040832614</v>
      </c>
      <c r="D877" s="1" t="str">
        <f>"152326193703020023"</f>
        <v>152326193703020023</v>
      </c>
      <c r="E877" s="1" t="s">
        <v>933</v>
      </c>
      <c r="F877" s="1" t="s">
        <v>16</v>
      </c>
      <c r="G877" s="1" t="s">
        <v>17</v>
      </c>
      <c r="H877" s="1" t="str">
        <f>"87"</f>
        <v>87</v>
      </c>
      <c r="I877" s="1" t="str">
        <f>"2040"</f>
        <v>2040</v>
      </c>
      <c r="J877" s="1" t="str">
        <f>"1870"</f>
        <v>1870</v>
      </c>
      <c r="K877" s="1" t="str">
        <f>"1236"</f>
        <v>1236</v>
      </c>
      <c r="L877" s="1" t="str">
        <f>"564"</f>
        <v>564</v>
      </c>
      <c r="M877" s="1" t="str">
        <f t="shared" ref="M877:O877" si="554">"0"</f>
        <v>0</v>
      </c>
      <c r="N877" s="1" t="str">
        <f t="shared" si="554"/>
        <v>0</v>
      </c>
      <c r="O877" s="1" t="str">
        <f t="shared" si="554"/>
        <v>0</v>
      </c>
    </row>
    <row r="878" s="1" customFormat="1" spans="1:15">
      <c r="A878" s="1" t="str">
        <f t="shared" si="511"/>
        <v>202406</v>
      </c>
      <c r="B878" s="1" t="str">
        <f t="shared" si="512"/>
        <v>150525100</v>
      </c>
      <c r="C878" s="1" t="str">
        <f>"1040832617"</f>
        <v>1040832617</v>
      </c>
      <c r="D878" s="1" t="str">
        <f>"152326193711170021"</f>
        <v>152326193711170021</v>
      </c>
      <c r="E878" s="1" t="s">
        <v>934</v>
      </c>
      <c r="F878" s="1" t="s">
        <v>16</v>
      </c>
      <c r="G878" s="1" t="s">
        <v>17</v>
      </c>
      <c r="H878" s="1" t="str">
        <f>"87"</f>
        <v>87</v>
      </c>
      <c r="I878" s="1" t="str">
        <f t="shared" ref="I878:I881" si="555">"170"</f>
        <v>170</v>
      </c>
      <c r="J878" s="1" t="str">
        <f t="shared" ref="J878:O878" si="556">"0"</f>
        <v>0</v>
      </c>
      <c r="K878" s="1" t="str">
        <f t="shared" ref="K878:K941" si="557">"103"</f>
        <v>103</v>
      </c>
      <c r="L878" s="1" t="str">
        <f t="shared" ref="L878:L941" si="558">"47"</f>
        <v>47</v>
      </c>
      <c r="M878" s="1" t="str">
        <f t="shared" si="556"/>
        <v>0</v>
      </c>
      <c r="N878" s="1" t="str">
        <f t="shared" si="556"/>
        <v>0</v>
      </c>
      <c r="O878" s="1" t="str">
        <f t="shared" si="556"/>
        <v>0</v>
      </c>
    </row>
    <row r="879" s="1" customFormat="1" spans="1:15">
      <c r="A879" s="1" t="str">
        <f t="shared" si="511"/>
        <v>202406</v>
      </c>
      <c r="B879" s="1" t="str">
        <f t="shared" si="512"/>
        <v>150525100</v>
      </c>
      <c r="C879" s="1" t="str">
        <f>"1040948656"</f>
        <v>1040948656</v>
      </c>
      <c r="D879" s="1" t="str">
        <f>"152326195810123334"</f>
        <v>152326195810123334</v>
      </c>
      <c r="E879" s="1" t="s">
        <v>935</v>
      </c>
      <c r="F879" s="1" t="s">
        <v>25</v>
      </c>
      <c r="G879" s="1" t="s">
        <v>19</v>
      </c>
      <c r="H879" s="1" t="str">
        <f>"66"</f>
        <v>66</v>
      </c>
      <c r="I879" s="1" t="str">
        <f>"155.34"</f>
        <v>155.34</v>
      </c>
      <c r="J879" s="1" t="str">
        <f t="shared" ref="J879:N879" si="559">"0"</f>
        <v>0</v>
      </c>
      <c r="K879" s="1" t="str">
        <f t="shared" si="557"/>
        <v>103</v>
      </c>
      <c r="L879" s="1" t="str">
        <f t="shared" si="558"/>
        <v>47</v>
      </c>
      <c r="M879" s="1" t="str">
        <f t="shared" si="559"/>
        <v>0</v>
      </c>
      <c r="N879" s="1" t="str">
        <f t="shared" si="559"/>
        <v>0</v>
      </c>
      <c r="O879" s="1" t="str">
        <f>"5.34"</f>
        <v>5.34</v>
      </c>
    </row>
    <row r="880" s="1" customFormat="1" spans="1:15">
      <c r="A880" s="1" t="str">
        <f t="shared" si="511"/>
        <v>202406</v>
      </c>
      <c r="B880" s="1" t="str">
        <f t="shared" si="512"/>
        <v>150525100</v>
      </c>
      <c r="C880" s="1" t="str">
        <f>"1040832637"</f>
        <v>1040832637</v>
      </c>
      <c r="D880" s="1" t="str">
        <f>"152326194011260047"</f>
        <v>152326194011260047</v>
      </c>
      <c r="E880" s="1" t="s">
        <v>936</v>
      </c>
      <c r="F880" s="1" t="s">
        <v>16</v>
      </c>
      <c r="G880" s="1" t="s">
        <v>17</v>
      </c>
      <c r="H880" s="1" t="str">
        <f>"84"</f>
        <v>84</v>
      </c>
      <c r="I880" s="1" t="str">
        <f t="shared" si="555"/>
        <v>170</v>
      </c>
      <c r="J880" s="1" t="str">
        <f t="shared" ref="J880:O880" si="560">"0"</f>
        <v>0</v>
      </c>
      <c r="K880" s="1" t="str">
        <f t="shared" si="557"/>
        <v>103</v>
      </c>
      <c r="L880" s="1" t="str">
        <f t="shared" si="558"/>
        <v>47</v>
      </c>
      <c r="M880" s="1" t="str">
        <f t="shared" si="560"/>
        <v>0</v>
      </c>
      <c r="N880" s="1" t="str">
        <f t="shared" si="560"/>
        <v>0</v>
      </c>
      <c r="O880" s="1" t="str">
        <f t="shared" si="560"/>
        <v>0</v>
      </c>
    </row>
    <row r="881" s="1" customFormat="1" spans="1:15">
      <c r="A881" s="1" t="str">
        <f t="shared" si="511"/>
        <v>202406</v>
      </c>
      <c r="B881" s="1" t="str">
        <f t="shared" si="512"/>
        <v>150525100</v>
      </c>
      <c r="C881" s="1" t="str">
        <f>"1040832639"</f>
        <v>1040832639</v>
      </c>
      <c r="D881" s="1" t="str">
        <f>"152326194012220047"</f>
        <v>152326194012220047</v>
      </c>
      <c r="E881" s="1" t="s">
        <v>937</v>
      </c>
      <c r="F881" s="1" t="s">
        <v>16</v>
      </c>
      <c r="G881" s="1" t="s">
        <v>17</v>
      </c>
      <c r="H881" s="1" t="str">
        <f>"84"</f>
        <v>84</v>
      </c>
      <c r="I881" s="1" t="str">
        <f t="shared" si="555"/>
        <v>170</v>
      </c>
      <c r="J881" s="1" t="str">
        <f t="shared" ref="J881:O881" si="561">"0"</f>
        <v>0</v>
      </c>
      <c r="K881" s="1" t="str">
        <f t="shared" si="557"/>
        <v>103</v>
      </c>
      <c r="L881" s="1" t="str">
        <f t="shared" si="558"/>
        <v>47</v>
      </c>
      <c r="M881" s="1" t="str">
        <f t="shared" si="561"/>
        <v>0</v>
      </c>
      <c r="N881" s="1" t="str">
        <f t="shared" si="561"/>
        <v>0</v>
      </c>
      <c r="O881" s="1" t="str">
        <f t="shared" si="561"/>
        <v>0</v>
      </c>
    </row>
    <row r="882" s="1" customFormat="1" spans="1:15">
      <c r="A882" s="1" t="str">
        <f t="shared" si="511"/>
        <v>202406</v>
      </c>
      <c r="B882" s="1" t="str">
        <f t="shared" si="512"/>
        <v>150525100</v>
      </c>
      <c r="C882" s="1" t="str">
        <f>"1040832664"</f>
        <v>1040832664</v>
      </c>
      <c r="D882" s="1" t="str">
        <f>"152326194408040026"</f>
        <v>152326194408040026</v>
      </c>
      <c r="E882" s="1" t="s">
        <v>938</v>
      </c>
      <c r="F882" s="1" t="s">
        <v>16</v>
      </c>
      <c r="G882" s="1" t="s">
        <v>17</v>
      </c>
      <c r="H882" s="1" t="str">
        <f>"80"</f>
        <v>80</v>
      </c>
      <c r="I882" s="1" t="str">
        <f t="shared" ref="I882:I885" si="562">"160"</f>
        <v>160</v>
      </c>
      <c r="J882" s="1" t="str">
        <f t="shared" ref="J882:O882" si="563">"0"</f>
        <v>0</v>
      </c>
      <c r="K882" s="1" t="str">
        <f t="shared" si="557"/>
        <v>103</v>
      </c>
      <c r="L882" s="1" t="str">
        <f t="shared" si="558"/>
        <v>47</v>
      </c>
      <c r="M882" s="1" t="str">
        <f t="shared" si="563"/>
        <v>0</v>
      </c>
      <c r="N882" s="1" t="str">
        <f t="shared" si="563"/>
        <v>0</v>
      </c>
      <c r="O882" s="1" t="str">
        <f t="shared" si="563"/>
        <v>0</v>
      </c>
    </row>
    <row r="883" s="1" customFormat="1" spans="1:15">
      <c r="A883" s="1" t="str">
        <f t="shared" si="511"/>
        <v>202406</v>
      </c>
      <c r="B883" s="1" t="str">
        <f t="shared" si="512"/>
        <v>150525100</v>
      </c>
      <c r="C883" s="1" t="str">
        <f>"1040832683"</f>
        <v>1040832683</v>
      </c>
      <c r="D883" s="1" t="str">
        <f>"152326194604110028"</f>
        <v>152326194604110028</v>
      </c>
      <c r="E883" s="1" t="s">
        <v>939</v>
      </c>
      <c r="F883" s="1" t="s">
        <v>16</v>
      </c>
      <c r="G883" s="1" t="s">
        <v>17</v>
      </c>
      <c r="H883" s="1" t="str">
        <f>"78"</f>
        <v>78</v>
      </c>
      <c r="I883" s="1" t="str">
        <f t="shared" si="562"/>
        <v>160</v>
      </c>
      <c r="J883" s="1" t="str">
        <f t="shared" ref="J883:O883" si="564">"0"</f>
        <v>0</v>
      </c>
      <c r="K883" s="1" t="str">
        <f t="shared" si="557"/>
        <v>103</v>
      </c>
      <c r="L883" s="1" t="str">
        <f t="shared" si="558"/>
        <v>47</v>
      </c>
      <c r="M883" s="1" t="str">
        <f t="shared" si="564"/>
        <v>0</v>
      </c>
      <c r="N883" s="1" t="str">
        <f t="shared" si="564"/>
        <v>0</v>
      </c>
      <c r="O883" s="1" t="str">
        <f t="shared" si="564"/>
        <v>0</v>
      </c>
    </row>
    <row r="884" s="1" customFormat="1" spans="1:15">
      <c r="A884" s="1" t="str">
        <f t="shared" si="511"/>
        <v>202406</v>
      </c>
      <c r="B884" s="1" t="str">
        <f t="shared" si="512"/>
        <v>150525100</v>
      </c>
      <c r="C884" s="1" t="str">
        <f>"1040832695"</f>
        <v>1040832695</v>
      </c>
      <c r="D884" s="1" t="str">
        <f>"152326194710100026"</f>
        <v>152326194710100026</v>
      </c>
      <c r="E884" s="1" t="s">
        <v>940</v>
      </c>
      <c r="F884" s="1" t="s">
        <v>16</v>
      </c>
      <c r="G884" s="1" t="s">
        <v>17</v>
      </c>
      <c r="H884" s="1" t="str">
        <f>"77"</f>
        <v>77</v>
      </c>
      <c r="I884" s="1" t="str">
        <f t="shared" si="562"/>
        <v>160</v>
      </c>
      <c r="J884" s="1" t="str">
        <f t="shared" ref="J884:O884" si="565">"0"</f>
        <v>0</v>
      </c>
      <c r="K884" s="1" t="str">
        <f t="shared" si="557"/>
        <v>103</v>
      </c>
      <c r="L884" s="1" t="str">
        <f t="shared" si="558"/>
        <v>47</v>
      </c>
      <c r="M884" s="1" t="str">
        <f t="shared" si="565"/>
        <v>0</v>
      </c>
      <c r="N884" s="1" t="str">
        <f t="shared" si="565"/>
        <v>0</v>
      </c>
      <c r="O884" s="1" t="str">
        <f t="shared" si="565"/>
        <v>0</v>
      </c>
    </row>
    <row r="885" s="1" customFormat="1" spans="1:15">
      <c r="A885" s="1" t="str">
        <f t="shared" si="511"/>
        <v>202406</v>
      </c>
      <c r="B885" s="1" t="str">
        <f t="shared" si="512"/>
        <v>150525100</v>
      </c>
      <c r="C885" s="1" t="str">
        <f>"1040832702"</f>
        <v>1040832702</v>
      </c>
      <c r="D885" s="1" t="str">
        <f>"152326194807166865"</f>
        <v>152326194807166865</v>
      </c>
      <c r="E885" s="1" t="s">
        <v>392</v>
      </c>
      <c r="F885" s="1" t="s">
        <v>16</v>
      </c>
      <c r="G885" s="1" t="s">
        <v>17</v>
      </c>
      <c r="H885" s="1" t="str">
        <f t="shared" ref="H885:H889" si="566">"76"</f>
        <v>76</v>
      </c>
      <c r="I885" s="1" t="str">
        <f t="shared" si="562"/>
        <v>160</v>
      </c>
      <c r="J885" s="1" t="str">
        <f t="shared" ref="J885:O885" si="567">"0"</f>
        <v>0</v>
      </c>
      <c r="K885" s="1" t="str">
        <f t="shared" si="557"/>
        <v>103</v>
      </c>
      <c r="L885" s="1" t="str">
        <f t="shared" si="558"/>
        <v>47</v>
      </c>
      <c r="M885" s="1" t="str">
        <f t="shared" si="567"/>
        <v>0</v>
      </c>
      <c r="N885" s="1" t="str">
        <f t="shared" si="567"/>
        <v>0</v>
      </c>
      <c r="O885" s="1" t="str">
        <f t="shared" si="567"/>
        <v>0</v>
      </c>
    </row>
    <row r="886" s="1" customFormat="1" spans="1:15">
      <c r="A886" s="1" t="str">
        <f t="shared" si="511"/>
        <v>202406</v>
      </c>
      <c r="B886" s="1" t="str">
        <f t="shared" si="512"/>
        <v>150525100</v>
      </c>
      <c r="C886" s="1" t="str">
        <f>"1040990020"</f>
        <v>1040990020</v>
      </c>
      <c r="D886" s="1" t="str">
        <f>"152326196007263826"</f>
        <v>152326196007263826</v>
      </c>
      <c r="E886" s="1" t="s">
        <v>941</v>
      </c>
      <c r="F886" s="1" t="s">
        <v>16</v>
      </c>
      <c r="G886" s="1" t="s">
        <v>17</v>
      </c>
      <c r="H886" s="1" t="str">
        <f>"64"</f>
        <v>64</v>
      </c>
      <c r="I886" s="1" t="str">
        <f>"165.97"</f>
        <v>165.97</v>
      </c>
      <c r="J886" s="1" t="str">
        <f t="shared" ref="J886:N886" si="568">"0"</f>
        <v>0</v>
      </c>
      <c r="K886" s="1" t="str">
        <f t="shared" si="557"/>
        <v>103</v>
      </c>
      <c r="L886" s="1" t="str">
        <f t="shared" si="558"/>
        <v>47</v>
      </c>
      <c r="M886" s="1" t="str">
        <f t="shared" si="568"/>
        <v>0</v>
      </c>
      <c r="N886" s="1" t="str">
        <f t="shared" si="568"/>
        <v>0</v>
      </c>
      <c r="O886" s="1" t="str">
        <f>"15.97"</f>
        <v>15.97</v>
      </c>
    </row>
    <row r="887" s="1" customFormat="1" spans="1:15">
      <c r="A887" s="1" t="str">
        <f t="shared" si="511"/>
        <v>202406</v>
      </c>
      <c r="B887" s="1" t="str">
        <f t="shared" si="512"/>
        <v>150525100</v>
      </c>
      <c r="C887" s="1" t="str">
        <f>"1040965545"</f>
        <v>1040965545</v>
      </c>
      <c r="D887" s="1" t="str">
        <f>"152326195910030418"</f>
        <v>152326195910030418</v>
      </c>
      <c r="E887" s="1" t="s">
        <v>942</v>
      </c>
      <c r="F887" s="1" t="s">
        <v>25</v>
      </c>
      <c r="G887" s="1" t="s">
        <v>17</v>
      </c>
      <c r="H887" s="1" t="str">
        <f>"65"</f>
        <v>65</v>
      </c>
      <c r="I887" s="1" t="str">
        <f>"156.37"</f>
        <v>156.37</v>
      </c>
      <c r="J887" s="1" t="str">
        <f t="shared" ref="J887:N887" si="569">"0"</f>
        <v>0</v>
      </c>
      <c r="K887" s="1" t="str">
        <f t="shared" si="557"/>
        <v>103</v>
      </c>
      <c r="L887" s="1" t="str">
        <f t="shared" si="558"/>
        <v>47</v>
      </c>
      <c r="M887" s="1" t="str">
        <f t="shared" si="569"/>
        <v>0</v>
      </c>
      <c r="N887" s="1" t="str">
        <f t="shared" si="569"/>
        <v>0</v>
      </c>
      <c r="O887" s="1" t="str">
        <f>"6.37"</f>
        <v>6.37</v>
      </c>
    </row>
    <row r="888" s="1" customFormat="1" spans="1:15">
      <c r="A888" s="1" t="str">
        <f t="shared" si="511"/>
        <v>202406</v>
      </c>
      <c r="B888" s="1" t="str">
        <f t="shared" si="512"/>
        <v>150525100</v>
      </c>
      <c r="C888" s="1" t="str">
        <f>"1040832708"</f>
        <v>1040832708</v>
      </c>
      <c r="D888" s="1" t="str">
        <f>"152326194811143834"</f>
        <v>152326194811143834</v>
      </c>
      <c r="E888" s="1" t="s">
        <v>943</v>
      </c>
      <c r="F888" s="1" t="s">
        <v>25</v>
      </c>
      <c r="G888" s="1" t="s">
        <v>17</v>
      </c>
      <c r="H888" s="1" t="str">
        <f t="shared" si="566"/>
        <v>76</v>
      </c>
      <c r="I888" s="1" t="str">
        <f t="shared" ref="I888:I894" si="570">"160"</f>
        <v>160</v>
      </c>
      <c r="J888" s="1" t="str">
        <f t="shared" ref="J888:O888" si="571">"0"</f>
        <v>0</v>
      </c>
      <c r="K888" s="1" t="str">
        <f t="shared" si="557"/>
        <v>103</v>
      </c>
      <c r="L888" s="1" t="str">
        <f t="shared" si="558"/>
        <v>47</v>
      </c>
      <c r="M888" s="1" t="str">
        <f t="shared" si="571"/>
        <v>0</v>
      </c>
      <c r="N888" s="1" t="str">
        <f t="shared" si="571"/>
        <v>0</v>
      </c>
      <c r="O888" s="1" t="str">
        <f t="shared" si="571"/>
        <v>0</v>
      </c>
    </row>
    <row r="889" s="1" customFormat="1" spans="1:15">
      <c r="A889" s="1" t="str">
        <f t="shared" si="511"/>
        <v>202406</v>
      </c>
      <c r="B889" s="1" t="str">
        <f t="shared" si="512"/>
        <v>150525100</v>
      </c>
      <c r="C889" s="1" t="str">
        <f>"1040832710"</f>
        <v>1040832710</v>
      </c>
      <c r="D889" s="1" t="str">
        <f>"152326194812020924"</f>
        <v>152326194812020924</v>
      </c>
      <c r="E889" s="1" t="s">
        <v>944</v>
      </c>
      <c r="F889" s="1" t="s">
        <v>16</v>
      </c>
      <c r="G889" s="1" t="s">
        <v>19</v>
      </c>
      <c r="H889" s="1" t="str">
        <f t="shared" si="566"/>
        <v>76</v>
      </c>
      <c r="I889" s="1" t="str">
        <f t="shared" si="570"/>
        <v>160</v>
      </c>
      <c r="J889" s="1" t="str">
        <f t="shared" ref="J889:O889" si="572">"0"</f>
        <v>0</v>
      </c>
      <c r="K889" s="1" t="str">
        <f t="shared" si="557"/>
        <v>103</v>
      </c>
      <c r="L889" s="1" t="str">
        <f t="shared" si="558"/>
        <v>47</v>
      </c>
      <c r="M889" s="1" t="str">
        <f t="shared" si="572"/>
        <v>0</v>
      </c>
      <c r="N889" s="1" t="str">
        <f t="shared" si="572"/>
        <v>0</v>
      </c>
      <c r="O889" s="1" t="str">
        <f t="shared" si="572"/>
        <v>0</v>
      </c>
    </row>
    <row r="890" s="1" customFormat="1" spans="1:15">
      <c r="A890" s="1" t="str">
        <f t="shared" si="511"/>
        <v>202406</v>
      </c>
      <c r="B890" s="1" t="str">
        <f t="shared" si="512"/>
        <v>150525100</v>
      </c>
      <c r="C890" s="1" t="str">
        <f>"1040832726"</f>
        <v>1040832726</v>
      </c>
      <c r="D890" s="1" t="str">
        <f>"152326194910030026"</f>
        <v>152326194910030026</v>
      </c>
      <c r="E890" s="1" t="s">
        <v>945</v>
      </c>
      <c r="F890" s="1" t="s">
        <v>16</v>
      </c>
      <c r="G890" s="1" t="s">
        <v>17</v>
      </c>
      <c r="H890" s="1" t="str">
        <f>"75"</f>
        <v>75</v>
      </c>
      <c r="I890" s="1" t="str">
        <f t="shared" si="570"/>
        <v>160</v>
      </c>
      <c r="J890" s="1" t="str">
        <f t="shared" ref="J890:O890" si="573">"0"</f>
        <v>0</v>
      </c>
      <c r="K890" s="1" t="str">
        <f t="shared" si="557"/>
        <v>103</v>
      </c>
      <c r="L890" s="1" t="str">
        <f t="shared" si="558"/>
        <v>47</v>
      </c>
      <c r="M890" s="1" t="str">
        <f t="shared" si="573"/>
        <v>0</v>
      </c>
      <c r="N890" s="1" t="str">
        <f t="shared" si="573"/>
        <v>0</v>
      </c>
      <c r="O890" s="1" t="str">
        <f t="shared" si="573"/>
        <v>0</v>
      </c>
    </row>
    <row r="891" s="1" customFormat="1" spans="1:15">
      <c r="A891" s="1" t="str">
        <f t="shared" si="511"/>
        <v>202406</v>
      </c>
      <c r="B891" s="1" t="str">
        <f t="shared" si="512"/>
        <v>150525100</v>
      </c>
      <c r="C891" s="1" t="str">
        <f>"1040832730"</f>
        <v>1040832730</v>
      </c>
      <c r="D891" s="1" t="str">
        <f>"152326194912090022"</f>
        <v>152326194912090022</v>
      </c>
      <c r="E891" s="1" t="s">
        <v>946</v>
      </c>
      <c r="F891" s="1" t="s">
        <v>16</v>
      </c>
      <c r="G891" s="1" t="s">
        <v>17</v>
      </c>
      <c r="H891" s="1" t="str">
        <f>"75"</f>
        <v>75</v>
      </c>
      <c r="I891" s="1" t="str">
        <f t="shared" si="570"/>
        <v>160</v>
      </c>
      <c r="J891" s="1" t="str">
        <f t="shared" ref="J891:O891" si="574">"0"</f>
        <v>0</v>
      </c>
      <c r="K891" s="1" t="str">
        <f t="shared" si="557"/>
        <v>103</v>
      </c>
      <c r="L891" s="1" t="str">
        <f t="shared" si="558"/>
        <v>47</v>
      </c>
      <c r="M891" s="1" t="str">
        <f t="shared" si="574"/>
        <v>0</v>
      </c>
      <c r="N891" s="1" t="str">
        <f t="shared" si="574"/>
        <v>0</v>
      </c>
      <c r="O891" s="1" t="str">
        <f t="shared" si="574"/>
        <v>0</v>
      </c>
    </row>
    <row r="892" s="1" customFormat="1" spans="1:15">
      <c r="A892" s="1" t="str">
        <f t="shared" si="511"/>
        <v>202406</v>
      </c>
      <c r="B892" s="1" t="str">
        <f t="shared" si="512"/>
        <v>150525100</v>
      </c>
      <c r="C892" s="1" t="str">
        <f>"1040832732"</f>
        <v>1040832732</v>
      </c>
      <c r="D892" s="1" t="str">
        <f>"152326195003285628"</f>
        <v>152326195003285628</v>
      </c>
      <c r="E892" s="1" t="s">
        <v>947</v>
      </c>
      <c r="F892" s="1" t="s">
        <v>16</v>
      </c>
      <c r="G892" s="1" t="s">
        <v>17</v>
      </c>
      <c r="H892" s="1" t="str">
        <f>"74"</f>
        <v>74</v>
      </c>
      <c r="I892" s="1" t="str">
        <f t="shared" si="570"/>
        <v>160</v>
      </c>
      <c r="J892" s="1" t="str">
        <f t="shared" ref="J892:O892" si="575">"0"</f>
        <v>0</v>
      </c>
      <c r="K892" s="1" t="str">
        <f t="shared" si="557"/>
        <v>103</v>
      </c>
      <c r="L892" s="1" t="str">
        <f t="shared" si="558"/>
        <v>47</v>
      </c>
      <c r="M892" s="1" t="str">
        <f t="shared" si="575"/>
        <v>0</v>
      </c>
      <c r="N892" s="1" t="str">
        <f t="shared" si="575"/>
        <v>0</v>
      </c>
      <c r="O892" s="1" t="str">
        <f t="shared" si="575"/>
        <v>0</v>
      </c>
    </row>
    <row r="893" s="1" customFormat="1" spans="1:15">
      <c r="A893" s="1" t="str">
        <f t="shared" si="511"/>
        <v>202406</v>
      </c>
      <c r="B893" s="1" t="str">
        <f t="shared" si="512"/>
        <v>150525100</v>
      </c>
      <c r="C893" s="1" t="str">
        <f>"1040832754"</f>
        <v>1040832754</v>
      </c>
      <c r="D893" s="1" t="str">
        <f>"152326195109027125"</f>
        <v>152326195109027125</v>
      </c>
      <c r="E893" s="1" t="s">
        <v>948</v>
      </c>
      <c r="F893" s="1" t="s">
        <v>16</v>
      </c>
      <c r="G893" s="1" t="s">
        <v>17</v>
      </c>
      <c r="H893" s="1" t="str">
        <f>"73"</f>
        <v>73</v>
      </c>
      <c r="I893" s="1" t="str">
        <f t="shared" si="570"/>
        <v>160</v>
      </c>
      <c r="J893" s="1" t="str">
        <f t="shared" ref="J893:O893" si="576">"0"</f>
        <v>0</v>
      </c>
      <c r="K893" s="1" t="str">
        <f t="shared" si="557"/>
        <v>103</v>
      </c>
      <c r="L893" s="1" t="str">
        <f t="shared" si="558"/>
        <v>47</v>
      </c>
      <c r="M893" s="1" t="str">
        <f t="shared" si="576"/>
        <v>0</v>
      </c>
      <c r="N893" s="1" t="str">
        <f t="shared" si="576"/>
        <v>0</v>
      </c>
      <c r="O893" s="1" t="str">
        <f t="shared" si="576"/>
        <v>0</v>
      </c>
    </row>
    <row r="894" s="1" customFormat="1" spans="1:15">
      <c r="A894" s="1" t="str">
        <f t="shared" si="511"/>
        <v>202406</v>
      </c>
      <c r="B894" s="1" t="str">
        <f t="shared" si="512"/>
        <v>150525100</v>
      </c>
      <c r="C894" s="1" t="str">
        <f>"1040832766"</f>
        <v>1040832766</v>
      </c>
      <c r="D894" s="1" t="str">
        <f>"152326194603300022"</f>
        <v>152326194603300022</v>
      </c>
      <c r="E894" s="1" t="s">
        <v>949</v>
      </c>
      <c r="F894" s="1" t="s">
        <v>16</v>
      </c>
      <c r="G894" s="1" t="s">
        <v>17</v>
      </c>
      <c r="H894" s="1" t="str">
        <f>"78"</f>
        <v>78</v>
      </c>
      <c r="I894" s="1" t="str">
        <f t="shared" si="570"/>
        <v>160</v>
      </c>
      <c r="J894" s="1" t="str">
        <f t="shared" ref="J894:O894" si="577">"0"</f>
        <v>0</v>
      </c>
      <c r="K894" s="1" t="str">
        <f t="shared" si="557"/>
        <v>103</v>
      </c>
      <c r="L894" s="1" t="str">
        <f t="shared" si="558"/>
        <v>47</v>
      </c>
      <c r="M894" s="1" t="str">
        <f t="shared" si="577"/>
        <v>0</v>
      </c>
      <c r="N894" s="1" t="str">
        <f t="shared" si="577"/>
        <v>0</v>
      </c>
      <c r="O894" s="1" t="str">
        <f t="shared" si="577"/>
        <v>0</v>
      </c>
    </row>
    <row r="895" s="1" customFormat="1" spans="1:15">
      <c r="A895" s="1" t="str">
        <f t="shared" si="511"/>
        <v>202406</v>
      </c>
      <c r="B895" s="1" t="str">
        <f t="shared" si="512"/>
        <v>150525100</v>
      </c>
      <c r="C895" s="1" t="str">
        <f>"1040978808"</f>
        <v>1040978808</v>
      </c>
      <c r="D895" s="1" t="str">
        <f>"152326196311073824"</f>
        <v>152326196311073824</v>
      </c>
      <c r="E895" s="1" t="s">
        <v>209</v>
      </c>
      <c r="F895" s="1" t="s">
        <v>16</v>
      </c>
      <c r="G895" s="1" t="s">
        <v>17</v>
      </c>
      <c r="H895" s="1" t="str">
        <f>"61"</f>
        <v>61</v>
      </c>
      <c r="I895" s="1" t="str">
        <f>"163.14"</f>
        <v>163.14</v>
      </c>
      <c r="J895" s="1" t="str">
        <f t="shared" ref="J895:N895" si="578">"0"</f>
        <v>0</v>
      </c>
      <c r="K895" s="1" t="str">
        <f t="shared" si="557"/>
        <v>103</v>
      </c>
      <c r="L895" s="1" t="str">
        <f t="shared" si="558"/>
        <v>47</v>
      </c>
      <c r="M895" s="1" t="str">
        <f t="shared" si="578"/>
        <v>0</v>
      </c>
      <c r="N895" s="1" t="str">
        <f t="shared" si="578"/>
        <v>0</v>
      </c>
      <c r="O895" s="1" t="str">
        <f>"13.14"</f>
        <v>13.14</v>
      </c>
    </row>
    <row r="896" s="1" customFormat="1" spans="1:15">
      <c r="A896" s="1" t="str">
        <f t="shared" si="511"/>
        <v>202406</v>
      </c>
      <c r="B896" s="1" t="str">
        <f t="shared" si="512"/>
        <v>150525100</v>
      </c>
      <c r="C896" s="1" t="str">
        <f>"1040978810"</f>
        <v>1040978810</v>
      </c>
      <c r="D896" s="1" t="str">
        <f>"152326196307073813"</f>
        <v>152326196307073813</v>
      </c>
      <c r="E896" s="1" t="s">
        <v>950</v>
      </c>
      <c r="F896" s="1" t="s">
        <v>25</v>
      </c>
      <c r="G896" s="1" t="s">
        <v>19</v>
      </c>
      <c r="H896" s="1" t="str">
        <f>"61"</f>
        <v>61</v>
      </c>
      <c r="I896" s="1" t="str">
        <f>"163.08"</f>
        <v>163.08</v>
      </c>
      <c r="J896" s="1" t="str">
        <f t="shared" ref="J896:N896" si="579">"0"</f>
        <v>0</v>
      </c>
      <c r="K896" s="1" t="str">
        <f t="shared" si="557"/>
        <v>103</v>
      </c>
      <c r="L896" s="1" t="str">
        <f t="shared" si="558"/>
        <v>47</v>
      </c>
      <c r="M896" s="1" t="str">
        <f t="shared" si="579"/>
        <v>0</v>
      </c>
      <c r="N896" s="1" t="str">
        <f t="shared" si="579"/>
        <v>0</v>
      </c>
      <c r="O896" s="1" t="str">
        <f>"13.08"</f>
        <v>13.08</v>
      </c>
    </row>
    <row r="897" s="1" customFormat="1" spans="1:15">
      <c r="A897" s="1" t="str">
        <f t="shared" si="511"/>
        <v>202406</v>
      </c>
      <c r="B897" s="1" t="str">
        <f t="shared" si="512"/>
        <v>150525100</v>
      </c>
      <c r="C897" s="1" t="str">
        <f>"1041153513"</f>
        <v>1041153513</v>
      </c>
      <c r="D897" s="1" t="str">
        <f>"152326195802150025"</f>
        <v>152326195802150025</v>
      </c>
      <c r="E897" s="1" t="s">
        <v>951</v>
      </c>
      <c r="F897" s="1" t="s">
        <v>16</v>
      </c>
      <c r="G897" s="1" t="s">
        <v>17</v>
      </c>
      <c r="H897" s="1" t="str">
        <f>"66"</f>
        <v>66</v>
      </c>
      <c r="I897" s="1" t="str">
        <f>"158.16"</f>
        <v>158.16</v>
      </c>
      <c r="J897" s="1" t="str">
        <f t="shared" ref="J897:N897" si="580">"0"</f>
        <v>0</v>
      </c>
      <c r="K897" s="1" t="str">
        <f t="shared" si="557"/>
        <v>103</v>
      </c>
      <c r="L897" s="1" t="str">
        <f t="shared" si="558"/>
        <v>47</v>
      </c>
      <c r="M897" s="1" t="str">
        <f t="shared" si="580"/>
        <v>0</v>
      </c>
      <c r="N897" s="1" t="str">
        <f t="shared" si="580"/>
        <v>0</v>
      </c>
      <c r="O897" s="1" t="str">
        <f>"8.16"</f>
        <v>8.16</v>
      </c>
    </row>
    <row r="898" s="1" customFormat="1" spans="1:15">
      <c r="A898" s="1" t="str">
        <f t="shared" ref="A898:A961" si="581">"202406"</f>
        <v>202406</v>
      </c>
      <c r="B898" s="1" t="str">
        <f t="shared" ref="B898:B961" si="582">"150525100"</f>
        <v>150525100</v>
      </c>
      <c r="C898" s="1" t="str">
        <f>"1041153519"</f>
        <v>1041153519</v>
      </c>
      <c r="D898" s="1" t="str">
        <f>"152326196104170023"</f>
        <v>152326196104170023</v>
      </c>
      <c r="E898" s="1" t="s">
        <v>952</v>
      </c>
      <c r="F898" s="1" t="s">
        <v>16</v>
      </c>
      <c r="G898" s="1" t="s">
        <v>17</v>
      </c>
      <c r="H898" s="1" t="str">
        <f>"63"</f>
        <v>63</v>
      </c>
      <c r="I898" s="1" t="str">
        <f>"160.46"</f>
        <v>160.46</v>
      </c>
      <c r="J898" s="1" t="str">
        <f t="shared" ref="J898:N898" si="583">"0"</f>
        <v>0</v>
      </c>
      <c r="K898" s="1" t="str">
        <f t="shared" si="557"/>
        <v>103</v>
      </c>
      <c r="L898" s="1" t="str">
        <f t="shared" si="558"/>
        <v>47</v>
      </c>
      <c r="M898" s="1" t="str">
        <f t="shared" si="583"/>
        <v>0</v>
      </c>
      <c r="N898" s="1" t="str">
        <f t="shared" si="583"/>
        <v>0</v>
      </c>
      <c r="O898" s="1" t="str">
        <f>"10.46"</f>
        <v>10.46</v>
      </c>
    </row>
    <row r="899" s="1" customFormat="1" spans="1:15">
      <c r="A899" s="1" t="str">
        <f t="shared" si="581"/>
        <v>202406</v>
      </c>
      <c r="B899" s="1" t="str">
        <f t="shared" si="582"/>
        <v>150525100</v>
      </c>
      <c r="C899" s="1" t="str">
        <f>"1041168885"</f>
        <v>1041168885</v>
      </c>
      <c r="D899" s="1" t="str">
        <f>"152326195310310029"</f>
        <v>152326195310310029</v>
      </c>
      <c r="E899" s="1" t="s">
        <v>953</v>
      </c>
      <c r="F899" s="1" t="s">
        <v>16</v>
      </c>
      <c r="G899" s="1" t="s">
        <v>19</v>
      </c>
      <c r="H899" s="1" t="str">
        <f>"71"</f>
        <v>71</v>
      </c>
      <c r="I899" s="1" t="str">
        <f>"163.18"</f>
        <v>163.18</v>
      </c>
      <c r="J899" s="1" t="str">
        <f t="shared" ref="J899:N899" si="584">"0"</f>
        <v>0</v>
      </c>
      <c r="K899" s="1" t="str">
        <f t="shared" si="557"/>
        <v>103</v>
      </c>
      <c r="L899" s="1" t="str">
        <f t="shared" si="558"/>
        <v>47</v>
      </c>
      <c r="M899" s="1" t="str">
        <f t="shared" si="584"/>
        <v>0</v>
      </c>
      <c r="N899" s="1" t="str">
        <f t="shared" si="584"/>
        <v>0</v>
      </c>
      <c r="O899" s="1" t="str">
        <f>"3.18"</f>
        <v>3.18</v>
      </c>
    </row>
    <row r="900" s="1" customFormat="1" spans="1:15">
      <c r="A900" s="1" t="str">
        <f t="shared" si="581"/>
        <v>202406</v>
      </c>
      <c r="B900" s="1" t="str">
        <f t="shared" si="582"/>
        <v>150525100</v>
      </c>
      <c r="C900" s="1" t="str">
        <f>"1040991535"</f>
        <v>1040991535</v>
      </c>
      <c r="D900" s="1" t="s">
        <v>954</v>
      </c>
      <c r="E900" s="1" t="s">
        <v>955</v>
      </c>
      <c r="F900" s="1" t="s">
        <v>16</v>
      </c>
      <c r="G900" s="1" t="s">
        <v>17</v>
      </c>
      <c r="H900" s="1" t="str">
        <f>"62"</f>
        <v>62</v>
      </c>
      <c r="I900" s="1" t="str">
        <f>"160.98"</f>
        <v>160.98</v>
      </c>
      <c r="J900" s="1" t="str">
        <f t="shared" ref="J900:N900" si="585">"0"</f>
        <v>0</v>
      </c>
      <c r="K900" s="1" t="str">
        <f t="shared" si="557"/>
        <v>103</v>
      </c>
      <c r="L900" s="1" t="str">
        <f t="shared" si="558"/>
        <v>47</v>
      </c>
      <c r="M900" s="1" t="str">
        <f t="shared" si="585"/>
        <v>0</v>
      </c>
      <c r="N900" s="1" t="str">
        <f t="shared" si="585"/>
        <v>0</v>
      </c>
      <c r="O900" s="1" t="str">
        <f>"10.98"</f>
        <v>10.98</v>
      </c>
    </row>
    <row r="901" s="1" customFormat="1" spans="1:15">
      <c r="A901" s="1" t="str">
        <f t="shared" si="581"/>
        <v>202406</v>
      </c>
      <c r="B901" s="1" t="str">
        <f t="shared" si="582"/>
        <v>150525100</v>
      </c>
      <c r="C901" s="1" t="str">
        <f>"1040832551"</f>
        <v>1040832551</v>
      </c>
      <c r="D901" s="1" t="str">
        <f>"152326193411023820"</f>
        <v>152326193411023820</v>
      </c>
      <c r="E901" s="1" t="s">
        <v>602</v>
      </c>
      <c r="F901" s="1" t="s">
        <v>16</v>
      </c>
      <c r="G901" s="1" t="s">
        <v>17</v>
      </c>
      <c r="H901" s="1" t="str">
        <f>"90"</f>
        <v>90</v>
      </c>
      <c r="I901" s="1" t="str">
        <f>"170"</f>
        <v>170</v>
      </c>
      <c r="J901" s="1" t="str">
        <f t="shared" ref="J901:O901" si="586">"0"</f>
        <v>0</v>
      </c>
      <c r="K901" s="1" t="str">
        <f t="shared" si="557"/>
        <v>103</v>
      </c>
      <c r="L901" s="1" t="str">
        <f t="shared" si="558"/>
        <v>47</v>
      </c>
      <c r="M901" s="1" t="str">
        <f t="shared" si="586"/>
        <v>0</v>
      </c>
      <c r="N901" s="1" t="str">
        <f t="shared" si="586"/>
        <v>0</v>
      </c>
      <c r="O901" s="1" t="str">
        <f t="shared" si="586"/>
        <v>0</v>
      </c>
    </row>
    <row r="902" s="1" customFormat="1" spans="1:15">
      <c r="A902" s="1" t="str">
        <f t="shared" si="581"/>
        <v>202406</v>
      </c>
      <c r="B902" s="1" t="str">
        <f t="shared" si="582"/>
        <v>150525100</v>
      </c>
      <c r="C902" s="1" t="str">
        <f>"1041171355"</f>
        <v>1041171355</v>
      </c>
      <c r="D902" s="1" t="str">
        <f>"152326195612263328"</f>
        <v>152326195612263328</v>
      </c>
      <c r="E902" s="1" t="s">
        <v>956</v>
      </c>
      <c r="F902" s="1" t="s">
        <v>16</v>
      </c>
      <c r="G902" s="1" t="s">
        <v>19</v>
      </c>
      <c r="H902" s="1" t="str">
        <f>"68"</f>
        <v>68</v>
      </c>
      <c r="I902" s="1" t="str">
        <f>"154.32"</f>
        <v>154.32</v>
      </c>
      <c r="J902" s="1" t="str">
        <f t="shared" ref="J902:N902" si="587">"0"</f>
        <v>0</v>
      </c>
      <c r="K902" s="1" t="str">
        <f t="shared" si="557"/>
        <v>103</v>
      </c>
      <c r="L902" s="1" t="str">
        <f t="shared" si="558"/>
        <v>47</v>
      </c>
      <c r="M902" s="1" t="str">
        <f t="shared" si="587"/>
        <v>0</v>
      </c>
      <c r="N902" s="1" t="str">
        <f t="shared" si="587"/>
        <v>0</v>
      </c>
      <c r="O902" s="1" t="str">
        <f>"4.32"</f>
        <v>4.32</v>
      </c>
    </row>
    <row r="903" s="1" customFormat="1" spans="1:15">
      <c r="A903" s="1" t="str">
        <f t="shared" si="581"/>
        <v>202406</v>
      </c>
      <c r="B903" s="1" t="str">
        <f t="shared" si="582"/>
        <v>150525100</v>
      </c>
      <c r="C903" s="1" t="str">
        <f>"1040953621"</f>
        <v>1040953621</v>
      </c>
      <c r="D903" s="1" t="str">
        <f>"152326195709090937"</f>
        <v>152326195709090937</v>
      </c>
      <c r="E903" s="1" t="s">
        <v>957</v>
      </c>
      <c r="F903" s="1" t="s">
        <v>25</v>
      </c>
      <c r="G903" s="1" t="s">
        <v>19</v>
      </c>
      <c r="H903" s="1" t="str">
        <f>"67"</f>
        <v>67</v>
      </c>
      <c r="I903" s="1" t="str">
        <f>"154.32"</f>
        <v>154.32</v>
      </c>
      <c r="J903" s="1" t="str">
        <f t="shared" ref="J903:N903" si="588">"0"</f>
        <v>0</v>
      </c>
      <c r="K903" s="1" t="str">
        <f t="shared" si="557"/>
        <v>103</v>
      </c>
      <c r="L903" s="1" t="str">
        <f t="shared" si="558"/>
        <v>47</v>
      </c>
      <c r="M903" s="1" t="str">
        <f t="shared" si="588"/>
        <v>0</v>
      </c>
      <c r="N903" s="1" t="str">
        <f t="shared" si="588"/>
        <v>0</v>
      </c>
      <c r="O903" s="1" t="str">
        <f>"4.32"</f>
        <v>4.32</v>
      </c>
    </row>
    <row r="904" s="1" customFormat="1" spans="1:15">
      <c r="A904" s="1" t="str">
        <f t="shared" si="581"/>
        <v>202406</v>
      </c>
      <c r="B904" s="1" t="str">
        <f t="shared" si="582"/>
        <v>150525100</v>
      </c>
      <c r="C904" s="1" t="str">
        <f>"1040937608"</f>
        <v>1040937608</v>
      </c>
      <c r="D904" s="1" t="s">
        <v>958</v>
      </c>
      <c r="E904" s="1" t="s">
        <v>959</v>
      </c>
      <c r="F904" s="1" t="s">
        <v>25</v>
      </c>
      <c r="G904" s="1" t="s">
        <v>17</v>
      </c>
      <c r="H904" s="1" t="str">
        <f>"66"</f>
        <v>66</v>
      </c>
      <c r="I904" s="1" t="str">
        <f>"170.42"</f>
        <v>170.42</v>
      </c>
      <c r="J904" s="1" t="str">
        <f t="shared" ref="J904:N904" si="589">"0"</f>
        <v>0</v>
      </c>
      <c r="K904" s="1" t="str">
        <f t="shared" si="557"/>
        <v>103</v>
      </c>
      <c r="L904" s="1" t="str">
        <f t="shared" si="558"/>
        <v>47</v>
      </c>
      <c r="M904" s="1" t="str">
        <f t="shared" si="589"/>
        <v>0</v>
      </c>
      <c r="N904" s="1" t="str">
        <f t="shared" si="589"/>
        <v>0</v>
      </c>
      <c r="O904" s="1" t="str">
        <f>"20.42"</f>
        <v>20.42</v>
      </c>
    </row>
    <row r="905" s="1" customFormat="1" spans="1:15">
      <c r="A905" s="1" t="str">
        <f t="shared" si="581"/>
        <v>202406</v>
      </c>
      <c r="B905" s="1" t="str">
        <f t="shared" si="582"/>
        <v>150525100</v>
      </c>
      <c r="C905" s="1" t="str">
        <f>"1040937623"</f>
        <v>1040937623</v>
      </c>
      <c r="D905" s="1" t="str">
        <f>"152326196204100663"</f>
        <v>152326196204100663</v>
      </c>
      <c r="E905" s="1" t="s">
        <v>960</v>
      </c>
      <c r="F905" s="1" t="s">
        <v>16</v>
      </c>
      <c r="G905" s="1" t="s">
        <v>17</v>
      </c>
      <c r="H905" s="1" t="str">
        <f>"62"</f>
        <v>62</v>
      </c>
      <c r="I905" s="1" t="str">
        <f>"162.34"</f>
        <v>162.34</v>
      </c>
      <c r="J905" s="1" t="str">
        <f t="shared" ref="J905:N905" si="590">"0"</f>
        <v>0</v>
      </c>
      <c r="K905" s="1" t="str">
        <f t="shared" si="557"/>
        <v>103</v>
      </c>
      <c r="L905" s="1" t="str">
        <f t="shared" si="558"/>
        <v>47</v>
      </c>
      <c r="M905" s="1" t="str">
        <f t="shared" si="590"/>
        <v>0</v>
      </c>
      <c r="N905" s="1" t="str">
        <f t="shared" si="590"/>
        <v>0</v>
      </c>
      <c r="O905" s="1" t="str">
        <f>"12.34"</f>
        <v>12.34</v>
      </c>
    </row>
    <row r="906" s="1" customFormat="1" spans="1:15">
      <c r="A906" s="1" t="str">
        <f t="shared" si="581"/>
        <v>202406</v>
      </c>
      <c r="B906" s="1" t="str">
        <f t="shared" si="582"/>
        <v>150525100</v>
      </c>
      <c r="C906" s="1" t="str">
        <f>"1040975741"</f>
        <v>1040975741</v>
      </c>
      <c r="D906" s="1" t="str">
        <f>"152326195801183079"</f>
        <v>152326195801183079</v>
      </c>
      <c r="E906" s="1" t="s">
        <v>961</v>
      </c>
      <c r="F906" s="1" t="s">
        <v>25</v>
      </c>
      <c r="G906" s="1" t="s">
        <v>17</v>
      </c>
      <c r="H906" s="1" t="str">
        <f>"66"</f>
        <v>66</v>
      </c>
      <c r="I906" s="1" t="str">
        <f>"155.28"</f>
        <v>155.28</v>
      </c>
      <c r="J906" s="1" t="str">
        <f t="shared" ref="J906:N906" si="591">"0"</f>
        <v>0</v>
      </c>
      <c r="K906" s="1" t="str">
        <f t="shared" si="557"/>
        <v>103</v>
      </c>
      <c r="L906" s="1" t="str">
        <f t="shared" si="558"/>
        <v>47</v>
      </c>
      <c r="M906" s="1" t="str">
        <f t="shared" si="591"/>
        <v>0</v>
      </c>
      <c r="N906" s="1" t="str">
        <f t="shared" si="591"/>
        <v>0</v>
      </c>
      <c r="O906" s="1" t="str">
        <f>"5.28"</f>
        <v>5.28</v>
      </c>
    </row>
    <row r="907" s="1" customFormat="1" spans="1:15">
      <c r="A907" s="1" t="str">
        <f t="shared" si="581"/>
        <v>202406</v>
      </c>
      <c r="B907" s="1" t="str">
        <f t="shared" si="582"/>
        <v>150525100</v>
      </c>
      <c r="C907" s="1" t="str">
        <f>"1041154184"</f>
        <v>1041154184</v>
      </c>
      <c r="D907" s="1" t="str">
        <f>"152326195209190915"</f>
        <v>152326195209190915</v>
      </c>
      <c r="E907" s="1" t="s">
        <v>962</v>
      </c>
      <c r="F907" s="1" t="s">
        <v>25</v>
      </c>
      <c r="G907" s="1" t="s">
        <v>19</v>
      </c>
      <c r="H907" s="1" t="str">
        <f>"72"</f>
        <v>72</v>
      </c>
      <c r="I907" s="1" t="str">
        <f>"162.13"</f>
        <v>162.13</v>
      </c>
      <c r="J907" s="1" t="str">
        <f t="shared" ref="J907:N907" si="592">"0"</f>
        <v>0</v>
      </c>
      <c r="K907" s="1" t="str">
        <f t="shared" si="557"/>
        <v>103</v>
      </c>
      <c r="L907" s="1" t="str">
        <f t="shared" si="558"/>
        <v>47</v>
      </c>
      <c r="M907" s="1" t="str">
        <f t="shared" si="592"/>
        <v>0</v>
      </c>
      <c r="N907" s="1" t="str">
        <f t="shared" si="592"/>
        <v>0</v>
      </c>
      <c r="O907" s="1" t="str">
        <f>"2.13"</f>
        <v>2.13</v>
      </c>
    </row>
    <row r="908" s="1" customFormat="1" spans="1:15">
      <c r="A908" s="1" t="str">
        <f t="shared" si="581"/>
        <v>202406</v>
      </c>
      <c r="B908" s="1" t="str">
        <f t="shared" si="582"/>
        <v>150525100</v>
      </c>
      <c r="C908" s="1" t="str">
        <f>"1041078924"</f>
        <v>1041078924</v>
      </c>
      <c r="D908" s="1" t="str">
        <f>"152326196303280428"</f>
        <v>152326196303280428</v>
      </c>
      <c r="E908" s="1" t="s">
        <v>963</v>
      </c>
      <c r="F908" s="1" t="s">
        <v>16</v>
      </c>
      <c r="G908" s="1" t="s">
        <v>17</v>
      </c>
      <c r="H908" s="1" t="str">
        <f>"61"</f>
        <v>61</v>
      </c>
      <c r="I908" s="1" t="str">
        <f>"161.97"</f>
        <v>161.97</v>
      </c>
      <c r="J908" s="1" t="str">
        <f t="shared" ref="J908:N908" si="593">"0"</f>
        <v>0</v>
      </c>
      <c r="K908" s="1" t="str">
        <f t="shared" si="557"/>
        <v>103</v>
      </c>
      <c r="L908" s="1" t="str">
        <f t="shared" si="558"/>
        <v>47</v>
      </c>
      <c r="M908" s="1" t="str">
        <f t="shared" si="593"/>
        <v>0</v>
      </c>
      <c r="N908" s="1" t="str">
        <f t="shared" si="593"/>
        <v>0</v>
      </c>
      <c r="O908" s="1" t="str">
        <f>"11.97"</f>
        <v>11.97</v>
      </c>
    </row>
    <row r="909" s="1" customFormat="1" spans="1:15">
      <c r="A909" s="1" t="str">
        <f t="shared" si="581"/>
        <v>202406</v>
      </c>
      <c r="B909" s="1" t="str">
        <f t="shared" si="582"/>
        <v>150525100</v>
      </c>
      <c r="C909" s="1" t="str">
        <f>"1041007825"</f>
        <v>1041007825</v>
      </c>
      <c r="D909" s="1" t="str">
        <f>"152326196208230924"</f>
        <v>152326196208230924</v>
      </c>
      <c r="E909" s="1" t="s">
        <v>964</v>
      </c>
      <c r="F909" s="1" t="s">
        <v>16</v>
      </c>
      <c r="G909" s="1" t="s">
        <v>19</v>
      </c>
      <c r="H909" s="1" t="str">
        <f>"62"</f>
        <v>62</v>
      </c>
      <c r="I909" s="1" t="str">
        <f>"161.18"</f>
        <v>161.18</v>
      </c>
      <c r="J909" s="1" t="str">
        <f t="shared" ref="J909:N909" si="594">"0"</f>
        <v>0</v>
      </c>
      <c r="K909" s="1" t="str">
        <f t="shared" si="557"/>
        <v>103</v>
      </c>
      <c r="L909" s="1" t="str">
        <f t="shared" si="558"/>
        <v>47</v>
      </c>
      <c r="M909" s="1" t="str">
        <f t="shared" si="594"/>
        <v>0</v>
      </c>
      <c r="N909" s="1" t="str">
        <f t="shared" si="594"/>
        <v>0</v>
      </c>
      <c r="O909" s="1" t="str">
        <f>"11.18"</f>
        <v>11.18</v>
      </c>
    </row>
    <row r="910" s="1" customFormat="1" spans="1:15">
      <c r="A910" s="1" t="str">
        <f t="shared" si="581"/>
        <v>202406</v>
      </c>
      <c r="B910" s="1" t="str">
        <f t="shared" si="582"/>
        <v>150525100</v>
      </c>
      <c r="C910" s="1" t="str">
        <f>"1040937071"</f>
        <v>1040937071</v>
      </c>
      <c r="D910" s="1" t="str">
        <f>"152326196309280672"</f>
        <v>152326196309280672</v>
      </c>
      <c r="E910" s="1" t="s">
        <v>965</v>
      </c>
      <c r="F910" s="1" t="s">
        <v>25</v>
      </c>
      <c r="G910" s="1" t="s">
        <v>17</v>
      </c>
      <c r="H910" s="1" t="str">
        <f>"61"</f>
        <v>61</v>
      </c>
      <c r="I910" s="1" t="str">
        <f>"164.09"</f>
        <v>164.09</v>
      </c>
      <c r="J910" s="1" t="str">
        <f t="shared" ref="J910:N910" si="595">"0"</f>
        <v>0</v>
      </c>
      <c r="K910" s="1" t="str">
        <f t="shared" si="557"/>
        <v>103</v>
      </c>
      <c r="L910" s="1" t="str">
        <f t="shared" si="558"/>
        <v>47</v>
      </c>
      <c r="M910" s="1" t="str">
        <f t="shared" si="595"/>
        <v>0</v>
      </c>
      <c r="N910" s="1" t="str">
        <f t="shared" si="595"/>
        <v>0</v>
      </c>
      <c r="O910" s="1" t="str">
        <f>"14.09"</f>
        <v>14.09</v>
      </c>
    </row>
    <row r="911" s="1" customFormat="1" spans="1:15">
      <c r="A911" s="1" t="str">
        <f t="shared" si="581"/>
        <v>202406</v>
      </c>
      <c r="B911" s="1" t="str">
        <f t="shared" si="582"/>
        <v>150525100</v>
      </c>
      <c r="C911" s="1" t="str">
        <f>"1040937080"</f>
        <v>1040937080</v>
      </c>
      <c r="D911" s="1" t="str">
        <f>"152326195703150660"</f>
        <v>152326195703150660</v>
      </c>
      <c r="E911" s="1" t="s">
        <v>966</v>
      </c>
      <c r="F911" s="1" t="s">
        <v>16</v>
      </c>
      <c r="G911" s="1" t="s">
        <v>17</v>
      </c>
      <c r="H911" s="1" t="str">
        <f t="shared" ref="H911:H915" si="596">"67"</f>
        <v>67</v>
      </c>
      <c r="I911" s="1" t="str">
        <f>"155.46"</f>
        <v>155.46</v>
      </c>
      <c r="J911" s="1" t="str">
        <f t="shared" ref="J911:N911" si="597">"0"</f>
        <v>0</v>
      </c>
      <c r="K911" s="1" t="str">
        <f t="shared" si="557"/>
        <v>103</v>
      </c>
      <c r="L911" s="1" t="str">
        <f t="shared" si="558"/>
        <v>47</v>
      </c>
      <c r="M911" s="1" t="str">
        <f t="shared" si="597"/>
        <v>0</v>
      </c>
      <c r="N911" s="1" t="str">
        <f t="shared" si="597"/>
        <v>0</v>
      </c>
      <c r="O911" s="1" t="str">
        <f>"5.46"</f>
        <v>5.46</v>
      </c>
    </row>
    <row r="912" s="1" customFormat="1" spans="1:15">
      <c r="A912" s="1" t="str">
        <f t="shared" si="581"/>
        <v>202406</v>
      </c>
      <c r="B912" s="1" t="str">
        <f t="shared" si="582"/>
        <v>150525100</v>
      </c>
      <c r="C912" s="1" t="str">
        <f>"1040937094"</f>
        <v>1040937094</v>
      </c>
      <c r="D912" s="1" t="str">
        <f>"152326196402020672"</f>
        <v>152326196402020672</v>
      </c>
      <c r="E912" s="1" t="s">
        <v>967</v>
      </c>
      <c r="F912" s="1" t="s">
        <v>25</v>
      </c>
      <c r="G912" s="1" t="s">
        <v>17</v>
      </c>
      <c r="H912" s="1" t="str">
        <f>"60"</f>
        <v>60</v>
      </c>
      <c r="I912" s="1" t="str">
        <f>"166.19"</f>
        <v>166.19</v>
      </c>
      <c r="J912" s="1" t="str">
        <f t="shared" ref="J912:N912" si="598">"0"</f>
        <v>0</v>
      </c>
      <c r="K912" s="1" t="str">
        <f t="shared" si="557"/>
        <v>103</v>
      </c>
      <c r="L912" s="1" t="str">
        <f t="shared" si="558"/>
        <v>47</v>
      </c>
      <c r="M912" s="1" t="str">
        <f t="shared" si="598"/>
        <v>0</v>
      </c>
      <c r="N912" s="1" t="str">
        <f t="shared" si="598"/>
        <v>0</v>
      </c>
      <c r="O912" s="1" t="str">
        <f>"16.19"</f>
        <v>16.19</v>
      </c>
    </row>
    <row r="913" s="1" customFormat="1" spans="1:15">
      <c r="A913" s="1" t="str">
        <f t="shared" si="581"/>
        <v>202406</v>
      </c>
      <c r="B913" s="1" t="str">
        <f t="shared" si="582"/>
        <v>150525100</v>
      </c>
      <c r="C913" s="1" t="str">
        <f>"1040937106"</f>
        <v>1040937106</v>
      </c>
      <c r="D913" s="1" t="str">
        <f>"152326195707130667"</f>
        <v>152326195707130667</v>
      </c>
      <c r="E913" s="1" t="s">
        <v>968</v>
      </c>
      <c r="F913" s="1" t="s">
        <v>16</v>
      </c>
      <c r="G913" s="1" t="s">
        <v>19</v>
      </c>
      <c r="H913" s="1" t="str">
        <f t="shared" si="596"/>
        <v>67</v>
      </c>
      <c r="I913" s="1" t="str">
        <f>"155.49"</f>
        <v>155.49</v>
      </c>
      <c r="J913" s="1" t="str">
        <f t="shared" ref="J913:N913" si="599">"0"</f>
        <v>0</v>
      </c>
      <c r="K913" s="1" t="str">
        <f t="shared" si="557"/>
        <v>103</v>
      </c>
      <c r="L913" s="1" t="str">
        <f t="shared" si="558"/>
        <v>47</v>
      </c>
      <c r="M913" s="1" t="str">
        <f t="shared" si="599"/>
        <v>0</v>
      </c>
      <c r="N913" s="1" t="str">
        <f t="shared" si="599"/>
        <v>0</v>
      </c>
      <c r="O913" s="1" t="str">
        <f>"5.49"</f>
        <v>5.49</v>
      </c>
    </row>
    <row r="914" s="1" customFormat="1" spans="1:15">
      <c r="A914" s="1" t="str">
        <f t="shared" si="581"/>
        <v>202406</v>
      </c>
      <c r="B914" s="1" t="str">
        <f t="shared" si="582"/>
        <v>150525100</v>
      </c>
      <c r="C914" s="1" t="str">
        <f>"1040937118"</f>
        <v>1040937118</v>
      </c>
      <c r="D914" s="1" t="str">
        <f>"152326195709020672"</f>
        <v>152326195709020672</v>
      </c>
      <c r="E914" s="1" t="s">
        <v>819</v>
      </c>
      <c r="F914" s="1" t="s">
        <v>25</v>
      </c>
      <c r="G914" s="1" t="s">
        <v>17</v>
      </c>
      <c r="H914" s="1" t="str">
        <f t="shared" si="596"/>
        <v>67</v>
      </c>
      <c r="I914" s="1" t="str">
        <f>"155.5"</f>
        <v>155.5</v>
      </c>
      <c r="J914" s="1" t="str">
        <f t="shared" ref="J914:N914" si="600">"0"</f>
        <v>0</v>
      </c>
      <c r="K914" s="1" t="str">
        <f t="shared" si="557"/>
        <v>103</v>
      </c>
      <c r="L914" s="1" t="str">
        <f t="shared" si="558"/>
        <v>47</v>
      </c>
      <c r="M914" s="1" t="str">
        <f t="shared" si="600"/>
        <v>0</v>
      </c>
      <c r="N914" s="1" t="str">
        <f t="shared" si="600"/>
        <v>0</v>
      </c>
      <c r="O914" s="1" t="str">
        <f>"5.5"</f>
        <v>5.5</v>
      </c>
    </row>
    <row r="915" s="1" customFormat="1" spans="1:15">
      <c r="A915" s="1" t="str">
        <f t="shared" si="581"/>
        <v>202406</v>
      </c>
      <c r="B915" s="1" t="str">
        <f t="shared" si="582"/>
        <v>150525100</v>
      </c>
      <c r="C915" s="1" t="str">
        <f>"1040937119"</f>
        <v>1040937119</v>
      </c>
      <c r="D915" s="1" t="str">
        <f>"152326195706080661"</f>
        <v>152326195706080661</v>
      </c>
      <c r="E915" s="1" t="s">
        <v>969</v>
      </c>
      <c r="F915" s="1" t="s">
        <v>16</v>
      </c>
      <c r="G915" s="1" t="s">
        <v>17</v>
      </c>
      <c r="H915" s="1" t="str">
        <f t="shared" si="596"/>
        <v>67</v>
      </c>
      <c r="I915" s="1" t="str">
        <f>"155.48"</f>
        <v>155.48</v>
      </c>
      <c r="J915" s="1" t="str">
        <f t="shared" ref="J915:N915" si="601">"0"</f>
        <v>0</v>
      </c>
      <c r="K915" s="1" t="str">
        <f t="shared" si="557"/>
        <v>103</v>
      </c>
      <c r="L915" s="1" t="str">
        <f t="shared" si="558"/>
        <v>47</v>
      </c>
      <c r="M915" s="1" t="str">
        <f t="shared" si="601"/>
        <v>0</v>
      </c>
      <c r="N915" s="1" t="str">
        <f t="shared" si="601"/>
        <v>0</v>
      </c>
      <c r="O915" s="1" t="str">
        <f>"5.48"</f>
        <v>5.48</v>
      </c>
    </row>
    <row r="916" s="1" customFormat="1" spans="1:15">
      <c r="A916" s="1" t="str">
        <f t="shared" si="581"/>
        <v>202406</v>
      </c>
      <c r="B916" s="1" t="str">
        <f t="shared" si="582"/>
        <v>150525100</v>
      </c>
      <c r="C916" s="1" t="str">
        <f>"1040937120"</f>
        <v>1040937120</v>
      </c>
      <c r="D916" s="1" t="str">
        <f>"152326196305300672"</f>
        <v>152326196305300672</v>
      </c>
      <c r="E916" s="1" t="s">
        <v>970</v>
      </c>
      <c r="F916" s="1" t="s">
        <v>25</v>
      </c>
      <c r="G916" s="1" t="s">
        <v>17</v>
      </c>
      <c r="H916" s="1" t="str">
        <f>"61"</f>
        <v>61</v>
      </c>
      <c r="I916" s="1" t="str">
        <f>"163.78"</f>
        <v>163.78</v>
      </c>
      <c r="J916" s="1" t="str">
        <f t="shared" ref="J916:N916" si="602">"0"</f>
        <v>0</v>
      </c>
      <c r="K916" s="1" t="str">
        <f t="shared" si="557"/>
        <v>103</v>
      </c>
      <c r="L916" s="1" t="str">
        <f t="shared" si="558"/>
        <v>47</v>
      </c>
      <c r="M916" s="1" t="str">
        <f t="shared" si="602"/>
        <v>0</v>
      </c>
      <c r="N916" s="1" t="str">
        <f t="shared" si="602"/>
        <v>0</v>
      </c>
      <c r="O916" s="1" t="str">
        <f>"13.78"</f>
        <v>13.78</v>
      </c>
    </row>
    <row r="917" s="1" customFormat="1" spans="1:15">
      <c r="A917" s="1" t="str">
        <f t="shared" si="581"/>
        <v>202406</v>
      </c>
      <c r="B917" s="1" t="str">
        <f t="shared" si="582"/>
        <v>150525100</v>
      </c>
      <c r="C917" s="1" t="str">
        <f>"1040937122"</f>
        <v>1040937122</v>
      </c>
      <c r="D917" s="1" t="str">
        <f>"152326196401290662"</f>
        <v>152326196401290662</v>
      </c>
      <c r="E917" s="1" t="s">
        <v>971</v>
      </c>
      <c r="F917" s="1" t="s">
        <v>16</v>
      </c>
      <c r="G917" s="1" t="s">
        <v>17</v>
      </c>
      <c r="H917" s="1" t="str">
        <f>"60"</f>
        <v>60</v>
      </c>
      <c r="I917" s="1" t="str">
        <f>"166.16"</f>
        <v>166.16</v>
      </c>
      <c r="J917" s="1" t="str">
        <f t="shared" ref="J917:N917" si="603">"0"</f>
        <v>0</v>
      </c>
      <c r="K917" s="1" t="str">
        <f t="shared" si="557"/>
        <v>103</v>
      </c>
      <c r="L917" s="1" t="str">
        <f t="shared" si="558"/>
        <v>47</v>
      </c>
      <c r="M917" s="1" t="str">
        <f t="shared" si="603"/>
        <v>0</v>
      </c>
      <c r="N917" s="1" t="str">
        <f t="shared" si="603"/>
        <v>0</v>
      </c>
      <c r="O917" s="1" t="str">
        <f>"16.16"</f>
        <v>16.16</v>
      </c>
    </row>
    <row r="918" s="1" customFormat="1" spans="1:15">
      <c r="A918" s="1" t="str">
        <f t="shared" si="581"/>
        <v>202406</v>
      </c>
      <c r="B918" s="1" t="str">
        <f t="shared" si="582"/>
        <v>150525100</v>
      </c>
      <c r="C918" s="1" t="str">
        <f>"1040937127"</f>
        <v>1040937127</v>
      </c>
      <c r="D918" s="1" t="str">
        <f>"152326195907150662"</f>
        <v>152326195907150662</v>
      </c>
      <c r="E918" s="1" t="s">
        <v>972</v>
      </c>
      <c r="F918" s="1" t="s">
        <v>16</v>
      </c>
      <c r="G918" s="1" t="s">
        <v>19</v>
      </c>
      <c r="H918" s="1" t="str">
        <f>"65"</f>
        <v>65</v>
      </c>
      <c r="I918" s="1" t="str">
        <f>"157.57"</f>
        <v>157.57</v>
      </c>
      <c r="J918" s="1" t="str">
        <f t="shared" ref="J918:N918" si="604">"0"</f>
        <v>0</v>
      </c>
      <c r="K918" s="1" t="str">
        <f t="shared" si="557"/>
        <v>103</v>
      </c>
      <c r="L918" s="1" t="str">
        <f t="shared" si="558"/>
        <v>47</v>
      </c>
      <c r="M918" s="1" t="str">
        <f t="shared" si="604"/>
        <v>0</v>
      </c>
      <c r="N918" s="1" t="str">
        <f t="shared" si="604"/>
        <v>0</v>
      </c>
      <c r="O918" s="1" t="str">
        <f>"7.57"</f>
        <v>7.57</v>
      </c>
    </row>
    <row r="919" s="1" customFormat="1" spans="1:15">
      <c r="A919" s="1" t="str">
        <f t="shared" si="581"/>
        <v>202406</v>
      </c>
      <c r="B919" s="1" t="str">
        <f t="shared" si="582"/>
        <v>150525100</v>
      </c>
      <c r="C919" s="1" t="str">
        <f>"1040937170"</f>
        <v>1040937170</v>
      </c>
      <c r="D919" s="1" t="str">
        <f>"152326195801210014"</f>
        <v>152326195801210014</v>
      </c>
      <c r="E919" s="1" t="s">
        <v>973</v>
      </c>
      <c r="F919" s="1" t="s">
        <v>25</v>
      </c>
      <c r="G919" s="1" t="s">
        <v>17</v>
      </c>
      <c r="H919" s="1" t="str">
        <f>"66"</f>
        <v>66</v>
      </c>
      <c r="I919" s="1" t="str">
        <f>"156.47"</f>
        <v>156.47</v>
      </c>
      <c r="J919" s="1" t="str">
        <f t="shared" ref="J919:N919" si="605">"0"</f>
        <v>0</v>
      </c>
      <c r="K919" s="1" t="str">
        <f t="shared" si="557"/>
        <v>103</v>
      </c>
      <c r="L919" s="1" t="str">
        <f t="shared" si="558"/>
        <v>47</v>
      </c>
      <c r="M919" s="1" t="str">
        <f t="shared" si="605"/>
        <v>0</v>
      </c>
      <c r="N919" s="1" t="str">
        <f t="shared" si="605"/>
        <v>0</v>
      </c>
      <c r="O919" s="1" t="str">
        <f>"6.47"</f>
        <v>6.47</v>
      </c>
    </row>
    <row r="920" s="1" customFormat="1" spans="1:15">
      <c r="A920" s="1" t="str">
        <f t="shared" si="581"/>
        <v>202406</v>
      </c>
      <c r="B920" s="1" t="str">
        <f t="shared" si="582"/>
        <v>150525100</v>
      </c>
      <c r="C920" s="1" t="str">
        <f>"1040937194"</f>
        <v>1040937194</v>
      </c>
      <c r="D920" s="1" t="str">
        <f>"152326195807040669"</f>
        <v>152326195807040669</v>
      </c>
      <c r="E920" s="1" t="s">
        <v>974</v>
      </c>
      <c r="F920" s="1" t="s">
        <v>16</v>
      </c>
      <c r="G920" s="1" t="s">
        <v>17</v>
      </c>
      <c r="H920" s="1" t="str">
        <f>"66"</f>
        <v>66</v>
      </c>
      <c r="I920" s="1" t="str">
        <f>"156.52"</f>
        <v>156.52</v>
      </c>
      <c r="J920" s="1" t="str">
        <f t="shared" ref="J920:N920" si="606">"0"</f>
        <v>0</v>
      </c>
      <c r="K920" s="1" t="str">
        <f t="shared" si="557"/>
        <v>103</v>
      </c>
      <c r="L920" s="1" t="str">
        <f t="shared" si="558"/>
        <v>47</v>
      </c>
      <c r="M920" s="1" t="str">
        <f t="shared" si="606"/>
        <v>0</v>
      </c>
      <c r="N920" s="1" t="str">
        <f t="shared" si="606"/>
        <v>0</v>
      </c>
      <c r="O920" s="1" t="str">
        <f>"6.52"</f>
        <v>6.52</v>
      </c>
    </row>
    <row r="921" s="1" customFormat="1" spans="1:15">
      <c r="A921" s="1" t="str">
        <f t="shared" si="581"/>
        <v>202406</v>
      </c>
      <c r="B921" s="1" t="str">
        <f t="shared" si="582"/>
        <v>150525100</v>
      </c>
      <c r="C921" s="1" t="str">
        <f>"1040937206"</f>
        <v>1040937206</v>
      </c>
      <c r="D921" s="1" t="str">
        <f>"152326195912290678"</f>
        <v>152326195912290678</v>
      </c>
      <c r="E921" s="1" t="s">
        <v>975</v>
      </c>
      <c r="F921" s="1" t="s">
        <v>25</v>
      </c>
      <c r="G921" s="1" t="s">
        <v>19</v>
      </c>
      <c r="H921" s="1" t="str">
        <f>"65"</f>
        <v>65</v>
      </c>
      <c r="I921" s="1" t="str">
        <f>"157.61"</f>
        <v>157.61</v>
      </c>
      <c r="J921" s="1" t="str">
        <f t="shared" ref="J921:N921" si="607">"0"</f>
        <v>0</v>
      </c>
      <c r="K921" s="1" t="str">
        <f t="shared" si="557"/>
        <v>103</v>
      </c>
      <c r="L921" s="1" t="str">
        <f t="shared" si="558"/>
        <v>47</v>
      </c>
      <c r="M921" s="1" t="str">
        <f t="shared" si="607"/>
        <v>0</v>
      </c>
      <c r="N921" s="1" t="str">
        <f t="shared" si="607"/>
        <v>0</v>
      </c>
      <c r="O921" s="1" t="str">
        <f>"7.61"</f>
        <v>7.61</v>
      </c>
    </row>
    <row r="922" s="1" customFormat="1" spans="1:15">
      <c r="A922" s="1" t="str">
        <f t="shared" si="581"/>
        <v>202406</v>
      </c>
      <c r="B922" s="1" t="str">
        <f t="shared" si="582"/>
        <v>150525100</v>
      </c>
      <c r="C922" s="1" t="str">
        <f>"1040937220"</f>
        <v>1040937220</v>
      </c>
      <c r="D922" s="1" t="str">
        <f>"152326196203180673"</f>
        <v>152326196203180673</v>
      </c>
      <c r="E922" s="1" t="s">
        <v>976</v>
      </c>
      <c r="F922" s="1" t="s">
        <v>25</v>
      </c>
      <c r="G922" s="1" t="s">
        <v>96</v>
      </c>
      <c r="H922" s="1" t="str">
        <f>"62"</f>
        <v>62</v>
      </c>
      <c r="I922" s="1" t="str">
        <f>"162.33"</f>
        <v>162.33</v>
      </c>
      <c r="J922" s="1" t="str">
        <f t="shared" ref="J922:N922" si="608">"0"</f>
        <v>0</v>
      </c>
      <c r="K922" s="1" t="str">
        <f t="shared" si="557"/>
        <v>103</v>
      </c>
      <c r="L922" s="1" t="str">
        <f t="shared" si="558"/>
        <v>47</v>
      </c>
      <c r="M922" s="1" t="str">
        <f t="shared" si="608"/>
        <v>0</v>
      </c>
      <c r="N922" s="1" t="str">
        <f t="shared" si="608"/>
        <v>0</v>
      </c>
      <c r="O922" s="1" t="str">
        <f>"12.33"</f>
        <v>12.33</v>
      </c>
    </row>
    <row r="923" s="1" customFormat="1" spans="1:15">
      <c r="A923" s="1" t="str">
        <f t="shared" si="581"/>
        <v>202406</v>
      </c>
      <c r="B923" s="1" t="str">
        <f t="shared" si="582"/>
        <v>150525100</v>
      </c>
      <c r="C923" s="1" t="str">
        <f>"1040937250"</f>
        <v>1040937250</v>
      </c>
      <c r="D923" s="1" t="str">
        <f>"152326195703160674"</f>
        <v>152326195703160674</v>
      </c>
      <c r="E923" s="1" t="s">
        <v>977</v>
      </c>
      <c r="F923" s="1" t="s">
        <v>25</v>
      </c>
      <c r="G923" s="1" t="s">
        <v>19</v>
      </c>
      <c r="H923" s="1" t="str">
        <f>"67"</f>
        <v>67</v>
      </c>
      <c r="I923" s="1" t="str">
        <f>"155.46"</f>
        <v>155.46</v>
      </c>
      <c r="J923" s="1" t="str">
        <f t="shared" ref="J923:N923" si="609">"0"</f>
        <v>0</v>
      </c>
      <c r="K923" s="1" t="str">
        <f t="shared" si="557"/>
        <v>103</v>
      </c>
      <c r="L923" s="1" t="str">
        <f t="shared" si="558"/>
        <v>47</v>
      </c>
      <c r="M923" s="1" t="str">
        <f t="shared" si="609"/>
        <v>0</v>
      </c>
      <c r="N923" s="1" t="str">
        <f t="shared" si="609"/>
        <v>0</v>
      </c>
      <c r="O923" s="1" t="str">
        <f>"5.46"</f>
        <v>5.46</v>
      </c>
    </row>
    <row r="924" s="1" customFormat="1" spans="1:15">
      <c r="A924" s="1" t="str">
        <f t="shared" si="581"/>
        <v>202406</v>
      </c>
      <c r="B924" s="1" t="str">
        <f t="shared" si="582"/>
        <v>150525100</v>
      </c>
      <c r="C924" s="1" t="str">
        <f>"1041317828"</f>
        <v>1041317828</v>
      </c>
      <c r="D924" s="1" t="str">
        <f>"152326196308190421"</f>
        <v>152326196308190421</v>
      </c>
      <c r="E924" s="1" t="s">
        <v>978</v>
      </c>
      <c r="F924" s="1" t="s">
        <v>16</v>
      </c>
      <c r="G924" s="1" t="s">
        <v>17</v>
      </c>
      <c r="H924" s="1" t="str">
        <f t="shared" ref="H924:H929" si="610">"61"</f>
        <v>61</v>
      </c>
      <c r="I924" s="1" t="str">
        <f>"162.79"</f>
        <v>162.79</v>
      </c>
      <c r="J924" s="1" t="str">
        <f t="shared" ref="J924:N924" si="611">"0"</f>
        <v>0</v>
      </c>
      <c r="K924" s="1" t="str">
        <f t="shared" si="557"/>
        <v>103</v>
      </c>
      <c r="L924" s="1" t="str">
        <f t="shared" si="558"/>
        <v>47</v>
      </c>
      <c r="M924" s="1" t="str">
        <f t="shared" si="611"/>
        <v>0</v>
      </c>
      <c r="N924" s="1" t="str">
        <f t="shared" si="611"/>
        <v>0</v>
      </c>
      <c r="O924" s="1" t="str">
        <f>"12.79"</f>
        <v>12.79</v>
      </c>
    </row>
    <row r="925" s="1" customFormat="1" spans="1:15">
      <c r="A925" s="1" t="str">
        <f t="shared" si="581"/>
        <v>202406</v>
      </c>
      <c r="B925" s="1" t="str">
        <f t="shared" si="582"/>
        <v>150525100</v>
      </c>
      <c r="C925" s="1" t="str">
        <f>"1041322728"</f>
        <v>1041322728</v>
      </c>
      <c r="D925" s="1" t="str">
        <f>"152326195608030417"</f>
        <v>152326195608030417</v>
      </c>
      <c r="E925" s="1" t="s">
        <v>979</v>
      </c>
      <c r="F925" s="1" t="s">
        <v>25</v>
      </c>
      <c r="G925" s="1" t="s">
        <v>17</v>
      </c>
      <c r="H925" s="1" t="str">
        <f>"68"</f>
        <v>68</v>
      </c>
      <c r="I925" s="1" t="str">
        <f>"154.54"</f>
        <v>154.54</v>
      </c>
      <c r="J925" s="1" t="str">
        <f t="shared" ref="J925:N925" si="612">"0"</f>
        <v>0</v>
      </c>
      <c r="K925" s="1" t="str">
        <f t="shared" si="557"/>
        <v>103</v>
      </c>
      <c r="L925" s="1" t="str">
        <f t="shared" si="558"/>
        <v>47</v>
      </c>
      <c r="M925" s="1" t="str">
        <f t="shared" si="612"/>
        <v>0</v>
      </c>
      <c r="N925" s="1" t="str">
        <f t="shared" si="612"/>
        <v>0</v>
      </c>
      <c r="O925" s="1" t="str">
        <f>"4.54"</f>
        <v>4.54</v>
      </c>
    </row>
    <row r="926" s="1" customFormat="1" spans="1:15">
      <c r="A926" s="1" t="str">
        <f t="shared" si="581"/>
        <v>202406</v>
      </c>
      <c r="B926" s="1" t="str">
        <f t="shared" si="582"/>
        <v>150525100</v>
      </c>
      <c r="C926" s="1" t="str">
        <f>"1041317795"</f>
        <v>1041317795</v>
      </c>
      <c r="D926" s="1" t="str">
        <f>"152326195907230427"</f>
        <v>152326195907230427</v>
      </c>
      <c r="E926" s="1" t="s">
        <v>980</v>
      </c>
      <c r="F926" s="1" t="s">
        <v>16</v>
      </c>
      <c r="G926" s="1" t="s">
        <v>17</v>
      </c>
      <c r="H926" s="1" t="str">
        <f>"65"</f>
        <v>65</v>
      </c>
      <c r="I926" s="1" t="str">
        <f>"156.03"</f>
        <v>156.03</v>
      </c>
      <c r="J926" s="1" t="str">
        <f t="shared" ref="J926:N926" si="613">"0"</f>
        <v>0</v>
      </c>
      <c r="K926" s="1" t="str">
        <f t="shared" si="557"/>
        <v>103</v>
      </c>
      <c r="L926" s="1" t="str">
        <f t="shared" si="558"/>
        <v>47</v>
      </c>
      <c r="M926" s="1" t="str">
        <f t="shared" si="613"/>
        <v>0</v>
      </c>
      <c r="N926" s="1" t="str">
        <f t="shared" si="613"/>
        <v>0</v>
      </c>
      <c r="O926" s="1" t="str">
        <f>"6.03"</f>
        <v>6.03</v>
      </c>
    </row>
    <row r="927" s="1" customFormat="1" spans="1:15">
      <c r="A927" s="1" t="str">
        <f t="shared" si="581"/>
        <v>202406</v>
      </c>
      <c r="B927" s="1" t="str">
        <f t="shared" si="582"/>
        <v>150525100</v>
      </c>
      <c r="C927" s="1" t="str">
        <f>"1041397284"</f>
        <v>1041397284</v>
      </c>
      <c r="D927" s="1" t="str">
        <f>"152326195711253811"</f>
        <v>152326195711253811</v>
      </c>
      <c r="E927" s="1" t="s">
        <v>981</v>
      </c>
      <c r="F927" s="1" t="s">
        <v>25</v>
      </c>
      <c r="G927" s="1" t="s">
        <v>19</v>
      </c>
      <c r="H927" s="1" t="str">
        <f>"67"</f>
        <v>67</v>
      </c>
      <c r="I927" s="1" t="str">
        <f>"155.04"</f>
        <v>155.04</v>
      </c>
      <c r="J927" s="1" t="str">
        <f t="shared" ref="J927:N927" si="614">"0"</f>
        <v>0</v>
      </c>
      <c r="K927" s="1" t="str">
        <f t="shared" si="557"/>
        <v>103</v>
      </c>
      <c r="L927" s="1" t="str">
        <f t="shared" si="558"/>
        <v>47</v>
      </c>
      <c r="M927" s="1" t="str">
        <f t="shared" si="614"/>
        <v>0</v>
      </c>
      <c r="N927" s="1" t="str">
        <f t="shared" si="614"/>
        <v>0</v>
      </c>
      <c r="O927" s="1" t="str">
        <f>"5.04"</f>
        <v>5.04</v>
      </c>
    </row>
    <row r="928" s="1" customFormat="1" spans="1:15">
      <c r="A928" s="1" t="str">
        <f t="shared" si="581"/>
        <v>202406</v>
      </c>
      <c r="B928" s="1" t="str">
        <f t="shared" si="582"/>
        <v>150525100</v>
      </c>
      <c r="C928" s="1" t="str">
        <f>"1041363419"</f>
        <v>1041363419</v>
      </c>
      <c r="D928" s="1" t="str">
        <f>"152326196305213085"</f>
        <v>152326196305213085</v>
      </c>
      <c r="E928" s="1" t="s">
        <v>982</v>
      </c>
      <c r="F928" s="1" t="s">
        <v>16</v>
      </c>
      <c r="G928" s="1" t="s">
        <v>17</v>
      </c>
      <c r="H928" s="1" t="str">
        <f t="shared" si="610"/>
        <v>61</v>
      </c>
      <c r="I928" s="1" t="str">
        <f>"179.23"</f>
        <v>179.23</v>
      </c>
      <c r="J928" s="1" t="str">
        <f t="shared" ref="J928:N928" si="615">"0"</f>
        <v>0</v>
      </c>
      <c r="K928" s="1" t="str">
        <f t="shared" si="557"/>
        <v>103</v>
      </c>
      <c r="L928" s="1" t="str">
        <f t="shared" si="558"/>
        <v>47</v>
      </c>
      <c r="M928" s="1" t="str">
        <f t="shared" si="615"/>
        <v>0</v>
      </c>
      <c r="N928" s="1" t="str">
        <f t="shared" si="615"/>
        <v>0</v>
      </c>
      <c r="O928" s="1" t="str">
        <f>"29.23"</f>
        <v>29.23</v>
      </c>
    </row>
    <row r="929" s="1" customFormat="1" spans="1:15">
      <c r="A929" s="1" t="str">
        <f t="shared" si="581"/>
        <v>202406</v>
      </c>
      <c r="B929" s="1" t="str">
        <f t="shared" si="582"/>
        <v>150525100</v>
      </c>
      <c r="C929" s="1" t="str">
        <f>"1041363437"</f>
        <v>1041363437</v>
      </c>
      <c r="D929" s="1" t="s">
        <v>983</v>
      </c>
      <c r="E929" s="1" t="s">
        <v>984</v>
      </c>
      <c r="F929" s="1" t="s">
        <v>25</v>
      </c>
      <c r="G929" s="1" t="s">
        <v>17</v>
      </c>
      <c r="H929" s="1" t="str">
        <f t="shared" si="610"/>
        <v>61</v>
      </c>
      <c r="I929" s="1" t="str">
        <f>"162.7"</f>
        <v>162.7</v>
      </c>
      <c r="J929" s="1" t="str">
        <f t="shared" ref="J929:N929" si="616">"0"</f>
        <v>0</v>
      </c>
      <c r="K929" s="1" t="str">
        <f t="shared" si="557"/>
        <v>103</v>
      </c>
      <c r="L929" s="1" t="str">
        <f t="shared" si="558"/>
        <v>47</v>
      </c>
      <c r="M929" s="1" t="str">
        <f t="shared" si="616"/>
        <v>0</v>
      </c>
      <c r="N929" s="1" t="str">
        <f t="shared" si="616"/>
        <v>0</v>
      </c>
      <c r="O929" s="1" t="str">
        <f>"12.7"</f>
        <v>12.7</v>
      </c>
    </row>
    <row r="930" s="1" customFormat="1" spans="1:15">
      <c r="A930" s="1" t="str">
        <f t="shared" si="581"/>
        <v>202406</v>
      </c>
      <c r="B930" s="1" t="str">
        <f t="shared" si="582"/>
        <v>150525100</v>
      </c>
      <c r="C930" s="1" t="str">
        <f>"1041348538"</f>
        <v>1041348538</v>
      </c>
      <c r="D930" s="1" t="str">
        <f>"152326196212273337"</f>
        <v>152326196212273337</v>
      </c>
      <c r="E930" s="1" t="s">
        <v>985</v>
      </c>
      <c r="F930" s="1" t="s">
        <v>25</v>
      </c>
      <c r="G930" s="1" t="s">
        <v>19</v>
      </c>
      <c r="H930" s="1" t="str">
        <f>"62"</f>
        <v>62</v>
      </c>
      <c r="I930" s="1" t="str">
        <f>"160.17"</f>
        <v>160.17</v>
      </c>
      <c r="J930" s="1" t="str">
        <f t="shared" ref="J930:N930" si="617">"0"</f>
        <v>0</v>
      </c>
      <c r="K930" s="1" t="str">
        <f t="shared" si="557"/>
        <v>103</v>
      </c>
      <c r="L930" s="1" t="str">
        <f t="shared" si="558"/>
        <v>47</v>
      </c>
      <c r="M930" s="1" t="str">
        <f t="shared" si="617"/>
        <v>0</v>
      </c>
      <c r="N930" s="1" t="str">
        <f t="shared" si="617"/>
        <v>0</v>
      </c>
      <c r="O930" s="1" t="str">
        <f>"10.17"</f>
        <v>10.17</v>
      </c>
    </row>
    <row r="931" s="1" customFormat="1" spans="1:15">
      <c r="A931" s="1" t="str">
        <f t="shared" si="581"/>
        <v>202406</v>
      </c>
      <c r="B931" s="1" t="str">
        <f t="shared" si="582"/>
        <v>150525100</v>
      </c>
      <c r="C931" s="1" t="str">
        <f>"1041288466"</f>
        <v>1041288466</v>
      </c>
      <c r="D931" s="1" t="str">
        <f>"152326195904170668"</f>
        <v>152326195904170668</v>
      </c>
      <c r="E931" s="1" t="s">
        <v>986</v>
      </c>
      <c r="F931" s="1" t="s">
        <v>16</v>
      </c>
      <c r="G931" s="1" t="s">
        <v>19</v>
      </c>
      <c r="H931" s="1" t="str">
        <f>"65"</f>
        <v>65</v>
      </c>
      <c r="I931" s="1" t="str">
        <f>"156.01"</f>
        <v>156.01</v>
      </c>
      <c r="J931" s="1" t="str">
        <f t="shared" ref="J931:N931" si="618">"0"</f>
        <v>0</v>
      </c>
      <c r="K931" s="1" t="str">
        <f t="shared" si="557"/>
        <v>103</v>
      </c>
      <c r="L931" s="1" t="str">
        <f t="shared" si="558"/>
        <v>47</v>
      </c>
      <c r="M931" s="1" t="str">
        <f t="shared" si="618"/>
        <v>0</v>
      </c>
      <c r="N931" s="1" t="str">
        <f t="shared" si="618"/>
        <v>0</v>
      </c>
      <c r="O931" s="1" t="str">
        <f>"6.01"</f>
        <v>6.01</v>
      </c>
    </row>
    <row r="932" s="1" customFormat="1" spans="1:15">
      <c r="A932" s="1" t="str">
        <f t="shared" si="581"/>
        <v>202406</v>
      </c>
      <c r="B932" s="1" t="str">
        <f t="shared" si="582"/>
        <v>150525100</v>
      </c>
      <c r="C932" s="1" t="str">
        <f>"1041422366"</f>
        <v>1041422366</v>
      </c>
      <c r="D932" s="1" t="str">
        <f>"152326196310263087"</f>
        <v>152326196310263087</v>
      </c>
      <c r="E932" s="1" t="s">
        <v>987</v>
      </c>
      <c r="F932" s="1" t="s">
        <v>16</v>
      </c>
      <c r="G932" s="1" t="s">
        <v>19</v>
      </c>
      <c r="H932" s="1" t="str">
        <f>"61"</f>
        <v>61</v>
      </c>
      <c r="I932" s="1" t="str">
        <f>"162.79"</f>
        <v>162.79</v>
      </c>
      <c r="J932" s="1" t="str">
        <f t="shared" ref="J932:N932" si="619">"0"</f>
        <v>0</v>
      </c>
      <c r="K932" s="1" t="str">
        <f t="shared" si="557"/>
        <v>103</v>
      </c>
      <c r="L932" s="1" t="str">
        <f t="shared" si="558"/>
        <v>47</v>
      </c>
      <c r="M932" s="1" t="str">
        <f t="shared" si="619"/>
        <v>0</v>
      </c>
      <c r="N932" s="1" t="str">
        <f t="shared" si="619"/>
        <v>0</v>
      </c>
      <c r="O932" s="1" t="str">
        <f>"12.79"</f>
        <v>12.79</v>
      </c>
    </row>
    <row r="933" s="1" customFormat="1" spans="1:15">
      <c r="A933" s="1" t="str">
        <f t="shared" si="581"/>
        <v>202406</v>
      </c>
      <c r="B933" s="1" t="str">
        <f t="shared" si="582"/>
        <v>150525100</v>
      </c>
      <c r="C933" s="1" t="str">
        <f>"1041327556"</f>
        <v>1041327556</v>
      </c>
      <c r="D933" s="1" t="str">
        <f>"152326195911113071"</f>
        <v>152326195911113071</v>
      </c>
      <c r="E933" s="1" t="s">
        <v>988</v>
      </c>
      <c r="F933" s="1" t="s">
        <v>25</v>
      </c>
      <c r="G933" s="1" t="s">
        <v>19</v>
      </c>
      <c r="H933" s="1" t="str">
        <f>"65"</f>
        <v>65</v>
      </c>
      <c r="I933" s="1" t="str">
        <f>"156.07"</f>
        <v>156.07</v>
      </c>
      <c r="J933" s="1" t="str">
        <f t="shared" ref="J933:N933" si="620">"0"</f>
        <v>0</v>
      </c>
      <c r="K933" s="1" t="str">
        <f t="shared" si="557"/>
        <v>103</v>
      </c>
      <c r="L933" s="1" t="str">
        <f t="shared" si="558"/>
        <v>47</v>
      </c>
      <c r="M933" s="1" t="str">
        <f t="shared" si="620"/>
        <v>0</v>
      </c>
      <c r="N933" s="1" t="str">
        <f t="shared" si="620"/>
        <v>0</v>
      </c>
      <c r="O933" s="1" t="str">
        <f>"6.07"</f>
        <v>6.07</v>
      </c>
    </row>
    <row r="934" s="1" customFormat="1" spans="1:15">
      <c r="A934" s="1" t="str">
        <f t="shared" si="581"/>
        <v>202406</v>
      </c>
      <c r="B934" s="1" t="str">
        <f t="shared" si="582"/>
        <v>150525100</v>
      </c>
      <c r="C934" s="1" t="str">
        <f>"1041402122"</f>
        <v>1041402122</v>
      </c>
      <c r="D934" s="1" t="str">
        <f>"152326195807130410"</f>
        <v>152326195807130410</v>
      </c>
      <c r="E934" s="1" t="s">
        <v>989</v>
      </c>
      <c r="F934" s="1" t="s">
        <v>25</v>
      </c>
      <c r="G934" s="1" t="s">
        <v>17</v>
      </c>
      <c r="H934" s="1" t="str">
        <f>"66"</f>
        <v>66</v>
      </c>
      <c r="I934" s="1" t="str">
        <f>"167.58"</f>
        <v>167.58</v>
      </c>
      <c r="J934" s="1" t="str">
        <f t="shared" ref="J934:N934" si="621">"0"</f>
        <v>0</v>
      </c>
      <c r="K934" s="1" t="str">
        <f t="shared" si="557"/>
        <v>103</v>
      </c>
      <c r="L934" s="1" t="str">
        <f t="shared" si="558"/>
        <v>47</v>
      </c>
      <c r="M934" s="1" t="str">
        <f t="shared" si="621"/>
        <v>0</v>
      </c>
      <c r="N934" s="1" t="str">
        <f t="shared" si="621"/>
        <v>0</v>
      </c>
      <c r="O934" s="1" t="str">
        <f>"17.58"</f>
        <v>17.58</v>
      </c>
    </row>
    <row r="935" s="1" customFormat="1" spans="1:15">
      <c r="A935" s="1" t="str">
        <f t="shared" si="581"/>
        <v>202406</v>
      </c>
      <c r="B935" s="1" t="str">
        <f t="shared" si="582"/>
        <v>150525100</v>
      </c>
      <c r="C935" s="1" t="str">
        <f>"1041279753"</f>
        <v>1041279753</v>
      </c>
      <c r="D935" s="1" t="str">
        <f>"152326196303103325"</f>
        <v>152326196303103325</v>
      </c>
      <c r="E935" s="1" t="s">
        <v>990</v>
      </c>
      <c r="F935" s="1" t="s">
        <v>16</v>
      </c>
      <c r="G935" s="1" t="s">
        <v>17</v>
      </c>
      <c r="H935" s="1" t="str">
        <f>"61"</f>
        <v>61</v>
      </c>
      <c r="I935" s="1" t="str">
        <f>"162.68"</f>
        <v>162.68</v>
      </c>
      <c r="J935" s="1" t="str">
        <f t="shared" ref="J935:N935" si="622">"0"</f>
        <v>0</v>
      </c>
      <c r="K935" s="1" t="str">
        <f t="shared" si="557"/>
        <v>103</v>
      </c>
      <c r="L935" s="1" t="str">
        <f t="shared" si="558"/>
        <v>47</v>
      </c>
      <c r="M935" s="1" t="str">
        <f t="shared" si="622"/>
        <v>0</v>
      </c>
      <c r="N935" s="1" t="str">
        <f t="shared" si="622"/>
        <v>0</v>
      </c>
      <c r="O935" s="1" t="str">
        <f>"12.68"</f>
        <v>12.68</v>
      </c>
    </row>
    <row r="936" s="1" customFormat="1" spans="1:15">
      <c r="A936" s="1" t="str">
        <f t="shared" si="581"/>
        <v>202406</v>
      </c>
      <c r="B936" s="1" t="str">
        <f t="shared" si="582"/>
        <v>150525100</v>
      </c>
      <c r="C936" s="1" t="str">
        <f>"1041286869"</f>
        <v>1041286869</v>
      </c>
      <c r="D936" s="1" t="str">
        <f>"152326196007270428"</f>
        <v>152326196007270428</v>
      </c>
      <c r="E936" s="1" t="s">
        <v>991</v>
      </c>
      <c r="F936" s="1" t="s">
        <v>16</v>
      </c>
      <c r="G936" s="1" t="s">
        <v>17</v>
      </c>
      <c r="H936" s="1" t="str">
        <f t="shared" ref="H936:H939" si="623">"64"</f>
        <v>64</v>
      </c>
      <c r="I936" s="1" t="str">
        <f>"157.08"</f>
        <v>157.08</v>
      </c>
      <c r="J936" s="1" t="str">
        <f t="shared" ref="J936:N936" si="624">"0"</f>
        <v>0</v>
      </c>
      <c r="K936" s="1" t="str">
        <f t="shared" si="557"/>
        <v>103</v>
      </c>
      <c r="L936" s="1" t="str">
        <f t="shared" si="558"/>
        <v>47</v>
      </c>
      <c r="M936" s="1" t="str">
        <f t="shared" si="624"/>
        <v>0</v>
      </c>
      <c r="N936" s="1" t="str">
        <f t="shared" si="624"/>
        <v>0</v>
      </c>
      <c r="O936" s="1" t="str">
        <f>"7.08"</f>
        <v>7.08</v>
      </c>
    </row>
    <row r="937" s="1" customFormat="1" spans="1:15">
      <c r="A937" s="1" t="str">
        <f t="shared" si="581"/>
        <v>202406</v>
      </c>
      <c r="B937" s="1" t="str">
        <f t="shared" si="582"/>
        <v>150525100</v>
      </c>
      <c r="C937" s="1" t="str">
        <f>"1041403050"</f>
        <v>1041403050</v>
      </c>
      <c r="D937" s="1" t="str">
        <f>"152326196003073080"</f>
        <v>152326196003073080</v>
      </c>
      <c r="E937" s="1" t="s">
        <v>992</v>
      </c>
      <c r="F937" s="1" t="s">
        <v>16</v>
      </c>
      <c r="G937" s="1" t="s">
        <v>19</v>
      </c>
      <c r="H937" s="1" t="str">
        <f t="shared" si="623"/>
        <v>64</v>
      </c>
      <c r="I937" s="1" t="str">
        <f>"157.04"</f>
        <v>157.04</v>
      </c>
      <c r="J937" s="1" t="str">
        <f t="shared" ref="J937:N937" si="625">"0"</f>
        <v>0</v>
      </c>
      <c r="K937" s="1" t="str">
        <f t="shared" si="557"/>
        <v>103</v>
      </c>
      <c r="L937" s="1" t="str">
        <f t="shared" si="558"/>
        <v>47</v>
      </c>
      <c r="M937" s="1" t="str">
        <f t="shared" si="625"/>
        <v>0</v>
      </c>
      <c r="N937" s="1" t="str">
        <f t="shared" si="625"/>
        <v>0</v>
      </c>
      <c r="O937" s="1" t="str">
        <f>"7.04"</f>
        <v>7.04</v>
      </c>
    </row>
    <row r="938" s="1" customFormat="1" spans="1:15">
      <c r="A938" s="1" t="str">
        <f t="shared" si="581"/>
        <v>202406</v>
      </c>
      <c r="B938" s="1" t="str">
        <f t="shared" si="582"/>
        <v>150525100</v>
      </c>
      <c r="C938" s="1" t="str">
        <f>"1041290399"</f>
        <v>1041290399</v>
      </c>
      <c r="D938" s="1" t="str">
        <f>"152326196204160666"</f>
        <v>152326196204160666</v>
      </c>
      <c r="E938" s="1" t="s">
        <v>993</v>
      </c>
      <c r="F938" s="1" t="s">
        <v>16</v>
      </c>
      <c r="G938" s="1" t="s">
        <v>17</v>
      </c>
      <c r="H938" s="1" t="str">
        <f>"62"</f>
        <v>62</v>
      </c>
      <c r="I938" s="1" t="str">
        <f>"162.47"</f>
        <v>162.47</v>
      </c>
      <c r="J938" s="1" t="str">
        <f t="shared" ref="J938:N938" si="626">"0"</f>
        <v>0</v>
      </c>
      <c r="K938" s="1" t="str">
        <f t="shared" si="557"/>
        <v>103</v>
      </c>
      <c r="L938" s="1" t="str">
        <f t="shared" si="558"/>
        <v>47</v>
      </c>
      <c r="M938" s="1" t="str">
        <f t="shared" si="626"/>
        <v>0</v>
      </c>
      <c r="N938" s="1" t="str">
        <f t="shared" si="626"/>
        <v>0</v>
      </c>
      <c r="O938" s="1" t="str">
        <f>"12.47"</f>
        <v>12.47</v>
      </c>
    </row>
    <row r="939" s="1" customFormat="1" spans="1:15">
      <c r="A939" s="1" t="str">
        <f t="shared" si="581"/>
        <v>202406</v>
      </c>
      <c r="B939" s="1" t="str">
        <f t="shared" si="582"/>
        <v>150525100</v>
      </c>
      <c r="C939" s="1" t="str">
        <f>"1041285437"</f>
        <v>1041285437</v>
      </c>
      <c r="D939" s="1" t="str">
        <f>"150525196009040020"</f>
        <v>150525196009040020</v>
      </c>
      <c r="E939" s="1" t="s">
        <v>901</v>
      </c>
      <c r="F939" s="1" t="s">
        <v>16</v>
      </c>
      <c r="G939" s="1" t="s">
        <v>19</v>
      </c>
      <c r="H939" s="1" t="str">
        <f t="shared" si="623"/>
        <v>64</v>
      </c>
      <c r="I939" s="1" t="str">
        <f>"188.37"</f>
        <v>188.37</v>
      </c>
      <c r="J939" s="1" t="str">
        <f t="shared" ref="J939:N939" si="627">"0"</f>
        <v>0</v>
      </c>
      <c r="K939" s="1" t="str">
        <f t="shared" si="557"/>
        <v>103</v>
      </c>
      <c r="L939" s="1" t="str">
        <f t="shared" si="558"/>
        <v>47</v>
      </c>
      <c r="M939" s="1" t="str">
        <f t="shared" si="627"/>
        <v>0</v>
      </c>
      <c r="N939" s="1" t="str">
        <f t="shared" si="627"/>
        <v>0</v>
      </c>
      <c r="O939" s="1" t="str">
        <f>"38.37"</f>
        <v>38.37</v>
      </c>
    </row>
    <row r="940" s="1" customFormat="1" spans="1:15">
      <c r="A940" s="1" t="str">
        <f t="shared" si="581"/>
        <v>202406</v>
      </c>
      <c r="B940" s="1" t="str">
        <f t="shared" si="582"/>
        <v>150525100</v>
      </c>
      <c r="C940" s="1" t="str">
        <f>"1041403397"</f>
        <v>1041403397</v>
      </c>
      <c r="D940" s="1" t="str">
        <f>"152326196309263813"</f>
        <v>152326196309263813</v>
      </c>
      <c r="E940" s="1" t="s">
        <v>994</v>
      </c>
      <c r="F940" s="1" t="s">
        <v>25</v>
      </c>
      <c r="G940" s="1" t="s">
        <v>17</v>
      </c>
      <c r="H940" s="1" t="str">
        <f>"61"</f>
        <v>61</v>
      </c>
      <c r="I940" s="1" t="str">
        <f>"162.57"</f>
        <v>162.57</v>
      </c>
      <c r="J940" s="1" t="str">
        <f t="shared" ref="J940:N940" si="628">"0"</f>
        <v>0</v>
      </c>
      <c r="K940" s="1" t="str">
        <f t="shared" si="557"/>
        <v>103</v>
      </c>
      <c r="L940" s="1" t="str">
        <f t="shared" si="558"/>
        <v>47</v>
      </c>
      <c r="M940" s="1" t="str">
        <f t="shared" si="628"/>
        <v>0</v>
      </c>
      <c r="N940" s="1" t="str">
        <f t="shared" si="628"/>
        <v>0</v>
      </c>
      <c r="O940" s="1" t="str">
        <f>"12.57"</f>
        <v>12.57</v>
      </c>
    </row>
    <row r="941" s="1" customFormat="1" spans="1:15">
      <c r="A941" s="1" t="str">
        <f t="shared" si="581"/>
        <v>202406</v>
      </c>
      <c r="B941" s="1" t="str">
        <f t="shared" si="582"/>
        <v>150525100</v>
      </c>
      <c r="C941" s="1" t="str">
        <f>"1041403433"</f>
        <v>1041403433</v>
      </c>
      <c r="D941" s="1" t="str">
        <f>"152326196105023826"</f>
        <v>152326196105023826</v>
      </c>
      <c r="E941" s="1" t="s">
        <v>995</v>
      </c>
      <c r="F941" s="1" t="s">
        <v>16</v>
      </c>
      <c r="G941" s="1" t="s">
        <v>17</v>
      </c>
      <c r="H941" s="1" t="str">
        <f>"63"</f>
        <v>63</v>
      </c>
      <c r="I941" s="1" t="str">
        <f>"158.14"</f>
        <v>158.14</v>
      </c>
      <c r="J941" s="1" t="str">
        <f t="shared" ref="J941:N941" si="629">"0"</f>
        <v>0</v>
      </c>
      <c r="K941" s="1" t="str">
        <f t="shared" si="557"/>
        <v>103</v>
      </c>
      <c r="L941" s="1" t="str">
        <f t="shared" si="558"/>
        <v>47</v>
      </c>
      <c r="M941" s="1" t="str">
        <f t="shared" si="629"/>
        <v>0</v>
      </c>
      <c r="N941" s="1" t="str">
        <f t="shared" si="629"/>
        <v>0</v>
      </c>
      <c r="O941" s="1" t="str">
        <f>"8.14"</f>
        <v>8.14</v>
      </c>
    </row>
    <row r="942" s="1" customFormat="1" spans="1:15">
      <c r="A942" s="1" t="str">
        <f t="shared" si="581"/>
        <v>202406</v>
      </c>
      <c r="B942" s="1" t="str">
        <f t="shared" si="582"/>
        <v>150525100</v>
      </c>
      <c r="C942" s="1" t="str">
        <f>"1041403442"</f>
        <v>1041403442</v>
      </c>
      <c r="D942" s="1" t="str">
        <f>"152326195908113839"</f>
        <v>152326195908113839</v>
      </c>
      <c r="E942" s="1" t="s">
        <v>316</v>
      </c>
      <c r="F942" s="1" t="s">
        <v>25</v>
      </c>
      <c r="G942" s="1" t="s">
        <v>17</v>
      </c>
      <c r="H942" s="1" t="str">
        <f>"65"</f>
        <v>65</v>
      </c>
      <c r="I942" s="1" t="str">
        <f>"150.95"</f>
        <v>150.95</v>
      </c>
      <c r="J942" s="1" t="str">
        <f t="shared" ref="J942:N942" si="630">"0"</f>
        <v>0</v>
      </c>
      <c r="K942" s="1" t="str">
        <f t="shared" ref="K942:K947" si="631">"103"</f>
        <v>103</v>
      </c>
      <c r="L942" s="1" t="str">
        <f t="shared" ref="L942:L947" si="632">"47"</f>
        <v>47</v>
      </c>
      <c r="M942" s="1" t="str">
        <f t="shared" si="630"/>
        <v>0</v>
      </c>
      <c r="N942" s="1" t="str">
        <f t="shared" si="630"/>
        <v>0</v>
      </c>
      <c r="O942" s="1" t="str">
        <f>"0.95"</f>
        <v>0.95</v>
      </c>
    </row>
    <row r="943" s="1" customFormat="1" spans="1:15">
      <c r="A943" s="1" t="str">
        <f t="shared" si="581"/>
        <v>202406</v>
      </c>
      <c r="B943" s="1" t="str">
        <f t="shared" si="582"/>
        <v>150525100</v>
      </c>
      <c r="C943" s="1" t="str">
        <f>"1041305340"</f>
        <v>1041305340</v>
      </c>
      <c r="D943" s="1" t="str">
        <f>"152326196107110413"</f>
        <v>152326196107110413</v>
      </c>
      <c r="E943" s="1" t="s">
        <v>996</v>
      </c>
      <c r="F943" s="1" t="s">
        <v>25</v>
      </c>
      <c r="G943" s="1" t="s">
        <v>17</v>
      </c>
      <c r="H943" s="1" t="str">
        <f>"63"</f>
        <v>63</v>
      </c>
      <c r="I943" s="1" t="str">
        <f>"159.22"</f>
        <v>159.22</v>
      </c>
      <c r="J943" s="1" t="str">
        <f t="shared" ref="J943:N943" si="633">"0"</f>
        <v>0</v>
      </c>
      <c r="K943" s="1" t="str">
        <f t="shared" si="631"/>
        <v>103</v>
      </c>
      <c r="L943" s="1" t="str">
        <f t="shared" si="632"/>
        <v>47</v>
      </c>
      <c r="M943" s="1" t="str">
        <f t="shared" si="633"/>
        <v>0</v>
      </c>
      <c r="N943" s="1" t="str">
        <f t="shared" si="633"/>
        <v>0</v>
      </c>
      <c r="O943" s="1" t="str">
        <f>"9.22"</f>
        <v>9.22</v>
      </c>
    </row>
    <row r="944" s="1" customFormat="1" spans="1:15">
      <c r="A944" s="1" t="str">
        <f t="shared" si="581"/>
        <v>202406</v>
      </c>
      <c r="B944" s="1" t="str">
        <f t="shared" si="582"/>
        <v>150525100</v>
      </c>
      <c r="C944" s="1" t="str">
        <f>"1041306518"</f>
        <v>1041306518</v>
      </c>
      <c r="D944" s="1" t="str">
        <f>"152326196308083810"</f>
        <v>152326196308083810</v>
      </c>
      <c r="E944" s="1" t="s">
        <v>997</v>
      </c>
      <c r="F944" s="1" t="s">
        <v>25</v>
      </c>
      <c r="G944" s="1" t="s">
        <v>19</v>
      </c>
      <c r="H944" s="1" t="str">
        <f>"61"</f>
        <v>61</v>
      </c>
      <c r="I944" s="1" t="str">
        <f>"163.06"</f>
        <v>163.06</v>
      </c>
      <c r="J944" s="1" t="str">
        <f t="shared" ref="J944:N944" si="634">"0"</f>
        <v>0</v>
      </c>
      <c r="K944" s="1" t="str">
        <f t="shared" si="631"/>
        <v>103</v>
      </c>
      <c r="L944" s="1" t="str">
        <f t="shared" si="632"/>
        <v>47</v>
      </c>
      <c r="M944" s="1" t="str">
        <f t="shared" si="634"/>
        <v>0</v>
      </c>
      <c r="N944" s="1" t="str">
        <f t="shared" si="634"/>
        <v>0</v>
      </c>
      <c r="O944" s="1" t="str">
        <f>"13.06"</f>
        <v>13.06</v>
      </c>
    </row>
    <row r="945" s="1" customFormat="1" spans="1:15">
      <c r="A945" s="1" t="str">
        <f t="shared" si="581"/>
        <v>202406</v>
      </c>
      <c r="B945" s="1" t="str">
        <f t="shared" si="582"/>
        <v>150525100</v>
      </c>
      <c r="C945" s="1" t="str">
        <f>"1041306587"</f>
        <v>1041306587</v>
      </c>
      <c r="D945" s="1" t="str">
        <f>"152326195608260693"</f>
        <v>152326195608260693</v>
      </c>
      <c r="E945" s="1" t="s">
        <v>998</v>
      </c>
      <c r="F945" s="1" t="s">
        <v>25</v>
      </c>
      <c r="G945" s="1" t="s">
        <v>17</v>
      </c>
      <c r="H945" s="1" t="str">
        <f>"68"</f>
        <v>68</v>
      </c>
      <c r="I945" s="1" t="str">
        <f>"154.32"</f>
        <v>154.32</v>
      </c>
      <c r="J945" s="1" t="str">
        <f t="shared" ref="J945:N945" si="635">"0"</f>
        <v>0</v>
      </c>
      <c r="K945" s="1" t="str">
        <f t="shared" si="631"/>
        <v>103</v>
      </c>
      <c r="L945" s="1" t="str">
        <f t="shared" si="632"/>
        <v>47</v>
      </c>
      <c r="M945" s="1" t="str">
        <f t="shared" si="635"/>
        <v>0</v>
      </c>
      <c r="N945" s="1" t="str">
        <f t="shared" si="635"/>
        <v>0</v>
      </c>
      <c r="O945" s="1" t="str">
        <f>"4.32"</f>
        <v>4.32</v>
      </c>
    </row>
    <row r="946" s="1" customFormat="1" spans="1:15">
      <c r="A946" s="1" t="str">
        <f t="shared" si="581"/>
        <v>202406</v>
      </c>
      <c r="B946" s="1" t="str">
        <f t="shared" si="582"/>
        <v>150525100</v>
      </c>
      <c r="C946" s="1" t="str">
        <f>"1041307796"</f>
        <v>1041307796</v>
      </c>
      <c r="D946" s="1" t="str">
        <f>"152326195805030424"</f>
        <v>152326195805030424</v>
      </c>
      <c r="E946" s="1" t="s">
        <v>999</v>
      </c>
      <c r="F946" s="1" t="s">
        <v>16</v>
      </c>
      <c r="G946" s="1" t="s">
        <v>17</v>
      </c>
      <c r="H946" s="1" t="str">
        <f t="shared" ref="H946:H948" si="636">"66"</f>
        <v>66</v>
      </c>
      <c r="I946" s="1" t="str">
        <f>"155.32"</f>
        <v>155.32</v>
      </c>
      <c r="J946" s="1" t="str">
        <f t="shared" ref="J946:N946" si="637">"0"</f>
        <v>0</v>
      </c>
      <c r="K946" s="1" t="str">
        <f t="shared" si="631"/>
        <v>103</v>
      </c>
      <c r="L946" s="1" t="str">
        <f t="shared" si="632"/>
        <v>47</v>
      </c>
      <c r="M946" s="1" t="str">
        <f t="shared" si="637"/>
        <v>0</v>
      </c>
      <c r="N946" s="1" t="str">
        <f t="shared" si="637"/>
        <v>0</v>
      </c>
      <c r="O946" s="1" t="str">
        <f>"5.32"</f>
        <v>5.32</v>
      </c>
    </row>
    <row r="947" s="1" customFormat="1" spans="1:15">
      <c r="A947" s="1" t="str">
        <f t="shared" si="581"/>
        <v>202406</v>
      </c>
      <c r="B947" s="1" t="str">
        <f t="shared" si="582"/>
        <v>150525100</v>
      </c>
      <c r="C947" s="1" t="str">
        <f>"1041307802"</f>
        <v>1041307802</v>
      </c>
      <c r="D947" s="1" t="str">
        <f>"152326195807050429"</f>
        <v>152326195807050429</v>
      </c>
      <c r="E947" s="1" t="s">
        <v>1000</v>
      </c>
      <c r="F947" s="1" t="s">
        <v>16</v>
      </c>
      <c r="G947" s="1" t="s">
        <v>17</v>
      </c>
      <c r="H947" s="1" t="str">
        <f t="shared" si="636"/>
        <v>66</v>
      </c>
      <c r="I947" s="1" t="str">
        <f>"155.32"</f>
        <v>155.32</v>
      </c>
      <c r="J947" s="1" t="str">
        <f t="shared" ref="J947:N947" si="638">"0"</f>
        <v>0</v>
      </c>
      <c r="K947" s="1" t="str">
        <f t="shared" si="631"/>
        <v>103</v>
      </c>
      <c r="L947" s="1" t="str">
        <f t="shared" si="632"/>
        <v>47</v>
      </c>
      <c r="M947" s="1" t="str">
        <f t="shared" si="638"/>
        <v>0</v>
      </c>
      <c r="N947" s="1" t="str">
        <f t="shared" si="638"/>
        <v>0</v>
      </c>
      <c r="O947" s="1" t="str">
        <f>"5.32"</f>
        <v>5.32</v>
      </c>
    </row>
    <row r="948" s="1" customFormat="1" spans="1:15">
      <c r="A948" s="1" t="str">
        <f t="shared" si="581"/>
        <v>202406</v>
      </c>
      <c r="B948" s="1" t="str">
        <f t="shared" si="582"/>
        <v>150525100</v>
      </c>
      <c r="C948" s="1" t="str">
        <f>"1041307813"</f>
        <v>1041307813</v>
      </c>
      <c r="D948" s="1" t="str">
        <f>"152326195812130028"</f>
        <v>152326195812130028</v>
      </c>
      <c r="E948" s="1" t="s">
        <v>1001</v>
      </c>
      <c r="F948" s="1" t="s">
        <v>16</v>
      </c>
      <c r="G948" s="1" t="s">
        <v>17</v>
      </c>
      <c r="H948" s="1" t="str">
        <f t="shared" si="636"/>
        <v>66</v>
      </c>
      <c r="I948" s="1" t="str">
        <f>"1553.4"</f>
        <v>1553.4</v>
      </c>
      <c r="J948" s="1" t="str">
        <f>"1398.06"</f>
        <v>1398.06</v>
      </c>
      <c r="K948" s="1" t="str">
        <f>"1030"</f>
        <v>1030</v>
      </c>
      <c r="L948" s="1" t="str">
        <f>"470"</f>
        <v>470</v>
      </c>
      <c r="M948" s="1" t="str">
        <f t="shared" ref="M948:M1011" si="639">"0"</f>
        <v>0</v>
      </c>
      <c r="N948" s="1" t="str">
        <f t="shared" ref="N948:N1011" si="640">"0"</f>
        <v>0</v>
      </c>
      <c r="O948" s="1" t="str">
        <f>"53.4"</f>
        <v>53.4</v>
      </c>
    </row>
    <row r="949" s="1" customFormat="1" spans="1:15">
      <c r="A949" s="1" t="str">
        <f t="shared" si="581"/>
        <v>202406</v>
      </c>
      <c r="B949" s="1" t="str">
        <f t="shared" si="582"/>
        <v>150525100</v>
      </c>
      <c r="C949" s="1" t="str">
        <f>"1041307820"</f>
        <v>1041307820</v>
      </c>
      <c r="D949" s="1" t="str">
        <f>"152326195901150426"</f>
        <v>152326195901150426</v>
      </c>
      <c r="E949" s="1" t="s">
        <v>1002</v>
      </c>
      <c r="F949" s="1" t="s">
        <v>16</v>
      </c>
      <c r="G949" s="1" t="s">
        <v>17</v>
      </c>
      <c r="H949" s="1" t="str">
        <f>"65"</f>
        <v>65</v>
      </c>
      <c r="I949" s="1" t="str">
        <f>"937.74"</f>
        <v>937.74</v>
      </c>
      <c r="J949" s="1" t="str">
        <f>"781.45"</f>
        <v>781.45</v>
      </c>
      <c r="K949" s="1" t="str">
        <f>"618"</f>
        <v>618</v>
      </c>
      <c r="L949" s="1" t="str">
        <f>"282"</f>
        <v>282</v>
      </c>
      <c r="M949" s="1" t="str">
        <f t="shared" si="639"/>
        <v>0</v>
      </c>
      <c r="N949" s="1" t="str">
        <f t="shared" si="640"/>
        <v>0</v>
      </c>
      <c r="O949" s="1" t="str">
        <f>"37.74"</f>
        <v>37.74</v>
      </c>
    </row>
    <row r="950" s="1" customFormat="1" spans="1:15">
      <c r="A950" s="1" t="str">
        <f t="shared" si="581"/>
        <v>202406</v>
      </c>
      <c r="B950" s="1" t="str">
        <f t="shared" si="582"/>
        <v>150525100</v>
      </c>
      <c r="C950" s="1" t="str">
        <f>"1041306640"</f>
        <v>1041306640</v>
      </c>
      <c r="D950" s="1" t="s">
        <v>1003</v>
      </c>
      <c r="E950" s="1" t="s">
        <v>1004</v>
      </c>
      <c r="F950" s="1" t="s">
        <v>16</v>
      </c>
      <c r="G950" s="1" t="s">
        <v>17</v>
      </c>
      <c r="H950" s="1" t="str">
        <f>"61"</f>
        <v>61</v>
      </c>
      <c r="I950" s="1" t="str">
        <f>"163.01"</f>
        <v>163.01</v>
      </c>
      <c r="J950" s="1" t="str">
        <f t="shared" ref="J950:J973" si="641">"0"</f>
        <v>0</v>
      </c>
      <c r="K950" s="1" t="str">
        <f t="shared" ref="K950:K973" si="642">"103"</f>
        <v>103</v>
      </c>
      <c r="L950" s="1" t="str">
        <f t="shared" ref="L950:L973" si="643">"47"</f>
        <v>47</v>
      </c>
      <c r="M950" s="1" t="str">
        <f t="shared" si="639"/>
        <v>0</v>
      </c>
      <c r="N950" s="1" t="str">
        <f t="shared" si="640"/>
        <v>0</v>
      </c>
      <c r="O950" s="1" t="str">
        <f>"13.01"</f>
        <v>13.01</v>
      </c>
    </row>
    <row r="951" s="1" customFormat="1" spans="1:15">
      <c r="A951" s="1" t="str">
        <f t="shared" si="581"/>
        <v>202406</v>
      </c>
      <c r="B951" s="1" t="str">
        <f t="shared" si="582"/>
        <v>150525100</v>
      </c>
      <c r="C951" s="1" t="str">
        <f>"1041306686"</f>
        <v>1041306686</v>
      </c>
      <c r="D951" s="1" t="str">
        <f>"152326196103290429"</f>
        <v>152326196103290429</v>
      </c>
      <c r="E951" s="1" t="s">
        <v>1005</v>
      </c>
      <c r="F951" s="1" t="s">
        <v>16</v>
      </c>
      <c r="G951" s="1" t="s">
        <v>17</v>
      </c>
      <c r="H951" s="1" t="str">
        <f>"63"</f>
        <v>63</v>
      </c>
      <c r="I951" s="1" t="str">
        <f>"160.23"</f>
        <v>160.23</v>
      </c>
      <c r="J951" s="1" t="str">
        <f t="shared" si="641"/>
        <v>0</v>
      </c>
      <c r="K951" s="1" t="str">
        <f t="shared" si="642"/>
        <v>103</v>
      </c>
      <c r="L951" s="1" t="str">
        <f t="shared" si="643"/>
        <v>47</v>
      </c>
      <c r="M951" s="1" t="str">
        <f t="shared" si="639"/>
        <v>0</v>
      </c>
      <c r="N951" s="1" t="str">
        <f t="shared" si="640"/>
        <v>0</v>
      </c>
      <c r="O951" s="1" t="str">
        <f>"10.23"</f>
        <v>10.23</v>
      </c>
    </row>
    <row r="952" s="1" customFormat="1" spans="1:15">
      <c r="A952" s="1" t="str">
        <f t="shared" si="581"/>
        <v>202406</v>
      </c>
      <c r="B952" s="1" t="str">
        <f t="shared" si="582"/>
        <v>150525100</v>
      </c>
      <c r="C952" s="1" t="str">
        <f>"1041307824"</f>
        <v>1041307824</v>
      </c>
      <c r="D952" s="1" t="s">
        <v>1006</v>
      </c>
      <c r="E952" s="1" t="s">
        <v>1007</v>
      </c>
      <c r="F952" s="1" t="s">
        <v>16</v>
      </c>
      <c r="G952" s="1" t="s">
        <v>17</v>
      </c>
      <c r="H952" s="1" t="str">
        <f>"65"</f>
        <v>65</v>
      </c>
      <c r="I952" s="1" t="str">
        <f>"156.32"</f>
        <v>156.32</v>
      </c>
      <c r="J952" s="1" t="str">
        <f t="shared" si="641"/>
        <v>0</v>
      </c>
      <c r="K952" s="1" t="str">
        <f t="shared" si="642"/>
        <v>103</v>
      </c>
      <c r="L952" s="1" t="str">
        <f t="shared" si="643"/>
        <v>47</v>
      </c>
      <c r="M952" s="1" t="str">
        <f t="shared" si="639"/>
        <v>0</v>
      </c>
      <c r="N952" s="1" t="str">
        <f t="shared" si="640"/>
        <v>0</v>
      </c>
      <c r="O952" s="1" t="str">
        <f>"6.32"</f>
        <v>6.32</v>
      </c>
    </row>
    <row r="953" s="1" customFormat="1" spans="1:15">
      <c r="A953" s="1" t="str">
        <f t="shared" si="581"/>
        <v>202406</v>
      </c>
      <c r="B953" s="1" t="str">
        <f t="shared" si="582"/>
        <v>150525100</v>
      </c>
      <c r="C953" s="1" t="str">
        <f>"1041286853"</f>
        <v>1041286853</v>
      </c>
      <c r="D953" s="1" t="str">
        <f>"152326196305090425"</f>
        <v>152326196305090425</v>
      </c>
      <c r="E953" s="1" t="s">
        <v>681</v>
      </c>
      <c r="F953" s="1" t="s">
        <v>16</v>
      </c>
      <c r="G953" s="1" t="s">
        <v>17</v>
      </c>
      <c r="H953" s="1" t="str">
        <f>"61"</f>
        <v>61</v>
      </c>
      <c r="I953" s="1" t="str">
        <f>"162.72"</f>
        <v>162.72</v>
      </c>
      <c r="J953" s="1" t="str">
        <f t="shared" si="641"/>
        <v>0</v>
      </c>
      <c r="K953" s="1" t="str">
        <f t="shared" si="642"/>
        <v>103</v>
      </c>
      <c r="L953" s="1" t="str">
        <f t="shared" si="643"/>
        <v>47</v>
      </c>
      <c r="M953" s="1" t="str">
        <f t="shared" si="639"/>
        <v>0</v>
      </c>
      <c r="N953" s="1" t="str">
        <f t="shared" si="640"/>
        <v>0</v>
      </c>
      <c r="O953" s="1" t="str">
        <f>"12.72"</f>
        <v>12.72</v>
      </c>
    </row>
    <row r="954" s="1" customFormat="1" spans="1:15">
      <c r="A954" s="1" t="str">
        <f t="shared" si="581"/>
        <v>202406</v>
      </c>
      <c r="B954" s="1" t="str">
        <f t="shared" si="582"/>
        <v>150525100</v>
      </c>
      <c r="C954" s="1" t="str">
        <f>"1041306799"</f>
        <v>1041306799</v>
      </c>
      <c r="D954" s="1" t="str">
        <f>"152326196402120446"</f>
        <v>152326196402120446</v>
      </c>
      <c r="E954" s="1" t="s">
        <v>1008</v>
      </c>
      <c r="F954" s="1" t="s">
        <v>16</v>
      </c>
      <c r="G954" s="1" t="s">
        <v>17</v>
      </c>
      <c r="H954" s="1" t="str">
        <f>"60"</f>
        <v>60</v>
      </c>
      <c r="I954" s="1" t="str">
        <f>"165.14"</f>
        <v>165.14</v>
      </c>
      <c r="J954" s="1" t="str">
        <f t="shared" si="641"/>
        <v>0</v>
      </c>
      <c r="K954" s="1" t="str">
        <f t="shared" si="642"/>
        <v>103</v>
      </c>
      <c r="L954" s="1" t="str">
        <f t="shared" si="643"/>
        <v>47</v>
      </c>
      <c r="M954" s="1" t="str">
        <f t="shared" si="639"/>
        <v>0</v>
      </c>
      <c r="N954" s="1" t="str">
        <f t="shared" si="640"/>
        <v>0</v>
      </c>
      <c r="O954" s="1" t="str">
        <f>"15.14"</f>
        <v>15.14</v>
      </c>
    </row>
    <row r="955" s="1" customFormat="1" spans="1:15">
      <c r="A955" s="1" t="str">
        <f t="shared" si="581"/>
        <v>202406</v>
      </c>
      <c r="B955" s="1" t="str">
        <f t="shared" si="582"/>
        <v>150525100</v>
      </c>
      <c r="C955" s="1" t="str">
        <f>"1041286408"</f>
        <v>1041286408</v>
      </c>
      <c r="D955" s="1" t="str">
        <f>"152326196008200413"</f>
        <v>152326196008200413</v>
      </c>
      <c r="E955" s="1" t="s">
        <v>1009</v>
      </c>
      <c r="F955" s="1" t="s">
        <v>25</v>
      </c>
      <c r="G955" s="1" t="s">
        <v>17</v>
      </c>
      <c r="H955" s="1" t="str">
        <f>"64"</f>
        <v>64</v>
      </c>
      <c r="I955" s="1" t="str">
        <f>"157.09"</f>
        <v>157.09</v>
      </c>
      <c r="J955" s="1" t="str">
        <f t="shared" si="641"/>
        <v>0</v>
      </c>
      <c r="K955" s="1" t="str">
        <f t="shared" si="642"/>
        <v>103</v>
      </c>
      <c r="L955" s="1" t="str">
        <f t="shared" si="643"/>
        <v>47</v>
      </c>
      <c r="M955" s="1" t="str">
        <f t="shared" si="639"/>
        <v>0</v>
      </c>
      <c r="N955" s="1" t="str">
        <f t="shared" si="640"/>
        <v>0</v>
      </c>
      <c r="O955" s="1" t="str">
        <f>"7.09"</f>
        <v>7.09</v>
      </c>
    </row>
    <row r="956" s="1" customFormat="1" spans="1:15">
      <c r="A956" s="1" t="str">
        <f t="shared" si="581"/>
        <v>202406</v>
      </c>
      <c r="B956" s="1" t="str">
        <f t="shared" si="582"/>
        <v>150525100</v>
      </c>
      <c r="C956" s="1" t="str">
        <f>"1041305739"</f>
        <v>1041305739</v>
      </c>
      <c r="D956" s="1" t="s">
        <v>1010</v>
      </c>
      <c r="E956" s="1" t="s">
        <v>1011</v>
      </c>
      <c r="F956" s="1" t="s">
        <v>16</v>
      </c>
      <c r="G956" s="1" t="s">
        <v>17</v>
      </c>
      <c r="H956" s="1" t="str">
        <f>"64"</f>
        <v>64</v>
      </c>
      <c r="I956" s="1" t="str">
        <f>"157.33"</f>
        <v>157.33</v>
      </c>
      <c r="J956" s="1" t="str">
        <f t="shared" si="641"/>
        <v>0</v>
      </c>
      <c r="K956" s="1" t="str">
        <f t="shared" si="642"/>
        <v>103</v>
      </c>
      <c r="L956" s="1" t="str">
        <f t="shared" si="643"/>
        <v>47</v>
      </c>
      <c r="M956" s="1" t="str">
        <f t="shared" si="639"/>
        <v>0</v>
      </c>
      <c r="N956" s="1" t="str">
        <f t="shared" si="640"/>
        <v>0</v>
      </c>
      <c r="O956" s="1" t="str">
        <f>"7.33"</f>
        <v>7.33</v>
      </c>
    </row>
    <row r="957" s="1" customFormat="1" spans="1:15">
      <c r="A957" s="1" t="str">
        <f t="shared" si="581"/>
        <v>202406</v>
      </c>
      <c r="B957" s="1" t="str">
        <f t="shared" si="582"/>
        <v>150525100</v>
      </c>
      <c r="C957" s="1" t="str">
        <f>"1041305067"</f>
        <v>1041305067</v>
      </c>
      <c r="D957" s="1" t="str">
        <f>"152326195612250412"</f>
        <v>152326195612250412</v>
      </c>
      <c r="E957" s="1" t="s">
        <v>536</v>
      </c>
      <c r="F957" s="1" t="s">
        <v>25</v>
      </c>
      <c r="G957" s="1" t="s">
        <v>17</v>
      </c>
      <c r="H957" s="1" t="str">
        <f>"68"</f>
        <v>68</v>
      </c>
      <c r="I957" s="1" t="str">
        <f>"155.04"</f>
        <v>155.04</v>
      </c>
      <c r="J957" s="1" t="str">
        <f t="shared" si="641"/>
        <v>0</v>
      </c>
      <c r="K957" s="1" t="str">
        <f t="shared" si="642"/>
        <v>103</v>
      </c>
      <c r="L957" s="1" t="str">
        <f t="shared" si="643"/>
        <v>47</v>
      </c>
      <c r="M957" s="1" t="str">
        <f t="shared" si="639"/>
        <v>0</v>
      </c>
      <c r="N957" s="1" t="str">
        <f t="shared" si="640"/>
        <v>0</v>
      </c>
      <c r="O957" s="1" t="str">
        <f>"5.04"</f>
        <v>5.04</v>
      </c>
    </row>
    <row r="958" s="1" customFormat="1" spans="1:15">
      <c r="A958" s="1" t="str">
        <f t="shared" si="581"/>
        <v>202406</v>
      </c>
      <c r="B958" s="1" t="str">
        <f t="shared" si="582"/>
        <v>150525100</v>
      </c>
      <c r="C958" s="1" t="str">
        <f>"1041606993"</f>
        <v>1041606993</v>
      </c>
      <c r="D958" s="1" t="str">
        <f>"152326195802060660"</f>
        <v>152326195802060660</v>
      </c>
      <c r="E958" s="1" t="s">
        <v>1012</v>
      </c>
      <c r="F958" s="1" t="s">
        <v>16</v>
      </c>
      <c r="G958" s="1" t="s">
        <v>17</v>
      </c>
      <c r="H958" s="1" t="str">
        <f t="shared" ref="H958:H963" si="644">"66"</f>
        <v>66</v>
      </c>
      <c r="I958" s="1" t="str">
        <f>"150.94"</f>
        <v>150.94</v>
      </c>
      <c r="J958" s="1" t="str">
        <f t="shared" si="641"/>
        <v>0</v>
      </c>
      <c r="K958" s="1" t="str">
        <f t="shared" si="642"/>
        <v>103</v>
      </c>
      <c r="L958" s="1" t="str">
        <f t="shared" si="643"/>
        <v>47</v>
      </c>
      <c r="M958" s="1" t="str">
        <f t="shared" si="639"/>
        <v>0</v>
      </c>
      <c r="N958" s="1" t="str">
        <f t="shared" si="640"/>
        <v>0</v>
      </c>
      <c r="O958" s="1" t="str">
        <f>"0.94"</f>
        <v>0.94</v>
      </c>
    </row>
    <row r="959" s="1" customFormat="1" spans="1:15">
      <c r="A959" s="1" t="str">
        <f t="shared" si="581"/>
        <v>202406</v>
      </c>
      <c r="B959" s="1" t="str">
        <f t="shared" si="582"/>
        <v>150525100</v>
      </c>
      <c r="C959" s="1" t="str">
        <f>"1041665272"</f>
        <v>1041665272</v>
      </c>
      <c r="D959" s="1" t="s">
        <v>1013</v>
      </c>
      <c r="E959" s="1" t="s">
        <v>1014</v>
      </c>
      <c r="F959" s="1" t="s">
        <v>25</v>
      </c>
      <c r="G959" s="1" t="s">
        <v>17</v>
      </c>
      <c r="H959" s="1" t="str">
        <f>"61"</f>
        <v>61</v>
      </c>
      <c r="I959" s="1" t="str">
        <f>"161.1"</f>
        <v>161.1</v>
      </c>
      <c r="J959" s="1" t="str">
        <f t="shared" si="641"/>
        <v>0</v>
      </c>
      <c r="K959" s="1" t="str">
        <f t="shared" si="642"/>
        <v>103</v>
      </c>
      <c r="L959" s="1" t="str">
        <f t="shared" si="643"/>
        <v>47</v>
      </c>
      <c r="M959" s="1" t="str">
        <f t="shared" si="639"/>
        <v>0</v>
      </c>
      <c r="N959" s="1" t="str">
        <f t="shared" si="640"/>
        <v>0</v>
      </c>
      <c r="O959" s="1" t="str">
        <f>"11.1"</f>
        <v>11.1</v>
      </c>
    </row>
    <row r="960" s="1" customFormat="1" spans="1:15">
      <c r="A960" s="1" t="str">
        <f t="shared" si="581"/>
        <v>202406</v>
      </c>
      <c r="B960" s="1" t="str">
        <f t="shared" si="582"/>
        <v>150525100</v>
      </c>
      <c r="C960" s="1" t="str">
        <f>"1041864354"</f>
        <v>1041864354</v>
      </c>
      <c r="D960" s="1" t="str">
        <f>"152326196109093098"</f>
        <v>152326196109093098</v>
      </c>
      <c r="E960" s="1" t="s">
        <v>1015</v>
      </c>
      <c r="F960" s="1" t="s">
        <v>25</v>
      </c>
      <c r="G960" s="1" t="s">
        <v>17</v>
      </c>
      <c r="H960" s="1" t="str">
        <f>"63"</f>
        <v>63</v>
      </c>
      <c r="I960" s="1" t="str">
        <f>"157.85"</f>
        <v>157.85</v>
      </c>
      <c r="J960" s="1" t="str">
        <f t="shared" si="641"/>
        <v>0</v>
      </c>
      <c r="K960" s="1" t="str">
        <f t="shared" si="642"/>
        <v>103</v>
      </c>
      <c r="L960" s="1" t="str">
        <f t="shared" si="643"/>
        <v>47</v>
      </c>
      <c r="M960" s="1" t="str">
        <f t="shared" si="639"/>
        <v>0</v>
      </c>
      <c r="N960" s="1" t="str">
        <f t="shared" si="640"/>
        <v>0</v>
      </c>
      <c r="O960" s="1" t="str">
        <f>"7.85"</f>
        <v>7.85</v>
      </c>
    </row>
    <row r="961" s="1" customFormat="1" spans="1:15">
      <c r="A961" s="1" t="str">
        <f t="shared" si="581"/>
        <v>202406</v>
      </c>
      <c r="B961" s="1" t="str">
        <f t="shared" si="582"/>
        <v>150525100</v>
      </c>
      <c r="C961" s="1" t="str">
        <f>"1042049340"</f>
        <v>1042049340</v>
      </c>
      <c r="D961" s="1" t="str">
        <f>"152326195907183843"</f>
        <v>152326195907183843</v>
      </c>
      <c r="E961" s="1" t="s">
        <v>1016</v>
      </c>
      <c r="F961" s="1" t="s">
        <v>16</v>
      </c>
      <c r="G961" s="1" t="s">
        <v>19</v>
      </c>
      <c r="H961" s="1" t="str">
        <f>"65"</f>
        <v>65</v>
      </c>
      <c r="I961" s="1" t="str">
        <f>"156.03"</f>
        <v>156.03</v>
      </c>
      <c r="J961" s="1" t="str">
        <f t="shared" si="641"/>
        <v>0</v>
      </c>
      <c r="K961" s="1" t="str">
        <f t="shared" si="642"/>
        <v>103</v>
      </c>
      <c r="L961" s="1" t="str">
        <f t="shared" si="643"/>
        <v>47</v>
      </c>
      <c r="M961" s="1" t="str">
        <f t="shared" si="639"/>
        <v>0</v>
      </c>
      <c r="N961" s="1" t="str">
        <f t="shared" si="640"/>
        <v>0</v>
      </c>
      <c r="O961" s="1" t="str">
        <f>"6.03"</f>
        <v>6.03</v>
      </c>
    </row>
    <row r="962" s="1" customFormat="1" spans="1:15">
      <c r="A962" s="1" t="str">
        <f t="shared" ref="A962:A1025" si="645">"202406"</f>
        <v>202406</v>
      </c>
      <c r="B962" s="1" t="str">
        <f t="shared" ref="B962:B1025" si="646">"150525100"</f>
        <v>150525100</v>
      </c>
      <c r="C962" s="1" t="str">
        <f>"1041781493"</f>
        <v>1041781493</v>
      </c>
      <c r="D962" s="1" t="str">
        <f>"152326195810260662"</f>
        <v>152326195810260662</v>
      </c>
      <c r="E962" s="1" t="s">
        <v>1017</v>
      </c>
      <c r="F962" s="1" t="s">
        <v>16</v>
      </c>
      <c r="G962" s="1" t="s">
        <v>17</v>
      </c>
      <c r="H962" s="1" t="str">
        <f t="shared" si="644"/>
        <v>66</v>
      </c>
      <c r="I962" s="1" t="str">
        <f>"155.04"</f>
        <v>155.04</v>
      </c>
      <c r="J962" s="1" t="str">
        <f t="shared" si="641"/>
        <v>0</v>
      </c>
      <c r="K962" s="1" t="str">
        <f t="shared" si="642"/>
        <v>103</v>
      </c>
      <c r="L962" s="1" t="str">
        <f t="shared" si="643"/>
        <v>47</v>
      </c>
      <c r="M962" s="1" t="str">
        <f t="shared" si="639"/>
        <v>0</v>
      </c>
      <c r="N962" s="1" t="str">
        <f t="shared" si="640"/>
        <v>0</v>
      </c>
      <c r="O962" s="1" t="str">
        <f>"5.04"</f>
        <v>5.04</v>
      </c>
    </row>
    <row r="963" s="1" customFormat="1" spans="1:15">
      <c r="A963" s="1" t="str">
        <f t="shared" si="645"/>
        <v>202406</v>
      </c>
      <c r="B963" s="1" t="str">
        <f t="shared" si="646"/>
        <v>150525100</v>
      </c>
      <c r="C963" s="1" t="str">
        <f>"1041780039"</f>
        <v>1041780039</v>
      </c>
      <c r="D963" s="1" t="str">
        <f>"152326195808250916"</f>
        <v>152326195808250916</v>
      </c>
      <c r="E963" s="1" t="s">
        <v>1018</v>
      </c>
      <c r="F963" s="1" t="s">
        <v>25</v>
      </c>
      <c r="G963" s="1" t="s">
        <v>19</v>
      </c>
      <c r="H963" s="1" t="str">
        <f t="shared" si="644"/>
        <v>66</v>
      </c>
      <c r="I963" s="1" t="str">
        <f>"155.76"</f>
        <v>155.76</v>
      </c>
      <c r="J963" s="1" t="str">
        <f t="shared" si="641"/>
        <v>0</v>
      </c>
      <c r="K963" s="1" t="str">
        <f t="shared" si="642"/>
        <v>103</v>
      </c>
      <c r="L963" s="1" t="str">
        <f t="shared" si="643"/>
        <v>47</v>
      </c>
      <c r="M963" s="1" t="str">
        <f t="shared" si="639"/>
        <v>0</v>
      </c>
      <c r="N963" s="1" t="str">
        <f t="shared" si="640"/>
        <v>0</v>
      </c>
      <c r="O963" s="1" t="str">
        <f>"5.76"</f>
        <v>5.76</v>
      </c>
    </row>
    <row r="964" s="1" customFormat="1" spans="1:15">
      <c r="A964" s="1" t="str">
        <f t="shared" si="645"/>
        <v>202406</v>
      </c>
      <c r="B964" s="1" t="str">
        <f t="shared" si="646"/>
        <v>150525100</v>
      </c>
      <c r="C964" s="1" t="str">
        <f>"1042712020"</f>
        <v>1042712020</v>
      </c>
      <c r="D964" s="1" t="str">
        <f>"152326196008260926"</f>
        <v>152326196008260926</v>
      </c>
      <c r="E964" s="1" t="s">
        <v>1019</v>
      </c>
      <c r="F964" s="1" t="s">
        <v>16</v>
      </c>
      <c r="G964" s="1" t="s">
        <v>17</v>
      </c>
      <c r="H964" s="1" t="str">
        <f>"64"</f>
        <v>64</v>
      </c>
      <c r="I964" s="1" t="str">
        <f>"162.5"</f>
        <v>162.5</v>
      </c>
      <c r="J964" s="1" t="str">
        <f t="shared" si="641"/>
        <v>0</v>
      </c>
      <c r="K964" s="1" t="str">
        <f t="shared" si="642"/>
        <v>103</v>
      </c>
      <c r="L964" s="1" t="str">
        <f t="shared" si="643"/>
        <v>47</v>
      </c>
      <c r="M964" s="1" t="str">
        <f t="shared" si="639"/>
        <v>0</v>
      </c>
      <c r="N964" s="1" t="str">
        <f t="shared" si="640"/>
        <v>0</v>
      </c>
      <c r="O964" s="1" t="str">
        <f>"12.5"</f>
        <v>12.5</v>
      </c>
    </row>
    <row r="965" s="1" customFormat="1" spans="1:15">
      <c r="A965" s="1" t="str">
        <f t="shared" si="645"/>
        <v>202406</v>
      </c>
      <c r="B965" s="1" t="str">
        <f t="shared" si="646"/>
        <v>150525100</v>
      </c>
      <c r="C965" s="1" t="str">
        <f>"1041655159"</f>
        <v>1041655159</v>
      </c>
      <c r="D965" s="1" t="str">
        <f>"152326195605250668"</f>
        <v>152326195605250668</v>
      </c>
      <c r="E965" s="1" t="s">
        <v>1020</v>
      </c>
      <c r="F965" s="1" t="s">
        <v>16</v>
      </c>
      <c r="G965" s="1" t="s">
        <v>19</v>
      </c>
      <c r="H965" s="1" t="str">
        <f>"68"</f>
        <v>68</v>
      </c>
      <c r="I965" s="1" t="str">
        <f>"154.32"</f>
        <v>154.32</v>
      </c>
      <c r="J965" s="1" t="str">
        <f t="shared" si="641"/>
        <v>0</v>
      </c>
      <c r="K965" s="1" t="str">
        <f t="shared" si="642"/>
        <v>103</v>
      </c>
      <c r="L965" s="1" t="str">
        <f t="shared" si="643"/>
        <v>47</v>
      </c>
      <c r="M965" s="1" t="str">
        <f t="shared" si="639"/>
        <v>0</v>
      </c>
      <c r="N965" s="1" t="str">
        <f t="shared" si="640"/>
        <v>0</v>
      </c>
      <c r="O965" s="1" t="str">
        <f>"4.32"</f>
        <v>4.32</v>
      </c>
    </row>
    <row r="966" s="1" customFormat="1" spans="1:15">
      <c r="A966" s="1" t="str">
        <f t="shared" si="645"/>
        <v>202406</v>
      </c>
      <c r="B966" s="1" t="str">
        <f t="shared" si="646"/>
        <v>150525100</v>
      </c>
      <c r="C966" s="1" t="str">
        <f>"1041572759"</f>
        <v>1041572759</v>
      </c>
      <c r="D966" s="1" t="str">
        <f>"152326195711043822"</f>
        <v>152326195711043822</v>
      </c>
      <c r="E966" s="1" t="s">
        <v>1021</v>
      </c>
      <c r="F966" s="1" t="s">
        <v>16</v>
      </c>
      <c r="G966" s="1" t="s">
        <v>19</v>
      </c>
      <c r="H966" s="1" t="str">
        <f>"67"</f>
        <v>67</v>
      </c>
      <c r="I966" s="1" t="str">
        <f>"155.98"</f>
        <v>155.98</v>
      </c>
      <c r="J966" s="1" t="str">
        <f t="shared" si="641"/>
        <v>0</v>
      </c>
      <c r="K966" s="1" t="str">
        <f t="shared" si="642"/>
        <v>103</v>
      </c>
      <c r="L966" s="1" t="str">
        <f t="shared" si="643"/>
        <v>47</v>
      </c>
      <c r="M966" s="1" t="str">
        <f t="shared" si="639"/>
        <v>0</v>
      </c>
      <c r="N966" s="1" t="str">
        <f t="shared" si="640"/>
        <v>0</v>
      </c>
      <c r="O966" s="1" t="str">
        <f>"5.98"</f>
        <v>5.98</v>
      </c>
    </row>
    <row r="967" s="1" customFormat="1" spans="1:15">
      <c r="A967" s="1" t="str">
        <f t="shared" si="645"/>
        <v>202406</v>
      </c>
      <c r="B967" s="1" t="str">
        <f t="shared" si="646"/>
        <v>150525100</v>
      </c>
      <c r="C967" s="1" t="str">
        <f>"1042021358"</f>
        <v>1042021358</v>
      </c>
      <c r="D967" s="1" t="str">
        <f>"152326195907160676"</f>
        <v>152326195907160676</v>
      </c>
      <c r="E967" s="1" t="s">
        <v>1022</v>
      </c>
      <c r="F967" s="1" t="s">
        <v>25</v>
      </c>
      <c r="G967" s="1" t="s">
        <v>17</v>
      </c>
      <c r="H967" s="1" t="str">
        <f>"65"</f>
        <v>65</v>
      </c>
      <c r="I967" s="1" t="str">
        <f>"156.03"</f>
        <v>156.03</v>
      </c>
      <c r="J967" s="1" t="str">
        <f t="shared" si="641"/>
        <v>0</v>
      </c>
      <c r="K967" s="1" t="str">
        <f t="shared" si="642"/>
        <v>103</v>
      </c>
      <c r="L967" s="1" t="str">
        <f t="shared" si="643"/>
        <v>47</v>
      </c>
      <c r="M967" s="1" t="str">
        <f t="shared" si="639"/>
        <v>0</v>
      </c>
      <c r="N967" s="1" t="str">
        <f t="shared" si="640"/>
        <v>0</v>
      </c>
      <c r="O967" s="1" t="str">
        <f>"6.03"</f>
        <v>6.03</v>
      </c>
    </row>
    <row r="968" s="1" customFormat="1" spans="1:15">
      <c r="A968" s="1" t="str">
        <f t="shared" si="645"/>
        <v>202406</v>
      </c>
      <c r="B968" s="1" t="str">
        <f t="shared" si="646"/>
        <v>150525100</v>
      </c>
      <c r="C968" s="1" t="str">
        <f>"1042191422"</f>
        <v>1042191422</v>
      </c>
      <c r="D968" s="1" t="str">
        <f>"152326196001200015"</f>
        <v>152326196001200015</v>
      </c>
      <c r="E968" s="1" t="s">
        <v>1023</v>
      </c>
      <c r="F968" s="1" t="s">
        <v>25</v>
      </c>
      <c r="G968" s="1" t="s">
        <v>19</v>
      </c>
      <c r="H968" s="1" t="str">
        <f>"64"</f>
        <v>64</v>
      </c>
      <c r="I968" s="1" t="str">
        <f>"150"</f>
        <v>150</v>
      </c>
      <c r="J968" s="1" t="str">
        <f t="shared" si="641"/>
        <v>0</v>
      </c>
      <c r="K968" s="1" t="str">
        <f t="shared" si="642"/>
        <v>103</v>
      </c>
      <c r="L968" s="1" t="str">
        <f t="shared" si="643"/>
        <v>47</v>
      </c>
      <c r="M968" s="1" t="str">
        <f t="shared" si="639"/>
        <v>0</v>
      </c>
      <c r="N968" s="1" t="str">
        <f t="shared" si="640"/>
        <v>0</v>
      </c>
      <c r="O968" s="1" t="str">
        <f>"0"</f>
        <v>0</v>
      </c>
    </row>
    <row r="969" s="1" customFormat="1" spans="1:15">
      <c r="A969" s="1" t="str">
        <f t="shared" si="645"/>
        <v>202406</v>
      </c>
      <c r="B969" s="1" t="str">
        <f t="shared" si="646"/>
        <v>150525100</v>
      </c>
      <c r="C969" s="1" t="str">
        <f>"1041645100"</f>
        <v>1041645100</v>
      </c>
      <c r="D969" s="1" t="str">
        <f>"152326195801033089"</f>
        <v>152326195801033089</v>
      </c>
      <c r="E969" s="1" t="s">
        <v>1024</v>
      </c>
      <c r="F969" s="1" t="s">
        <v>16</v>
      </c>
      <c r="G969" s="1" t="s">
        <v>17</v>
      </c>
      <c r="H969" s="1" t="str">
        <f>"67"</f>
        <v>67</v>
      </c>
      <c r="I969" s="1" t="str">
        <f>"155.98"</f>
        <v>155.98</v>
      </c>
      <c r="J969" s="1" t="str">
        <f t="shared" si="641"/>
        <v>0</v>
      </c>
      <c r="K969" s="1" t="str">
        <f t="shared" si="642"/>
        <v>103</v>
      </c>
      <c r="L969" s="1" t="str">
        <f t="shared" si="643"/>
        <v>47</v>
      </c>
      <c r="M969" s="1" t="str">
        <f t="shared" si="639"/>
        <v>0</v>
      </c>
      <c r="N969" s="1" t="str">
        <f t="shared" si="640"/>
        <v>0</v>
      </c>
      <c r="O969" s="1" t="str">
        <f>"5.98"</f>
        <v>5.98</v>
      </c>
    </row>
    <row r="970" s="1" customFormat="1" spans="1:15">
      <c r="A970" s="1" t="str">
        <f t="shared" si="645"/>
        <v>202406</v>
      </c>
      <c r="B970" s="1" t="str">
        <f t="shared" si="646"/>
        <v>150525100</v>
      </c>
      <c r="C970" s="1" t="str">
        <f>"1041656433"</f>
        <v>1041656433</v>
      </c>
      <c r="D970" s="1" t="str">
        <f>"152326195907200690"</f>
        <v>152326195907200690</v>
      </c>
      <c r="E970" s="1" t="s">
        <v>1025</v>
      </c>
      <c r="F970" s="1" t="s">
        <v>25</v>
      </c>
      <c r="G970" s="1" t="s">
        <v>17</v>
      </c>
      <c r="H970" s="1" t="str">
        <f>"65"</f>
        <v>65</v>
      </c>
      <c r="I970" s="1" t="str">
        <f>"156.97"</f>
        <v>156.97</v>
      </c>
      <c r="J970" s="1" t="str">
        <f t="shared" si="641"/>
        <v>0</v>
      </c>
      <c r="K970" s="1" t="str">
        <f t="shared" si="642"/>
        <v>103</v>
      </c>
      <c r="L970" s="1" t="str">
        <f t="shared" si="643"/>
        <v>47</v>
      </c>
      <c r="M970" s="1" t="str">
        <f t="shared" si="639"/>
        <v>0</v>
      </c>
      <c r="N970" s="1" t="str">
        <f t="shared" si="640"/>
        <v>0</v>
      </c>
      <c r="O970" s="1" t="str">
        <f>"6.97"</f>
        <v>6.97</v>
      </c>
    </row>
    <row r="971" s="1" customFormat="1" spans="1:15">
      <c r="A971" s="1" t="str">
        <f t="shared" si="645"/>
        <v>202406</v>
      </c>
      <c r="B971" s="1" t="str">
        <f t="shared" si="646"/>
        <v>150525100</v>
      </c>
      <c r="C971" s="1" t="str">
        <f>"1041656493"</f>
        <v>1041656493</v>
      </c>
      <c r="D971" s="1" t="str">
        <f>"152326196212233319"</f>
        <v>152326196212233319</v>
      </c>
      <c r="E971" s="1" t="s">
        <v>1026</v>
      </c>
      <c r="F971" s="1" t="s">
        <v>25</v>
      </c>
      <c r="G971" s="1" t="s">
        <v>17</v>
      </c>
      <c r="H971" s="1" t="str">
        <f>"62"</f>
        <v>62</v>
      </c>
      <c r="I971" s="1" t="str">
        <f>"160.4"</f>
        <v>160.4</v>
      </c>
      <c r="J971" s="1" t="str">
        <f t="shared" si="641"/>
        <v>0</v>
      </c>
      <c r="K971" s="1" t="str">
        <f t="shared" si="642"/>
        <v>103</v>
      </c>
      <c r="L971" s="1" t="str">
        <f t="shared" si="643"/>
        <v>47</v>
      </c>
      <c r="M971" s="1" t="str">
        <f t="shared" si="639"/>
        <v>0</v>
      </c>
      <c r="N971" s="1" t="str">
        <f t="shared" si="640"/>
        <v>0</v>
      </c>
      <c r="O971" s="1" t="str">
        <f>"10.4"</f>
        <v>10.4</v>
      </c>
    </row>
    <row r="972" s="1" customFormat="1" spans="1:15">
      <c r="A972" s="1" t="str">
        <f t="shared" si="645"/>
        <v>202406</v>
      </c>
      <c r="B972" s="1" t="str">
        <f t="shared" si="646"/>
        <v>150525100</v>
      </c>
      <c r="C972" s="1" t="str">
        <f>"1041656519"</f>
        <v>1041656519</v>
      </c>
      <c r="D972" s="1" t="s">
        <v>1027</v>
      </c>
      <c r="E972" s="1" t="s">
        <v>1028</v>
      </c>
      <c r="F972" s="1" t="s">
        <v>16</v>
      </c>
      <c r="G972" s="1" t="s">
        <v>17</v>
      </c>
      <c r="H972" s="1" t="str">
        <f>"63"</f>
        <v>63</v>
      </c>
      <c r="I972" s="1" t="str">
        <f>"158.55"</f>
        <v>158.55</v>
      </c>
      <c r="J972" s="1" t="str">
        <f t="shared" si="641"/>
        <v>0</v>
      </c>
      <c r="K972" s="1" t="str">
        <f t="shared" si="642"/>
        <v>103</v>
      </c>
      <c r="L972" s="1" t="str">
        <f t="shared" si="643"/>
        <v>47</v>
      </c>
      <c r="M972" s="1" t="str">
        <f t="shared" si="639"/>
        <v>0</v>
      </c>
      <c r="N972" s="1" t="str">
        <f t="shared" si="640"/>
        <v>0</v>
      </c>
      <c r="O972" s="1" t="str">
        <f>"8.55"</f>
        <v>8.55</v>
      </c>
    </row>
    <row r="973" s="1" customFormat="1" spans="1:15">
      <c r="A973" s="1" t="str">
        <f t="shared" si="645"/>
        <v>202406</v>
      </c>
      <c r="B973" s="1" t="str">
        <f t="shared" si="646"/>
        <v>150525100</v>
      </c>
      <c r="C973" s="1" t="str">
        <f>"1041656523"</f>
        <v>1041656523</v>
      </c>
      <c r="D973" s="1" t="str">
        <f>"152326196011050698"</f>
        <v>152326196011050698</v>
      </c>
      <c r="E973" s="1" t="s">
        <v>1029</v>
      </c>
      <c r="F973" s="1" t="s">
        <v>25</v>
      </c>
      <c r="G973" s="1" t="s">
        <v>17</v>
      </c>
      <c r="H973" s="1" t="str">
        <f>"64"</f>
        <v>64</v>
      </c>
      <c r="I973" s="1" t="str">
        <f>"156.8"</f>
        <v>156.8</v>
      </c>
      <c r="J973" s="1" t="str">
        <f t="shared" si="641"/>
        <v>0</v>
      </c>
      <c r="K973" s="1" t="str">
        <f t="shared" si="642"/>
        <v>103</v>
      </c>
      <c r="L973" s="1" t="str">
        <f t="shared" si="643"/>
        <v>47</v>
      </c>
      <c r="M973" s="1" t="str">
        <f t="shared" si="639"/>
        <v>0</v>
      </c>
      <c r="N973" s="1" t="str">
        <f t="shared" si="640"/>
        <v>0</v>
      </c>
      <c r="O973" s="1" t="str">
        <f>"6.8"</f>
        <v>6.8</v>
      </c>
    </row>
    <row r="974" s="1" customFormat="1" spans="1:15">
      <c r="A974" s="1" t="str">
        <f t="shared" si="645"/>
        <v>202406</v>
      </c>
      <c r="B974" s="1" t="str">
        <f t="shared" si="646"/>
        <v>150525100</v>
      </c>
      <c r="C974" s="1" t="str">
        <f>"1041920216"</f>
        <v>1041920216</v>
      </c>
      <c r="D974" s="1" t="str">
        <f>"152326195912240670"</f>
        <v>152326195912240670</v>
      </c>
      <c r="E974" s="1" t="s">
        <v>1030</v>
      </c>
      <c r="F974" s="1" t="s">
        <v>25</v>
      </c>
      <c r="G974" s="1" t="s">
        <v>19</v>
      </c>
      <c r="H974" s="1" t="str">
        <f>"65"</f>
        <v>65</v>
      </c>
      <c r="I974" s="1" t="str">
        <f>"1560.7"</f>
        <v>1560.7</v>
      </c>
      <c r="J974" s="1" t="str">
        <f>"1404.63"</f>
        <v>1404.63</v>
      </c>
      <c r="K974" s="1" t="str">
        <f>"1030"</f>
        <v>1030</v>
      </c>
      <c r="L974" s="1" t="str">
        <f>"470"</f>
        <v>470</v>
      </c>
      <c r="M974" s="1" t="str">
        <f t="shared" si="639"/>
        <v>0</v>
      </c>
      <c r="N974" s="1" t="str">
        <f t="shared" si="640"/>
        <v>0</v>
      </c>
      <c r="O974" s="1" t="str">
        <f>"60.7"</f>
        <v>60.7</v>
      </c>
    </row>
    <row r="975" s="1" customFormat="1" spans="1:15">
      <c r="A975" s="1" t="str">
        <f t="shared" si="645"/>
        <v>202406</v>
      </c>
      <c r="B975" s="1" t="str">
        <f t="shared" si="646"/>
        <v>150525100</v>
      </c>
      <c r="C975" s="1" t="str">
        <f>"1041659576"</f>
        <v>1041659576</v>
      </c>
      <c r="D975" s="1" t="str">
        <f>"152326196211143813"</f>
        <v>152326196211143813</v>
      </c>
      <c r="E975" s="1" t="s">
        <v>1031</v>
      </c>
      <c r="F975" s="1" t="s">
        <v>25</v>
      </c>
      <c r="G975" s="1" t="s">
        <v>17</v>
      </c>
      <c r="H975" s="1" t="str">
        <f>"62"</f>
        <v>62</v>
      </c>
      <c r="I975" s="1" t="str">
        <f>"165.47"</f>
        <v>165.47</v>
      </c>
      <c r="J975" s="1" t="str">
        <f t="shared" ref="J975:J1011" si="647">"0"</f>
        <v>0</v>
      </c>
      <c r="K975" s="1" t="str">
        <f t="shared" ref="K975:K1011" si="648">"103"</f>
        <v>103</v>
      </c>
      <c r="L975" s="1" t="str">
        <f t="shared" ref="L975:L1011" si="649">"47"</f>
        <v>47</v>
      </c>
      <c r="M975" s="1" t="str">
        <f t="shared" si="639"/>
        <v>0</v>
      </c>
      <c r="N975" s="1" t="str">
        <f t="shared" si="640"/>
        <v>0</v>
      </c>
      <c r="O975" s="1" t="str">
        <f>"15.47"</f>
        <v>15.47</v>
      </c>
    </row>
    <row r="976" s="1" customFormat="1" spans="1:15">
      <c r="A976" s="1" t="str">
        <f t="shared" si="645"/>
        <v>202406</v>
      </c>
      <c r="B976" s="1" t="str">
        <f t="shared" si="646"/>
        <v>150525100</v>
      </c>
      <c r="C976" s="1" t="str">
        <f>"1042464976"</f>
        <v>1042464976</v>
      </c>
      <c r="D976" s="1" t="str">
        <f>"152326196105123819"</f>
        <v>152326196105123819</v>
      </c>
      <c r="E976" s="1" t="s">
        <v>1032</v>
      </c>
      <c r="F976" s="1" t="s">
        <v>25</v>
      </c>
      <c r="G976" s="1" t="s">
        <v>17</v>
      </c>
      <c r="H976" s="1" t="str">
        <f>"63"</f>
        <v>63</v>
      </c>
      <c r="I976" s="1" t="str">
        <f>"166.95"</f>
        <v>166.95</v>
      </c>
      <c r="J976" s="1" t="str">
        <f t="shared" si="647"/>
        <v>0</v>
      </c>
      <c r="K976" s="1" t="str">
        <f t="shared" si="648"/>
        <v>103</v>
      </c>
      <c r="L976" s="1" t="str">
        <f t="shared" si="649"/>
        <v>47</v>
      </c>
      <c r="M976" s="1" t="str">
        <f t="shared" si="639"/>
        <v>0</v>
      </c>
      <c r="N976" s="1" t="str">
        <f t="shared" si="640"/>
        <v>0</v>
      </c>
      <c r="O976" s="1" t="str">
        <f>"16.95"</f>
        <v>16.95</v>
      </c>
    </row>
    <row r="977" s="1" customFormat="1" spans="1:15">
      <c r="A977" s="1" t="str">
        <f t="shared" si="645"/>
        <v>202406</v>
      </c>
      <c r="B977" s="1" t="str">
        <f t="shared" si="646"/>
        <v>150525100</v>
      </c>
      <c r="C977" s="1" t="str">
        <f>"1042448689"</f>
        <v>1042448689</v>
      </c>
      <c r="D977" s="1" t="str">
        <f>"152326196002223075"</f>
        <v>152326196002223075</v>
      </c>
      <c r="E977" s="1" t="s">
        <v>1033</v>
      </c>
      <c r="F977" s="1" t="s">
        <v>25</v>
      </c>
      <c r="G977" s="1" t="s">
        <v>17</v>
      </c>
      <c r="H977" s="1" t="str">
        <f t="shared" ref="H977:H982" si="650">"64"</f>
        <v>64</v>
      </c>
      <c r="I977" s="1" t="str">
        <f>"162.95"</f>
        <v>162.95</v>
      </c>
      <c r="J977" s="1" t="str">
        <f t="shared" si="647"/>
        <v>0</v>
      </c>
      <c r="K977" s="1" t="str">
        <f t="shared" si="648"/>
        <v>103</v>
      </c>
      <c r="L977" s="1" t="str">
        <f t="shared" si="649"/>
        <v>47</v>
      </c>
      <c r="M977" s="1" t="str">
        <f t="shared" si="639"/>
        <v>0</v>
      </c>
      <c r="N977" s="1" t="str">
        <f t="shared" si="640"/>
        <v>0</v>
      </c>
      <c r="O977" s="1" t="str">
        <f>"12.95"</f>
        <v>12.95</v>
      </c>
    </row>
    <row r="978" s="1" customFormat="1" spans="1:15">
      <c r="A978" s="1" t="str">
        <f t="shared" si="645"/>
        <v>202406</v>
      </c>
      <c r="B978" s="1" t="str">
        <f t="shared" si="646"/>
        <v>150525100</v>
      </c>
      <c r="C978" s="1" t="str">
        <f>"1042488639"</f>
        <v>1042488639</v>
      </c>
      <c r="D978" s="1" t="str">
        <f>"152326195908203084"</f>
        <v>152326195908203084</v>
      </c>
      <c r="E978" s="1" t="s">
        <v>1034</v>
      </c>
      <c r="F978" s="1" t="s">
        <v>16</v>
      </c>
      <c r="G978" s="1" t="s">
        <v>17</v>
      </c>
      <c r="H978" s="1" t="str">
        <f>"65"</f>
        <v>65</v>
      </c>
      <c r="I978" s="1" t="str">
        <f>"156.05"</f>
        <v>156.05</v>
      </c>
      <c r="J978" s="1" t="str">
        <f t="shared" si="647"/>
        <v>0</v>
      </c>
      <c r="K978" s="1" t="str">
        <f t="shared" si="648"/>
        <v>103</v>
      </c>
      <c r="L978" s="1" t="str">
        <f t="shared" si="649"/>
        <v>47</v>
      </c>
      <c r="M978" s="1" t="str">
        <f t="shared" si="639"/>
        <v>0</v>
      </c>
      <c r="N978" s="1" t="str">
        <f t="shared" si="640"/>
        <v>0</v>
      </c>
      <c r="O978" s="1" t="str">
        <f>"6.05"</f>
        <v>6.05</v>
      </c>
    </row>
    <row r="979" s="1" customFormat="1" spans="1:15">
      <c r="A979" s="1" t="str">
        <f t="shared" si="645"/>
        <v>202406</v>
      </c>
      <c r="B979" s="1" t="str">
        <f t="shared" si="646"/>
        <v>150525100</v>
      </c>
      <c r="C979" s="1" t="str">
        <f>"1042281188"</f>
        <v>1042281188</v>
      </c>
      <c r="D979" s="1" t="str">
        <f>"152326196404060715"</f>
        <v>152326196404060715</v>
      </c>
      <c r="E979" s="1" t="s">
        <v>1035</v>
      </c>
      <c r="F979" s="1" t="s">
        <v>25</v>
      </c>
      <c r="G979" s="1" t="s">
        <v>19</v>
      </c>
      <c r="H979" s="1" t="str">
        <f>"60"</f>
        <v>60</v>
      </c>
      <c r="I979" s="1" t="str">
        <f>"174.31"</f>
        <v>174.31</v>
      </c>
      <c r="J979" s="1" t="str">
        <f t="shared" si="647"/>
        <v>0</v>
      </c>
      <c r="K979" s="1" t="str">
        <f t="shared" si="648"/>
        <v>103</v>
      </c>
      <c r="L979" s="1" t="str">
        <f t="shared" si="649"/>
        <v>47</v>
      </c>
      <c r="M979" s="1" t="str">
        <f t="shared" si="639"/>
        <v>0</v>
      </c>
      <c r="N979" s="1" t="str">
        <f t="shared" si="640"/>
        <v>0</v>
      </c>
      <c r="O979" s="1" t="str">
        <f>"24.31"</f>
        <v>24.31</v>
      </c>
    </row>
    <row r="980" s="1" customFormat="1" spans="1:15">
      <c r="A980" s="1" t="str">
        <f t="shared" si="645"/>
        <v>202406</v>
      </c>
      <c r="B980" s="1" t="str">
        <f t="shared" si="646"/>
        <v>150525100</v>
      </c>
      <c r="C980" s="1" t="str">
        <f>"1042269454"</f>
        <v>1042269454</v>
      </c>
      <c r="D980" s="1" t="s">
        <v>1036</v>
      </c>
      <c r="E980" s="1" t="s">
        <v>515</v>
      </c>
      <c r="F980" s="1" t="s">
        <v>25</v>
      </c>
      <c r="G980" s="1" t="s">
        <v>17</v>
      </c>
      <c r="H980" s="1" t="str">
        <f t="shared" si="650"/>
        <v>64</v>
      </c>
      <c r="I980" s="1" t="str">
        <f>"157.08"</f>
        <v>157.08</v>
      </c>
      <c r="J980" s="1" t="str">
        <f t="shared" si="647"/>
        <v>0</v>
      </c>
      <c r="K980" s="1" t="str">
        <f t="shared" si="648"/>
        <v>103</v>
      </c>
      <c r="L980" s="1" t="str">
        <f t="shared" si="649"/>
        <v>47</v>
      </c>
      <c r="M980" s="1" t="str">
        <f t="shared" si="639"/>
        <v>0</v>
      </c>
      <c r="N980" s="1" t="str">
        <f t="shared" si="640"/>
        <v>0</v>
      </c>
      <c r="O980" s="1" t="str">
        <f>"7.08"</f>
        <v>7.08</v>
      </c>
    </row>
    <row r="981" s="1" customFormat="1" spans="1:15">
      <c r="A981" s="1" t="str">
        <f t="shared" si="645"/>
        <v>202406</v>
      </c>
      <c r="B981" s="1" t="str">
        <f t="shared" si="646"/>
        <v>150525100</v>
      </c>
      <c r="C981" s="1" t="str">
        <f>"1042302993"</f>
        <v>1042302993</v>
      </c>
      <c r="D981" s="1" t="str">
        <f>"152326196009233823"</f>
        <v>152326196009233823</v>
      </c>
      <c r="E981" s="1" t="s">
        <v>1037</v>
      </c>
      <c r="F981" s="1" t="s">
        <v>16</v>
      </c>
      <c r="G981" s="1" t="s">
        <v>17</v>
      </c>
      <c r="H981" s="1" t="str">
        <f t="shared" si="650"/>
        <v>64</v>
      </c>
      <c r="I981" s="1" t="str">
        <f>"156.79"</f>
        <v>156.79</v>
      </c>
      <c r="J981" s="1" t="str">
        <f t="shared" si="647"/>
        <v>0</v>
      </c>
      <c r="K981" s="1" t="str">
        <f t="shared" si="648"/>
        <v>103</v>
      </c>
      <c r="L981" s="1" t="str">
        <f t="shared" si="649"/>
        <v>47</v>
      </c>
      <c r="M981" s="1" t="str">
        <f t="shared" si="639"/>
        <v>0</v>
      </c>
      <c r="N981" s="1" t="str">
        <f t="shared" si="640"/>
        <v>0</v>
      </c>
      <c r="O981" s="1" t="str">
        <f>"6.79"</f>
        <v>6.79</v>
      </c>
    </row>
    <row r="982" s="1" customFormat="1" spans="1:15">
      <c r="A982" s="1" t="str">
        <f t="shared" si="645"/>
        <v>202406</v>
      </c>
      <c r="B982" s="1" t="str">
        <f t="shared" si="646"/>
        <v>150525100</v>
      </c>
      <c r="C982" s="1" t="str">
        <f>"1042525910"</f>
        <v>1042525910</v>
      </c>
      <c r="D982" s="1" t="str">
        <f>"152326196002080414"</f>
        <v>152326196002080414</v>
      </c>
      <c r="E982" s="1" t="s">
        <v>1038</v>
      </c>
      <c r="F982" s="1" t="s">
        <v>25</v>
      </c>
      <c r="G982" s="1" t="s">
        <v>17</v>
      </c>
      <c r="H982" s="1" t="str">
        <f t="shared" si="650"/>
        <v>64</v>
      </c>
      <c r="I982" s="1" t="str">
        <f>"164.41"</f>
        <v>164.41</v>
      </c>
      <c r="J982" s="1" t="str">
        <f t="shared" si="647"/>
        <v>0</v>
      </c>
      <c r="K982" s="1" t="str">
        <f t="shared" si="648"/>
        <v>103</v>
      </c>
      <c r="L982" s="1" t="str">
        <f t="shared" si="649"/>
        <v>47</v>
      </c>
      <c r="M982" s="1" t="str">
        <f t="shared" si="639"/>
        <v>0</v>
      </c>
      <c r="N982" s="1" t="str">
        <f t="shared" si="640"/>
        <v>0</v>
      </c>
      <c r="O982" s="1" t="str">
        <f>"14.41"</f>
        <v>14.41</v>
      </c>
    </row>
    <row r="983" s="1" customFormat="1" spans="1:15">
      <c r="A983" s="1" t="str">
        <f t="shared" si="645"/>
        <v>202406</v>
      </c>
      <c r="B983" s="1" t="str">
        <f t="shared" si="646"/>
        <v>150525100</v>
      </c>
      <c r="C983" s="1" t="str">
        <f>"1042844131"</f>
        <v>1042844131</v>
      </c>
      <c r="D983" s="1" t="str">
        <f>"152326196202280672"</f>
        <v>152326196202280672</v>
      </c>
      <c r="E983" s="1" t="s">
        <v>1039</v>
      </c>
      <c r="F983" s="1" t="s">
        <v>25</v>
      </c>
      <c r="G983" s="1" t="s">
        <v>17</v>
      </c>
      <c r="H983" s="1" t="str">
        <f>"62"</f>
        <v>62</v>
      </c>
      <c r="I983" s="1" t="str">
        <f>"166.21"</f>
        <v>166.21</v>
      </c>
      <c r="J983" s="1" t="str">
        <f t="shared" si="647"/>
        <v>0</v>
      </c>
      <c r="K983" s="1" t="str">
        <f t="shared" si="648"/>
        <v>103</v>
      </c>
      <c r="L983" s="1" t="str">
        <f t="shared" si="649"/>
        <v>47</v>
      </c>
      <c r="M983" s="1" t="str">
        <f t="shared" si="639"/>
        <v>0</v>
      </c>
      <c r="N983" s="1" t="str">
        <f t="shared" si="640"/>
        <v>0</v>
      </c>
      <c r="O983" s="1" t="str">
        <f>"16.21"</f>
        <v>16.21</v>
      </c>
    </row>
    <row r="984" s="1" customFormat="1" spans="1:15">
      <c r="A984" s="1" t="str">
        <f t="shared" si="645"/>
        <v>202406</v>
      </c>
      <c r="B984" s="1" t="str">
        <f t="shared" si="646"/>
        <v>150525100</v>
      </c>
      <c r="C984" s="1" t="str">
        <f>"1042793242"</f>
        <v>1042793242</v>
      </c>
      <c r="D984" s="1" t="str">
        <f>"152326196206040430"</f>
        <v>152326196206040430</v>
      </c>
      <c r="E984" s="1" t="s">
        <v>1040</v>
      </c>
      <c r="F984" s="1" t="s">
        <v>25</v>
      </c>
      <c r="G984" s="1" t="s">
        <v>17</v>
      </c>
      <c r="H984" s="1" t="str">
        <f>"62"</f>
        <v>62</v>
      </c>
      <c r="I984" s="1" t="str">
        <f>"231.11"</f>
        <v>231.11</v>
      </c>
      <c r="J984" s="1" t="str">
        <f t="shared" si="647"/>
        <v>0</v>
      </c>
      <c r="K984" s="1" t="str">
        <f t="shared" si="648"/>
        <v>103</v>
      </c>
      <c r="L984" s="1" t="str">
        <f t="shared" si="649"/>
        <v>47</v>
      </c>
      <c r="M984" s="1" t="str">
        <f t="shared" si="639"/>
        <v>0</v>
      </c>
      <c r="N984" s="1" t="str">
        <f t="shared" si="640"/>
        <v>0</v>
      </c>
      <c r="O984" s="1" t="str">
        <f>"81.11"</f>
        <v>81.11</v>
      </c>
    </row>
    <row r="985" s="1" customFormat="1" spans="1:15">
      <c r="A985" s="1" t="str">
        <f t="shared" si="645"/>
        <v>202406</v>
      </c>
      <c r="B985" s="1" t="str">
        <f t="shared" si="646"/>
        <v>150525100</v>
      </c>
      <c r="C985" s="1" t="str">
        <f>"1042537223"</f>
        <v>1042537223</v>
      </c>
      <c r="D985" s="1" t="s">
        <v>1041</v>
      </c>
      <c r="E985" s="1" t="s">
        <v>1042</v>
      </c>
      <c r="F985" s="1" t="s">
        <v>25</v>
      </c>
      <c r="G985" s="1" t="s">
        <v>17</v>
      </c>
      <c r="H985" s="1" t="str">
        <f>"61"</f>
        <v>61</v>
      </c>
      <c r="I985" s="1" t="str">
        <f>"241.67"</f>
        <v>241.67</v>
      </c>
      <c r="J985" s="1" t="str">
        <f t="shared" si="647"/>
        <v>0</v>
      </c>
      <c r="K985" s="1" t="str">
        <f t="shared" si="648"/>
        <v>103</v>
      </c>
      <c r="L985" s="1" t="str">
        <f t="shared" si="649"/>
        <v>47</v>
      </c>
      <c r="M985" s="1" t="str">
        <f t="shared" si="639"/>
        <v>0</v>
      </c>
      <c r="N985" s="1" t="str">
        <f t="shared" si="640"/>
        <v>0</v>
      </c>
      <c r="O985" s="1" t="str">
        <f>"91.67"</f>
        <v>91.67</v>
      </c>
    </row>
    <row r="986" s="1" customFormat="1" spans="1:15">
      <c r="A986" s="1" t="str">
        <f t="shared" si="645"/>
        <v>202406</v>
      </c>
      <c r="B986" s="1" t="str">
        <f t="shared" si="646"/>
        <v>150525100</v>
      </c>
      <c r="C986" s="1" t="str">
        <f>"1042591002"</f>
        <v>1042591002</v>
      </c>
      <c r="D986" s="1" t="str">
        <f>"152326196001233810"</f>
        <v>152326196001233810</v>
      </c>
      <c r="E986" s="1" t="s">
        <v>1043</v>
      </c>
      <c r="F986" s="1" t="s">
        <v>25</v>
      </c>
      <c r="G986" s="1" t="s">
        <v>17</v>
      </c>
      <c r="H986" s="1" t="str">
        <f>"64"</f>
        <v>64</v>
      </c>
      <c r="I986" s="1" t="str">
        <f>"164.41"</f>
        <v>164.41</v>
      </c>
      <c r="J986" s="1" t="str">
        <f t="shared" si="647"/>
        <v>0</v>
      </c>
      <c r="K986" s="1" t="str">
        <f t="shared" si="648"/>
        <v>103</v>
      </c>
      <c r="L986" s="1" t="str">
        <f t="shared" si="649"/>
        <v>47</v>
      </c>
      <c r="M986" s="1" t="str">
        <f t="shared" si="639"/>
        <v>0</v>
      </c>
      <c r="N986" s="1" t="str">
        <f t="shared" si="640"/>
        <v>0</v>
      </c>
      <c r="O986" s="1" t="str">
        <f>"14.41"</f>
        <v>14.41</v>
      </c>
    </row>
    <row r="987" s="1" customFormat="1" spans="1:15">
      <c r="A987" s="1" t="str">
        <f t="shared" si="645"/>
        <v>202406</v>
      </c>
      <c r="B987" s="1" t="str">
        <f t="shared" si="646"/>
        <v>150525100</v>
      </c>
      <c r="C987" s="1" t="str">
        <f>"1042682215"</f>
        <v>1042682215</v>
      </c>
      <c r="D987" s="1" t="str">
        <f>"152326196110040671"</f>
        <v>152326196110040671</v>
      </c>
      <c r="E987" s="1" t="s">
        <v>1044</v>
      </c>
      <c r="F987" s="1" t="s">
        <v>25</v>
      </c>
      <c r="G987" s="1" t="s">
        <v>17</v>
      </c>
      <c r="H987" s="1" t="str">
        <f t="shared" ref="H987:H991" si="651">"63"</f>
        <v>63</v>
      </c>
      <c r="I987" s="1" t="str">
        <f>"164.46"</f>
        <v>164.46</v>
      </c>
      <c r="J987" s="1" t="str">
        <f t="shared" si="647"/>
        <v>0</v>
      </c>
      <c r="K987" s="1" t="str">
        <f t="shared" si="648"/>
        <v>103</v>
      </c>
      <c r="L987" s="1" t="str">
        <f t="shared" si="649"/>
        <v>47</v>
      </c>
      <c r="M987" s="1" t="str">
        <f t="shared" si="639"/>
        <v>0</v>
      </c>
      <c r="N987" s="1" t="str">
        <f t="shared" si="640"/>
        <v>0</v>
      </c>
      <c r="O987" s="1" t="str">
        <f>"14.46"</f>
        <v>14.46</v>
      </c>
    </row>
    <row r="988" s="1" customFormat="1" spans="1:15">
      <c r="A988" s="1" t="str">
        <f t="shared" si="645"/>
        <v>202406</v>
      </c>
      <c r="B988" s="1" t="str">
        <f t="shared" si="646"/>
        <v>150525100</v>
      </c>
      <c r="C988" s="1" t="str">
        <f>"1042677191"</f>
        <v>1042677191</v>
      </c>
      <c r="D988" s="1" t="str">
        <f>"152326196005030922"</f>
        <v>152326196005030922</v>
      </c>
      <c r="E988" s="1" t="s">
        <v>1045</v>
      </c>
      <c r="F988" s="1" t="s">
        <v>16</v>
      </c>
      <c r="G988" s="1" t="s">
        <v>17</v>
      </c>
      <c r="H988" s="1" t="str">
        <f>"64"</f>
        <v>64</v>
      </c>
      <c r="I988" s="1" t="str">
        <f>"164.41"</f>
        <v>164.41</v>
      </c>
      <c r="J988" s="1" t="str">
        <f t="shared" si="647"/>
        <v>0</v>
      </c>
      <c r="K988" s="1" t="str">
        <f t="shared" si="648"/>
        <v>103</v>
      </c>
      <c r="L988" s="1" t="str">
        <f t="shared" si="649"/>
        <v>47</v>
      </c>
      <c r="M988" s="1" t="str">
        <f t="shared" si="639"/>
        <v>0</v>
      </c>
      <c r="N988" s="1" t="str">
        <f t="shared" si="640"/>
        <v>0</v>
      </c>
      <c r="O988" s="1" t="str">
        <f>"14.41"</f>
        <v>14.41</v>
      </c>
    </row>
    <row r="989" s="1" customFormat="1" spans="1:15">
      <c r="A989" s="1" t="str">
        <f t="shared" si="645"/>
        <v>202406</v>
      </c>
      <c r="B989" s="1" t="str">
        <f t="shared" si="646"/>
        <v>150525100</v>
      </c>
      <c r="C989" s="1" t="str">
        <f>"1042938284"</f>
        <v>1042938284</v>
      </c>
      <c r="D989" s="1" t="str">
        <f>"152326196109140675"</f>
        <v>152326196109140675</v>
      </c>
      <c r="E989" s="1" t="s">
        <v>1046</v>
      </c>
      <c r="F989" s="1" t="s">
        <v>25</v>
      </c>
      <c r="G989" s="1" t="s">
        <v>17</v>
      </c>
      <c r="H989" s="1" t="str">
        <f t="shared" si="651"/>
        <v>63</v>
      </c>
      <c r="I989" s="1" t="str">
        <f>"158.91"</f>
        <v>158.91</v>
      </c>
      <c r="J989" s="1" t="str">
        <f t="shared" si="647"/>
        <v>0</v>
      </c>
      <c r="K989" s="1" t="str">
        <f t="shared" si="648"/>
        <v>103</v>
      </c>
      <c r="L989" s="1" t="str">
        <f t="shared" si="649"/>
        <v>47</v>
      </c>
      <c r="M989" s="1" t="str">
        <f t="shared" si="639"/>
        <v>0</v>
      </c>
      <c r="N989" s="1" t="str">
        <f t="shared" si="640"/>
        <v>0</v>
      </c>
      <c r="O989" s="1" t="str">
        <f>"8.91"</f>
        <v>8.91</v>
      </c>
    </row>
    <row r="990" s="1" customFormat="1" spans="1:15">
      <c r="A990" s="1" t="str">
        <f t="shared" si="645"/>
        <v>202406</v>
      </c>
      <c r="B990" s="1" t="str">
        <f t="shared" si="646"/>
        <v>150525100</v>
      </c>
      <c r="C990" s="1" t="str">
        <f>"1042750920"</f>
        <v>1042750920</v>
      </c>
      <c r="D990" s="1" t="str">
        <f>"152326196308250922"</f>
        <v>152326196308250922</v>
      </c>
      <c r="E990" s="1" t="s">
        <v>1047</v>
      </c>
      <c r="F990" s="1" t="s">
        <v>16</v>
      </c>
      <c r="G990" s="1" t="s">
        <v>17</v>
      </c>
      <c r="H990" s="1" t="str">
        <f>"61"</f>
        <v>61</v>
      </c>
      <c r="I990" s="1" t="str">
        <f>"162.42"</f>
        <v>162.42</v>
      </c>
      <c r="J990" s="1" t="str">
        <f t="shared" si="647"/>
        <v>0</v>
      </c>
      <c r="K990" s="1" t="str">
        <f t="shared" si="648"/>
        <v>103</v>
      </c>
      <c r="L990" s="1" t="str">
        <f t="shared" si="649"/>
        <v>47</v>
      </c>
      <c r="M990" s="1" t="str">
        <f t="shared" si="639"/>
        <v>0</v>
      </c>
      <c r="N990" s="1" t="str">
        <f t="shared" si="640"/>
        <v>0</v>
      </c>
      <c r="O990" s="1" t="str">
        <f>"12.42"</f>
        <v>12.42</v>
      </c>
    </row>
    <row r="991" s="1" customFormat="1" spans="1:15">
      <c r="A991" s="1" t="str">
        <f t="shared" si="645"/>
        <v>202406</v>
      </c>
      <c r="B991" s="1" t="str">
        <f t="shared" si="646"/>
        <v>150525100</v>
      </c>
      <c r="C991" s="1" t="str">
        <f>"1042656001"</f>
        <v>1042656001</v>
      </c>
      <c r="D991" s="1" t="str">
        <f>"152326196103033334"</f>
        <v>152326196103033334</v>
      </c>
      <c r="E991" s="1" t="s">
        <v>1048</v>
      </c>
      <c r="F991" s="1" t="s">
        <v>25</v>
      </c>
      <c r="G991" s="1" t="s">
        <v>17</v>
      </c>
      <c r="H991" s="1" t="str">
        <f t="shared" si="651"/>
        <v>63</v>
      </c>
      <c r="I991" s="1" t="str">
        <f>"158.85"</f>
        <v>158.85</v>
      </c>
      <c r="J991" s="1" t="str">
        <f t="shared" si="647"/>
        <v>0</v>
      </c>
      <c r="K991" s="1" t="str">
        <f t="shared" si="648"/>
        <v>103</v>
      </c>
      <c r="L991" s="1" t="str">
        <f t="shared" si="649"/>
        <v>47</v>
      </c>
      <c r="M991" s="1" t="str">
        <f t="shared" si="639"/>
        <v>0</v>
      </c>
      <c r="N991" s="1" t="str">
        <f t="shared" si="640"/>
        <v>0</v>
      </c>
      <c r="O991" s="1" t="str">
        <f>"8.85"</f>
        <v>8.85</v>
      </c>
    </row>
    <row r="992" s="1" customFormat="1" spans="1:15">
      <c r="A992" s="1" t="str">
        <f t="shared" si="645"/>
        <v>202406</v>
      </c>
      <c r="B992" s="1" t="str">
        <f t="shared" si="646"/>
        <v>150525100</v>
      </c>
      <c r="C992" s="1" t="str">
        <f>"1042787928"</f>
        <v>1042787928</v>
      </c>
      <c r="D992" s="1" t="str">
        <f>"152326195909223327"</f>
        <v>152326195909223327</v>
      </c>
      <c r="E992" s="1" t="s">
        <v>1049</v>
      </c>
      <c r="F992" s="1" t="s">
        <v>16</v>
      </c>
      <c r="G992" s="1" t="s">
        <v>17</v>
      </c>
      <c r="H992" s="1" t="str">
        <f>"65"</f>
        <v>65</v>
      </c>
      <c r="I992" s="1" t="str">
        <f>"161.53"</f>
        <v>161.53</v>
      </c>
      <c r="J992" s="1" t="str">
        <f t="shared" si="647"/>
        <v>0</v>
      </c>
      <c r="K992" s="1" t="str">
        <f t="shared" si="648"/>
        <v>103</v>
      </c>
      <c r="L992" s="1" t="str">
        <f t="shared" si="649"/>
        <v>47</v>
      </c>
      <c r="M992" s="1" t="str">
        <f t="shared" si="639"/>
        <v>0</v>
      </c>
      <c r="N992" s="1" t="str">
        <f t="shared" si="640"/>
        <v>0</v>
      </c>
      <c r="O992" s="1" t="str">
        <f>"11.53"</f>
        <v>11.53</v>
      </c>
    </row>
    <row r="993" s="1" customFormat="1" spans="1:15">
      <c r="A993" s="1" t="str">
        <f t="shared" si="645"/>
        <v>202406</v>
      </c>
      <c r="B993" s="1" t="str">
        <f t="shared" si="646"/>
        <v>150525100</v>
      </c>
      <c r="C993" s="1" t="str">
        <f>"1042515743"</f>
        <v>1042515743</v>
      </c>
      <c r="D993" s="1" t="s">
        <v>1050</v>
      </c>
      <c r="E993" s="1" t="s">
        <v>337</v>
      </c>
      <c r="F993" s="1" t="s">
        <v>25</v>
      </c>
      <c r="G993" s="1" t="s">
        <v>17</v>
      </c>
      <c r="H993" s="1" t="str">
        <f t="shared" ref="H993:H997" si="652">"64"</f>
        <v>64</v>
      </c>
      <c r="I993" s="1" t="str">
        <f>"158.56"</f>
        <v>158.56</v>
      </c>
      <c r="J993" s="1" t="str">
        <f t="shared" si="647"/>
        <v>0</v>
      </c>
      <c r="K993" s="1" t="str">
        <f t="shared" si="648"/>
        <v>103</v>
      </c>
      <c r="L993" s="1" t="str">
        <f t="shared" si="649"/>
        <v>47</v>
      </c>
      <c r="M993" s="1" t="str">
        <f t="shared" si="639"/>
        <v>0</v>
      </c>
      <c r="N993" s="1" t="str">
        <f t="shared" si="640"/>
        <v>0</v>
      </c>
      <c r="O993" s="1" t="str">
        <f>"8.56"</f>
        <v>8.56</v>
      </c>
    </row>
    <row r="994" s="1" customFormat="1" spans="1:15">
      <c r="A994" s="1" t="str">
        <f t="shared" si="645"/>
        <v>202406</v>
      </c>
      <c r="B994" s="1" t="str">
        <f t="shared" si="646"/>
        <v>150525100</v>
      </c>
      <c r="C994" s="1" t="str">
        <f>"1042834558"</f>
        <v>1042834558</v>
      </c>
      <c r="D994" s="1" t="str">
        <f>"152326196006073094"</f>
        <v>152326196006073094</v>
      </c>
      <c r="E994" s="1" t="s">
        <v>1051</v>
      </c>
      <c r="F994" s="1" t="s">
        <v>25</v>
      </c>
      <c r="G994" s="1" t="s">
        <v>17</v>
      </c>
      <c r="H994" s="1" t="str">
        <f t="shared" si="652"/>
        <v>64</v>
      </c>
      <c r="I994" s="1" t="str">
        <f>"164.41"</f>
        <v>164.41</v>
      </c>
      <c r="J994" s="1" t="str">
        <f t="shared" si="647"/>
        <v>0</v>
      </c>
      <c r="K994" s="1" t="str">
        <f t="shared" si="648"/>
        <v>103</v>
      </c>
      <c r="L994" s="1" t="str">
        <f t="shared" si="649"/>
        <v>47</v>
      </c>
      <c r="M994" s="1" t="str">
        <f t="shared" si="639"/>
        <v>0</v>
      </c>
      <c r="N994" s="1" t="str">
        <f t="shared" si="640"/>
        <v>0</v>
      </c>
      <c r="O994" s="1" t="str">
        <f>"14.41"</f>
        <v>14.41</v>
      </c>
    </row>
    <row r="995" s="1" customFormat="1" spans="1:15">
      <c r="A995" s="1" t="str">
        <f t="shared" si="645"/>
        <v>202406</v>
      </c>
      <c r="B995" s="1" t="str">
        <f t="shared" si="646"/>
        <v>150525100</v>
      </c>
      <c r="C995" s="1" t="str">
        <f>"1042938980"</f>
        <v>1042938980</v>
      </c>
      <c r="D995" s="1" t="str">
        <f>"152326196110093810"</f>
        <v>152326196110093810</v>
      </c>
      <c r="E995" s="1" t="s">
        <v>1052</v>
      </c>
      <c r="F995" s="1" t="s">
        <v>25</v>
      </c>
      <c r="G995" s="1" t="s">
        <v>17</v>
      </c>
      <c r="H995" s="1" t="str">
        <f>"63"</f>
        <v>63</v>
      </c>
      <c r="I995" s="1" t="str">
        <f>"158.92"</f>
        <v>158.92</v>
      </c>
      <c r="J995" s="1" t="str">
        <f t="shared" si="647"/>
        <v>0</v>
      </c>
      <c r="K995" s="1" t="str">
        <f t="shared" si="648"/>
        <v>103</v>
      </c>
      <c r="L995" s="1" t="str">
        <f t="shared" si="649"/>
        <v>47</v>
      </c>
      <c r="M995" s="1" t="str">
        <f t="shared" si="639"/>
        <v>0</v>
      </c>
      <c r="N995" s="1" t="str">
        <f t="shared" si="640"/>
        <v>0</v>
      </c>
      <c r="O995" s="1" t="str">
        <f>"8.92"</f>
        <v>8.92</v>
      </c>
    </row>
    <row r="996" s="1" customFormat="1" spans="1:15">
      <c r="A996" s="1" t="str">
        <f t="shared" si="645"/>
        <v>202406</v>
      </c>
      <c r="B996" s="1" t="str">
        <f t="shared" si="646"/>
        <v>150525100</v>
      </c>
      <c r="C996" s="1" t="str">
        <f>"1040832535"</f>
        <v>1040832535</v>
      </c>
      <c r="D996" s="1" t="str">
        <f>"152326194310150024"</f>
        <v>152326194310150024</v>
      </c>
      <c r="E996" s="1" t="s">
        <v>1053</v>
      </c>
      <c r="F996" s="1" t="s">
        <v>16</v>
      </c>
      <c r="G996" s="1" t="s">
        <v>17</v>
      </c>
      <c r="H996" s="1" t="str">
        <f>"81"</f>
        <v>81</v>
      </c>
      <c r="I996" s="1" t="str">
        <f>"170"</f>
        <v>170</v>
      </c>
      <c r="J996" s="1" t="str">
        <f t="shared" si="647"/>
        <v>0</v>
      </c>
      <c r="K996" s="1" t="str">
        <f t="shared" si="648"/>
        <v>103</v>
      </c>
      <c r="L996" s="1" t="str">
        <f t="shared" si="649"/>
        <v>47</v>
      </c>
      <c r="M996" s="1" t="str">
        <f t="shared" si="639"/>
        <v>0</v>
      </c>
      <c r="N996" s="1" t="str">
        <f t="shared" si="640"/>
        <v>0</v>
      </c>
      <c r="O996" s="1" t="str">
        <f>"0"</f>
        <v>0</v>
      </c>
    </row>
    <row r="997" s="1" customFormat="1" spans="1:15">
      <c r="A997" s="1" t="str">
        <f t="shared" si="645"/>
        <v>202406</v>
      </c>
      <c r="B997" s="1" t="str">
        <f t="shared" si="646"/>
        <v>150525100</v>
      </c>
      <c r="C997" s="1" t="str">
        <f>"1043066272"</f>
        <v>1043066272</v>
      </c>
      <c r="D997" s="1" t="str">
        <f>"152326196010110425"</f>
        <v>152326196010110425</v>
      </c>
      <c r="E997" s="1" t="s">
        <v>1054</v>
      </c>
      <c r="F997" s="1" t="s">
        <v>16</v>
      </c>
      <c r="G997" s="1" t="s">
        <v>19</v>
      </c>
      <c r="H997" s="1" t="str">
        <f t="shared" si="652"/>
        <v>64</v>
      </c>
      <c r="I997" s="1" t="str">
        <f>"162.98"</f>
        <v>162.98</v>
      </c>
      <c r="J997" s="1" t="str">
        <f t="shared" si="647"/>
        <v>0</v>
      </c>
      <c r="K997" s="1" t="str">
        <f t="shared" si="648"/>
        <v>103</v>
      </c>
      <c r="L997" s="1" t="str">
        <f t="shared" si="649"/>
        <v>47</v>
      </c>
      <c r="M997" s="1" t="str">
        <f t="shared" si="639"/>
        <v>0</v>
      </c>
      <c r="N997" s="1" t="str">
        <f t="shared" si="640"/>
        <v>0</v>
      </c>
      <c r="O997" s="1" t="str">
        <f>"12.98"</f>
        <v>12.98</v>
      </c>
    </row>
    <row r="998" s="1" customFormat="1" spans="1:15">
      <c r="A998" s="1" t="str">
        <f t="shared" si="645"/>
        <v>202406</v>
      </c>
      <c r="B998" s="1" t="str">
        <f t="shared" si="646"/>
        <v>150525100</v>
      </c>
      <c r="C998" s="1" t="str">
        <f>"1042754643"</f>
        <v>1042754643</v>
      </c>
      <c r="D998" s="1" t="str">
        <f>"152326196203133842"</f>
        <v>152326196203133842</v>
      </c>
      <c r="E998" s="1" t="s">
        <v>1055</v>
      </c>
      <c r="F998" s="1" t="s">
        <v>16</v>
      </c>
      <c r="G998" s="1" t="s">
        <v>17</v>
      </c>
      <c r="H998" s="1" t="str">
        <f t="shared" ref="H998:H1001" si="653">"62"</f>
        <v>62</v>
      </c>
      <c r="I998" s="1" t="str">
        <f>"160.39"</f>
        <v>160.39</v>
      </c>
      <c r="J998" s="1" t="str">
        <f t="shared" si="647"/>
        <v>0</v>
      </c>
      <c r="K998" s="1" t="str">
        <f t="shared" si="648"/>
        <v>103</v>
      </c>
      <c r="L998" s="1" t="str">
        <f t="shared" si="649"/>
        <v>47</v>
      </c>
      <c r="M998" s="1" t="str">
        <f t="shared" si="639"/>
        <v>0</v>
      </c>
      <c r="N998" s="1" t="str">
        <f t="shared" si="640"/>
        <v>0</v>
      </c>
      <c r="O998" s="1" t="str">
        <f>"10.39"</f>
        <v>10.39</v>
      </c>
    </row>
    <row r="999" s="1" customFormat="1" spans="1:15">
      <c r="A999" s="1" t="str">
        <f t="shared" si="645"/>
        <v>202406</v>
      </c>
      <c r="B999" s="1" t="str">
        <f t="shared" si="646"/>
        <v>150525100</v>
      </c>
      <c r="C999" s="1" t="str">
        <f>"1042725499"</f>
        <v>1042725499</v>
      </c>
      <c r="D999" s="1" t="str">
        <f>"152326196301013078"</f>
        <v>152326196301013078</v>
      </c>
      <c r="E999" s="1" t="s">
        <v>1056</v>
      </c>
      <c r="F999" s="1" t="s">
        <v>25</v>
      </c>
      <c r="G999" s="1" t="s">
        <v>17</v>
      </c>
      <c r="H999" s="1" t="str">
        <f t="shared" si="653"/>
        <v>62</v>
      </c>
      <c r="I999" s="1" t="str">
        <f>"162.34"</f>
        <v>162.34</v>
      </c>
      <c r="J999" s="1" t="str">
        <f t="shared" si="647"/>
        <v>0</v>
      </c>
      <c r="K999" s="1" t="str">
        <f t="shared" si="648"/>
        <v>103</v>
      </c>
      <c r="L999" s="1" t="str">
        <f t="shared" si="649"/>
        <v>47</v>
      </c>
      <c r="M999" s="1" t="str">
        <f t="shared" si="639"/>
        <v>0</v>
      </c>
      <c r="N999" s="1" t="str">
        <f t="shared" si="640"/>
        <v>0</v>
      </c>
      <c r="O999" s="1" t="str">
        <f>"12.34"</f>
        <v>12.34</v>
      </c>
    </row>
    <row r="1000" s="1" customFormat="1" spans="1:15">
      <c r="A1000" s="1" t="str">
        <f t="shared" si="645"/>
        <v>202406</v>
      </c>
      <c r="B1000" s="1" t="str">
        <f t="shared" si="646"/>
        <v>150525100</v>
      </c>
      <c r="C1000" s="1" t="str">
        <f>"1043043295"</f>
        <v>1043043295</v>
      </c>
      <c r="D1000" s="1" t="str">
        <f>"152326196110020419"</f>
        <v>152326196110020419</v>
      </c>
      <c r="E1000" s="1" t="s">
        <v>1057</v>
      </c>
      <c r="F1000" s="1" t="s">
        <v>25</v>
      </c>
      <c r="G1000" s="1" t="s">
        <v>17</v>
      </c>
      <c r="H1000" s="1" t="str">
        <f>"63"</f>
        <v>63</v>
      </c>
      <c r="I1000" s="1" t="str">
        <f>"158.6"</f>
        <v>158.6</v>
      </c>
      <c r="J1000" s="1" t="str">
        <f t="shared" si="647"/>
        <v>0</v>
      </c>
      <c r="K1000" s="1" t="str">
        <f t="shared" si="648"/>
        <v>103</v>
      </c>
      <c r="L1000" s="1" t="str">
        <f t="shared" si="649"/>
        <v>47</v>
      </c>
      <c r="M1000" s="1" t="str">
        <f t="shared" si="639"/>
        <v>0</v>
      </c>
      <c r="N1000" s="1" t="str">
        <f t="shared" si="640"/>
        <v>0</v>
      </c>
      <c r="O1000" s="1" t="str">
        <f>"8.6"</f>
        <v>8.6</v>
      </c>
    </row>
    <row r="1001" s="1" customFormat="1" spans="1:15">
      <c r="A1001" s="1" t="str">
        <f t="shared" si="645"/>
        <v>202406</v>
      </c>
      <c r="B1001" s="1" t="str">
        <f t="shared" si="646"/>
        <v>150525100</v>
      </c>
      <c r="C1001" s="1" t="str">
        <f>"1043048868"</f>
        <v>1043048868</v>
      </c>
      <c r="D1001" s="1" t="str">
        <f>"152326196203200670"</f>
        <v>152326196203200670</v>
      </c>
      <c r="E1001" s="1" t="s">
        <v>1058</v>
      </c>
      <c r="F1001" s="1" t="s">
        <v>25</v>
      </c>
      <c r="G1001" s="1" t="s">
        <v>19</v>
      </c>
      <c r="H1001" s="1" t="str">
        <f t="shared" si="653"/>
        <v>62</v>
      </c>
      <c r="I1001" s="1" t="str">
        <f>"165.86"</f>
        <v>165.86</v>
      </c>
      <c r="J1001" s="1" t="str">
        <f t="shared" si="647"/>
        <v>0</v>
      </c>
      <c r="K1001" s="1" t="str">
        <f t="shared" si="648"/>
        <v>103</v>
      </c>
      <c r="L1001" s="1" t="str">
        <f t="shared" si="649"/>
        <v>47</v>
      </c>
      <c r="M1001" s="1" t="str">
        <f t="shared" si="639"/>
        <v>0</v>
      </c>
      <c r="N1001" s="1" t="str">
        <f t="shared" si="640"/>
        <v>0</v>
      </c>
      <c r="O1001" s="1" t="str">
        <f>"15.86"</f>
        <v>15.86</v>
      </c>
    </row>
    <row r="1002" s="1" customFormat="1" spans="1:15">
      <c r="A1002" s="1" t="str">
        <f t="shared" si="645"/>
        <v>202406</v>
      </c>
      <c r="B1002" s="1" t="str">
        <f t="shared" si="646"/>
        <v>150525100</v>
      </c>
      <c r="C1002" s="1" t="str">
        <f>"1042973808"</f>
        <v>1042973808</v>
      </c>
      <c r="D1002" s="1" t="str">
        <f>"152326196307103816"</f>
        <v>152326196307103816</v>
      </c>
      <c r="E1002" s="1" t="s">
        <v>1059</v>
      </c>
      <c r="F1002" s="1" t="s">
        <v>25</v>
      </c>
      <c r="G1002" s="1" t="s">
        <v>19</v>
      </c>
      <c r="H1002" s="1" t="str">
        <f t="shared" ref="H1002:H1006" si="654">"61"</f>
        <v>61</v>
      </c>
      <c r="I1002" s="1" t="str">
        <f>"162.75"</f>
        <v>162.75</v>
      </c>
      <c r="J1002" s="1" t="str">
        <f t="shared" si="647"/>
        <v>0</v>
      </c>
      <c r="K1002" s="1" t="str">
        <f t="shared" si="648"/>
        <v>103</v>
      </c>
      <c r="L1002" s="1" t="str">
        <f t="shared" si="649"/>
        <v>47</v>
      </c>
      <c r="M1002" s="1" t="str">
        <f t="shared" si="639"/>
        <v>0</v>
      </c>
      <c r="N1002" s="1" t="str">
        <f t="shared" si="640"/>
        <v>0</v>
      </c>
      <c r="O1002" s="1" t="str">
        <f>"12.75"</f>
        <v>12.75</v>
      </c>
    </row>
    <row r="1003" s="1" customFormat="1" spans="1:15">
      <c r="A1003" s="1" t="str">
        <f t="shared" si="645"/>
        <v>202406</v>
      </c>
      <c r="B1003" s="1" t="str">
        <f t="shared" si="646"/>
        <v>150525100</v>
      </c>
      <c r="C1003" s="1" t="str">
        <f>"1042697461"</f>
        <v>1042697461</v>
      </c>
      <c r="D1003" s="1" t="str">
        <f>"152326196205180693"</f>
        <v>152326196205180693</v>
      </c>
      <c r="E1003" s="1" t="s">
        <v>1060</v>
      </c>
      <c r="F1003" s="1" t="s">
        <v>25</v>
      </c>
      <c r="G1003" s="1" t="s">
        <v>19</v>
      </c>
      <c r="H1003" s="1" t="str">
        <f t="shared" ref="H1003:H1009" si="655">"62"</f>
        <v>62</v>
      </c>
      <c r="I1003" s="1" t="str">
        <f>"160.45"</f>
        <v>160.45</v>
      </c>
      <c r="J1003" s="1" t="str">
        <f t="shared" si="647"/>
        <v>0</v>
      </c>
      <c r="K1003" s="1" t="str">
        <f t="shared" si="648"/>
        <v>103</v>
      </c>
      <c r="L1003" s="1" t="str">
        <f t="shared" si="649"/>
        <v>47</v>
      </c>
      <c r="M1003" s="1" t="str">
        <f t="shared" si="639"/>
        <v>0</v>
      </c>
      <c r="N1003" s="1" t="str">
        <f t="shared" si="640"/>
        <v>0</v>
      </c>
      <c r="O1003" s="1" t="str">
        <f>"10.45"</f>
        <v>10.45</v>
      </c>
    </row>
    <row r="1004" s="1" customFormat="1" spans="1:15">
      <c r="A1004" s="1" t="str">
        <f t="shared" si="645"/>
        <v>202406</v>
      </c>
      <c r="B1004" s="1" t="str">
        <f t="shared" si="646"/>
        <v>150525100</v>
      </c>
      <c r="C1004" s="1" t="str">
        <f>"1043056943"</f>
        <v>1043056943</v>
      </c>
      <c r="D1004" s="1" t="str">
        <f>"152326196401130706"</f>
        <v>152326196401130706</v>
      </c>
      <c r="E1004" s="1" t="s">
        <v>1061</v>
      </c>
      <c r="F1004" s="1" t="s">
        <v>16</v>
      </c>
      <c r="G1004" s="1" t="s">
        <v>17</v>
      </c>
      <c r="H1004" s="1" t="str">
        <f>"60"</f>
        <v>60</v>
      </c>
      <c r="I1004" s="1" t="str">
        <f>"169.28"</f>
        <v>169.28</v>
      </c>
      <c r="J1004" s="1" t="str">
        <f t="shared" si="647"/>
        <v>0</v>
      </c>
      <c r="K1004" s="1" t="str">
        <f t="shared" si="648"/>
        <v>103</v>
      </c>
      <c r="L1004" s="1" t="str">
        <f t="shared" si="649"/>
        <v>47</v>
      </c>
      <c r="M1004" s="1" t="str">
        <f t="shared" si="639"/>
        <v>0</v>
      </c>
      <c r="N1004" s="1" t="str">
        <f t="shared" si="640"/>
        <v>0</v>
      </c>
      <c r="O1004" s="1" t="str">
        <f>"19.28"</f>
        <v>19.28</v>
      </c>
    </row>
    <row r="1005" s="1" customFormat="1" spans="1:15">
      <c r="A1005" s="1" t="str">
        <f t="shared" si="645"/>
        <v>202406</v>
      </c>
      <c r="B1005" s="1" t="str">
        <f t="shared" si="646"/>
        <v>150525100</v>
      </c>
      <c r="C1005" s="1" t="str">
        <f>"1042741158"</f>
        <v>1042741158</v>
      </c>
      <c r="D1005" s="1" t="str">
        <f>"152326196311100669"</f>
        <v>152326196311100669</v>
      </c>
      <c r="E1005" s="1" t="s">
        <v>1062</v>
      </c>
      <c r="F1005" s="1" t="s">
        <v>16</v>
      </c>
      <c r="G1005" s="1" t="s">
        <v>17</v>
      </c>
      <c r="H1005" s="1" t="str">
        <f t="shared" si="654"/>
        <v>61</v>
      </c>
      <c r="I1005" s="1" t="str">
        <f>"162.5"</f>
        <v>162.5</v>
      </c>
      <c r="J1005" s="1" t="str">
        <f t="shared" si="647"/>
        <v>0</v>
      </c>
      <c r="K1005" s="1" t="str">
        <f t="shared" si="648"/>
        <v>103</v>
      </c>
      <c r="L1005" s="1" t="str">
        <f t="shared" si="649"/>
        <v>47</v>
      </c>
      <c r="M1005" s="1" t="str">
        <f t="shared" si="639"/>
        <v>0</v>
      </c>
      <c r="N1005" s="1" t="str">
        <f t="shared" si="640"/>
        <v>0</v>
      </c>
      <c r="O1005" s="1" t="str">
        <f>"12.5"</f>
        <v>12.5</v>
      </c>
    </row>
    <row r="1006" s="1" customFormat="1" spans="1:15">
      <c r="A1006" s="1" t="str">
        <f t="shared" si="645"/>
        <v>202406</v>
      </c>
      <c r="B1006" s="1" t="str">
        <f t="shared" si="646"/>
        <v>150525100</v>
      </c>
      <c r="C1006" s="1" t="str">
        <f>"1042741189"</f>
        <v>1042741189</v>
      </c>
      <c r="D1006" s="1" t="str">
        <f>"152326196308153823"</f>
        <v>152326196308153823</v>
      </c>
      <c r="E1006" s="1" t="s">
        <v>1063</v>
      </c>
      <c r="F1006" s="1" t="s">
        <v>16</v>
      </c>
      <c r="G1006" s="1" t="s">
        <v>17</v>
      </c>
      <c r="H1006" s="1" t="str">
        <f t="shared" si="654"/>
        <v>61</v>
      </c>
      <c r="I1006" s="1" t="str">
        <f>"162.75"</f>
        <v>162.75</v>
      </c>
      <c r="J1006" s="1" t="str">
        <f t="shared" si="647"/>
        <v>0</v>
      </c>
      <c r="K1006" s="1" t="str">
        <f t="shared" si="648"/>
        <v>103</v>
      </c>
      <c r="L1006" s="1" t="str">
        <f t="shared" si="649"/>
        <v>47</v>
      </c>
      <c r="M1006" s="1" t="str">
        <f t="shared" si="639"/>
        <v>0</v>
      </c>
      <c r="N1006" s="1" t="str">
        <f t="shared" si="640"/>
        <v>0</v>
      </c>
      <c r="O1006" s="1" t="str">
        <f>"12.75"</f>
        <v>12.75</v>
      </c>
    </row>
    <row r="1007" s="1" customFormat="1" spans="1:15">
      <c r="A1007" s="1" t="str">
        <f t="shared" si="645"/>
        <v>202406</v>
      </c>
      <c r="B1007" s="1" t="str">
        <f t="shared" si="646"/>
        <v>150525100</v>
      </c>
      <c r="C1007" s="1" t="str">
        <f>"1042771322"</f>
        <v>1042771322</v>
      </c>
      <c r="D1007" s="1" t="str">
        <f>"152326196202093324"</f>
        <v>152326196202093324</v>
      </c>
      <c r="E1007" s="1" t="s">
        <v>1064</v>
      </c>
      <c r="F1007" s="1" t="s">
        <v>16</v>
      </c>
      <c r="G1007" s="1" t="s">
        <v>19</v>
      </c>
      <c r="H1007" s="1" t="str">
        <f t="shared" si="655"/>
        <v>62</v>
      </c>
      <c r="I1007" s="1" t="str">
        <f>"160.41"</f>
        <v>160.41</v>
      </c>
      <c r="J1007" s="1" t="str">
        <f t="shared" si="647"/>
        <v>0</v>
      </c>
      <c r="K1007" s="1" t="str">
        <f t="shared" si="648"/>
        <v>103</v>
      </c>
      <c r="L1007" s="1" t="str">
        <f t="shared" si="649"/>
        <v>47</v>
      </c>
      <c r="M1007" s="1" t="str">
        <f t="shared" si="639"/>
        <v>0</v>
      </c>
      <c r="N1007" s="1" t="str">
        <f t="shared" si="640"/>
        <v>0</v>
      </c>
      <c r="O1007" s="1" t="str">
        <f>"10.41"</f>
        <v>10.41</v>
      </c>
    </row>
    <row r="1008" s="1" customFormat="1" spans="1:15">
      <c r="A1008" s="1" t="str">
        <f t="shared" si="645"/>
        <v>202406</v>
      </c>
      <c r="B1008" s="1" t="str">
        <f t="shared" si="646"/>
        <v>150525100</v>
      </c>
      <c r="C1008" s="1" t="str">
        <f>"1042771426"</f>
        <v>1042771426</v>
      </c>
      <c r="D1008" s="1" t="str">
        <f>"152326196209063312"</f>
        <v>152326196209063312</v>
      </c>
      <c r="E1008" s="1" t="s">
        <v>1065</v>
      </c>
      <c r="F1008" s="1" t="s">
        <v>25</v>
      </c>
      <c r="G1008" s="1" t="s">
        <v>17</v>
      </c>
      <c r="H1008" s="1" t="str">
        <f t="shared" si="655"/>
        <v>62</v>
      </c>
      <c r="I1008" s="1" t="str">
        <f>"167.88"</f>
        <v>167.88</v>
      </c>
      <c r="J1008" s="1" t="str">
        <f t="shared" si="647"/>
        <v>0</v>
      </c>
      <c r="K1008" s="1" t="str">
        <f t="shared" si="648"/>
        <v>103</v>
      </c>
      <c r="L1008" s="1" t="str">
        <f t="shared" si="649"/>
        <v>47</v>
      </c>
      <c r="M1008" s="1" t="str">
        <f t="shared" si="639"/>
        <v>0</v>
      </c>
      <c r="N1008" s="1" t="str">
        <f t="shared" si="640"/>
        <v>0</v>
      </c>
      <c r="O1008" s="1" t="str">
        <f>"17.88"</f>
        <v>17.88</v>
      </c>
    </row>
    <row r="1009" s="1" customFormat="1" spans="1:15">
      <c r="A1009" s="1" t="str">
        <f t="shared" si="645"/>
        <v>202406</v>
      </c>
      <c r="B1009" s="1" t="str">
        <f t="shared" si="646"/>
        <v>150525100</v>
      </c>
      <c r="C1009" s="1" t="str">
        <f>"1042773686"</f>
        <v>1042773686</v>
      </c>
      <c r="D1009" s="1" t="str">
        <f>"152326196203130940"</f>
        <v>152326196203130940</v>
      </c>
      <c r="E1009" s="1" t="s">
        <v>1066</v>
      </c>
      <c r="F1009" s="1" t="s">
        <v>16</v>
      </c>
      <c r="G1009" s="1" t="s">
        <v>19</v>
      </c>
      <c r="H1009" s="1" t="str">
        <f t="shared" si="655"/>
        <v>62</v>
      </c>
      <c r="I1009" s="1" t="str">
        <f>"160.4"</f>
        <v>160.4</v>
      </c>
      <c r="J1009" s="1" t="str">
        <f t="shared" si="647"/>
        <v>0</v>
      </c>
      <c r="K1009" s="1" t="str">
        <f t="shared" si="648"/>
        <v>103</v>
      </c>
      <c r="L1009" s="1" t="str">
        <f t="shared" si="649"/>
        <v>47</v>
      </c>
      <c r="M1009" s="1" t="str">
        <f t="shared" si="639"/>
        <v>0</v>
      </c>
      <c r="N1009" s="1" t="str">
        <f t="shared" si="640"/>
        <v>0</v>
      </c>
      <c r="O1009" s="1" t="str">
        <f>"10.4"</f>
        <v>10.4</v>
      </c>
    </row>
    <row r="1010" s="1" customFormat="1" spans="1:15">
      <c r="A1010" s="1" t="str">
        <f t="shared" si="645"/>
        <v>202406</v>
      </c>
      <c r="B1010" s="1" t="str">
        <f t="shared" si="646"/>
        <v>150525100</v>
      </c>
      <c r="C1010" s="1" t="str">
        <f>"1042726922"</f>
        <v>1042726922</v>
      </c>
      <c r="D1010" s="1" t="str">
        <f>"152326196305293089"</f>
        <v>152326196305293089</v>
      </c>
      <c r="E1010" s="1" t="s">
        <v>1067</v>
      </c>
      <c r="F1010" s="1" t="s">
        <v>16</v>
      </c>
      <c r="G1010" s="1" t="s">
        <v>19</v>
      </c>
      <c r="H1010" s="1" t="str">
        <f t="shared" ref="H1010:H1018" si="656">"61"</f>
        <v>61</v>
      </c>
      <c r="I1010" s="1" t="str">
        <f>"168.88"</f>
        <v>168.88</v>
      </c>
      <c r="J1010" s="1" t="str">
        <f t="shared" si="647"/>
        <v>0</v>
      </c>
      <c r="K1010" s="1" t="str">
        <f t="shared" si="648"/>
        <v>103</v>
      </c>
      <c r="L1010" s="1" t="str">
        <f t="shared" si="649"/>
        <v>47</v>
      </c>
      <c r="M1010" s="1" t="str">
        <f t="shared" si="639"/>
        <v>0</v>
      </c>
      <c r="N1010" s="1" t="str">
        <f t="shared" si="640"/>
        <v>0</v>
      </c>
      <c r="O1010" s="1" t="str">
        <f>"18.88"</f>
        <v>18.88</v>
      </c>
    </row>
    <row r="1011" s="1" customFormat="1" spans="1:15">
      <c r="A1011" s="1" t="str">
        <f t="shared" si="645"/>
        <v>202406</v>
      </c>
      <c r="B1011" s="1" t="str">
        <f t="shared" si="646"/>
        <v>150525100</v>
      </c>
      <c r="C1011" s="1" t="str">
        <f>"1042686652"</f>
        <v>1042686652</v>
      </c>
      <c r="D1011" s="1" t="str">
        <f>"152326196212273310"</f>
        <v>152326196212273310</v>
      </c>
      <c r="E1011" s="1" t="s">
        <v>802</v>
      </c>
      <c r="F1011" s="1" t="s">
        <v>25</v>
      </c>
      <c r="G1011" s="1" t="s">
        <v>17</v>
      </c>
      <c r="H1011" s="1" t="str">
        <f>"62"</f>
        <v>62</v>
      </c>
      <c r="I1011" s="1" t="str">
        <f>"162.34"</f>
        <v>162.34</v>
      </c>
      <c r="J1011" s="1" t="str">
        <f t="shared" si="647"/>
        <v>0</v>
      </c>
      <c r="K1011" s="1" t="str">
        <f t="shared" si="648"/>
        <v>103</v>
      </c>
      <c r="L1011" s="1" t="str">
        <f t="shared" si="649"/>
        <v>47</v>
      </c>
      <c r="M1011" s="1" t="str">
        <f t="shared" si="639"/>
        <v>0</v>
      </c>
      <c r="N1011" s="1" t="str">
        <f t="shared" si="640"/>
        <v>0</v>
      </c>
      <c r="O1011" s="1" t="str">
        <f>"12.34"</f>
        <v>12.34</v>
      </c>
    </row>
    <row r="1012" s="1" customFormat="1" spans="1:15">
      <c r="A1012" s="1" t="str">
        <f t="shared" si="645"/>
        <v>202406</v>
      </c>
      <c r="B1012" s="1" t="str">
        <f t="shared" si="646"/>
        <v>150525100</v>
      </c>
      <c r="C1012" s="1" t="str">
        <f>"1042707613"</f>
        <v>1042707613</v>
      </c>
      <c r="D1012" s="1" t="str">
        <f>"152326196207220679"</f>
        <v>152326196207220679</v>
      </c>
      <c r="E1012" s="1" t="s">
        <v>1068</v>
      </c>
      <c r="F1012" s="1" t="s">
        <v>25</v>
      </c>
      <c r="G1012" s="1" t="s">
        <v>17</v>
      </c>
      <c r="H1012" s="1" t="str">
        <f>"62"</f>
        <v>62</v>
      </c>
      <c r="I1012" s="1" t="str">
        <f>"744.32"</f>
        <v>744.32</v>
      </c>
      <c r="J1012" s="1" t="str">
        <f>"558.24"</f>
        <v>558.24</v>
      </c>
      <c r="K1012" s="1" t="str">
        <f>"412"</f>
        <v>412</v>
      </c>
      <c r="L1012" s="1" t="str">
        <f>"188"</f>
        <v>188</v>
      </c>
      <c r="M1012" s="1" t="str">
        <f>"0"</f>
        <v>0</v>
      </c>
      <c r="N1012" s="1" t="str">
        <f>"0"</f>
        <v>0</v>
      </c>
      <c r="O1012" s="1" t="str">
        <f>"144.32"</f>
        <v>144.32</v>
      </c>
    </row>
    <row r="1013" s="1" customFormat="1" spans="1:15">
      <c r="A1013" s="1" t="str">
        <f t="shared" si="645"/>
        <v>202406</v>
      </c>
      <c r="B1013" s="1" t="str">
        <f t="shared" si="646"/>
        <v>150525100</v>
      </c>
      <c r="C1013" s="1" t="str">
        <f>"1042688962"</f>
        <v>1042688962</v>
      </c>
      <c r="D1013" s="1" t="s">
        <v>1069</v>
      </c>
      <c r="E1013" s="1" t="s">
        <v>1070</v>
      </c>
      <c r="F1013" s="1" t="s">
        <v>16</v>
      </c>
      <c r="G1013" s="1" t="s">
        <v>17</v>
      </c>
      <c r="H1013" s="1" t="str">
        <f t="shared" si="656"/>
        <v>61</v>
      </c>
      <c r="I1013" s="1" t="str">
        <f>"169.02"</f>
        <v>169.02</v>
      </c>
      <c r="J1013" s="1" t="str">
        <f t="shared" ref="J1013:N1013" si="657">"0"</f>
        <v>0</v>
      </c>
      <c r="K1013" s="1" t="str">
        <f t="shared" ref="K1013:K1022" si="658">"103"</f>
        <v>103</v>
      </c>
      <c r="L1013" s="1" t="str">
        <f t="shared" ref="L1013:L1022" si="659">"47"</f>
        <v>47</v>
      </c>
      <c r="M1013" s="1" t="str">
        <f t="shared" si="657"/>
        <v>0</v>
      </c>
      <c r="N1013" s="1" t="str">
        <f t="shared" si="657"/>
        <v>0</v>
      </c>
      <c r="O1013" s="1" t="str">
        <f>"19.02"</f>
        <v>19.02</v>
      </c>
    </row>
    <row r="1014" s="1" customFormat="1" spans="1:15">
      <c r="A1014" s="1" t="str">
        <f t="shared" si="645"/>
        <v>202406</v>
      </c>
      <c r="B1014" s="1" t="str">
        <f t="shared" si="646"/>
        <v>150525100</v>
      </c>
      <c r="C1014" s="1" t="str">
        <f>"1042748543"</f>
        <v>1042748543</v>
      </c>
      <c r="D1014" s="1" t="s">
        <v>1071</v>
      </c>
      <c r="E1014" s="1" t="s">
        <v>1072</v>
      </c>
      <c r="F1014" s="1" t="s">
        <v>25</v>
      </c>
      <c r="G1014" s="1" t="s">
        <v>19</v>
      </c>
      <c r="H1014" s="1" t="str">
        <f t="shared" si="656"/>
        <v>61</v>
      </c>
      <c r="I1014" s="1" t="str">
        <f>"162.45"</f>
        <v>162.45</v>
      </c>
      <c r="J1014" s="1" t="str">
        <f t="shared" ref="J1014:N1014" si="660">"0"</f>
        <v>0</v>
      </c>
      <c r="K1014" s="1" t="str">
        <f t="shared" si="658"/>
        <v>103</v>
      </c>
      <c r="L1014" s="1" t="str">
        <f t="shared" si="659"/>
        <v>47</v>
      </c>
      <c r="M1014" s="1" t="str">
        <f t="shared" si="660"/>
        <v>0</v>
      </c>
      <c r="N1014" s="1" t="str">
        <f t="shared" si="660"/>
        <v>0</v>
      </c>
      <c r="O1014" s="1" t="str">
        <f>"12.45"</f>
        <v>12.45</v>
      </c>
    </row>
    <row r="1015" s="1" customFormat="1" spans="1:15">
      <c r="A1015" s="1" t="str">
        <f t="shared" si="645"/>
        <v>202406</v>
      </c>
      <c r="B1015" s="1" t="str">
        <f t="shared" si="646"/>
        <v>150525100</v>
      </c>
      <c r="C1015" s="1" t="str">
        <f>"1042833044"</f>
        <v>1042833044</v>
      </c>
      <c r="D1015" s="1" t="str">
        <f>"152326196307020420"</f>
        <v>152326196307020420</v>
      </c>
      <c r="E1015" s="1" t="s">
        <v>1073</v>
      </c>
      <c r="F1015" s="1" t="s">
        <v>16</v>
      </c>
      <c r="G1015" s="1" t="s">
        <v>17</v>
      </c>
      <c r="H1015" s="1" t="str">
        <f t="shared" si="656"/>
        <v>61</v>
      </c>
      <c r="I1015" s="1" t="str">
        <f>"168.91"</f>
        <v>168.91</v>
      </c>
      <c r="J1015" s="1" t="str">
        <f t="shared" ref="J1015:N1015" si="661">"0"</f>
        <v>0</v>
      </c>
      <c r="K1015" s="1" t="str">
        <f t="shared" si="658"/>
        <v>103</v>
      </c>
      <c r="L1015" s="1" t="str">
        <f t="shared" si="659"/>
        <v>47</v>
      </c>
      <c r="M1015" s="1" t="str">
        <f t="shared" si="661"/>
        <v>0</v>
      </c>
      <c r="N1015" s="1" t="str">
        <f t="shared" si="661"/>
        <v>0</v>
      </c>
      <c r="O1015" s="1" t="str">
        <f>"18.91"</f>
        <v>18.91</v>
      </c>
    </row>
    <row r="1016" s="1" customFormat="1" spans="1:15">
      <c r="A1016" s="1" t="str">
        <f t="shared" si="645"/>
        <v>202406</v>
      </c>
      <c r="B1016" s="1" t="str">
        <f t="shared" si="646"/>
        <v>150525100</v>
      </c>
      <c r="C1016" s="1" t="str">
        <f>"1042700549"</f>
        <v>1042700549</v>
      </c>
      <c r="D1016" s="1" t="str">
        <f>"152326196311200926"</f>
        <v>152326196311200926</v>
      </c>
      <c r="E1016" s="1" t="s">
        <v>1074</v>
      </c>
      <c r="F1016" s="1" t="s">
        <v>16</v>
      </c>
      <c r="G1016" s="1" t="s">
        <v>17</v>
      </c>
      <c r="H1016" s="1" t="str">
        <f t="shared" si="656"/>
        <v>61</v>
      </c>
      <c r="I1016" s="1" t="str">
        <f>"162.5"</f>
        <v>162.5</v>
      </c>
      <c r="J1016" s="1" t="str">
        <f t="shared" ref="J1016:N1016" si="662">"0"</f>
        <v>0</v>
      </c>
      <c r="K1016" s="1" t="str">
        <f t="shared" si="658"/>
        <v>103</v>
      </c>
      <c r="L1016" s="1" t="str">
        <f t="shared" si="659"/>
        <v>47</v>
      </c>
      <c r="M1016" s="1" t="str">
        <f t="shared" si="662"/>
        <v>0</v>
      </c>
      <c r="N1016" s="1" t="str">
        <f t="shared" si="662"/>
        <v>0</v>
      </c>
      <c r="O1016" s="1" t="str">
        <f>"12.5"</f>
        <v>12.5</v>
      </c>
    </row>
    <row r="1017" s="1" customFormat="1" spans="1:15">
      <c r="A1017" s="1" t="str">
        <f t="shared" si="645"/>
        <v>202406</v>
      </c>
      <c r="B1017" s="1" t="str">
        <f t="shared" si="646"/>
        <v>150525100</v>
      </c>
      <c r="C1017" s="1" t="str">
        <f>"1042717405"</f>
        <v>1042717405</v>
      </c>
      <c r="D1017" s="1" t="s">
        <v>1075</v>
      </c>
      <c r="E1017" s="1" t="s">
        <v>1076</v>
      </c>
      <c r="F1017" s="1" t="s">
        <v>16</v>
      </c>
      <c r="G1017" s="1" t="s">
        <v>19</v>
      </c>
      <c r="H1017" s="1" t="str">
        <f t="shared" si="656"/>
        <v>61</v>
      </c>
      <c r="I1017" s="1" t="str">
        <f>"197.43"</f>
        <v>197.43</v>
      </c>
      <c r="J1017" s="1" t="str">
        <f t="shared" ref="J1017:N1017" si="663">"0"</f>
        <v>0</v>
      </c>
      <c r="K1017" s="1" t="str">
        <f t="shared" si="658"/>
        <v>103</v>
      </c>
      <c r="L1017" s="1" t="str">
        <f t="shared" si="659"/>
        <v>47</v>
      </c>
      <c r="M1017" s="1" t="str">
        <f t="shared" si="663"/>
        <v>0</v>
      </c>
      <c r="N1017" s="1" t="str">
        <f t="shared" si="663"/>
        <v>0</v>
      </c>
      <c r="O1017" s="1" t="str">
        <f>"47.43"</f>
        <v>47.43</v>
      </c>
    </row>
    <row r="1018" s="1" customFormat="1" spans="1:15">
      <c r="A1018" s="1" t="str">
        <f t="shared" si="645"/>
        <v>202406</v>
      </c>
      <c r="B1018" s="1" t="str">
        <f t="shared" si="646"/>
        <v>150525100</v>
      </c>
      <c r="C1018" s="1" t="str">
        <f>"1042683712"</f>
        <v>1042683712</v>
      </c>
      <c r="D1018" s="1" t="s">
        <v>1077</v>
      </c>
      <c r="E1018" s="1" t="s">
        <v>1078</v>
      </c>
      <c r="F1018" s="1" t="s">
        <v>25</v>
      </c>
      <c r="G1018" s="1" t="s">
        <v>17</v>
      </c>
      <c r="H1018" s="1" t="str">
        <f t="shared" si="656"/>
        <v>61</v>
      </c>
      <c r="I1018" s="1" t="str">
        <f>"162.35"</f>
        <v>162.35</v>
      </c>
      <c r="J1018" s="1" t="str">
        <f t="shared" ref="J1018:N1018" si="664">"0"</f>
        <v>0</v>
      </c>
      <c r="K1018" s="1" t="str">
        <f t="shared" si="658"/>
        <v>103</v>
      </c>
      <c r="L1018" s="1" t="str">
        <f t="shared" si="659"/>
        <v>47</v>
      </c>
      <c r="M1018" s="1" t="str">
        <f t="shared" si="664"/>
        <v>0</v>
      </c>
      <c r="N1018" s="1" t="str">
        <f t="shared" si="664"/>
        <v>0</v>
      </c>
      <c r="O1018" s="1" t="str">
        <f>"12.35"</f>
        <v>12.35</v>
      </c>
    </row>
    <row r="1019" s="1" customFormat="1" spans="1:15">
      <c r="A1019" s="1" t="str">
        <f t="shared" si="645"/>
        <v>202406</v>
      </c>
      <c r="B1019" s="1" t="str">
        <f t="shared" si="646"/>
        <v>150525100</v>
      </c>
      <c r="C1019" s="1" t="str">
        <f>"1042689200"</f>
        <v>1042689200</v>
      </c>
      <c r="D1019" s="1" t="str">
        <f>"152326196207290423"</f>
        <v>152326196207290423</v>
      </c>
      <c r="E1019" s="1" t="s">
        <v>1079</v>
      </c>
      <c r="F1019" s="1" t="s">
        <v>16</v>
      </c>
      <c r="G1019" s="1" t="s">
        <v>19</v>
      </c>
      <c r="H1019" s="1" t="str">
        <f>"62"</f>
        <v>62</v>
      </c>
      <c r="I1019" s="1" t="str">
        <f>"166.86"</f>
        <v>166.86</v>
      </c>
      <c r="J1019" s="1" t="str">
        <f t="shared" ref="J1019:N1019" si="665">"0"</f>
        <v>0</v>
      </c>
      <c r="K1019" s="1" t="str">
        <f t="shared" si="658"/>
        <v>103</v>
      </c>
      <c r="L1019" s="1" t="str">
        <f t="shared" si="659"/>
        <v>47</v>
      </c>
      <c r="M1019" s="1" t="str">
        <f t="shared" si="665"/>
        <v>0</v>
      </c>
      <c r="N1019" s="1" t="str">
        <f t="shared" si="665"/>
        <v>0</v>
      </c>
      <c r="O1019" s="1" t="str">
        <f>"16.86"</f>
        <v>16.86</v>
      </c>
    </row>
    <row r="1020" s="1" customFormat="1" spans="1:15">
      <c r="A1020" s="1" t="str">
        <f t="shared" si="645"/>
        <v>202406</v>
      </c>
      <c r="B1020" s="1" t="str">
        <f t="shared" si="646"/>
        <v>150525100</v>
      </c>
      <c r="C1020" s="1" t="str">
        <f>"1040832676"</f>
        <v>1040832676</v>
      </c>
      <c r="D1020" s="1" t="str">
        <f>"152326194505200669"</f>
        <v>152326194505200669</v>
      </c>
      <c r="E1020" s="1" t="s">
        <v>1080</v>
      </c>
      <c r="F1020" s="1" t="s">
        <v>16</v>
      </c>
      <c r="G1020" s="1" t="s">
        <v>17</v>
      </c>
      <c r="H1020" s="1" t="str">
        <f>"79"</f>
        <v>79</v>
      </c>
      <c r="I1020" s="1" t="str">
        <f>"160"</f>
        <v>160</v>
      </c>
      <c r="J1020" s="1" t="str">
        <f t="shared" ref="J1020:O1020" si="666">"0"</f>
        <v>0</v>
      </c>
      <c r="K1020" s="1" t="str">
        <f t="shared" si="658"/>
        <v>103</v>
      </c>
      <c r="L1020" s="1" t="str">
        <f t="shared" si="659"/>
        <v>47</v>
      </c>
      <c r="M1020" s="1" t="str">
        <f t="shared" si="666"/>
        <v>0</v>
      </c>
      <c r="N1020" s="1" t="str">
        <f t="shared" si="666"/>
        <v>0</v>
      </c>
      <c r="O1020" s="1" t="str">
        <f t="shared" si="666"/>
        <v>0</v>
      </c>
    </row>
    <row r="1021" s="1" customFormat="1" spans="1:15">
      <c r="A1021" s="1" t="str">
        <f t="shared" si="645"/>
        <v>202406</v>
      </c>
      <c r="B1021" s="1" t="str">
        <f t="shared" si="646"/>
        <v>150525100</v>
      </c>
      <c r="C1021" s="1" t="str">
        <f>"1043091442"</f>
        <v>1043091442</v>
      </c>
      <c r="D1021" s="1" t="str">
        <f>"152326196111206370"</f>
        <v>152326196111206370</v>
      </c>
      <c r="E1021" s="1" t="s">
        <v>1081</v>
      </c>
      <c r="F1021" s="1" t="s">
        <v>25</v>
      </c>
      <c r="G1021" s="1" t="s">
        <v>17</v>
      </c>
      <c r="H1021" s="1" t="str">
        <f t="shared" ref="H1021:H1024" si="667">"63"</f>
        <v>63</v>
      </c>
      <c r="I1021" s="1" t="str">
        <f>"158.63"</f>
        <v>158.63</v>
      </c>
      <c r="J1021" s="1" t="str">
        <f t="shared" ref="J1021:N1021" si="668">"0"</f>
        <v>0</v>
      </c>
      <c r="K1021" s="1" t="str">
        <f t="shared" si="658"/>
        <v>103</v>
      </c>
      <c r="L1021" s="1" t="str">
        <f t="shared" si="659"/>
        <v>47</v>
      </c>
      <c r="M1021" s="1" t="str">
        <f t="shared" si="668"/>
        <v>0</v>
      </c>
      <c r="N1021" s="1" t="str">
        <f t="shared" si="668"/>
        <v>0</v>
      </c>
      <c r="O1021" s="1" t="str">
        <f>"8.63"</f>
        <v>8.63</v>
      </c>
    </row>
    <row r="1022" s="1" customFormat="1" spans="1:15">
      <c r="A1022" s="1" t="str">
        <f t="shared" si="645"/>
        <v>202406</v>
      </c>
      <c r="B1022" s="1" t="str">
        <f t="shared" si="646"/>
        <v>150525100</v>
      </c>
      <c r="C1022" s="1" t="str">
        <f>"1043311898"</f>
        <v>1043311898</v>
      </c>
      <c r="D1022" s="1" t="str">
        <f>"152326196211280017"</f>
        <v>152326196211280017</v>
      </c>
      <c r="E1022" s="1" t="s">
        <v>1082</v>
      </c>
      <c r="F1022" s="1" t="s">
        <v>25</v>
      </c>
      <c r="G1022" s="1" t="s">
        <v>17</v>
      </c>
      <c r="H1022" s="1" t="str">
        <f t="shared" ref="H1022:H1028" si="669">"62"</f>
        <v>62</v>
      </c>
      <c r="I1022" s="1" t="str">
        <f>"165.85"</f>
        <v>165.85</v>
      </c>
      <c r="J1022" s="1" t="str">
        <f t="shared" ref="J1022:N1022" si="670">"0"</f>
        <v>0</v>
      </c>
      <c r="K1022" s="1" t="str">
        <f t="shared" si="658"/>
        <v>103</v>
      </c>
      <c r="L1022" s="1" t="str">
        <f t="shared" si="659"/>
        <v>47</v>
      </c>
      <c r="M1022" s="1" t="str">
        <f t="shared" si="670"/>
        <v>0</v>
      </c>
      <c r="N1022" s="1" t="str">
        <f t="shared" si="670"/>
        <v>0</v>
      </c>
      <c r="O1022" s="1" t="str">
        <f>"15.85"</f>
        <v>15.85</v>
      </c>
    </row>
    <row r="1023" s="1" customFormat="1" spans="1:15">
      <c r="A1023" s="1" t="str">
        <f t="shared" si="645"/>
        <v>202406</v>
      </c>
      <c r="B1023" s="1" t="str">
        <f t="shared" si="646"/>
        <v>150525100</v>
      </c>
      <c r="C1023" s="1" t="str">
        <f>"1043235990"</f>
        <v>1043235990</v>
      </c>
      <c r="D1023" s="1" t="str">
        <f>"152326196110250679"</f>
        <v>152326196110250679</v>
      </c>
      <c r="E1023" s="1" t="s">
        <v>1083</v>
      </c>
      <c r="F1023" s="1" t="s">
        <v>25</v>
      </c>
      <c r="G1023" s="1" t="s">
        <v>19</v>
      </c>
      <c r="H1023" s="1" t="str">
        <f t="shared" si="667"/>
        <v>63</v>
      </c>
      <c r="I1023" s="1" t="str">
        <f>"634.48"</f>
        <v>634.48</v>
      </c>
      <c r="J1023" s="1" t="str">
        <f>"475.86"</f>
        <v>475.86</v>
      </c>
      <c r="K1023" s="1" t="str">
        <f>"412"</f>
        <v>412</v>
      </c>
      <c r="L1023" s="1" t="str">
        <f>"188"</f>
        <v>188</v>
      </c>
      <c r="M1023" s="1" t="str">
        <f>"0"</f>
        <v>0</v>
      </c>
      <c r="N1023" s="1" t="str">
        <f>"0"</f>
        <v>0</v>
      </c>
      <c r="O1023" s="1" t="str">
        <f>"34.48"</f>
        <v>34.48</v>
      </c>
    </row>
    <row r="1024" s="1" customFormat="1" spans="1:15">
      <c r="A1024" s="1" t="str">
        <f t="shared" si="645"/>
        <v>202406</v>
      </c>
      <c r="B1024" s="1" t="str">
        <f t="shared" si="646"/>
        <v>150525100</v>
      </c>
      <c r="C1024" s="1" t="str">
        <f>"1043320477"</f>
        <v>1043320477</v>
      </c>
      <c r="D1024" s="1" t="str">
        <f>"152326196112273815"</f>
        <v>152326196112273815</v>
      </c>
      <c r="E1024" s="1" t="s">
        <v>1084</v>
      </c>
      <c r="F1024" s="1" t="s">
        <v>25</v>
      </c>
      <c r="G1024" s="1" t="s">
        <v>19</v>
      </c>
      <c r="H1024" s="1" t="str">
        <f t="shared" si="667"/>
        <v>63</v>
      </c>
      <c r="I1024" s="1" t="str">
        <f>"158.67"</f>
        <v>158.67</v>
      </c>
      <c r="J1024" s="1" t="str">
        <f t="shared" ref="J1024:N1024" si="671">"0"</f>
        <v>0</v>
      </c>
      <c r="K1024" s="1" t="str">
        <f t="shared" ref="K1024:K1061" si="672">"103"</f>
        <v>103</v>
      </c>
      <c r="L1024" s="1" t="str">
        <f t="shared" ref="L1024:L1061" si="673">"47"</f>
        <v>47</v>
      </c>
      <c r="M1024" s="1" t="str">
        <f t="shared" si="671"/>
        <v>0</v>
      </c>
      <c r="N1024" s="1" t="str">
        <f t="shared" si="671"/>
        <v>0</v>
      </c>
      <c r="O1024" s="1" t="str">
        <f>"8.67"</f>
        <v>8.67</v>
      </c>
    </row>
    <row r="1025" s="1" customFormat="1" spans="1:15">
      <c r="A1025" s="1" t="str">
        <f t="shared" si="645"/>
        <v>202406</v>
      </c>
      <c r="B1025" s="1" t="str">
        <f t="shared" si="646"/>
        <v>150525100</v>
      </c>
      <c r="C1025" s="1" t="str">
        <f>"1043313937"</f>
        <v>1043313937</v>
      </c>
      <c r="D1025" s="1" t="str">
        <f>"152326196211240445"</f>
        <v>152326196211240445</v>
      </c>
      <c r="E1025" s="1" t="s">
        <v>1085</v>
      </c>
      <c r="F1025" s="1" t="s">
        <v>16</v>
      </c>
      <c r="G1025" s="1" t="s">
        <v>17</v>
      </c>
      <c r="H1025" s="1" t="str">
        <f t="shared" si="669"/>
        <v>62</v>
      </c>
      <c r="I1025" s="1" t="str">
        <f t="shared" ref="I1025:I1030" si="674">"165.85"</f>
        <v>165.85</v>
      </c>
      <c r="J1025" s="1" t="str">
        <f t="shared" ref="J1025:N1025" si="675">"0"</f>
        <v>0</v>
      </c>
      <c r="K1025" s="1" t="str">
        <f t="shared" si="672"/>
        <v>103</v>
      </c>
      <c r="L1025" s="1" t="str">
        <f t="shared" si="673"/>
        <v>47</v>
      </c>
      <c r="M1025" s="1" t="str">
        <f t="shared" si="675"/>
        <v>0</v>
      </c>
      <c r="N1025" s="1" t="str">
        <f t="shared" si="675"/>
        <v>0</v>
      </c>
      <c r="O1025" s="1" t="str">
        <f t="shared" ref="O1025:O1030" si="676">"15.85"</f>
        <v>15.85</v>
      </c>
    </row>
    <row r="1026" s="1" customFormat="1" spans="1:15">
      <c r="A1026" s="1" t="str">
        <f t="shared" ref="A1026:A1089" si="677">"202406"</f>
        <v>202406</v>
      </c>
      <c r="B1026" s="1" t="str">
        <f t="shared" ref="B1026:B1089" si="678">"150525100"</f>
        <v>150525100</v>
      </c>
      <c r="C1026" s="1" t="str">
        <f>"1043319504"</f>
        <v>1043319504</v>
      </c>
      <c r="D1026" s="1" t="str">
        <f>"152326196108020671"</f>
        <v>152326196108020671</v>
      </c>
      <c r="E1026" s="1" t="s">
        <v>1086</v>
      </c>
      <c r="F1026" s="1" t="s">
        <v>25</v>
      </c>
      <c r="G1026" s="1" t="s">
        <v>17</v>
      </c>
      <c r="H1026" s="1" t="str">
        <f>"63"</f>
        <v>63</v>
      </c>
      <c r="I1026" s="1" t="str">
        <f>"164.41"</f>
        <v>164.41</v>
      </c>
      <c r="J1026" s="1" t="str">
        <f t="shared" ref="J1026:N1026" si="679">"0"</f>
        <v>0</v>
      </c>
      <c r="K1026" s="1" t="str">
        <f t="shared" si="672"/>
        <v>103</v>
      </c>
      <c r="L1026" s="1" t="str">
        <f t="shared" si="673"/>
        <v>47</v>
      </c>
      <c r="M1026" s="1" t="str">
        <f t="shared" si="679"/>
        <v>0</v>
      </c>
      <c r="N1026" s="1" t="str">
        <f t="shared" si="679"/>
        <v>0</v>
      </c>
      <c r="O1026" s="1" t="str">
        <f>"14.41"</f>
        <v>14.41</v>
      </c>
    </row>
    <row r="1027" s="1" customFormat="1" spans="1:15">
      <c r="A1027" s="1" t="str">
        <f t="shared" si="677"/>
        <v>202406</v>
      </c>
      <c r="B1027" s="1" t="str">
        <f t="shared" si="678"/>
        <v>150525100</v>
      </c>
      <c r="C1027" s="1" t="str">
        <f>"1043124937"</f>
        <v>1043124937</v>
      </c>
      <c r="D1027" s="1" t="str">
        <f>"152326196207280671"</f>
        <v>152326196207280671</v>
      </c>
      <c r="E1027" s="1" t="s">
        <v>1087</v>
      </c>
      <c r="F1027" s="1" t="s">
        <v>25</v>
      </c>
      <c r="G1027" s="1" t="s">
        <v>19</v>
      </c>
      <c r="H1027" s="1" t="str">
        <f t="shared" si="669"/>
        <v>62</v>
      </c>
      <c r="I1027" s="1" t="str">
        <f>"165.86"</f>
        <v>165.86</v>
      </c>
      <c r="J1027" s="1" t="str">
        <f t="shared" ref="J1027:N1027" si="680">"0"</f>
        <v>0</v>
      </c>
      <c r="K1027" s="1" t="str">
        <f t="shared" si="672"/>
        <v>103</v>
      </c>
      <c r="L1027" s="1" t="str">
        <f t="shared" si="673"/>
        <v>47</v>
      </c>
      <c r="M1027" s="1" t="str">
        <f t="shared" si="680"/>
        <v>0</v>
      </c>
      <c r="N1027" s="1" t="str">
        <f t="shared" si="680"/>
        <v>0</v>
      </c>
      <c r="O1027" s="1" t="str">
        <f>"15.86"</f>
        <v>15.86</v>
      </c>
    </row>
    <row r="1028" s="1" customFormat="1" spans="1:15">
      <c r="A1028" s="1" t="str">
        <f t="shared" si="677"/>
        <v>202406</v>
      </c>
      <c r="B1028" s="1" t="str">
        <f t="shared" si="678"/>
        <v>150525100</v>
      </c>
      <c r="C1028" s="1" t="str">
        <f>"1043274799"</f>
        <v>1043274799</v>
      </c>
      <c r="D1028" s="1" t="str">
        <f>"152326196207176372"</f>
        <v>152326196207176372</v>
      </c>
      <c r="E1028" s="1" t="s">
        <v>1088</v>
      </c>
      <c r="F1028" s="1" t="s">
        <v>25</v>
      </c>
      <c r="G1028" s="1" t="s">
        <v>17</v>
      </c>
      <c r="H1028" s="1" t="str">
        <f t="shared" si="669"/>
        <v>62</v>
      </c>
      <c r="I1028" s="1" t="str">
        <f t="shared" si="674"/>
        <v>165.85</v>
      </c>
      <c r="J1028" s="1" t="str">
        <f t="shared" ref="J1028:N1028" si="681">"0"</f>
        <v>0</v>
      </c>
      <c r="K1028" s="1" t="str">
        <f t="shared" si="672"/>
        <v>103</v>
      </c>
      <c r="L1028" s="1" t="str">
        <f t="shared" si="673"/>
        <v>47</v>
      </c>
      <c r="M1028" s="1" t="str">
        <f t="shared" si="681"/>
        <v>0</v>
      </c>
      <c r="N1028" s="1" t="str">
        <f t="shared" si="681"/>
        <v>0</v>
      </c>
      <c r="O1028" s="1" t="str">
        <f t="shared" si="676"/>
        <v>15.85</v>
      </c>
    </row>
    <row r="1029" s="1" customFormat="1" spans="1:15">
      <c r="A1029" s="1" t="str">
        <f t="shared" si="677"/>
        <v>202406</v>
      </c>
      <c r="B1029" s="1" t="str">
        <f t="shared" si="678"/>
        <v>150525100</v>
      </c>
      <c r="C1029" s="1" t="str">
        <f>"1042682601"</f>
        <v>1042682601</v>
      </c>
      <c r="D1029" s="1" t="str">
        <f>"152326196103250419"</f>
        <v>152326196103250419</v>
      </c>
      <c r="E1029" s="1" t="s">
        <v>1089</v>
      </c>
      <c r="F1029" s="1" t="s">
        <v>25</v>
      </c>
      <c r="G1029" s="1" t="s">
        <v>17</v>
      </c>
      <c r="H1029" s="1" t="str">
        <f>"63"</f>
        <v>63</v>
      </c>
      <c r="I1029" s="1" t="str">
        <f>"158.86"</f>
        <v>158.86</v>
      </c>
      <c r="J1029" s="1" t="str">
        <f t="shared" ref="J1029:N1029" si="682">"0"</f>
        <v>0</v>
      </c>
      <c r="K1029" s="1" t="str">
        <f t="shared" si="672"/>
        <v>103</v>
      </c>
      <c r="L1029" s="1" t="str">
        <f t="shared" si="673"/>
        <v>47</v>
      </c>
      <c r="M1029" s="1" t="str">
        <f t="shared" si="682"/>
        <v>0</v>
      </c>
      <c r="N1029" s="1" t="str">
        <f t="shared" si="682"/>
        <v>0</v>
      </c>
      <c r="O1029" s="1" t="str">
        <f>"8.86"</f>
        <v>8.86</v>
      </c>
    </row>
    <row r="1030" s="1" customFormat="1" spans="1:15">
      <c r="A1030" s="1" t="str">
        <f t="shared" si="677"/>
        <v>202406</v>
      </c>
      <c r="B1030" s="1" t="str">
        <f t="shared" si="678"/>
        <v>150525100</v>
      </c>
      <c r="C1030" s="1" t="str">
        <f>"1042691373"</f>
        <v>1042691373</v>
      </c>
      <c r="D1030" s="1" t="str">
        <f>"152326196206013336"</f>
        <v>152326196206013336</v>
      </c>
      <c r="E1030" s="1" t="s">
        <v>1090</v>
      </c>
      <c r="F1030" s="1" t="s">
        <v>25</v>
      </c>
      <c r="G1030" s="1" t="s">
        <v>17</v>
      </c>
      <c r="H1030" s="1" t="str">
        <f>"62"</f>
        <v>62</v>
      </c>
      <c r="I1030" s="1" t="str">
        <f t="shared" si="674"/>
        <v>165.85</v>
      </c>
      <c r="J1030" s="1" t="str">
        <f t="shared" ref="J1030:N1030" si="683">"0"</f>
        <v>0</v>
      </c>
      <c r="K1030" s="1" t="str">
        <f t="shared" si="672"/>
        <v>103</v>
      </c>
      <c r="L1030" s="1" t="str">
        <f t="shared" si="673"/>
        <v>47</v>
      </c>
      <c r="M1030" s="1" t="str">
        <f t="shared" si="683"/>
        <v>0</v>
      </c>
      <c r="N1030" s="1" t="str">
        <f t="shared" si="683"/>
        <v>0</v>
      </c>
      <c r="O1030" s="1" t="str">
        <f t="shared" si="676"/>
        <v>15.85</v>
      </c>
    </row>
    <row r="1031" s="1" customFormat="1" spans="1:15">
      <c r="A1031" s="1" t="str">
        <f t="shared" si="677"/>
        <v>202406</v>
      </c>
      <c r="B1031" s="1" t="str">
        <f t="shared" si="678"/>
        <v>150525100</v>
      </c>
      <c r="C1031" s="1" t="str">
        <f>"1040651117"</f>
        <v>1040651117</v>
      </c>
      <c r="D1031" s="1" t="str">
        <f>"152326196004110664"</f>
        <v>152326196004110664</v>
      </c>
      <c r="E1031" s="1" t="s">
        <v>1091</v>
      </c>
      <c r="F1031" s="1" t="s">
        <v>16</v>
      </c>
      <c r="G1031" s="1" t="s">
        <v>17</v>
      </c>
      <c r="H1031" s="1" t="str">
        <f>"64"</f>
        <v>64</v>
      </c>
      <c r="I1031" s="1" t="str">
        <f>"158.57"</f>
        <v>158.57</v>
      </c>
      <c r="J1031" s="1" t="str">
        <f t="shared" ref="J1031:N1031" si="684">"0"</f>
        <v>0</v>
      </c>
      <c r="K1031" s="1" t="str">
        <f t="shared" si="672"/>
        <v>103</v>
      </c>
      <c r="L1031" s="1" t="str">
        <f t="shared" si="673"/>
        <v>47</v>
      </c>
      <c r="M1031" s="1" t="str">
        <f t="shared" si="684"/>
        <v>0</v>
      </c>
      <c r="N1031" s="1" t="str">
        <f t="shared" si="684"/>
        <v>0</v>
      </c>
      <c r="O1031" s="1" t="str">
        <f>"8.57"</f>
        <v>8.57</v>
      </c>
    </row>
    <row r="1032" s="1" customFormat="1" spans="1:15">
      <c r="A1032" s="1" t="str">
        <f t="shared" si="677"/>
        <v>202406</v>
      </c>
      <c r="B1032" s="1" t="str">
        <f t="shared" si="678"/>
        <v>150525100</v>
      </c>
      <c r="C1032" s="1" t="str">
        <f>"1040651120"</f>
        <v>1040651120</v>
      </c>
      <c r="D1032" s="1" t="str">
        <f>"152326195910070671"</f>
        <v>152326195910070671</v>
      </c>
      <c r="E1032" s="1" t="s">
        <v>1092</v>
      </c>
      <c r="F1032" s="1" t="s">
        <v>25</v>
      </c>
      <c r="G1032" s="1" t="s">
        <v>19</v>
      </c>
      <c r="H1032" s="1" t="str">
        <f>"65"</f>
        <v>65</v>
      </c>
      <c r="I1032" s="1" t="str">
        <f>"157.58"</f>
        <v>157.58</v>
      </c>
      <c r="J1032" s="1" t="str">
        <f t="shared" ref="J1032:N1032" si="685">"0"</f>
        <v>0</v>
      </c>
      <c r="K1032" s="1" t="str">
        <f t="shared" si="672"/>
        <v>103</v>
      </c>
      <c r="L1032" s="1" t="str">
        <f t="shared" si="673"/>
        <v>47</v>
      </c>
      <c r="M1032" s="1" t="str">
        <f t="shared" si="685"/>
        <v>0</v>
      </c>
      <c r="N1032" s="1" t="str">
        <f t="shared" si="685"/>
        <v>0</v>
      </c>
      <c r="O1032" s="1" t="str">
        <f>"7.58"</f>
        <v>7.58</v>
      </c>
    </row>
    <row r="1033" s="1" customFormat="1" spans="1:15">
      <c r="A1033" s="1" t="str">
        <f t="shared" si="677"/>
        <v>202406</v>
      </c>
      <c r="B1033" s="1" t="str">
        <f t="shared" si="678"/>
        <v>150525100</v>
      </c>
      <c r="C1033" s="1" t="str">
        <f>"1040651128"</f>
        <v>1040651128</v>
      </c>
      <c r="D1033" s="1" t="str">
        <f>"152326195702070669"</f>
        <v>152326195702070669</v>
      </c>
      <c r="E1033" s="1" t="s">
        <v>907</v>
      </c>
      <c r="F1033" s="1" t="s">
        <v>16</v>
      </c>
      <c r="G1033" s="1" t="s">
        <v>17</v>
      </c>
      <c r="H1033" s="1" t="str">
        <f>"67"</f>
        <v>67</v>
      </c>
      <c r="I1033" s="1" t="str">
        <f>"204.43"</f>
        <v>204.43</v>
      </c>
      <c r="J1033" s="1" t="str">
        <f>"0"</f>
        <v>0</v>
      </c>
      <c r="K1033" s="1" t="str">
        <f t="shared" si="672"/>
        <v>103</v>
      </c>
      <c r="L1033" s="1" t="str">
        <f t="shared" si="673"/>
        <v>47</v>
      </c>
      <c r="M1033" s="1" t="str">
        <f>"0"</f>
        <v>0</v>
      </c>
      <c r="N1033" s="1" t="str">
        <f>"48.99"</f>
        <v>48.99</v>
      </c>
      <c r="O1033" s="1" t="str">
        <f>"5.44"</f>
        <v>5.44</v>
      </c>
    </row>
    <row r="1034" s="1" customFormat="1" spans="1:15">
      <c r="A1034" s="1" t="str">
        <f t="shared" si="677"/>
        <v>202406</v>
      </c>
      <c r="B1034" s="1" t="str">
        <f t="shared" si="678"/>
        <v>150525100</v>
      </c>
      <c r="C1034" s="1" t="str">
        <f>"1040651147"</f>
        <v>1040651147</v>
      </c>
      <c r="D1034" s="1" t="str">
        <f>"152326195609080678"</f>
        <v>152326195609080678</v>
      </c>
      <c r="E1034" s="1" t="s">
        <v>1093</v>
      </c>
      <c r="F1034" s="1" t="s">
        <v>25</v>
      </c>
      <c r="G1034" s="1" t="s">
        <v>17</v>
      </c>
      <c r="H1034" s="1" t="str">
        <f>"68"</f>
        <v>68</v>
      </c>
      <c r="I1034" s="1" t="str">
        <f>"155.43"</f>
        <v>155.43</v>
      </c>
      <c r="J1034" s="1" t="str">
        <f t="shared" ref="J1034:N1034" si="686">"0"</f>
        <v>0</v>
      </c>
      <c r="K1034" s="1" t="str">
        <f t="shared" si="672"/>
        <v>103</v>
      </c>
      <c r="L1034" s="1" t="str">
        <f t="shared" si="673"/>
        <v>47</v>
      </c>
      <c r="M1034" s="1" t="str">
        <f t="shared" si="686"/>
        <v>0</v>
      </c>
      <c r="N1034" s="1" t="str">
        <f t="shared" si="686"/>
        <v>0</v>
      </c>
      <c r="O1034" s="1" t="str">
        <f>"5.43"</f>
        <v>5.43</v>
      </c>
    </row>
    <row r="1035" s="1" customFormat="1" spans="1:15">
      <c r="A1035" s="1" t="str">
        <f t="shared" si="677"/>
        <v>202406</v>
      </c>
      <c r="B1035" s="1" t="str">
        <f t="shared" si="678"/>
        <v>150525100</v>
      </c>
      <c r="C1035" s="1" t="str">
        <f>"1014561305"</f>
        <v>1014561305</v>
      </c>
      <c r="D1035" s="1" t="str">
        <f>"152326196304110412"</f>
        <v>152326196304110412</v>
      </c>
      <c r="E1035" s="1" t="s">
        <v>1094</v>
      </c>
      <c r="F1035" s="1" t="s">
        <v>25</v>
      </c>
      <c r="G1035" s="1" t="s">
        <v>17</v>
      </c>
      <c r="H1035" s="1" t="str">
        <f>"61"</f>
        <v>61</v>
      </c>
      <c r="I1035" s="1" t="str">
        <f>"164.47"</f>
        <v>164.47</v>
      </c>
      <c r="J1035" s="1" t="str">
        <f t="shared" ref="J1035:N1035" si="687">"0"</f>
        <v>0</v>
      </c>
      <c r="K1035" s="1" t="str">
        <f t="shared" si="672"/>
        <v>103</v>
      </c>
      <c r="L1035" s="1" t="str">
        <f t="shared" si="673"/>
        <v>47</v>
      </c>
      <c r="M1035" s="1" t="str">
        <f t="shared" si="687"/>
        <v>0</v>
      </c>
      <c r="N1035" s="1" t="str">
        <f t="shared" si="687"/>
        <v>0</v>
      </c>
      <c r="O1035" s="1" t="str">
        <f>"14.47"</f>
        <v>14.47</v>
      </c>
    </row>
    <row r="1036" s="1" customFormat="1" spans="1:15">
      <c r="A1036" s="1" t="str">
        <f t="shared" si="677"/>
        <v>202406</v>
      </c>
      <c r="B1036" s="1" t="str">
        <f t="shared" si="678"/>
        <v>150525100</v>
      </c>
      <c r="C1036" s="1" t="str">
        <f>"1014562558"</f>
        <v>1014562558</v>
      </c>
      <c r="D1036" s="1" t="str">
        <f>"152326195303060447"</f>
        <v>152326195303060447</v>
      </c>
      <c r="E1036" s="1" t="s">
        <v>1095</v>
      </c>
      <c r="F1036" s="1" t="s">
        <v>16</v>
      </c>
      <c r="G1036" s="1" t="s">
        <v>17</v>
      </c>
      <c r="H1036" s="1" t="str">
        <f>"71"</f>
        <v>71</v>
      </c>
      <c r="I1036" s="1" t="str">
        <f>"163.18"</f>
        <v>163.18</v>
      </c>
      <c r="J1036" s="1" t="str">
        <f t="shared" ref="J1036:N1036" si="688">"0"</f>
        <v>0</v>
      </c>
      <c r="K1036" s="1" t="str">
        <f t="shared" si="672"/>
        <v>103</v>
      </c>
      <c r="L1036" s="1" t="str">
        <f t="shared" si="673"/>
        <v>47</v>
      </c>
      <c r="M1036" s="1" t="str">
        <f t="shared" si="688"/>
        <v>0</v>
      </c>
      <c r="N1036" s="1" t="str">
        <f t="shared" si="688"/>
        <v>0</v>
      </c>
      <c r="O1036" s="1" t="str">
        <f>"3.18"</f>
        <v>3.18</v>
      </c>
    </row>
    <row r="1037" s="1" customFormat="1" spans="1:15">
      <c r="A1037" s="1" t="str">
        <f t="shared" si="677"/>
        <v>202406</v>
      </c>
      <c r="B1037" s="1" t="str">
        <f t="shared" si="678"/>
        <v>150525100</v>
      </c>
      <c r="C1037" s="1" t="str">
        <f>"1014563080"</f>
        <v>1014563080</v>
      </c>
      <c r="D1037" s="1" t="str">
        <f>"152326195706020415"</f>
        <v>152326195706020415</v>
      </c>
      <c r="E1037" s="1" t="s">
        <v>1096</v>
      </c>
      <c r="F1037" s="1" t="s">
        <v>25</v>
      </c>
      <c r="G1037" s="1" t="s">
        <v>17</v>
      </c>
      <c r="H1037" s="1" t="str">
        <f>"67"</f>
        <v>67</v>
      </c>
      <c r="I1037" s="1" t="str">
        <f>"156.09"</f>
        <v>156.09</v>
      </c>
      <c r="J1037" s="1" t="str">
        <f t="shared" ref="J1037:N1037" si="689">"0"</f>
        <v>0</v>
      </c>
      <c r="K1037" s="1" t="str">
        <f t="shared" si="672"/>
        <v>103</v>
      </c>
      <c r="L1037" s="1" t="str">
        <f t="shared" si="673"/>
        <v>47</v>
      </c>
      <c r="M1037" s="1" t="str">
        <f t="shared" si="689"/>
        <v>0</v>
      </c>
      <c r="N1037" s="1" t="str">
        <f t="shared" si="689"/>
        <v>0</v>
      </c>
      <c r="O1037" s="1" t="str">
        <f>"6.09"</f>
        <v>6.09</v>
      </c>
    </row>
    <row r="1038" s="1" customFormat="1" spans="1:15">
      <c r="A1038" s="1" t="str">
        <f t="shared" si="677"/>
        <v>202406</v>
      </c>
      <c r="B1038" s="1" t="str">
        <f t="shared" si="678"/>
        <v>150525100</v>
      </c>
      <c r="C1038" s="1" t="str">
        <f>"1014563438"</f>
        <v>1014563438</v>
      </c>
      <c r="D1038" s="1" t="str">
        <f>"152326196009290449"</f>
        <v>152326196009290449</v>
      </c>
      <c r="E1038" s="1" t="s">
        <v>1097</v>
      </c>
      <c r="F1038" s="1" t="s">
        <v>16</v>
      </c>
      <c r="G1038" s="1" t="s">
        <v>17</v>
      </c>
      <c r="H1038" s="1" t="str">
        <f>"64"</f>
        <v>64</v>
      </c>
      <c r="I1038" s="1" t="str">
        <f>"159.28"</f>
        <v>159.28</v>
      </c>
      <c r="J1038" s="1" t="str">
        <f t="shared" ref="J1038:N1038" si="690">"0"</f>
        <v>0</v>
      </c>
      <c r="K1038" s="1" t="str">
        <f t="shared" si="672"/>
        <v>103</v>
      </c>
      <c r="L1038" s="1" t="str">
        <f t="shared" si="673"/>
        <v>47</v>
      </c>
      <c r="M1038" s="1" t="str">
        <f t="shared" si="690"/>
        <v>0</v>
      </c>
      <c r="N1038" s="1" t="str">
        <f t="shared" si="690"/>
        <v>0</v>
      </c>
      <c r="O1038" s="1" t="str">
        <f>"9.28"</f>
        <v>9.28</v>
      </c>
    </row>
    <row r="1039" s="1" customFormat="1" spans="1:15">
      <c r="A1039" s="1" t="str">
        <f t="shared" si="677"/>
        <v>202406</v>
      </c>
      <c r="B1039" s="1" t="str">
        <f t="shared" si="678"/>
        <v>150525100</v>
      </c>
      <c r="C1039" s="1" t="str">
        <f>"1014569858"</f>
        <v>1014569858</v>
      </c>
      <c r="D1039" s="1" t="s">
        <v>1098</v>
      </c>
      <c r="E1039" s="1" t="s">
        <v>1099</v>
      </c>
      <c r="F1039" s="1" t="s">
        <v>25</v>
      </c>
      <c r="G1039" s="1" t="s">
        <v>17</v>
      </c>
      <c r="H1039" s="1" t="str">
        <f>"63"</f>
        <v>63</v>
      </c>
      <c r="I1039" s="1" t="str">
        <f>"161.03"</f>
        <v>161.03</v>
      </c>
      <c r="J1039" s="1" t="str">
        <f t="shared" ref="J1039:N1039" si="691">"0"</f>
        <v>0</v>
      </c>
      <c r="K1039" s="1" t="str">
        <f t="shared" si="672"/>
        <v>103</v>
      </c>
      <c r="L1039" s="1" t="str">
        <f t="shared" si="673"/>
        <v>47</v>
      </c>
      <c r="M1039" s="1" t="str">
        <f t="shared" si="691"/>
        <v>0</v>
      </c>
      <c r="N1039" s="1" t="str">
        <f t="shared" si="691"/>
        <v>0</v>
      </c>
      <c r="O1039" s="1" t="str">
        <f>"11.03"</f>
        <v>11.03</v>
      </c>
    </row>
    <row r="1040" s="1" customFormat="1" spans="1:15">
      <c r="A1040" s="1" t="str">
        <f t="shared" si="677"/>
        <v>202406</v>
      </c>
      <c r="B1040" s="1" t="str">
        <f t="shared" si="678"/>
        <v>150525100</v>
      </c>
      <c r="C1040" s="1" t="str">
        <f>"1014569867"</f>
        <v>1014569867</v>
      </c>
      <c r="D1040" s="1" t="str">
        <f>"152326195512020425"</f>
        <v>152326195512020425</v>
      </c>
      <c r="E1040" s="1" t="s">
        <v>1100</v>
      </c>
      <c r="F1040" s="1" t="s">
        <v>16</v>
      </c>
      <c r="G1040" s="1" t="s">
        <v>96</v>
      </c>
      <c r="H1040" s="1" t="str">
        <f>"69"</f>
        <v>69</v>
      </c>
      <c r="I1040" s="1" t="str">
        <f>"155.1"</f>
        <v>155.1</v>
      </c>
      <c r="J1040" s="1" t="str">
        <f t="shared" ref="J1040:N1040" si="692">"0"</f>
        <v>0</v>
      </c>
      <c r="K1040" s="1" t="str">
        <f t="shared" si="672"/>
        <v>103</v>
      </c>
      <c r="L1040" s="1" t="str">
        <f t="shared" si="673"/>
        <v>47</v>
      </c>
      <c r="M1040" s="1" t="str">
        <f t="shared" si="692"/>
        <v>0</v>
      </c>
      <c r="N1040" s="1" t="str">
        <f t="shared" si="692"/>
        <v>0</v>
      </c>
      <c r="O1040" s="1" t="str">
        <f>"5.1"</f>
        <v>5.1</v>
      </c>
    </row>
    <row r="1041" s="1" customFormat="1" spans="1:15">
      <c r="A1041" s="1" t="str">
        <f t="shared" si="677"/>
        <v>202406</v>
      </c>
      <c r="B1041" s="1" t="str">
        <f t="shared" si="678"/>
        <v>150525100</v>
      </c>
      <c r="C1041" s="1" t="str">
        <f>"1014569880"</f>
        <v>1014569880</v>
      </c>
      <c r="D1041" s="1" t="str">
        <f>"152326195603290420"</f>
        <v>152326195603290420</v>
      </c>
      <c r="E1041" s="1" t="s">
        <v>1101</v>
      </c>
      <c r="F1041" s="1" t="s">
        <v>16</v>
      </c>
      <c r="G1041" s="1" t="s">
        <v>19</v>
      </c>
      <c r="H1041" s="1" t="str">
        <f>"68"</f>
        <v>68</v>
      </c>
      <c r="I1041" s="1" t="str">
        <f>"155.03"</f>
        <v>155.03</v>
      </c>
      <c r="J1041" s="1" t="str">
        <f t="shared" ref="J1041:N1041" si="693">"0"</f>
        <v>0</v>
      </c>
      <c r="K1041" s="1" t="str">
        <f t="shared" si="672"/>
        <v>103</v>
      </c>
      <c r="L1041" s="1" t="str">
        <f t="shared" si="673"/>
        <v>47</v>
      </c>
      <c r="M1041" s="1" t="str">
        <f t="shared" si="693"/>
        <v>0</v>
      </c>
      <c r="N1041" s="1" t="str">
        <f t="shared" si="693"/>
        <v>0</v>
      </c>
      <c r="O1041" s="1" t="str">
        <f>"5.03"</f>
        <v>5.03</v>
      </c>
    </row>
    <row r="1042" s="1" customFormat="1" spans="1:15">
      <c r="A1042" s="1" t="str">
        <f t="shared" si="677"/>
        <v>202406</v>
      </c>
      <c r="B1042" s="1" t="str">
        <f t="shared" si="678"/>
        <v>150525100</v>
      </c>
      <c r="C1042" s="1" t="str">
        <f>"1014583757"</f>
        <v>1014583757</v>
      </c>
      <c r="D1042" s="1" t="str">
        <f>"152326195312193348"</f>
        <v>152326195312193348</v>
      </c>
      <c r="E1042" s="1" t="s">
        <v>1102</v>
      </c>
      <c r="F1042" s="1" t="s">
        <v>16</v>
      </c>
      <c r="G1042" s="1" t="s">
        <v>19</v>
      </c>
      <c r="H1042" s="1" t="str">
        <f>"71"</f>
        <v>71</v>
      </c>
      <c r="I1042" s="1" t="str">
        <f>"162.91"</f>
        <v>162.91</v>
      </c>
      <c r="J1042" s="1" t="str">
        <f t="shared" ref="J1042:N1042" si="694">"0"</f>
        <v>0</v>
      </c>
      <c r="K1042" s="1" t="str">
        <f t="shared" si="672"/>
        <v>103</v>
      </c>
      <c r="L1042" s="1" t="str">
        <f t="shared" si="673"/>
        <v>47</v>
      </c>
      <c r="M1042" s="1" t="str">
        <f t="shared" si="694"/>
        <v>0</v>
      </c>
      <c r="N1042" s="1" t="str">
        <f t="shared" si="694"/>
        <v>0</v>
      </c>
      <c r="O1042" s="1" t="str">
        <f>"2.91"</f>
        <v>2.91</v>
      </c>
    </row>
    <row r="1043" s="1" customFormat="1" spans="1:15">
      <c r="A1043" s="1" t="str">
        <f t="shared" si="677"/>
        <v>202406</v>
      </c>
      <c r="B1043" s="1" t="str">
        <f t="shared" si="678"/>
        <v>150525100</v>
      </c>
      <c r="C1043" s="1" t="str">
        <f>"1014583763"</f>
        <v>1014583763</v>
      </c>
      <c r="D1043" s="1" t="str">
        <f>"152326195409130677"</f>
        <v>152326195409130677</v>
      </c>
      <c r="E1043" s="1" t="s">
        <v>1103</v>
      </c>
      <c r="F1043" s="1" t="s">
        <v>25</v>
      </c>
      <c r="G1043" s="1" t="s">
        <v>19</v>
      </c>
      <c r="H1043" s="1" t="str">
        <f>"70"</f>
        <v>70</v>
      </c>
      <c r="I1043" s="1" t="str">
        <f>"153.65"</f>
        <v>153.65</v>
      </c>
      <c r="J1043" s="1" t="str">
        <f t="shared" ref="J1043:N1043" si="695">"0"</f>
        <v>0</v>
      </c>
      <c r="K1043" s="1" t="str">
        <f t="shared" si="672"/>
        <v>103</v>
      </c>
      <c r="L1043" s="1" t="str">
        <f t="shared" si="673"/>
        <v>47</v>
      </c>
      <c r="M1043" s="1" t="str">
        <f t="shared" si="695"/>
        <v>0</v>
      </c>
      <c r="N1043" s="1" t="str">
        <f t="shared" si="695"/>
        <v>0</v>
      </c>
      <c r="O1043" s="1" t="str">
        <f>"3.65"</f>
        <v>3.65</v>
      </c>
    </row>
    <row r="1044" s="1" customFormat="1" spans="1:15">
      <c r="A1044" s="1" t="str">
        <f t="shared" si="677"/>
        <v>202406</v>
      </c>
      <c r="B1044" s="1" t="str">
        <f t="shared" si="678"/>
        <v>150525100</v>
      </c>
      <c r="C1044" s="1" t="str">
        <f>"1014583771"</f>
        <v>1014583771</v>
      </c>
      <c r="D1044" s="1" t="str">
        <f>"152326195510210436"</f>
        <v>152326195510210436</v>
      </c>
      <c r="E1044" s="1" t="s">
        <v>1104</v>
      </c>
      <c r="F1044" s="1" t="s">
        <v>25</v>
      </c>
      <c r="G1044" s="1" t="s">
        <v>19</v>
      </c>
      <c r="H1044" s="1" t="str">
        <f>"69"</f>
        <v>69</v>
      </c>
      <c r="I1044" s="1" t="str">
        <f>"155.09"</f>
        <v>155.09</v>
      </c>
      <c r="J1044" s="1" t="str">
        <f t="shared" ref="J1044:N1044" si="696">"0"</f>
        <v>0</v>
      </c>
      <c r="K1044" s="1" t="str">
        <f t="shared" si="672"/>
        <v>103</v>
      </c>
      <c r="L1044" s="1" t="str">
        <f t="shared" si="673"/>
        <v>47</v>
      </c>
      <c r="M1044" s="1" t="str">
        <f t="shared" si="696"/>
        <v>0</v>
      </c>
      <c r="N1044" s="1" t="str">
        <f t="shared" si="696"/>
        <v>0</v>
      </c>
      <c r="O1044" s="1" t="str">
        <f>"5.09"</f>
        <v>5.09</v>
      </c>
    </row>
    <row r="1045" s="1" customFormat="1" spans="1:15">
      <c r="A1045" s="1" t="str">
        <f t="shared" si="677"/>
        <v>202406</v>
      </c>
      <c r="B1045" s="1" t="str">
        <f t="shared" si="678"/>
        <v>150525100</v>
      </c>
      <c r="C1045" s="1" t="str">
        <f>"1014550171"</f>
        <v>1014550171</v>
      </c>
      <c r="D1045" s="1" t="str">
        <f>"152326195706140660"</f>
        <v>152326195706140660</v>
      </c>
      <c r="E1045" s="1" t="s">
        <v>1105</v>
      </c>
      <c r="F1045" s="1" t="s">
        <v>16</v>
      </c>
      <c r="G1045" s="1" t="s">
        <v>96</v>
      </c>
      <c r="H1045" s="1" t="str">
        <f>"67"</f>
        <v>67</v>
      </c>
      <c r="I1045" s="1" t="str">
        <f>"156.08"</f>
        <v>156.08</v>
      </c>
      <c r="J1045" s="1" t="str">
        <f t="shared" ref="J1045:N1045" si="697">"0"</f>
        <v>0</v>
      </c>
      <c r="K1045" s="1" t="str">
        <f t="shared" si="672"/>
        <v>103</v>
      </c>
      <c r="L1045" s="1" t="str">
        <f t="shared" si="673"/>
        <v>47</v>
      </c>
      <c r="M1045" s="1" t="str">
        <f t="shared" si="697"/>
        <v>0</v>
      </c>
      <c r="N1045" s="1" t="str">
        <f t="shared" si="697"/>
        <v>0</v>
      </c>
      <c r="O1045" s="1" t="str">
        <f>"6.08"</f>
        <v>6.08</v>
      </c>
    </row>
    <row r="1046" s="1" customFormat="1" spans="1:15">
      <c r="A1046" s="1" t="str">
        <f t="shared" si="677"/>
        <v>202406</v>
      </c>
      <c r="B1046" s="1" t="str">
        <f t="shared" si="678"/>
        <v>150525100</v>
      </c>
      <c r="C1046" s="1" t="str">
        <f>"1014585186"</f>
        <v>1014585186</v>
      </c>
      <c r="D1046" s="1" t="str">
        <f>"152326196109110417"</f>
        <v>152326196109110417</v>
      </c>
      <c r="E1046" s="1" t="s">
        <v>1106</v>
      </c>
      <c r="F1046" s="1" t="s">
        <v>25</v>
      </c>
      <c r="G1046" s="1" t="s">
        <v>17</v>
      </c>
      <c r="H1046" s="1" t="str">
        <f>"63"</f>
        <v>63</v>
      </c>
      <c r="I1046" s="1" t="str">
        <f>"161.1"</f>
        <v>161.1</v>
      </c>
      <c r="J1046" s="1" t="str">
        <f t="shared" ref="J1046:N1046" si="698">"0"</f>
        <v>0</v>
      </c>
      <c r="K1046" s="1" t="str">
        <f t="shared" si="672"/>
        <v>103</v>
      </c>
      <c r="L1046" s="1" t="str">
        <f t="shared" si="673"/>
        <v>47</v>
      </c>
      <c r="M1046" s="1" t="str">
        <f t="shared" si="698"/>
        <v>0</v>
      </c>
      <c r="N1046" s="1" t="str">
        <f t="shared" si="698"/>
        <v>0</v>
      </c>
      <c r="O1046" s="1" t="str">
        <f>"11.1"</f>
        <v>11.1</v>
      </c>
    </row>
    <row r="1047" s="1" customFormat="1" spans="1:15">
      <c r="A1047" s="1" t="str">
        <f t="shared" si="677"/>
        <v>202406</v>
      </c>
      <c r="B1047" s="1" t="str">
        <f t="shared" si="678"/>
        <v>150525100</v>
      </c>
      <c r="C1047" s="1" t="str">
        <f>"1014585206"</f>
        <v>1014585206</v>
      </c>
      <c r="D1047" s="1" t="str">
        <f>"152326196208140427"</f>
        <v>152326196208140427</v>
      </c>
      <c r="E1047" s="1" t="s">
        <v>1107</v>
      </c>
      <c r="F1047" s="1" t="s">
        <v>16</v>
      </c>
      <c r="G1047" s="1" t="s">
        <v>17</v>
      </c>
      <c r="H1047" s="1" t="str">
        <f>"62"</f>
        <v>62</v>
      </c>
      <c r="I1047" s="1" t="str">
        <f>"163.09"</f>
        <v>163.09</v>
      </c>
      <c r="J1047" s="1" t="str">
        <f t="shared" ref="J1047:N1047" si="699">"0"</f>
        <v>0</v>
      </c>
      <c r="K1047" s="1" t="str">
        <f t="shared" si="672"/>
        <v>103</v>
      </c>
      <c r="L1047" s="1" t="str">
        <f t="shared" si="673"/>
        <v>47</v>
      </c>
      <c r="M1047" s="1" t="str">
        <f t="shared" si="699"/>
        <v>0</v>
      </c>
      <c r="N1047" s="1" t="str">
        <f t="shared" si="699"/>
        <v>0</v>
      </c>
      <c r="O1047" s="1" t="str">
        <f>"13.09"</f>
        <v>13.09</v>
      </c>
    </row>
    <row r="1048" s="1" customFormat="1" spans="1:15">
      <c r="A1048" s="1" t="str">
        <f t="shared" si="677"/>
        <v>202406</v>
      </c>
      <c r="B1048" s="1" t="str">
        <f t="shared" si="678"/>
        <v>150525100</v>
      </c>
      <c r="C1048" s="1" t="str">
        <f>"1014562594"</f>
        <v>1014562594</v>
      </c>
      <c r="D1048" s="1" t="str">
        <f>"152326195612120423"</f>
        <v>152326195612120423</v>
      </c>
      <c r="E1048" s="1" t="s">
        <v>1108</v>
      </c>
      <c r="F1048" s="1" t="s">
        <v>16</v>
      </c>
      <c r="G1048" s="1" t="s">
        <v>19</v>
      </c>
      <c r="H1048" s="1" t="str">
        <f>"68"</f>
        <v>68</v>
      </c>
      <c r="I1048" s="1" t="str">
        <f>"156.04"</f>
        <v>156.04</v>
      </c>
      <c r="J1048" s="1" t="str">
        <f t="shared" ref="J1048:N1048" si="700">"0"</f>
        <v>0</v>
      </c>
      <c r="K1048" s="1" t="str">
        <f t="shared" si="672"/>
        <v>103</v>
      </c>
      <c r="L1048" s="1" t="str">
        <f t="shared" si="673"/>
        <v>47</v>
      </c>
      <c r="M1048" s="1" t="str">
        <f t="shared" si="700"/>
        <v>0</v>
      </c>
      <c r="N1048" s="1" t="str">
        <f t="shared" si="700"/>
        <v>0</v>
      </c>
      <c r="O1048" s="1" t="str">
        <f>"6.04"</f>
        <v>6.04</v>
      </c>
    </row>
    <row r="1049" s="1" customFormat="1" spans="1:15">
      <c r="A1049" s="1" t="str">
        <f t="shared" si="677"/>
        <v>202406</v>
      </c>
      <c r="B1049" s="1" t="str">
        <f t="shared" si="678"/>
        <v>150525100</v>
      </c>
      <c r="C1049" s="1" t="str">
        <f>"1014563116"</f>
        <v>1014563116</v>
      </c>
      <c r="D1049" s="1" t="str">
        <f>"152326196302050428"</f>
        <v>152326196302050428</v>
      </c>
      <c r="E1049" s="1" t="s">
        <v>312</v>
      </c>
      <c r="F1049" s="1" t="s">
        <v>16</v>
      </c>
      <c r="G1049" s="1" t="s">
        <v>17</v>
      </c>
      <c r="H1049" s="1" t="str">
        <f>"61"</f>
        <v>61</v>
      </c>
      <c r="I1049" s="1" t="str">
        <f>"164.95"</f>
        <v>164.95</v>
      </c>
      <c r="J1049" s="1" t="str">
        <f t="shared" ref="J1049:N1049" si="701">"0"</f>
        <v>0</v>
      </c>
      <c r="K1049" s="1" t="str">
        <f t="shared" si="672"/>
        <v>103</v>
      </c>
      <c r="L1049" s="1" t="str">
        <f t="shared" si="673"/>
        <v>47</v>
      </c>
      <c r="M1049" s="1" t="str">
        <f t="shared" si="701"/>
        <v>0</v>
      </c>
      <c r="N1049" s="1" t="str">
        <f t="shared" si="701"/>
        <v>0</v>
      </c>
      <c r="O1049" s="1" t="str">
        <f>"14.95"</f>
        <v>14.95</v>
      </c>
    </row>
    <row r="1050" s="1" customFormat="1" spans="1:15">
      <c r="A1050" s="1" t="str">
        <f t="shared" si="677"/>
        <v>202406</v>
      </c>
      <c r="B1050" s="1" t="str">
        <f t="shared" si="678"/>
        <v>150525100</v>
      </c>
      <c r="C1050" s="1" t="str">
        <f>"1014584104"</f>
        <v>1014584104</v>
      </c>
      <c r="D1050" s="1" t="str">
        <f>"152326195806200413"</f>
        <v>152326195806200413</v>
      </c>
      <c r="E1050" s="1" t="s">
        <v>1109</v>
      </c>
      <c r="F1050" s="1" t="s">
        <v>25</v>
      </c>
      <c r="G1050" s="1" t="s">
        <v>17</v>
      </c>
      <c r="H1050" s="1" t="str">
        <f>"66"</f>
        <v>66</v>
      </c>
      <c r="I1050" s="1" t="str">
        <f>"157.1"</f>
        <v>157.1</v>
      </c>
      <c r="J1050" s="1" t="str">
        <f t="shared" ref="J1050:N1050" si="702">"0"</f>
        <v>0</v>
      </c>
      <c r="K1050" s="1" t="str">
        <f t="shared" si="672"/>
        <v>103</v>
      </c>
      <c r="L1050" s="1" t="str">
        <f t="shared" si="673"/>
        <v>47</v>
      </c>
      <c r="M1050" s="1" t="str">
        <f t="shared" si="702"/>
        <v>0</v>
      </c>
      <c r="N1050" s="1" t="str">
        <f t="shared" si="702"/>
        <v>0</v>
      </c>
      <c r="O1050" s="1" t="str">
        <f>"7.1"</f>
        <v>7.1</v>
      </c>
    </row>
    <row r="1051" s="1" customFormat="1" spans="1:15">
      <c r="A1051" s="1" t="str">
        <f t="shared" si="677"/>
        <v>202406</v>
      </c>
      <c r="B1051" s="1" t="str">
        <f t="shared" si="678"/>
        <v>150525100</v>
      </c>
      <c r="C1051" s="1" t="str">
        <f>"1014549667"</f>
        <v>1014549667</v>
      </c>
      <c r="D1051" s="1" t="s">
        <v>1110</v>
      </c>
      <c r="E1051" s="1" t="s">
        <v>1111</v>
      </c>
      <c r="F1051" s="1" t="s">
        <v>16</v>
      </c>
      <c r="G1051" s="1" t="s">
        <v>19</v>
      </c>
      <c r="H1051" s="1" t="str">
        <f t="shared" ref="H1051:H1053" si="703">"65"</f>
        <v>65</v>
      </c>
      <c r="I1051" s="1" t="str">
        <f>"160.64"</f>
        <v>160.64</v>
      </c>
      <c r="J1051" s="1" t="str">
        <f t="shared" ref="J1051:N1051" si="704">"0"</f>
        <v>0</v>
      </c>
      <c r="K1051" s="1" t="str">
        <f t="shared" si="672"/>
        <v>103</v>
      </c>
      <c r="L1051" s="1" t="str">
        <f t="shared" si="673"/>
        <v>47</v>
      </c>
      <c r="M1051" s="1" t="str">
        <f t="shared" si="704"/>
        <v>0</v>
      </c>
      <c r="N1051" s="1" t="str">
        <f t="shared" si="704"/>
        <v>0</v>
      </c>
      <c r="O1051" s="1" t="str">
        <f>"10.64"</f>
        <v>10.64</v>
      </c>
    </row>
    <row r="1052" s="1" customFormat="1" spans="1:15">
      <c r="A1052" s="1" t="str">
        <f t="shared" si="677"/>
        <v>202406</v>
      </c>
      <c r="B1052" s="1" t="str">
        <f t="shared" si="678"/>
        <v>150525100</v>
      </c>
      <c r="C1052" s="1" t="str">
        <f>"1014549668"</f>
        <v>1014549668</v>
      </c>
      <c r="D1052" s="1" t="s">
        <v>1112</v>
      </c>
      <c r="E1052" s="1" t="s">
        <v>1113</v>
      </c>
      <c r="F1052" s="1" t="s">
        <v>25</v>
      </c>
      <c r="G1052" s="1" t="s">
        <v>17</v>
      </c>
      <c r="H1052" s="1" t="str">
        <f t="shared" si="703"/>
        <v>65</v>
      </c>
      <c r="I1052" s="1" t="str">
        <f>"158.19"</f>
        <v>158.19</v>
      </c>
      <c r="J1052" s="1" t="str">
        <f t="shared" ref="J1052:N1052" si="705">"0"</f>
        <v>0</v>
      </c>
      <c r="K1052" s="1" t="str">
        <f t="shared" si="672"/>
        <v>103</v>
      </c>
      <c r="L1052" s="1" t="str">
        <f t="shared" si="673"/>
        <v>47</v>
      </c>
      <c r="M1052" s="1" t="str">
        <f t="shared" si="705"/>
        <v>0</v>
      </c>
      <c r="N1052" s="1" t="str">
        <f t="shared" si="705"/>
        <v>0</v>
      </c>
      <c r="O1052" s="1" t="str">
        <f>"8.19"</f>
        <v>8.19</v>
      </c>
    </row>
    <row r="1053" s="1" customFormat="1" spans="1:15">
      <c r="A1053" s="1" t="str">
        <f t="shared" si="677"/>
        <v>202406</v>
      </c>
      <c r="B1053" s="1" t="str">
        <f t="shared" si="678"/>
        <v>150525100</v>
      </c>
      <c r="C1053" s="1" t="str">
        <f>"1014549669"</f>
        <v>1014549669</v>
      </c>
      <c r="D1053" s="1" t="s">
        <v>1114</v>
      </c>
      <c r="E1053" s="1" t="s">
        <v>1115</v>
      </c>
      <c r="F1053" s="1" t="s">
        <v>16</v>
      </c>
      <c r="G1053" s="1" t="s">
        <v>17</v>
      </c>
      <c r="H1053" s="1" t="str">
        <f t="shared" si="703"/>
        <v>65</v>
      </c>
      <c r="I1053" s="1" t="str">
        <f>"158.2"</f>
        <v>158.2</v>
      </c>
      <c r="J1053" s="1" t="str">
        <f t="shared" ref="J1053:N1053" si="706">"0"</f>
        <v>0</v>
      </c>
      <c r="K1053" s="1" t="str">
        <f t="shared" si="672"/>
        <v>103</v>
      </c>
      <c r="L1053" s="1" t="str">
        <f t="shared" si="673"/>
        <v>47</v>
      </c>
      <c r="M1053" s="1" t="str">
        <f t="shared" si="706"/>
        <v>0</v>
      </c>
      <c r="N1053" s="1" t="str">
        <f t="shared" si="706"/>
        <v>0</v>
      </c>
      <c r="O1053" s="1" t="str">
        <f>"8.2"</f>
        <v>8.2</v>
      </c>
    </row>
    <row r="1054" s="1" customFormat="1" spans="1:15">
      <c r="A1054" s="1" t="str">
        <f t="shared" si="677"/>
        <v>202406</v>
      </c>
      <c r="B1054" s="1" t="str">
        <f t="shared" si="678"/>
        <v>150525100</v>
      </c>
      <c r="C1054" s="1" t="str">
        <f>"1014550174"</f>
        <v>1014550174</v>
      </c>
      <c r="D1054" s="1" t="str">
        <f>"152326195706290669"</f>
        <v>152326195706290669</v>
      </c>
      <c r="E1054" s="1" t="s">
        <v>1116</v>
      </c>
      <c r="F1054" s="1" t="s">
        <v>16</v>
      </c>
      <c r="G1054" s="1" t="s">
        <v>19</v>
      </c>
      <c r="H1054" s="1" t="str">
        <f t="shared" ref="H1054:H1056" si="707">"67"</f>
        <v>67</v>
      </c>
      <c r="I1054" s="1" t="str">
        <f>"156.08"</f>
        <v>156.08</v>
      </c>
      <c r="J1054" s="1" t="str">
        <f t="shared" ref="J1054:N1054" si="708">"0"</f>
        <v>0</v>
      </c>
      <c r="K1054" s="1" t="str">
        <f t="shared" si="672"/>
        <v>103</v>
      </c>
      <c r="L1054" s="1" t="str">
        <f t="shared" si="673"/>
        <v>47</v>
      </c>
      <c r="M1054" s="1" t="str">
        <f t="shared" si="708"/>
        <v>0</v>
      </c>
      <c r="N1054" s="1" t="str">
        <f t="shared" si="708"/>
        <v>0</v>
      </c>
      <c r="O1054" s="1" t="str">
        <f>"6.08"</f>
        <v>6.08</v>
      </c>
    </row>
    <row r="1055" s="1" customFormat="1" spans="1:15">
      <c r="A1055" s="1" t="str">
        <f t="shared" si="677"/>
        <v>202406</v>
      </c>
      <c r="B1055" s="1" t="str">
        <f t="shared" si="678"/>
        <v>150525100</v>
      </c>
      <c r="C1055" s="1" t="str">
        <f>"1014550182"</f>
        <v>1014550182</v>
      </c>
      <c r="D1055" s="1" t="str">
        <f>"152326195708160665"</f>
        <v>152326195708160665</v>
      </c>
      <c r="E1055" s="1" t="s">
        <v>688</v>
      </c>
      <c r="F1055" s="1" t="s">
        <v>16</v>
      </c>
      <c r="G1055" s="1" t="s">
        <v>17</v>
      </c>
      <c r="H1055" s="1" t="str">
        <f t="shared" si="707"/>
        <v>67</v>
      </c>
      <c r="I1055" s="1" t="str">
        <f>"156.09"</f>
        <v>156.09</v>
      </c>
      <c r="J1055" s="1" t="str">
        <f t="shared" ref="J1055:N1055" si="709">"0"</f>
        <v>0</v>
      </c>
      <c r="K1055" s="1" t="str">
        <f t="shared" si="672"/>
        <v>103</v>
      </c>
      <c r="L1055" s="1" t="str">
        <f t="shared" si="673"/>
        <v>47</v>
      </c>
      <c r="M1055" s="1" t="str">
        <f t="shared" si="709"/>
        <v>0</v>
      </c>
      <c r="N1055" s="1" t="str">
        <f t="shared" si="709"/>
        <v>0</v>
      </c>
      <c r="O1055" s="1" t="str">
        <f>"6.09"</f>
        <v>6.09</v>
      </c>
    </row>
    <row r="1056" s="1" customFormat="1" spans="1:15">
      <c r="A1056" s="1" t="str">
        <f t="shared" si="677"/>
        <v>202406</v>
      </c>
      <c r="B1056" s="1" t="str">
        <f t="shared" si="678"/>
        <v>150525100</v>
      </c>
      <c r="C1056" s="1" t="str">
        <f>"1014550197"</f>
        <v>1014550197</v>
      </c>
      <c r="D1056" s="1" t="str">
        <f>"152326195712213109"</f>
        <v>152326195712213109</v>
      </c>
      <c r="E1056" s="1" t="s">
        <v>1117</v>
      </c>
      <c r="F1056" s="1" t="s">
        <v>16</v>
      </c>
      <c r="G1056" s="1" t="s">
        <v>19</v>
      </c>
      <c r="H1056" s="1" t="str">
        <f t="shared" si="707"/>
        <v>67</v>
      </c>
      <c r="I1056" s="1" t="str">
        <f>"155.87"</f>
        <v>155.87</v>
      </c>
      <c r="J1056" s="1" t="str">
        <f t="shared" ref="J1056:N1056" si="710">"0"</f>
        <v>0</v>
      </c>
      <c r="K1056" s="1" t="str">
        <f t="shared" si="672"/>
        <v>103</v>
      </c>
      <c r="L1056" s="1" t="str">
        <f t="shared" si="673"/>
        <v>47</v>
      </c>
      <c r="M1056" s="1" t="str">
        <f t="shared" si="710"/>
        <v>0</v>
      </c>
      <c r="N1056" s="1" t="str">
        <f t="shared" si="710"/>
        <v>0</v>
      </c>
      <c r="O1056" s="1" t="str">
        <f>"5.87"</f>
        <v>5.87</v>
      </c>
    </row>
    <row r="1057" s="1" customFormat="1" spans="1:15">
      <c r="A1057" s="1" t="str">
        <f t="shared" si="677"/>
        <v>202406</v>
      </c>
      <c r="B1057" s="1" t="str">
        <f t="shared" si="678"/>
        <v>150525100</v>
      </c>
      <c r="C1057" s="1" t="str">
        <f>"1014550200"</f>
        <v>1014550200</v>
      </c>
      <c r="D1057" s="1" t="str">
        <f>"152326195801293817"</f>
        <v>152326195801293817</v>
      </c>
      <c r="E1057" s="1" t="s">
        <v>1118</v>
      </c>
      <c r="F1057" s="1" t="s">
        <v>25</v>
      </c>
      <c r="G1057" s="1" t="s">
        <v>17</v>
      </c>
      <c r="H1057" s="1" t="str">
        <f>"66"</f>
        <v>66</v>
      </c>
      <c r="I1057" s="1" t="str">
        <f>"157.06"</f>
        <v>157.06</v>
      </c>
      <c r="J1057" s="1" t="str">
        <f t="shared" ref="J1057:N1057" si="711">"0"</f>
        <v>0</v>
      </c>
      <c r="K1057" s="1" t="str">
        <f t="shared" si="672"/>
        <v>103</v>
      </c>
      <c r="L1057" s="1" t="str">
        <f t="shared" si="673"/>
        <v>47</v>
      </c>
      <c r="M1057" s="1" t="str">
        <f t="shared" si="711"/>
        <v>0</v>
      </c>
      <c r="N1057" s="1" t="str">
        <f t="shared" si="711"/>
        <v>0</v>
      </c>
      <c r="O1057" s="1" t="str">
        <f>"7.06"</f>
        <v>7.06</v>
      </c>
    </row>
    <row r="1058" s="1" customFormat="1" spans="1:15">
      <c r="A1058" s="1" t="str">
        <f t="shared" si="677"/>
        <v>202406</v>
      </c>
      <c r="B1058" s="1" t="str">
        <f t="shared" si="678"/>
        <v>150525100</v>
      </c>
      <c r="C1058" s="1" t="str">
        <f>"1014550676"</f>
        <v>1014550676</v>
      </c>
      <c r="D1058" s="1" t="str">
        <f>"152326195305153321"</f>
        <v>152326195305153321</v>
      </c>
      <c r="E1058" s="1" t="s">
        <v>1119</v>
      </c>
      <c r="F1058" s="1" t="s">
        <v>16</v>
      </c>
      <c r="G1058" s="1" t="s">
        <v>17</v>
      </c>
      <c r="H1058" s="1" t="str">
        <f t="shared" ref="H1058:H1060" si="712">"71"</f>
        <v>71</v>
      </c>
      <c r="I1058" s="1" t="str">
        <f t="shared" ref="I1058:I1060" si="713">"163.16"</f>
        <v>163.16</v>
      </c>
      <c r="J1058" s="1" t="str">
        <f t="shared" ref="J1058:N1058" si="714">"0"</f>
        <v>0</v>
      </c>
      <c r="K1058" s="1" t="str">
        <f t="shared" si="672"/>
        <v>103</v>
      </c>
      <c r="L1058" s="1" t="str">
        <f t="shared" si="673"/>
        <v>47</v>
      </c>
      <c r="M1058" s="1" t="str">
        <f t="shared" si="714"/>
        <v>0</v>
      </c>
      <c r="N1058" s="1" t="str">
        <f t="shared" si="714"/>
        <v>0</v>
      </c>
      <c r="O1058" s="1" t="str">
        <f t="shared" ref="O1058:O1060" si="715">"3.16"</f>
        <v>3.16</v>
      </c>
    </row>
    <row r="1059" s="1" customFormat="1" spans="1:15">
      <c r="A1059" s="1" t="str">
        <f t="shared" si="677"/>
        <v>202406</v>
      </c>
      <c r="B1059" s="1" t="str">
        <f t="shared" si="678"/>
        <v>150525100</v>
      </c>
      <c r="C1059" s="1" t="str">
        <f>"1014550685"</f>
        <v>1014550685</v>
      </c>
      <c r="D1059" s="1" t="str">
        <f>"152326195308033085"</f>
        <v>152326195308033085</v>
      </c>
      <c r="E1059" s="1" t="s">
        <v>1120</v>
      </c>
      <c r="F1059" s="1" t="s">
        <v>16</v>
      </c>
      <c r="G1059" s="1" t="s">
        <v>17</v>
      </c>
      <c r="H1059" s="1" t="str">
        <f t="shared" si="712"/>
        <v>71</v>
      </c>
      <c r="I1059" s="1" t="str">
        <f t="shared" si="713"/>
        <v>163.16</v>
      </c>
      <c r="J1059" s="1" t="str">
        <f t="shared" ref="J1059:N1059" si="716">"0"</f>
        <v>0</v>
      </c>
      <c r="K1059" s="1" t="str">
        <f t="shared" si="672"/>
        <v>103</v>
      </c>
      <c r="L1059" s="1" t="str">
        <f t="shared" si="673"/>
        <v>47</v>
      </c>
      <c r="M1059" s="1" t="str">
        <f t="shared" si="716"/>
        <v>0</v>
      </c>
      <c r="N1059" s="1" t="str">
        <f t="shared" si="716"/>
        <v>0</v>
      </c>
      <c r="O1059" s="1" t="str">
        <f t="shared" si="715"/>
        <v>3.16</v>
      </c>
    </row>
    <row r="1060" s="1" customFormat="1" spans="1:15">
      <c r="A1060" s="1" t="str">
        <f t="shared" si="677"/>
        <v>202406</v>
      </c>
      <c r="B1060" s="1" t="str">
        <f t="shared" si="678"/>
        <v>150525100</v>
      </c>
      <c r="C1060" s="1" t="str">
        <f>"1014550693"</f>
        <v>1014550693</v>
      </c>
      <c r="D1060" s="1" t="str">
        <f>"152326195310093810"</f>
        <v>152326195310093810</v>
      </c>
      <c r="E1060" s="1" t="s">
        <v>1121</v>
      </c>
      <c r="F1060" s="1" t="s">
        <v>25</v>
      </c>
      <c r="G1060" s="1" t="s">
        <v>19</v>
      </c>
      <c r="H1060" s="1" t="str">
        <f t="shared" si="712"/>
        <v>71</v>
      </c>
      <c r="I1060" s="1" t="str">
        <f t="shared" si="713"/>
        <v>163.16</v>
      </c>
      <c r="J1060" s="1" t="str">
        <f t="shared" ref="J1060:N1060" si="717">"0"</f>
        <v>0</v>
      </c>
      <c r="K1060" s="1" t="str">
        <f t="shared" si="672"/>
        <v>103</v>
      </c>
      <c r="L1060" s="1" t="str">
        <f t="shared" si="673"/>
        <v>47</v>
      </c>
      <c r="M1060" s="1" t="str">
        <f t="shared" si="717"/>
        <v>0</v>
      </c>
      <c r="N1060" s="1" t="str">
        <f t="shared" si="717"/>
        <v>0</v>
      </c>
      <c r="O1060" s="1" t="str">
        <f t="shared" si="715"/>
        <v>3.16</v>
      </c>
    </row>
    <row r="1061" s="1" customFormat="1" spans="1:15">
      <c r="A1061" s="1" t="str">
        <f t="shared" si="677"/>
        <v>202406</v>
      </c>
      <c r="B1061" s="1" t="str">
        <f t="shared" si="678"/>
        <v>150525100</v>
      </c>
      <c r="C1061" s="1" t="str">
        <f>"1040642152"</f>
        <v>1040642152</v>
      </c>
      <c r="D1061" s="1" t="str">
        <f>"152326195611203315"</f>
        <v>152326195611203315</v>
      </c>
      <c r="E1061" s="1" t="s">
        <v>1122</v>
      </c>
      <c r="F1061" s="1" t="s">
        <v>25</v>
      </c>
      <c r="G1061" s="1" t="s">
        <v>19</v>
      </c>
      <c r="H1061" s="1" t="str">
        <f>"68"</f>
        <v>68</v>
      </c>
      <c r="I1061" s="1" t="str">
        <f>"155.43"</f>
        <v>155.43</v>
      </c>
      <c r="J1061" s="1" t="str">
        <f t="shared" ref="J1061:N1061" si="718">"0"</f>
        <v>0</v>
      </c>
      <c r="K1061" s="1" t="str">
        <f t="shared" si="672"/>
        <v>103</v>
      </c>
      <c r="L1061" s="1" t="str">
        <f t="shared" si="673"/>
        <v>47</v>
      </c>
      <c r="M1061" s="1" t="str">
        <f t="shared" si="718"/>
        <v>0</v>
      </c>
      <c r="N1061" s="1" t="str">
        <f t="shared" si="718"/>
        <v>0</v>
      </c>
      <c r="O1061" s="1" t="str">
        <f>"5.43"</f>
        <v>5.43</v>
      </c>
    </row>
    <row r="1062" s="1" customFormat="1" spans="1:15">
      <c r="A1062" s="1" t="str">
        <f t="shared" si="677"/>
        <v>202406</v>
      </c>
      <c r="B1062" s="1" t="str">
        <f t="shared" si="678"/>
        <v>150525100</v>
      </c>
      <c r="C1062" s="1" t="str">
        <f>"1040642260"</f>
        <v>1040642260</v>
      </c>
      <c r="D1062" s="1" t="str">
        <f>"152326195408283313"</f>
        <v>152326195408283313</v>
      </c>
      <c r="E1062" s="1" t="s">
        <v>1123</v>
      </c>
      <c r="F1062" s="1" t="s">
        <v>25</v>
      </c>
      <c r="G1062" s="1" t="s">
        <v>19</v>
      </c>
      <c r="H1062" s="1" t="str">
        <f>"70"</f>
        <v>70</v>
      </c>
      <c r="I1062" s="1" t="str">
        <f>"2013.78"</f>
        <v>2013.78</v>
      </c>
      <c r="J1062" s="1" t="str">
        <f t="shared" ref="J1062:O1062" si="719">"0"</f>
        <v>0</v>
      </c>
      <c r="K1062" s="1" t="str">
        <f t="shared" si="719"/>
        <v>0</v>
      </c>
      <c r="L1062" s="1" t="str">
        <f t="shared" si="719"/>
        <v>0</v>
      </c>
      <c r="M1062" s="1" t="str">
        <f t="shared" si="719"/>
        <v>0</v>
      </c>
      <c r="N1062" s="1" t="str">
        <f t="shared" si="719"/>
        <v>0</v>
      </c>
      <c r="O1062" s="1" t="str">
        <f t="shared" si="719"/>
        <v>0</v>
      </c>
    </row>
    <row r="1063" s="1" customFormat="1" spans="1:15">
      <c r="A1063" s="1" t="str">
        <f t="shared" si="677"/>
        <v>202406</v>
      </c>
      <c r="B1063" s="1" t="str">
        <f t="shared" si="678"/>
        <v>150525100</v>
      </c>
      <c r="C1063" s="1" t="str">
        <f>"1014562607"</f>
        <v>1014562607</v>
      </c>
      <c r="D1063" s="1" t="str">
        <f>"152326195705200422"</f>
        <v>152326195705200422</v>
      </c>
      <c r="E1063" s="1" t="s">
        <v>1124</v>
      </c>
      <c r="F1063" s="1" t="s">
        <v>16</v>
      </c>
      <c r="G1063" s="1" t="s">
        <v>19</v>
      </c>
      <c r="H1063" s="1" t="str">
        <f>"67"</f>
        <v>67</v>
      </c>
      <c r="I1063" s="1" t="str">
        <f>"156.08"</f>
        <v>156.08</v>
      </c>
      <c r="J1063" s="1" t="str">
        <f t="shared" ref="J1063:N1063" si="720">"0"</f>
        <v>0</v>
      </c>
      <c r="K1063" s="1" t="str">
        <f t="shared" ref="K1063:K1126" si="721">"103"</f>
        <v>103</v>
      </c>
      <c r="L1063" s="1" t="str">
        <f t="shared" ref="L1063:L1126" si="722">"47"</f>
        <v>47</v>
      </c>
      <c r="M1063" s="1" t="str">
        <f t="shared" si="720"/>
        <v>0</v>
      </c>
      <c r="N1063" s="1" t="str">
        <f t="shared" si="720"/>
        <v>0</v>
      </c>
      <c r="O1063" s="1" t="str">
        <f>"6.08"</f>
        <v>6.08</v>
      </c>
    </row>
    <row r="1064" s="1" customFormat="1" spans="1:15">
      <c r="A1064" s="1" t="str">
        <f t="shared" si="677"/>
        <v>202406</v>
      </c>
      <c r="B1064" s="1" t="str">
        <f t="shared" si="678"/>
        <v>150525100</v>
      </c>
      <c r="C1064" s="1" t="str">
        <f>"1014562610"</f>
        <v>1014562610</v>
      </c>
      <c r="D1064" s="1" t="str">
        <f>"152326196401130423"</f>
        <v>152326196401130423</v>
      </c>
      <c r="E1064" s="1" t="s">
        <v>1125</v>
      </c>
      <c r="F1064" s="1" t="s">
        <v>16</v>
      </c>
      <c r="G1064" s="1" t="s">
        <v>19</v>
      </c>
      <c r="H1064" s="1" t="str">
        <f>"60"</f>
        <v>60</v>
      </c>
      <c r="I1064" s="1" t="str">
        <f>"166.82"</f>
        <v>166.82</v>
      </c>
      <c r="J1064" s="1" t="str">
        <f t="shared" ref="J1064:N1064" si="723">"0"</f>
        <v>0</v>
      </c>
      <c r="K1064" s="1" t="str">
        <f t="shared" si="721"/>
        <v>103</v>
      </c>
      <c r="L1064" s="1" t="str">
        <f t="shared" si="722"/>
        <v>47</v>
      </c>
      <c r="M1064" s="1" t="str">
        <f t="shared" si="723"/>
        <v>0</v>
      </c>
      <c r="N1064" s="1" t="str">
        <f t="shared" si="723"/>
        <v>0</v>
      </c>
      <c r="O1064" s="1" t="str">
        <f>"16.82"</f>
        <v>16.82</v>
      </c>
    </row>
    <row r="1065" s="1" customFormat="1" spans="1:15">
      <c r="A1065" s="1" t="str">
        <f t="shared" si="677"/>
        <v>202406</v>
      </c>
      <c r="B1065" s="1" t="str">
        <f t="shared" si="678"/>
        <v>150525100</v>
      </c>
      <c r="C1065" s="1" t="str">
        <f>"1014562619"</f>
        <v>1014562619</v>
      </c>
      <c r="D1065" s="1" t="str">
        <f>"152326195503150447"</f>
        <v>152326195503150447</v>
      </c>
      <c r="E1065" s="1" t="s">
        <v>1126</v>
      </c>
      <c r="F1065" s="1" t="s">
        <v>16</v>
      </c>
      <c r="G1065" s="1" t="s">
        <v>19</v>
      </c>
      <c r="H1065" s="1" t="str">
        <f>"69"</f>
        <v>69</v>
      </c>
      <c r="I1065" s="1" t="str">
        <f>"155.12"</f>
        <v>155.12</v>
      </c>
      <c r="J1065" s="1" t="str">
        <f t="shared" ref="J1065:N1065" si="724">"0"</f>
        <v>0</v>
      </c>
      <c r="K1065" s="1" t="str">
        <f t="shared" si="721"/>
        <v>103</v>
      </c>
      <c r="L1065" s="1" t="str">
        <f t="shared" si="722"/>
        <v>47</v>
      </c>
      <c r="M1065" s="1" t="str">
        <f t="shared" si="724"/>
        <v>0</v>
      </c>
      <c r="N1065" s="1" t="str">
        <f t="shared" si="724"/>
        <v>0</v>
      </c>
      <c r="O1065" s="1" t="str">
        <f>"5.12"</f>
        <v>5.12</v>
      </c>
    </row>
    <row r="1066" s="1" customFormat="1" spans="1:15">
      <c r="A1066" s="1" t="str">
        <f t="shared" si="677"/>
        <v>202406</v>
      </c>
      <c r="B1066" s="1" t="str">
        <f t="shared" si="678"/>
        <v>150525100</v>
      </c>
      <c r="C1066" s="1" t="str">
        <f>"1014562624"</f>
        <v>1014562624</v>
      </c>
      <c r="D1066" s="1" t="str">
        <f>"152326196007140420"</f>
        <v>152326196007140420</v>
      </c>
      <c r="E1066" s="1" t="s">
        <v>1127</v>
      </c>
      <c r="F1066" s="1" t="s">
        <v>16</v>
      </c>
      <c r="G1066" s="1" t="s">
        <v>19</v>
      </c>
      <c r="H1066" s="1" t="str">
        <f>"64"</f>
        <v>64</v>
      </c>
      <c r="I1066" s="1" t="str">
        <f>"159.26"</f>
        <v>159.26</v>
      </c>
      <c r="J1066" s="1" t="str">
        <f t="shared" ref="J1066:N1066" si="725">"0"</f>
        <v>0</v>
      </c>
      <c r="K1066" s="1" t="str">
        <f t="shared" si="721"/>
        <v>103</v>
      </c>
      <c r="L1066" s="1" t="str">
        <f t="shared" si="722"/>
        <v>47</v>
      </c>
      <c r="M1066" s="1" t="str">
        <f t="shared" si="725"/>
        <v>0</v>
      </c>
      <c r="N1066" s="1" t="str">
        <f t="shared" si="725"/>
        <v>0</v>
      </c>
      <c r="O1066" s="1" t="str">
        <f>"9.26"</f>
        <v>9.26</v>
      </c>
    </row>
    <row r="1067" s="1" customFormat="1" spans="1:15">
      <c r="A1067" s="1" t="str">
        <f t="shared" si="677"/>
        <v>202406</v>
      </c>
      <c r="B1067" s="1" t="str">
        <f t="shared" si="678"/>
        <v>150525100</v>
      </c>
      <c r="C1067" s="1" t="str">
        <f>"1014562631"</f>
        <v>1014562631</v>
      </c>
      <c r="D1067" s="1" t="str">
        <f>"152326196011130428"</f>
        <v>152326196011130428</v>
      </c>
      <c r="E1067" s="1" t="s">
        <v>1128</v>
      </c>
      <c r="F1067" s="1" t="s">
        <v>16</v>
      </c>
      <c r="G1067" s="1" t="s">
        <v>19</v>
      </c>
      <c r="H1067" s="1" t="str">
        <f>"64"</f>
        <v>64</v>
      </c>
      <c r="I1067" s="1" t="str">
        <f>"159.3"</f>
        <v>159.3</v>
      </c>
      <c r="J1067" s="1" t="str">
        <f t="shared" ref="J1067:N1067" si="726">"0"</f>
        <v>0</v>
      </c>
      <c r="K1067" s="1" t="str">
        <f t="shared" si="721"/>
        <v>103</v>
      </c>
      <c r="L1067" s="1" t="str">
        <f t="shared" si="722"/>
        <v>47</v>
      </c>
      <c r="M1067" s="1" t="str">
        <f t="shared" si="726"/>
        <v>0</v>
      </c>
      <c r="N1067" s="1" t="str">
        <f t="shared" si="726"/>
        <v>0</v>
      </c>
      <c r="O1067" s="1" t="str">
        <f>"9.3"</f>
        <v>9.3</v>
      </c>
    </row>
    <row r="1068" s="1" customFormat="1" spans="1:15">
      <c r="A1068" s="1" t="str">
        <f t="shared" si="677"/>
        <v>202406</v>
      </c>
      <c r="B1068" s="1" t="str">
        <f t="shared" si="678"/>
        <v>150525100</v>
      </c>
      <c r="C1068" s="1" t="str">
        <f>"1014583846"</f>
        <v>1014583846</v>
      </c>
      <c r="D1068" s="1" t="str">
        <f>"152326195904230675"</f>
        <v>152326195904230675</v>
      </c>
      <c r="E1068" s="1" t="s">
        <v>1129</v>
      </c>
      <c r="F1068" s="1" t="s">
        <v>25</v>
      </c>
      <c r="G1068" s="1" t="s">
        <v>19</v>
      </c>
      <c r="H1068" s="1" t="str">
        <f>"65"</f>
        <v>65</v>
      </c>
      <c r="I1068" s="1" t="str">
        <f>"156.55"</f>
        <v>156.55</v>
      </c>
      <c r="J1068" s="1" t="str">
        <f t="shared" ref="J1068:N1068" si="727">"0"</f>
        <v>0</v>
      </c>
      <c r="K1068" s="1" t="str">
        <f t="shared" si="721"/>
        <v>103</v>
      </c>
      <c r="L1068" s="1" t="str">
        <f t="shared" si="722"/>
        <v>47</v>
      </c>
      <c r="M1068" s="1" t="str">
        <f t="shared" si="727"/>
        <v>0</v>
      </c>
      <c r="N1068" s="1" t="str">
        <f t="shared" si="727"/>
        <v>0</v>
      </c>
      <c r="O1068" s="1" t="str">
        <f>"6.55"</f>
        <v>6.55</v>
      </c>
    </row>
    <row r="1069" s="1" customFormat="1" spans="1:15">
      <c r="A1069" s="1" t="str">
        <f t="shared" si="677"/>
        <v>202406</v>
      </c>
      <c r="B1069" s="1" t="str">
        <f t="shared" si="678"/>
        <v>150525100</v>
      </c>
      <c r="C1069" s="1" t="str">
        <f>"1014550699"</f>
        <v>1014550699</v>
      </c>
      <c r="D1069" s="1" t="str">
        <f>"152326195311063349"</f>
        <v>152326195311063349</v>
      </c>
      <c r="E1069" s="1" t="s">
        <v>1130</v>
      </c>
      <c r="F1069" s="1" t="s">
        <v>16</v>
      </c>
      <c r="G1069" s="1" t="s">
        <v>17</v>
      </c>
      <c r="H1069" s="1" t="str">
        <f>"71"</f>
        <v>71</v>
      </c>
      <c r="I1069" s="1" t="str">
        <f>"163.16"</f>
        <v>163.16</v>
      </c>
      <c r="J1069" s="1" t="str">
        <f t="shared" ref="J1069:N1069" si="728">"0"</f>
        <v>0</v>
      </c>
      <c r="K1069" s="1" t="str">
        <f t="shared" si="721"/>
        <v>103</v>
      </c>
      <c r="L1069" s="1" t="str">
        <f t="shared" si="722"/>
        <v>47</v>
      </c>
      <c r="M1069" s="1" t="str">
        <f t="shared" si="728"/>
        <v>0</v>
      </c>
      <c r="N1069" s="1" t="str">
        <f t="shared" si="728"/>
        <v>0</v>
      </c>
      <c r="O1069" s="1" t="str">
        <f>"3.16"</f>
        <v>3.16</v>
      </c>
    </row>
    <row r="1070" s="1" customFormat="1" spans="1:15">
      <c r="A1070" s="1" t="str">
        <f t="shared" si="677"/>
        <v>202406</v>
      </c>
      <c r="B1070" s="1" t="str">
        <f t="shared" si="678"/>
        <v>150525100</v>
      </c>
      <c r="C1070" s="1" t="str">
        <f>"1014550705"</f>
        <v>1014550705</v>
      </c>
      <c r="D1070" s="1" t="str">
        <f>"152326195312010679"</f>
        <v>152326195312010679</v>
      </c>
      <c r="E1070" s="1" t="s">
        <v>1131</v>
      </c>
      <c r="F1070" s="1" t="s">
        <v>25</v>
      </c>
      <c r="G1070" s="1" t="s">
        <v>17</v>
      </c>
      <c r="H1070" s="1" t="str">
        <f>"71"</f>
        <v>71</v>
      </c>
      <c r="I1070" s="1" t="str">
        <f>"163.16"</f>
        <v>163.16</v>
      </c>
      <c r="J1070" s="1" t="str">
        <f t="shared" ref="J1070:N1070" si="729">"0"</f>
        <v>0</v>
      </c>
      <c r="K1070" s="1" t="str">
        <f t="shared" si="721"/>
        <v>103</v>
      </c>
      <c r="L1070" s="1" t="str">
        <f t="shared" si="722"/>
        <v>47</v>
      </c>
      <c r="M1070" s="1" t="str">
        <f t="shared" si="729"/>
        <v>0</v>
      </c>
      <c r="N1070" s="1" t="str">
        <f t="shared" si="729"/>
        <v>0</v>
      </c>
      <c r="O1070" s="1" t="str">
        <f>"3.16"</f>
        <v>3.16</v>
      </c>
    </row>
    <row r="1071" s="1" customFormat="1" spans="1:15">
      <c r="A1071" s="1" t="str">
        <f t="shared" si="677"/>
        <v>202406</v>
      </c>
      <c r="B1071" s="1" t="str">
        <f t="shared" si="678"/>
        <v>150525100</v>
      </c>
      <c r="C1071" s="1" t="str">
        <f>"1014585266"</f>
        <v>1014585266</v>
      </c>
      <c r="D1071" s="1" t="str">
        <f>"152326196302130428"</f>
        <v>152326196302130428</v>
      </c>
      <c r="E1071" s="1" t="s">
        <v>1132</v>
      </c>
      <c r="F1071" s="1" t="s">
        <v>16</v>
      </c>
      <c r="G1071" s="1" t="s">
        <v>17</v>
      </c>
      <c r="H1071" s="1" t="str">
        <f>"61"</f>
        <v>61</v>
      </c>
      <c r="I1071" s="1" t="str">
        <f>"164.94"</f>
        <v>164.94</v>
      </c>
      <c r="J1071" s="1" t="str">
        <f t="shared" ref="J1071:N1071" si="730">"0"</f>
        <v>0</v>
      </c>
      <c r="K1071" s="1" t="str">
        <f t="shared" si="721"/>
        <v>103</v>
      </c>
      <c r="L1071" s="1" t="str">
        <f t="shared" si="722"/>
        <v>47</v>
      </c>
      <c r="M1071" s="1" t="str">
        <f t="shared" si="730"/>
        <v>0</v>
      </c>
      <c r="N1071" s="1" t="str">
        <f t="shared" si="730"/>
        <v>0</v>
      </c>
      <c r="O1071" s="1" t="str">
        <f>"14.94"</f>
        <v>14.94</v>
      </c>
    </row>
    <row r="1072" s="1" customFormat="1" spans="1:15">
      <c r="A1072" s="1" t="str">
        <f t="shared" si="677"/>
        <v>202406</v>
      </c>
      <c r="B1072" s="1" t="str">
        <f t="shared" si="678"/>
        <v>150525100</v>
      </c>
      <c r="C1072" s="1" t="str">
        <f>"1014585271"</f>
        <v>1014585271</v>
      </c>
      <c r="D1072" s="1" t="str">
        <f>"152326196303060679"</f>
        <v>152326196303060679</v>
      </c>
      <c r="E1072" s="1" t="s">
        <v>1133</v>
      </c>
      <c r="F1072" s="1" t="s">
        <v>25</v>
      </c>
      <c r="G1072" s="1" t="s">
        <v>17</v>
      </c>
      <c r="H1072" s="1" t="str">
        <f>"61"</f>
        <v>61</v>
      </c>
      <c r="I1072" s="1" t="str">
        <f>"164.22"</f>
        <v>164.22</v>
      </c>
      <c r="J1072" s="1" t="str">
        <f t="shared" ref="J1072:N1072" si="731">"0"</f>
        <v>0</v>
      </c>
      <c r="K1072" s="1" t="str">
        <f t="shared" si="721"/>
        <v>103</v>
      </c>
      <c r="L1072" s="1" t="str">
        <f t="shared" si="722"/>
        <v>47</v>
      </c>
      <c r="M1072" s="1" t="str">
        <f t="shared" si="731"/>
        <v>0</v>
      </c>
      <c r="N1072" s="1" t="str">
        <f t="shared" si="731"/>
        <v>0</v>
      </c>
      <c r="O1072" s="1" t="str">
        <f>"14.22"</f>
        <v>14.22</v>
      </c>
    </row>
    <row r="1073" s="1" customFormat="1" spans="1:15">
      <c r="A1073" s="1" t="str">
        <f t="shared" si="677"/>
        <v>202406</v>
      </c>
      <c r="B1073" s="1" t="str">
        <f t="shared" si="678"/>
        <v>150525100</v>
      </c>
      <c r="C1073" s="1" t="str">
        <f>"1014561149"</f>
        <v>1014561149</v>
      </c>
      <c r="D1073" s="1" t="str">
        <f>"152326195503270422"</f>
        <v>152326195503270422</v>
      </c>
      <c r="E1073" s="1" t="s">
        <v>1134</v>
      </c>
      <c r="F1073" s="1" t="s">
        <v>16</v>
      </c>
      <c r="G1073" s="1" t="s">
        <v>17</v>
      </c>
      <c r="H1073" s="1" t="str">
        <f t="shared" ref="H1073:H1075" si="732">"69"</f>
        <v>69</v>
      </c>
      <c r="I1073" s="1" t="str">
        <f>"155.1"</f>
        <v>155.1</v>
      </c>
      <c r="J1073" s="1" t="str">
        <f t="shared" ref="J1073:N1073" si="733">"0"</f>
        <v>0</v>
      </c>
      <c r="K1073" s="1" t="str">
        <f t="shared" si="721"/>
        <v>103</v>
      </c>
      <c r="L1073" s="1" t="str">
        <f t="shared" si="722"/>
        <v>47</v>
      </c>
      <c r="M1073" s="1" t="str">
        <f t="shared" si="733"/>
        <v>0</v>
      </c>
      <c r="N1073" s="1" t="str">
        <f t="shared" si="733"/>
        <v>0</v>
      </c>
      <c r="O1073" s="1" t="str">
        <f>"5.1"</f>
        <v>5.1</v>
      </c>
    </row>
    <row r="1074" s="1" customFormat="1" spans="1:15">
      <c r="A1074" s="1" t="str">
        <f t="shared" si="677"/>
        <v>202406</v>
      </c>
      <c r="B1074" s="1" t="str">
        <f t="shared" si="678"/>
        <v>150525100</v>
      </c>
      <c r="C1074" s="1" t="str">
        <f>"1014561159"</f>
        <v>1014561159</v>
      </c>
      <c r="D1074" s="1" t="str">
        <f>"152326195505170425"</f>
        <v>152326195505170425</v>
      </c>
      <c r="E1074" s="1" t="s">
        <v>1135</v>
      </c>
      <c r="F1074" s="1" t="s">
        <v>16</v>
      </c>
      <c r="G1074" s="1" t="s">
        <v>17</v>
      </c>
      <c r="H1074" s="1" t="str">
        <f t="shared" si="732"/>
        <v>69</v>
      </c>
      <c r="I1074" s="1" t="str">
        <f>"154.84"</f>
        <v>154.84</v>
      </c>
      <c r="J1074" s="1" t="str">
        <f t="shared" ref="J1074:N1074" si="734">"0"</f>
        <v>0</v>
      </c>
      <c r="K1074" s="1" t="str">
        <f t="shared" si="721"/>
        <v>103</v>
      </c>
      <c r="L1074" s="1" t="str">
        <f t="shared" si="722"/>
        <v>47</v>
      </c>
      <c r="M1074" s="1" t="str">
        <f t="shared" si="734"/>
        <v>0</v>
      </c>
      <c r="N1074" s="1" t="str">
        <f t="shared" si="734"/>
        <v>0</v>
      </c>
      <c r="O1074" s="1" t="str">
        <f>"4.84"</f>
        <v>4.84</v>
      </c>
    </row>
    <row r="1075" s="1" customFormat="1" spans="1:15">
      <c r="A1075" s="1" t="str">
        <f t="shared" si="677"/>
        <v>202406</v>
      </c>
      <c r="B1075" s="1" t="str">
        <f t="shared" si="678"/>
        <v>150525100</v>
      </c>
      <c r="C1075" s="1" t="str">
        <f>"1014561163"</f>
        <v>1014561163</v>
      </c>
      <c r="D1075" s="1" t="str">
        <f>"152326195508300416"</f>
        <v>152326195508300416</v>
      </c>
      <c r="E1075" s="1" t="s">
        <v>1136</v>
      </c>
      <c r="F1075" s="1" t="s">
        <v>25</v>
      </c>
      <c r="G1075" s="1" t="s">
        <v>17</v>
      </c>
      <c r="H1075" s="1" t="str">
        <f t="shared" si="732"/>
        <v>69</v>
      </c>
      <c r="I1075" s="1" t="str">
        <f>"155.62"</f>
        <v>155.62</v>
      </c>
      <c r="J1075" s="1" t="str">
        <f t="shared" ref="J1075:N1075" si="735">"0"</f>
        <v>0</v>
      </c>
      <c r="K1075" s="1" t="str">
        <f t="shared" si="721"/>
        <v>103</v>
      </c>
      <c r="L1075" s="1" t="str">
        <f t="shared" si="722"/>
        <v>47</v>
      </c>
      <c r="M1075" s="1" t="str">
        <f t="shared" si="735"/>
        <v>0</v>
      </c>
      <c r="N1075" s="1" t="str">
        <f t="shared" si="735"/>
        <v>0</v>
      </c>
      <c r="O1075" s="1" t="str">
        <f>"5.62"</f>
        <v>5.62</v>
      </c>
    </row>
    <row r="1076" s="1" customFormat="1" spans="1:15">
      <c r="A1076" s="1" t="str">
        <f t="shared" si="677"/>
        <v>202406</v>
      </c>
      <c r="B1076" s="1" t="str">
        <f t="shared" si="678"/>
        <v>150525100</v>
      </c>
      <c r="C1076" s="1" t="str">
        <f>"1014561422"</f>
        <v>1014561422</v>
      </c>
      <c r="D1076" s="1" t="str">
        <f>"152326195204040424"</f>
        <v>152326195204040424</v>
      </c>
      <c r="E1076" s="1" t="s">
        <v>1137</v>
      </c>
      <c r="F1076" s="1" t="s">
        <v>16</v>
      </c>
      <c r="G1076" s="1" t="s">
        <v>17</v>
      </c>
      <c r="H1076" s="1" t="str">
        <f>"72"</f>
        <v>72</v>
      </c>
      <c r="I1076" s="1" t="str">
        <f>"162.15"</f>
        <v>162.15</v>
      </c>
      <c r="J1076" s="1" t="str">
        <f t="shared" ref="J1076:N1076" si="736">"0"</f>
        <v>0</v>
      </c>
      <c r="K1076" s="1" t="str">
        <f t="shared" si="721"/>
        <v>103</v>
      </c>
      <c r="L1076" s="1" t="str">
        <f t="shared" si="722"/>
        <v>47</v>
      </c>
      <c r="M1076" s="1" t="str">
        <f t="shared" si="736"/>
        <v>0</v>
      </c>
      <c r="N1076" s="1" t="str">
        <f t="shared" si="736"/>
        <v>0</v>
      </c>
      <c r="O1076" s="1" t="str">
        <f>"2.15"</f>
        <v>2.15</v>
      </c>
    </row>
    <row r="1077" s="1" customFormat="1" spans="1:15">
      <c r="A1077" s="1" t="str">
        <f t="shared" si="677"/>
        <v>202406</v>
      </c>
      <c r="B1077" s="1" t="str">
        <f t="shared" si="678"/>
        <v>150525100</v>
      </c>
      <c r="C1077" s="1" t="str">
        <f>"1014583855"</f>
        <v>1014583855</v>
      </c>
      <c r="D1077" s="1" t="str">
        <f>"152326196101300662"</f>
        <v>152326196101300662</v>
      </c>
      <c r="E1077" s="1" t="s">
        <v>1138</v>
      </c>
      <c r="F1077" s="1" t="s">
        <v>16</v>
      </c>
      <c r="G1077" s="1" t="s">
        <v>19</v>
      </c>
      <c r="H1077" s="1" t="str">
        <f>"63"</f>
        <v>63</v>
      </c>
      <c r="I1077" s="1" t="str">
        <f>"162.74"</f>
        <v>162.74</v>
      </c>
      <c r="J1077" s="1" t="str">
        <f t="shared" ref="J1077:N1077" si="737">"0"</f>
        <v>0</v>
      </c>
      <c r="K1077" s="1" t="str">
        <f t="shared" si="721"/>
        <v>103</v>
      </c>
      <c r="L1077" s="1" t="str">
        <f t="shared" si="722"/>
        <v>47</v>
      </c>
      <c r="M1077" s="1" t="str">
        <f t="shared" si="737"/>
        <v>0</v>
      </c>
      <c r="N1077" s="1" t="str">
        <f t="shared" si="737"/>
        <v>0</v>
      </c>
      <c r="O1077" s="1" t="str">
        <f>"12.74"</f>
        <v>12.74</v>
      </c>
    </row>
    <row r="1078" s="1" customFormat="1" spans="1:15">
      <c r="A1078" s="1" t="str">
        <f t="shared" si="677"/>
        <v>202406</v>
      </c>
      <c r="B1078" s="1" t="str">
        <f t="shared" si="678"/>
        <v>150525100</v>
      </c>
      <c r="C1078" s="1" t="str">
        <f>"1014584166"</f>
        <v>1014584166</v>
      </c>
      <c r="D1078" s="1" t="str">
        <f>"152326195902220676"</f>
        <v>152326195902220676</v>
      </c>
      <c r="E1078" s="1" t="s">
        <v>1139</v>
      </c>
      <c r="F1078" s="1" t="s">
        <v>25</v>
      </c>
      <c r="G1078" s="1" t="s">
        <v>17</v>
      </c>
      <c r="H1078" s="1" t="str">
        <f t="shared" ref="H1078:H1082" si="738">"65"</f>
        <v>65</v>
      </c>
      <c r="I1078" s="1" t="str">
        <f>"156.1"</f>
        <v>156.1</v>
      </c>
      <c r="J1078" s="1" t="str">
        <f t="shared" ref="J1078:N1078" si="739">"0"</f>
        <v>0</v>
      </c>
      <c r="K1078" s="1" t="str">
        <f t="shared" si="721"/>
        <v>103</v>
      </c>
      <c r="L1078" s="1" t="str">
        <f t="shared" si="722"/>
        <v>47</v>
      </c>
      <c r="M1078" s="1" t="str">
        <f t="shared" si="739"/>
        <v>0</v>
      </c>
      <c r="N1078" s="1" t="str">
        <f t="shared" si="739"/>
        <v>0</v>
      </c>
      <c r="O1078" s="1" t="str">
        <f>"6.1"</f>
        <v>6.1</v>
      </c>
    </row>
    <row r="1079" s="1" customFormat="1" spans="1:15">
      <c r="A1079" s="1" t="str">
        <f t="shared" si="677"/>
        <v>202406</v>
      </c>
      <c r="B1079" s="1" t="str">
        <f t="shared" si="678"/>
        <v>150525100</v>
      </c>
      <c r="C1079" s="1" t="str">
        <f>"1014584173"</f>
        <v>1014584173</v>
      </c>
      <c r="D1079" s="1" t="str">
        <f>"152326195905250440"</f>
        <v>152326195905250440</v>
      </c>
      <c r="E1079" s="1" t="s">
        <v>1140</v>
      </c>
      <c r="F1079" s="1" t="s">
        <v>16</v>
      </c>
      <c r="G1079" s="1" t="s">
        <v>17</v>
      </c>
      <c r="H1079" s="1" t="str">
        <f t="shared" si="738"/>
        <v>65</v>
      </c>
      <c r="I1079" s="1" t="str">
        <f>"157.89"</f>
        <v>157.89</v>
      </c>
      <c r="J1079" s="1" t="str">
        <f t="shared" ref="J1079:N1079" si="740">"0"</f>
        <v>0</v>
      </c>
      <c r="K1079" s="1" t="str">
        <f t="shared" si="721"/>
        <v>103</v>
      </c>
      <c r="L1079" s="1" t="str">
        <f t="shared" si="722"/>
        <v>47</v>
      </c>
      <c r="M1079" s="1" t="str">
        <f t="shared" si="740"/>
        <v>0</v>
      </c>
      <c r="N1079" s="1" t="str">
        <f t="shared" si="740"/>
        <v>0</v>
      </c>
      <c r="O1079" s="1" t="str">
        <f>"7.89"</f>
        <v>7.89</v>
      </c>
    </row>
    <row r="1080" s="1" customFormat="1" spans="1:15">
      <c r="A1080" s="1" t="str">
        <f t="shared" si="677"/>
        <v>202406</v>
      </c>
      <c r="B1080" s="1" t="str">
        <f t="shared" si="678"/>
        <v>150525100</v>
      </c>
      <c r="C1080" s="1" t="str">
        <f>"1014584179"</f>
        <v>1014584179</v>
      </c>
      <c r="D1080" s="1" t="str">
        <f>"152326195908140677"</f>
        <v>152326195908140677</v>
      </c>
      <c r="E1080" s="1" t="s">
        <v>1141</v>
      </c>
      <c r="F1080" s="1" t="s">
        <v>25</v>
      </c>
      <c r="G1080" s="1" t="s">
        <v>17</v>
      </c>
      <c r="H1080" s="1" t="str">
        <f t="shared" si="738"/>
        <v>65</v>
      </c>
      <c r="I1080" s="1" t="str">
        <f>"158.9"</f>
        <v>158.9</v>
      </c>
      <c r="J1080" s="1" t="str">
        <f t="shared" ref="J1080:N1080" si="741">"0"</f>
        <v>0</v>
      </c>
      <c r="K1080" s="1" t="str">
        <f t="shared" si="721"/>
        <v>103</v>
      </c>
      <c r="L1080" s="1" t="str">
        <f t="shared" si="722"/>
        <v>47</v>
      </c>
      <c r="M1080" s="1" t="str">
        <f t="shared" si="741"/>
        <v>0</v>
      </c>
      <c r="N1080" s="1" t="str">
        <f t="shared" si="741"/>
        <v>0</v>
      </c>
      <c r="O1080" s="1" t="str">
        <f>"8.9"</f>
        <v>8.9</v>
      </c>
    </row>
    <row r="1081" s="1" customFormat="1" spans="1:15">
      <c r="A1081" s="1" t="str">
        <f t="shared" si="677"/>
        <v>202406</v>
      </c>
      <c r="B1081" s="1" t="str">
        <f t="shared" si="678"/>
        <v>150525100</v>
      </c>
      <c r="C1081" s="1" t="str">
        <f>"1014584180"</f>
        <v>1014584180</v>
      </c>
      <c r="D1081" s="1" t="str">
        <f>"152326195909020423"</f>
        <v>152326195909020423</v>
      </c>
      <c r="E1081" s="1" t="s">
        <v>1142</v>
      </c>
      <c r="F1081" s="1" t="s">
        <v>16</v>
      </c>
      <c r="G1081" s="1" t="s">
        <v>17</v>
      </c>
      <c r="H1081" s="1" t="str">
        <f t="shared" si="738"/>
        <v>65</v>
      </c>
      <c r="I1081" s="1" t="str">
        <f>"158.18"</f>
        <v>158.18</v>
      </c>
      <c r="J1081" s="1" t="str">
        <f t="shared" ref="J1081:N1081" si="742">"0"</f>
        <v>0</v>
      </c>
      <c r="K1081" s="1" t="str">
        <f t="shared" si="721"/>
        <v>103</v>
      </c>
      <c r="L1081" s="1" t="str">
        <f t="shared" si="722"/>
        <v>47</v>
      </c>
      <c r="M1081" s="1" t="str">
        <f t="shared" si="742"/>
        <v>0</v>
      </c>
      <c r="N1081" s="1" t="str">
        <f t="shared" si="742"/>
        <v>0</v>
      </c>
      <c r="O1081" s="1" t="str">
        <f>"8.18"</f>
        <v>8.18</v>
      </c>
    </row>
    <row r="1082" s="1" customFormat="1" spans="1:15">
      <c r="A1082" s="1" t="str">
        <f t="shared" si="677"/>
        <v>202406</v>
      </c>
      <c r="B1082" s="1" t="str">
        <f t="shared" si="678"/>
        <v>150525100</v>
      </c>
      <c r="C1082" s="1" t="str">
        <f>"1014584183"</f>
        <v>1014584183</v>
      </c>
      <c r="D1082" s="1" t="str">
        <f>"152326195910060414"</f>
        <v>152326195910060414</v>
      </c>
      <c r="E1082" s="1" t="s">
        <v>1143</v>
      </c>
      <c r="F1082" s="1" t="s">
        <v>25</v>
      </c>
      <c r="G1082" s="1" t="s">
        <v>17</v>
      </c>
      <c r="H1082" s="1" t="str">
        <f t="shared" si="738"/>
        <v>65</v>
      </c>
      <c r="I1082" s="1" t="str">
        <f>"158.19"</f>
        <v>158.19</v>
      </c>
      <c r="J1082" s="1" t="str">
        <f t="shared" ref="J1082:N1082" si="743">"0"</f>
        <v>0</v>
      </c>
      <c r="K1082" s="1" t="str">
        <f t="shared" si="721"/>
        <v>103</v>
      </c>
      <c r="L1082" s="1" t="str">
        <f t="shared" si="722"/>
        <v>47</v>
      </c>
      <c r="M1082" s="1" t="str">
        <f t="shared" si="743"/>
        <v>0</v>
      </c>
      <c r="N1082" s="1" t="str">
        <f t="shared" si="743"/>
        <v>0</v>
      </c>
      <c r="O1082" s="1" t="str">
        <f>"8.19"</f>
        <v>8.19</v>
      </c>
    </row>
    <row r="1083" s="1" customFormat="1" spans="1:15">
      <c r="A1083" s="1" t="str">
        <f t="shared" si="677"/>
        <v>202406</v>
      </c>
      <c r="B1083" s="1" t="str">
        <f t="shared" si="678"/>
        <v>150525100</v>
      </c>
      <c r="C1083" s="1" t="str">
        <f>"1014549731"</f>
        <v>1014549731</v>
      </c>
      <c r="D1083" s="1" t="s">
        <v>1144</v>
      </c>
      <c r="E1083" s="1" t="s">
        <v>1145</v>
      </c>
      <c r="F1083" s="1" t="s">
        <v>25</v>
      </c>
      <c r="G1083" s="1" t="s">
        <v>17</v>
      </c>
      <c r="H1083" s="1" t="str">
        <f>"62"</f>
        <v>62</v>
      </c>
      <c r="I1083" s="1" t="str">
        <f>"162.32"</f>
        <v>162.32</v>
      </c>
      <c r="J1083" s="1" t="str">
        <f t="shared" ref="J1083:N1083" si="744">"0"</f>
        <v>0</v>
      </c>
      <c r="K1083" s="1" t="str">
        <f t="shared" si="721"/>
        <v>103</v>
      </c>
      <c r="L1083" s="1" t="str">
        <f t="shared" si="722"/>
        <v>47</v>
      </c>
      <c r="M1083" s="1" t="str">
        <f t="shared" si="744"/>
        <v>0</v>
      </c>
      <c r="N1083" s="1" t="str">
        <f t="shared" si="744"/>
        <v>0</v>
      </c>
      <c r="O1083" s="1" t="str">
        <f>"12.32"</f>
        <v>12.32</v>
      </c>
    </row>
    <row r="1084" s="1" customFormat="1" spans="1:15">
      <c r="A1084" s="1" t="str">
        <f t="shared" si="677"/>
        <v>202406</v>
      </c>
      <c r="B1084" s="1" t="str">
        <f t="shared" si="678"/>
        <v>150525100</v>
      </c>
      <c r="C1084" s="1" t="str">
        <f>"1014549735"</f>
        <v>1014549735</v>
      </c>
      <c r="D1084" s="1" t="s">
        <v>1146</v>
      </c>
      <c r="E1084" s="1" t="s">
        <v>1147</v>
      </c>
      <c r="F1084" s="1" t="s">
        <v>16</v>
      </c>
      <c r="G1084" s="1" t="s">
        <v>17</v>
      </c>
      <c r="H1084" s="1" t="str">
        <f>"62"</f>
        <v>62</v>
      </c>
      <c r="I1084" s="1" t="str">
        <f>"164.91"</f>
        <v>164.91</v>
      </c>
      <c r="J1084" s="1" t="str">
        <f t="shared" ref="J1084:N1084" si="745">"0"</f>
        <v>0</v>
      </c>
      <c r="K1084" s="1" t="str">
        <f t="shared" si="721"/>
        <v>103</v>
      </c>
      <c r="L1084" s="1" t="str">
        <f t="shared" si="722"/>
        <v>47</v>
      </c>
      <c r="M1084" s="1" t="str">
        <f t="shared" si="745"/>
        <v>0</v>
      </c>
      <c r="N1084" s="1" t="str">
        <f t="shared" si="745"/>
        <v>0</v>
      </c>
      <c r="O1084" s="1" t="str">
        <f>"14.91"</f>
        <v>14.91</v>
      </c>
    </row>
    <row r="1085" s="1" customFormat="1" spans="1:15">
      <c r="A1085" s="1" t="str">
        <f t="shared" si="677"/>
        <v>202406</v>
      </c>
      <c r="B1085" s="1" t="str">
        <f t="shared" si="678"/>
        <v>150525100</v>
      </c>
      <c r="C1085" s="1" t="str">
        <f>"1014549745"</f>
        <v>1014549745</v>
      </c>
      <c r="D1085" s="1" t="str">
        <f>"152326195910253072"</f>
        <v>152326195910253072</v>
      </c>
      <c r="E1085" s="1" t="s">
        <v>1148</v>
      </c>
      <c r="F1085" s="1" t="s">
        <v>25</v>
      </c>
      <c r="G1085" s="1" t="s">
        <v>17</v>
      </c>
      <c r="H1085" s="1" t="str">
        <f>"65"</f>
        <v>65</v>
      </c>
      <c r="I1085" s="1" t="str">
        <f>"158.2"</f>
        <v>158.2</v>
      </c>
      <c r="J1085" s="1" t="str">
        <f t="shared" ref="J1085:N1085" si="746">"0"</f>
        <v>0</v>
      </c>
      <c r="K1085" s="1" t="str">
        <f t="shared" si="721"/>
        <v>103</v>
      </c>
      <c r="L1085" s="1" t="str">
        <f t="shared" si="722"/>
        <v>47</v>
      </c>
      <c r="M1085" s="1" t="str">
        <f t="shared" si="746"/>
        <v>0</v>
      </c>
      <c r="N1085" s="1" t="str">
        <f t="shared" si="746"/>
        <v>0</v>
      </c>
      <c r="O1085" s="1" t="str">
        <f>"8.2"</f>
        <v>8.2</v>
      </c>
    </row>
    <row r="1086" s="1" customFormat="1" spans="1:15">
      <c r="A1086" s="1" t="str">
        <f t="shared" si="677"/>
        <v>202406</v>
      </c>
      <c r="B1086" s="1" t="str">
        <f t="shared" si="678"/>
        <v>150525100</v>
      </c>
      <c r="C1086" s="1" t="str">
        <f>"1014584799"</f>
        <v>1014584799</v>
      </c>
      <c r="D1086" s="1" t="str">
        <f>"152326195710100418"</f>
        <v>152326195710100418</v>
      </c>
      <c r="E1086" s="1" t="s">
        <v>1149</v>
      </c>
      <c r="F1086" s="1" t="s">
        <v>25</v>
      </c>
      <c r="G1086" s="1" t="s">
        <v>17</v>
      </c>
      <c r="H1086" s="1" t="str">
        <f>"67"</f>
        <v>67</v>
      </c>
      <c r="I1086" s="1" t="str">
        <f>"156.09"</f>
        <v>156.09</v>
      </c>
      <c r="J1086" s="1" t="str">
        <f t="shared" ref="J1086:N1086" si="747">"0"</f>
        <v>0</v>
      </c>
      <c r="K1086" s="1" t="str">
        <f t="shared" si="721"/>
        <v>103</v>
      </c>
      <c r="L1086" s="1" t="str">
        <f t="shared" si="722"/>
        <v>47</v>
      </c>
      <c r="M1086" s="1" t="str">
        <f t="shared" si="747"/>
        <v>0</v>
      </c>
      <c r="N1086" s="1" t="str">
        <f t="shared" si="747"/>
        <v>0</v>
      </c>
      <c r="O1086" s="1" t="str">
        <f>"6.09"</f>
        <v>6.09</v>
      </c>
    </row>
    <row r="1087" s="1" customFormat="1" spans="1:15">
      <c r="A1087" s="1" t="str">
        <f t="shared" si="677"/>
        <v>202406</v>
      </c>
      <c r="B1087" s="1" t="str">
        <f t="shared" si="678"/>
        <v>150525100</v>
      </c>
      <c r="C1087" s="1" t="str">
        <f>"1014585275"</f>
        <v>1014585275</v>
      </c>
      <c r="D1087" s="1" t="str">
        <f>"152326196304120661"</f>
        <v>152326196304120661</v>
      </c>
      <c r="E1087" s="1" t="s">
        <v>1150</v>
      </c>
      <c r="F1087" s="1" t="s">
        <v>16</v>
      </c>
      <c r="G1087" s="1" t="s">
        <v>17</v>
      </c>
      <c r="H1087" s="1" t="str">
        <f t="shared" ref="H1087:H1091" si="748">"61"</f>
        <v>61</v>
      </c>
      <c r="I1087" s="1" t="str">
        <f>"163.98"</f>
        <v>163.98</v>
      </c>
      <c r="J1087" s="1" t="str">
        <f t="shared" ref="J1087:N1087" si="749">"0"</f>
        <v>0</v>
      </c>
      <c r="K1087" s="1" t="str">
        <f t="shared" si="721"/>
        <v>103</v>
      </c>
      <c r="L1087" s="1" t="str">
        <f t="shared" si="722"/>
        <v>47</v>
      </c>
      <c r="M1087" s="1" t="str">
        <f t="shared" si="749"/>
        <v>0</v>
      </c>
      <c r="N1087" s="1" t="str">
        <f t="shared" si="749"/>
        <v>0</v>
      </c>
      <c r="O1087" s="1" t="str">
        <f>"13.98"</f>
        <v>13.98</v>
      </c>
    </row>
    <row r="1088" s="1" customFormat="1" spans="1:15">
      <c r="A1088" s="1" t="str">
        <f t="shared" si="677"/>
        <v>202406</v>
      </c>
      <c r="B1088" s="1" t="str">
        <f t="shared" si="678"/>
        <v>150525100</v>
      </c>
      <c r="C1088" s="1" t="str">
        <f>"1014585276"</f>
        <v>1014585276</v>
      </c>
      <c r="D1088" s="1" t="str">
        <f>"152326196304150676"</f>
        <v>152326196304150676</v>
      </c>
      <c r="E1088" s="1" t="s">
        <v>1151</v>
      </c>
      <c r="F1088" s="1" t="s">
        <v>25</v>
      </c>
      <c r="G1088" s="1" t="s">
        <v>17</v>
      </c>
      <c r="H1088" s="1" t="str">
        <f t="shared" si="748"/>
        <v>61</v>
      </c>
      <c r="I1088" s="1" t="str">
        <f>"164.98"</f>
        <v>164.98</v>
      </c>
      <c r="J1088" s="1" t="str">
        <f t="shared" ref="J1088:N1088" si="750">"0"</f>
        <v>0</v>
      </c>
      <c r="K1088" s="1" t="str">
        <f t="shared" si="721"/>
        <v>103</v>
      </c>
      <c r="L1088" s="1" t="str">
        <f t="shared" si="722"/>
        <v>47</v>
      </c>
      <c r="M1088" s="1" t="str">
        <f t="shared" si="750"/>
        <v>0</v>
      </c>
      <c r="N1088" s="1" t="str">
        <f t="shared" si="750"/>
        <v>0</v>
      </c>
      <c r="O1088" s="1" t="str">
        <f>"14.98"</f>
        <v>14.98</v>
      </c>
    </row>
    <row r="1089" s="1" customFormat="1" spans="1:15">
      <c r="A1089" s="1" t="str">
        <f t="shared" si="677"/>
        <v>202406</v>
      </c>
      <c r="B1089" s="1" t="str">
        <f t="shared" si="678"/>
        <v>150525100</v>
      </c>
      <c r="C1089" s="1" t="str">
        <f>"1014585284"</f>
        <v>1014585284</v>
      </c>
      <c r="D1089" s="1" t="str">
        <f>"152326196306260676"</f>
        <v>152326196306260676</v>
      </c>
      <c r="E1089" s="1" t="s">
        <v>1152</v>
      </c>
      <c r="F1089" s="1" t="s">
        <v>25</v>
      </c>
      <c r="G1089" s="1" t="s">
        <v>17</v>
      </c>
      <c r="H1089" s="1" t="str">
        <f t="shared" si="748"/>
        <v>61</v>
      </c>
      <c r="I1089" s="1" t="str">
        <f>"166.5"</f>
        <v>166.5</v>
      </c>
      <c r="J1089" s="1" t="str">
        <f t="shared" ref="J1089:N1089" si="751">"0"</f>
        <v>0</v>
      </c>
      <c r="K1089" s="1" t="str">
        <f t="shared" si="721"/>
        <v>103</v>
      </c>
      <c r="L1089" s="1" t="str">
        <f t="shared" si="722"/>
        <v>47</v>
      </c>
      <c r="M1089" s="1" t="str">
        <f t="shared" si="751"/>
        <v>0</v>
      </c>
      <c r="N1089" s="1" t="str">
        <f t="shared" si="751"/>
        <v>0</v>
      </c>
      <c r="O1089" s="1" t="str">
        <f>"16.5"</f>
        <v>16.5</v>
      </c>
    </row>
    <row r="1090" s="1" customFormat="1" spans="1:15">
      <c r="A1090" s="1" t="str">
        <f t="shared" ref="A1090:A1153" si="752">"202406"</f>
        <v>202406</v>
      </c>
      <c r="B1090" s="1" t="str">
        <f t="shared" ref="B1090:B1153" si="753">"150525100"</f>
        <v>150525100</v>
      </c>
      <c r="C1090" s="1" t="str">
        <f>"1014585291"</f>
        <v>1014585291</v>
      </c>
      <c r="D1090" s="1" t="str">
        <f>"152326196308120677"</f>
        <v>152326196308120677</v>
      </c>
      <c r="E1090" s="1" t="s">
        <v>1153</v>
      </c>
      <c r="F1090" s="1" t="s">
        <v>25</v>
      </c>
      <c r="G1090" s="1" t="s">
        <v>17</v>
      </c>
      <c r="H1090" s="1" t="str">
        <f t="shared" si="748"/>
        <v>61</v>
      </c>
      <c r="I1090" s="1" t="str">
        <f>"166.88"</f>
        <v>166.88</v>
      </c>
      <c r="J1090" s="1" t="str">
        <f t="shared" ref="J1090:N1090" si="754">"0"</f>
        <v>0</v>
      </c>
      <c r="K1090" s="1" t="str">
        <f t="shared" si="721"/>
        <v>103</v>
      </c>
      <c r="L1090" s="1" t="str">
        <f t="shared" si="722"/>
        <v>47</v>
      </c>
      <c r="M1090" s="1" t="str">
        <f t="shared" si="754"/>
        <v>0</v>
      </c>
      <c r="N1090" s="1" t="str">
        <f t="shared" si="754"/>
        <v>0</v>
      </c>
      <c r="O1090" s="1" t="str">
        <f>"16.88"</f>
        <v>16.88</v>
      </c>
    </row>
    <row r="1091" s="1" customFormat="1" spans="1:15">
      <c r="A1091" s="1" t="str">
        <f t="shared" si="752"/>
        <v>202406</v>
      </c>
      <c r="B1091" s="1" t="str">
        <f t="shared" si="753"/>
        <v>150525100</v>
      </c>
      <c r="C1091" s="1" t="str">
        <f>"1014585293"</f>
        <v>1014585293</v>
      </c>
      <c r="D1091" s="1" t="str">
        <f>"152326196309050682"</f>
        <v>152326196309050682</v>
      </c>
      <c r="E1091" s="1" t="s">
        <v>1154</v>
      </c>
      <c r="F1091" s="1" t="s">
        <v>16</v>
      </c>
      <c r="G1091" s="1" t="s">
        <v>17</v>
      </c>
      <c r="H1091" s="1" t="str">
        <f t="shared" si="748"/>
        <v>61</v>
      </c>
      <c r="I1091" s="1" t="str">
        <f>"165.06"</f>
        <v>165.06</v>
      </c>
      <c r="J1091" s="1" t="str">
        <f t="shared" ref="J1091:N1091" si="755">"0"</f>
        <v>0</v>
      </c>
      <c r="K1091" s="1" t="str">
        <f t="shared" si="721"/>
        <v>103</v>
      </c>
      <c r="L1091" s="1" t="str">
        <f t="shared" si="722"/>
        <v>47</v>
      </c>
      <c r="M1091" s="1" t="str">
        <f t="shared" si="755"/>
        <v>0</v>
      </c>
      <c r="N1091" s="1" t="str">
        <f t="shared" si="755"/>
        <v>0</v>
      </c>
      <c r="O1091" s="1" t="str">
        <f>"15.06"</f>
        <v>15.06</v>
      </c>
    </row>
    <row r="1092" s="1" customFormat="1" spans="1:15">
      <c r="A1092" s="1" t="str">
        <f t="shared" si="752"/>
        <v>202406</v>
      </c>
      <c r="B1092" s="1" t="str">
        <f t="shared" si="753"/>
        <v>150525100</v>
      </c>
      <c r="C1092" s="1" t="str">
        <f>"1014552192"</f>
        <v>1014552192</v>
      </c>
      <c r="D1092" s="1" t="str">
        <f>"152326195209203827"</f>
        <v>152326195209203827</v>
      </c>
      <c r="E1092" s="1" t="s">
        <v>1155</v>
      </c>
      <c r="F1092" s="1" t="s">
        <v>16</v>
      </c>
      <c r="G1092" s="1" t="s">
        <v>17</v>
      </c>
      <c r="H1092" s="1" t="str">
        <f>"72"</f>
        <v>72</v>
      </c>
      <c r="I1092" s="1" t="str">
        <f>"162.15"</f>
        <v>162.15</v>
      </c>
      <c r="J1092" s="1" t="str">
        <f t="shared" ref="J1092:N1092" si="756">"0"</f>
        <v>0</v>
      </c>
      <c r="K1092" s="1" t="str">
        <f t="shared" si="721"/>
        <v>103</v>
      </c>
      <c r="L1092" s="1" t="str">
        <f t="shared" si="722"/>
        <v>47</v>
      </c>
      <c r="M1092" s="1" t="str">
        <f t="shared" si="756"/>
        <v>0</v>
      </c>
      <c r="N1092" s="1" t="str">
        <f t="shared" si="756"/>
        <v>0</v>
      </c>
      <c r="O1092" s="1" t="str">
        <f>"2.15"</f>
        <v>2.15</v>
      </c>
    </row>
    <row r="1093" s="1" customFormat="1" spans="1:15">
      <c r="A1093" s="1" t="str">
        <f t="shared" si="752"/>
        <v>202406</v>
      </c>
      <c r="B1093" s="1" t="str">
        <f t="shared" si="753"/>
        <v>150525100</v>
      </c>
      <c r="C1093" s="1" t="str">
        <f>"1014552194"</f>
        <v>1014552194</v>
      </c>
      <c r="D1093" s="1" t="str">
        <f>"152326195303063824"</f>
        <v>152326195303063824</v>
      </c>
      <c r="E1093" s="1" t="s">
        <v>980</v>
      </c>
      <c r="F1093" s="1" t="s">
        <v>16</v>
      </c>
      <c r="G1093" s="1" t="s">
        <v>17</v>
      </c>
      <c r="H1093" s="1" t="str">
        <f>"71"</f>
        <v>71</v>
      </c>
      <c r="I1093" s="1" t="str">
        <f>"162.92"</f>
        <v>162.92</v>
      </c>
      <c r="J1093" s="1" t="str">
        <f t="shared" ref="J1093:N1093" si="757">"0"</f>
        <v>0</v>
      </c>
      <c r="K1093" s="1" t="str">
        <f t="shared" si="721"/>
        <v>103</v>
      </c>
      <c r="L1093" s="1" t="str">
        <f t="shared" si="722"/>
        <v>47</v>
      </c>
      <c r="M1093" s="1" t="str">
        <f t="shared" si="757"/>
        <v>0</v>
      </c>
      <c r="N1093" s="1" t="str">
        <f t="shared" si="757"/>
        <v>0</v>
      </c>
      <c r="O1093" s="1" t="str">
        <f>"2.92"</f>
        <v>2.92</v>
      </c>
    </row>
    <row r="1094" s="1" customFormat="1" spans="1:15">
      <c r="A1094" s="1" t="str">
        <f t="shared" si="752"/>
        <v>202406</v>
      </c>
      <c r="B1094" s="1" t="str">
        <f t="shared" si="753"/>
        <v>150525100</v>
      </c>
      <c r="C1094" s="1" t="str">
        <f>"1040641620"</f>
        <v>1040641620</v>
      </c>
      <c r="D1094" s="1" t="str">
        <f>"152326195912180938"</f>
        <v>152326195912180938</v>
      </c>
      <c r="E1094" s="1" t="s">
        <v>1156</v>
      </c>
      <c r="F1094" s="1" t="s">
        <v>25</v>
      </c>
      <c r="G1094" s="1" t="s">
        <v>19</v>
      </c>
      <c r="H1094" s="1" t="str">
        <f>"65"</f>
        <v>65</v>
      </c>
      <c r="I1094" s="1" t="str">
        <f>"158.31"</f>
        <v>158.31</v>
      </c>
      <c r="J1094" s="1" t="str">
        <f t="shared" ref="J1094:N1094" si="758">"0"</f>
        <v>0</v>
      </c>
      <c r="K1094" s="1" t="str">
        <f t="shared" si="721"/>
        <v>103</v>
      </c>
      <c r="L1094" s="1" t="str">
        <f t="shared" si="722"/>
        <v>47</v>
      </c>
      <c r="M1094" s="1" t="str">
        <f t="shared" si="758"/>
        <v>0</v>
      </c>
      <c r="N1094" s="1" t="str">
        <f t="shared" si="758"/>
        <v>0</v>
      </c>
      <c r="O1094" s="1" t="str">
        <f>"8.31"</f>
        <v>8.31</v>
      </c>
    </row>
    <row r="1095" s="1" customFormat="1" spans="1:15">
      <c r="A1095" s="1" t="str">
        <f t="shared" si="752"/>
        <v>202406</v>
      </c>
      <c r="B1095" s="1" t="str">
        <f t="shared" si="753"/>
        <v>150525100</v>
      </c>
      <c r="C1095" s="1" t="str">
        <f>"1040641625"</f>
        <v>1040641625</v>
      </c>
      <c r="D1095" s="1" t="str">
        <f>"152326196103100920"</f>
        <v>152326196103100920</v>
      </c>
      <c r="E1095" s="1" t="s">
        <v>1157</v>
      </c>
      <c r="F1095" s="1" t="s">
        <v>16</v>
      </c>
      <c r="G1095" s="1" t="s">
        <v>19</v>
      </c>
      <c r="H1095" s="1" t="str">
        <f>"63"</f>
        <v>63</v>
      </c>
      <c r="I1095" s="1" t="str">
        <f>"164.64"</f>
        <v>164.64</v>
      </c>
      <c r="J1095" s="1" t="str">
        <f t="shared" ref="J1095:N1095" si="759">"0"</f>
        <v>0</v>
      </c>
      <c r="K1095" s="1" t="str">
        <f t="shared" si="721"/>
        <v>103</v>
      </c>
      <c r="L1095" s="1" t="str">
        <f t="shared" si="722"/>
        <v>47</v>
      </c>
      <c r="M1095" s="1" t="str">
        <f t="shared" si="759"/>
        <v>0</v>
      </c>
      <c r="N1095" s="1" t="str">
        <f t="shared" si="759"/>
        <v>0</v>
      </c>
      <c r="O1095" s="1" t="str">
        <f>"14.64"</f>
        <v>14.64</v>
      </c>
    </row>
    <row r="1096" s="1" customFormat="1" spans="1:15">
      <c r="A1096" s="1" t="str">
        <f t="shared" si="752"/>
        <v>202406</v>
      </c>
      <c r="B1096" s="1" t="str">
        <f t="shared" si="753"/>
        <v>150525100</v>
      </c>
      <c r="C1096" s="1" t="str">
        <f>"1040641643"</f>
        <v>1040641643</v>
      </c>
      <c r="D1096" s="1" t="str">
        <f>"152326196209150926"</f>
        <v>152326196209150926</v>
      </c>
      <c r="E1096" s="1" t="s">
        <v>1158</v>
      </c>
      <c r="F1096" s="1" t="s">
        <v>16</v>
      </c>
      <c r="G1096" s="1" t="s">
        <v>19</v>
      </c>
      <c r="H1096" s="1" t="str">
        <f>"62"</f>
        <v>62</v>
      </c>
      <c r="I1096" s="1" t="str">
        <f>"161.67"</f>
        <v>161.67</v>
      </c>
      <c r="J1096" s="1" t="str">
        <f t="shared" ref="J1096:N1096" si="760">"0"</f>
        <v>0</v>
      </c>
      <c r="K1096" s="1" t="str">
        <f t="shared" si="721"/>
        <v>103</v>
      </c>
      <c r="L1096" s="1" t="str">
        <f t="shared" si="722"/>
        <v>47</v>
      </c>
      <c r="M1096" s="1" t="str">
        <f t="shared" si="760"/>
        <v>0</v>
      </c>
      <c r="N1096" s="1" t="str">
        <f t="shared" si="760"/>
        <v>0</v>
      </c>
      <c r="O1096" s="1" t="str">
        <f>"11.67"</f>
        <v>11.67</v>
      </c>
    </row>
    <row r="1097" s="1" customFormat="1" spans="1:15">
      <c r="A1097" s="1" t="str">
        <f t="shared" si="752"/>
        <v>202406</v>
      </c>
      <c r="B1097" s="1" t="str">
        <f t="shared" si="753"/>
        <v>150525100</v>
      </c>
      <c r="C1097" s="1" t="str">
        <f>"1040641670"</f>
        <v>1040641670</v>
      </c>
      <c r="D1097" s="1" t="str">
        <f>"152326195410160670"</f>
        <v>152326195410160670</v>
      </c>
      <c r="E1097" s="1" t="s">
        <v>1159</v>
      </c>
      <c r="F1097" s="1" t="s">
        <v>25</v>
      </c>
      <c r="G1097" s="1" t="s">
        <v>19</v>
      </c>
      <c r="H1097" s="1" t="str">
        <f>"70"</f>
        <v>70</v>
      </c>
      <c r="I1097" s="1" t="str">
        <f>"153.32"</f>
        <v>153.32</v>
      </c>
      <c r="J1097" s="1" t="str">
        <f t="shared" ref="J1097:N1097" si="761">"0"</f>
        <v>0</v>
      </c>
      <c r="K1097" s="1" t="str">
        <f t="shared" si="721"/>
        <v>103</v>
      </c>
      <c r="L1097" s="1" t="str">
        <f t="shared" si="722"/>
        <v>47</v>
      </c>
      <c r="M1097" s="1" t="str">
        <f t="shared" si="761"/>
        <v>0</v>
      </c>
      <c r="N1097" s="1" t="str">
        <f t="shared" si="761"/>
        <v>0</v>
      </c>
      <c r="O1097" s="1" t="str">
        <f>"3.32"</f>
        <v>3.32</v>
      </c>
    </row>
    <row r="1098" s="1" customFormat="1" spans="1:15">
      <c r="A1098" s="1" t="str">
        <f t="shared" si="752"/>
        <v>202406</v>
      </c>
      <c r="B1098" s="1" t="str">
        <f t="shared" si="753"/>
        <v>150525100</v>
      </c>
      <c r="C1098" s="1" t="str">
        <f>"1040641683"</f>
        <v>1040641683</v>
      </c>
      <c r="D1098" s="1" t="str">
        <f>"152326196106120679"</f>
        <v>152326196106120679</v>
      </c>
      <c r="E1098" s="1" t="s">
        <v>1160</v>
      </c>
      <c r="F1098" s="1" t="s">
        <v>25</v>
      </c>
      <c r="G1098" s="1" t="s">
        <v>17</v>
      </c>
      <c r="H1098" s="1" t="str">
        <f>"63"</f>
        <v>63</v>
      </c>
      <c r="I1098" s="1" t="str">
        <f>"159.39"</f>
        <v>159.39</v>
      </c>
      <c r="J1098" s="1" t="str">
        <f t="shared" ref="J1098:N1098" si="762">"0"</f>
        <v>0</v>
      </c>
      <c r="K1098" s="1" t="str">
        <f t="shared" si="721"/>
        <v>103</v>
      </c>
      <c r="L1098" s="1" t="str">
        <f t="shared" si="722"/>
        <v>47</v>
      </c>
      <c r="M1098" s="1" t="str">
        <f t="shared" si="762"/>
        <v>0</v>
      </c>
      <c r="N1098" s="1" t="str">
        <f t="shared" si="762"/>
        <v>0</v>
      </c>
      <c r="O1098" s="1" t="str">
        <f>"9.39"</f>
        <v>9.39</v>
      </c>
    </row>
    <row r="1099" s="1" customFormat="1" spans="1:15">
      <c r="A1099" s="1" t="str">
        <f t="shared" si="752"/>
        <v>202406</v>
      </c>
      <c r="B1099" s="1" t="str">
        <f t="shared" si="753"/>
        <v>150525100</v>
      </c>
      <c r="C1099" s="1" t="str">
        <f>"1040641690"</f>
        <v>1040641690</v>
      </c>
      <c r="D1099" s="1" t="str">
        <f>"152326196003150672"</f>
        <v>152326196003150672</v>
      </c>
      <c r="E1099" s="1" t="s">
        <v>1161</v>
      </c>
      <c r="F1099" s="1" t="s">
        <v>25</v>
      </c>
      <c r="G1099" s="1" t="s">
        <v>19</v>
      </c>
      <c r="H1099" s="1" t="str">
        <f>"64"</f>
        <v>64</v>
      </c>
      <c r="I1099" s="1" t="str">
        <f>"158.91"</f>
        <v>158.91</v>
      </c>
      <c r="J1099" s="1" t="str">
        <f t="shared" ref="J1099:N1099" si="763">"0"</f>
        <v>0</v>
      </c>
      <c r="K1099" s="1" t="str">
        <f t="shared" si="721"/>
        <v>103</v>
      </c>
      <c r="L1099" s="1" t="str">
        <f t="shared" si="722"/>
        <v>47</v>
      </c>
      <c r="M1099" s="1" t="str">
        <f t="shared" si="763"/>
        <v>0</v>
      </c>
      <c r="N1099" s="1" t="str">
        <f t="shared" si="763"/>
        <v>0</v>
      </c>
      <c r="O1099" s="1" t="str">
        <f>"8.91"</f>
        <v>8.91</v>
      </c>
    </row>
    <row r="1100" s="1" customFormat="1" spans="1:15">
      <c r="A1100" s="1" t="str">
        <f t="shared" si="752"/>
        <v>202406</v>
      </c>
      <c r="B1100" s="1" t="str">
        <f t="shared" si="753"/>
        <v>150525100</v>
      </c>
      <c r="C1100" s="1" t="str">
        <f>"1014561428"</f>
        <v>1014561428</v>
      </c>
      <c r="D1100" s="1" t="str">
        <f>"152326195206170441"</f>
        <v>152326195206170441</v>
      </c>
      <c r="E1100" s="1" t="s">
        <v>1162</v>
      </c>
      <c r="F1100" s="1" t="s">
        <v>16</v>
      </c>
      <c r="G1100" s="1" t="s">
        <v>17</v>
      </c>
      <c r="H1100" s="1" t="str">
        <f>"72"</f>
        <v>72</v>
      </c>
      <c r="I1100" s="1" t="str">
        <f>"162.15"</f>
        <v>162.15</v>
      </c>
      <c r="J1100" s="1" t="str">
        <f t="shared" ref="J1100:N1100" si="764">"0"</f>
        <v>0</v>
      </c>
      <c r="K1100" s="1" t="str">
        <f t="shared" si="721"/>
        <v>103</v>
      </c>
      <c r="L1100" s="1" t="str">
        <f t="shared" si="722"/>
        <v>47</v>
      </c>
      <c r="M1100" s="1" t="str">
        <f t="shared" si="764"/>
        <v>0</v>
      </c>
      <c r="N1100" s="1" t="str">
        <f t="shared" si="764"/>
        <v>0</v>
      </c>
      <c r="O1100" s="1" t="str">
        <f>"2.15"</f>
        <v>2.15</v>
      </c>
    </row>
    <row r="1101" s="1" customFormat="1" spans="1:15">
      <c r="A1101" s="1" t="str">
        <f t="shared" si="752"/>
        <v>202406</v>
      </c>
      <c r="B1101" s="1" t="str">
        <f t="shared" si="753"/>
        <v>150525100</v>
      </c>
      <c r="C1101" s="1" t="str">
        <f>"1014562685"</f>
        <v>1014562685</v>
      </c>
      <c r="D1101" s="1" t="str">
        <f>"152326195301170423"</f>
        <v>152326195301170423</v>
      </c>
      <c r="E1101" s="1" t="s">
        <v>1163</v>
      </c>
      <c r="F1101" s="1" t="s">
        <v>16</v>
      </c>
      <c r="G1101" s="1" t="s">
        <v>17</v>
      </c>
      <c r="H1101" s="1" t="str">
        <f>"71"</f>
        <v>71</v>
      </c>
      <c r="I1101" s="1" t="str">
        <f>"162.93"</f>
        <v>162.93</v>
      </c>
      <c r="J1101" s="1" t="str">
        <f t="shared" ref="J1101:N1101" si="765">"0"</f>
        <v>0</v>
      </c>
      <c r="K1101" s="1" t="str">
        <f t="shared" si="721"/>
        <v>103</v>
      </c>
      <c r="L1101" s="1" t="str">
        <f t="shared" si="722"/>
        <v>47</v>
      </c>
      <c r="M1101" s="1" t="str">
        <f t="shared" si="765"/>
        <v>0</v>
      </c>
      <c r="N1101" s="1" t="str">
        <f t="shared" si="765"/>
        <v>0</v>
      </c>
      <c r="O1101" s="1" t="str">
        <f>"2.93"</f>
        <v>2.93</v>
      </c>
    </row>
    <row r="1102" s="1" customFormat="1" spans="1:15">
      <c r="A1102" s="1" t="str">
        <f t="shared" si="752"/>
        <v>202406</v>
      </c>
      <c r="B1102" s="1" t="str">
        <f t="shared" si="753"/>
        <v>150525100</v>
      </c>
      <c r="C1102" s="1" t="str">
        <f>"1014583907"</f>
        <v>1014583907</v>
      </c>
      <c r="D1102" s="1" t="str">
        <f>"152326195510140669"</f>
        <v>152326195510140669</v>
      </c>
      <c r="E1102" s="1" t="s">
        <v>1164</v>
      </c>
      <c r="F1102" s="1" t="s">
        <v>16</v>
      </c>
      <c r="G1102" s="1" t="s">
        <v>17</v>
      </c>
      <c r="H1102" s="1" t="str">
        <f>"69"</f>
        <v>69</v>
      </c>
      <c r="I1102" s="1" t="str">
        <f>"155.09"</f>
        <v>155.09</v>
      </c>
      <c r="J1102" s="1" t="str">
        <f t="shared" ref="J1102:N1102" si="766">"0"</f>
        <v>0</v>
      </c>
      <c r="K1102" s="1" t="str">
        <f t="shared" si="721"/>
        <v>103</v>
      </c>
      <c r="L1102" s="1" t="str">
        <f t="shared" si="722"/>
        <v>47</v>
      </c>
      <c r="M1102" s="1" t="str">
        <f t="shared" si="766"/>
        <v>0</v>
      </c>
      <c r="N1102" s="1" t="str">
        <f t="shared" si="766"/>
        <v>0</v>
      </c>
      <c r="O1102" s="1" t="str">
        <f>"5.09"</f>
        <v>5.09</v>
      </c>
    </row>
    <row r="1103" s="1" customFormat="1" spans="1:15">
      <c r="A1103" s="1" t="str">
        <f t="shared" si="752"/>
        <v>202406</v>
      </c>
      <c r="B1103" s="1" t="str">
        <f t="shared" si="753"/>
        <v>150525100</v>
      </c>
      <c r="C1103" s="1" t="str">
        <f>"1014583909"</f>
        <v>1014583909</v>
      </c>
      <c r="D1103" s="1" t="str">
        <f>"152326195512140670"</f>
        <v>152326195512140670</v>
      </c>
      <c r="E1103" s="1" t="s">
        <v>1165</v>
      </c>
      <c r="F1103" s="1" t="s">
        <v>25</v>
      </c>
      <c r="G1103" s="1" t="s">
        <v>17</v>
      </c>
      <c r="H1103" s="1" t="str">
        <f>"69"</f>
        <v>69</v>
      </c>
      <c r="I1103" s="1" t="str">
        <f>"153.88"</f>
        <v>153.88</v>
      </c>
      <c r="J1103" s="1" t="str">
        <f t="shared" ref="J1103:N1103" si="767">"0"</f>
        <v>0</v>
      </c>
      <c r="K1103" s="1" t="str">
        <f t="shared" si="721"/>
        <v>103</v>
      </c>
      <c r="L1103" s="1" t="str">
        <f t="shared" si="722"/>
        <v>47</v>
      </c>
      <c r="M1103" s="1" t="str">
        <f t="shared" si="767"/>
        <v>0</v>
      </c>
      <c r="N1103" s="1" t="str">
        <f t="shared" si="767"/>
        <v>0</v>
      </c>
      <c r="O1103" s="1" t="str">
        <f>"3.88"</f>
        <v>3.88</v>
      </c>
    </row>
    <row r="1104" s="1" customFormat="1" spans="1:15">
      <c r="A1104" s="1" t="str">
        <f t="shared" si="752"/>
        <v>202406</v>
      </c>
      <c r="B1104" s="1" t="str">
        <f t="shared" si="753"/>
        <v>150525100</v>
      </c>
      <c r="C1104" s="1" t="str">
        <f>"1014584189"</f>
        <v>1014584189</v>
      </c>
      <c r="D1104" s="1" t="str">
        <f>"152326195911200415"</f>
        <v>152326195911200415</v>
      </c>
      <c r="E1104" s="1" t="s">
        <v>1166</v>
      </c>
      <c r="F1104" s="1" t="s">
        <v>25</v>
      </c>
      <c r="G1104" s="1" t="s">
        <v>17</v>
      </c>
      <c r="H1104" s="1" t="str">
        <f>"65"</f>
        <v>65</v>
      </c>
      <c r="I1104" s="1" t="str">
        <f>"158.2"</f>
        <v>158.2</v>
      </c>
      <c r="J1104" s="1" t="str">
        <f t="shared" ref="J1104:N1104" si="768">"0"</f>
        <v>0</v>
      </c>
      <c r="K1104" s="1" t="str">
        <f t="shared" si="721"/>
        <v>103</v>
      </c>
      <c r="L1104" s="1" t="str">
        <f t="shared" si="722"/>
        <v>47</v>
      </c>
      <c r="M1104" s="1" t="str">
        <f t="shared" si="768"/>
        <v>0</v>
      </c>
      <c r="N1104" s="1" t="str">
        <f t="shared" si="768"/>
        <v>0</v>
      </c>
      <c r="O1104" s="1" t="str">
        <f>"8.2"</f>
        <v>8.2</v>
      </c>
    </row>
    <row r="1105" s="1" customFormat="1" spans="1:15">
      <c r="A1105" s="1" t="str">
        <f t="shared" si="752"/>
        <v>202406</v>
      </c>
      <c r="B1105" s="1" t="str">
        <f t="shared" si="753"/>
        <v>150525100</v>
      </c>
      <c r="C1105" s="1" t="str">
        <f>"1014549763"</f>
        <v>1014549763</v>
      </c>
      <c r="D1105" s="1" t="str">
        <f>"152326196003250665"</f>
        <v>152326196003250665</v>
      </c>
      <c r="E1105" s="1" t="s">
        <v>1167</v>
      </c>
      <c r="F1105" s="1" t="s">
        <v>16</v>
      </c>
      <c r="G1105" s="1" t="s">
        <v>17</v>
      </c>
      <c r="H1105" s="1" t="str">
        <f>"64"</f>
        <v>64</v>
      </c>
      <c r="I1105" s="1" t="str">
        <f>"159.19"</f>
        <v>159.19</v>
      </c>
      <c r="J1105" s="1" t="str">
        <f t="shared" ref="J1105:N1105" si="769">"0"</f>
        <v>0</v>
      </c>
      <c r="K1105" s="1" t="str">
        <f t="shared" si="721"/>
        <v>103</v>
      </c>
      <c r="L1105" s="1" t="str">
        <f t="shared" si="722"/>
        <v>47</v>
      </c>
      <c r="M1105" s="1" t="str">
        <f t="shared" si="769"/>
        <v>0</v>
      </c>
      <c r="N1105" s="1" t="str">
        <f t="shared" si="769"/>
        <v>0</v>
      </c>
      <c r="O1105" s="1" t="str">
        <f>"9.19"</f>
        <v>9.19</v>
      </c>
    </row>
    <row r="1106" s="1" customFormat="1" spans="1:15">
      <c r="A1106" s="1" t="str">
        <f t="shared" si="752"/>
        <v>202406</v>
      </c>
      <c r="B1106" s="1" t="str">
        <f t="shared" si="753"/>
        <v>150525100</v>
      </c>
      <c r="C1106" s="1" t="str">
        <f>"1014549773"</f>
        <v>1014549773</v>
      </c>
      <c r="D1106" s="1" t="str">
        <f>"152326196006070678"</f>
        <v>152326196006070678</v>
      </c>
      <c r="E1106" s="1" t="s">
        <v>1168</v>
      </c>
      <c r="F1106" s="1" t="s">
        <v>25</v>
      </c>
      <c r="G1106" s="1" t="s">
        <v>17</v>
      </c>
      <c r="H1106" s="1" t="str">
        <f>"64"</f>
        <v>64</v>
      </c>
      <c r="I1106" s="1" t="str">
        <f>"159.23"</f>
        <v>159.23</v>
      </c>
      <c r="J1106" s="1" t="str">
        <f t="shared" ref="J1106:N1106" si="770">"0"</f>
        <v>0</v>
      </c>
      <c r="K1106" s="1" t="str">
        <f t="shared" si="721"/>
        <v>103</v>
      </c>
      <c r="L1106" s="1" t="str">
        <f t="shared" si="722"/>
        <v>47</v>
      </c>
      <c r="M1106" s="1" t="str">
        <f t="shared" si="770"/>
        <v>0</v>
      </c>
      <c r="N1106" s="1" t="str">
        <f t="shared" si="770"/>
        <v>0</v>
      </c>
      <c r="O1106" s="1" t="str">
        <f>"9.23"</f>
        <v>9.23</v>
      </c>
    </row>
    <row r="1107" s="1" customFormat="1" spans="1:15">
      <c r="A1107" s="1" t="str">
        <f t="shared" si="752"/>
        <v>202406</v>
      </c>
      <c r="B1107" s="1" t="str">
        <f t="shared" si="753"/>
        <v>150525100</v>
      </c>
      <c r="C1107" s="1" t="str">
        <f>"1014550294"</f>
        <v>1014550294</v>
      </c>
      <c r="D1107" s="1" t="str">
        <f>"152326195907020665"</f>
        <v>152326195907020665</v>
      </c>
      <c r="E1107" s="1" t="s">
        <v>192</v>
      </c>
      <c r="F1107" s="1" t="s">
        <v>16</v>
      </c>
      <c r="G1107" s="1" t="s">
        <v>19</v>
      </c>
      <c r="H1107" s="1" t="str">
        <f>"65"</f>
        <v>65</v>
      </c>
      <c r="I1107" s="1" t="str">
        <f>"158.71"</f>
        <v>158.71</v>
      </c>
      <c r="J1107" s="1" t="str">
        <f t="shared" ref="J1107:N1107" si="771">"0"</f>
        <v>0</v>
      </c>
      <c r="K1107" s="1" t="str">
        <f t="shared" si="721"/>
        <v>103</v>
      </c>
      <c r="L1107" s="1" t="str">
        <f t="shared" si="722"/>
        <v>47</v>
      </c>
      <c r="M1107" s="1" t="str">
        <f t="shared" si="771"/>
        <v>0</v>
      </c>
      <c r="N1107" s="1" t="str">
        <f t="shared" si="771"/>
        <v>0</v>
      </c>
      <c r="O1107" s="1" t="str">
        <f>"8.71"</f>
        <v>8.71</v>
      </c>
    </row>
    <row r="1108" s="1" customFormat="1" spans="1:15">
      <c r="A1108" s="1" t="str">
        <f t="shared" si="752"/>
        <v>202406</v>
      </c>
      <c r="B1108" s="1" t="str">
        <f t="shared" si="753"/>
        <v>150525100</v>
      </c>
      <c r="C1108" s="1" t="str">
        <f>"1014550778"</f>
        <v>1014550778</v>
      </c>
      <c r="D1108" s="1" t="str">
        <f>"152326195401010689"</f>
        <v>152326195401010689</v>
      </c>
      <c r="E1108" s="1" t="s">
        <v>1169</v>
      </c>
      <c r="F1108" s="1" t="s">
        <v>16</v>
      </c>
      <c r="G1108" s="1" t="s">
        <v>19</v>
      </c>
      <c r="H1108" s="1" t="str">
        <f>"71"</f>
        <v>71</v>
      </c>
      <c r="I1108" s="1" t="str">
        <f>"164.15"</f>
        <v>164.15</v>
      </c>
      <c r="J1108" s="1" t="str">
        <f t="shared" ref="J1108:N1108" si="772">"0"</f>
        <v>0</v>
      </c>
      <c r="K1108" s="1" t="str">
        <f t="shared" si="721"/>
        <v>103</v>
      </c>
      <c r="L1108" s="1" t="str">
        <f t="shared" si="722"/>
        <v>47</v>
      </c>
      <c r="M1108" s="1" t="str">
        <f t="shared" si="772"/>
        <v>0</v>
      </c>
      <c r="N1108" s="1" t="str">
        <f t="shared" si="772"/>
        <v>0</v>
      </c>
      <c r="O1108" s="1" t="str">
        <f>"4.15"</f>
        <v>4.15</v>
      </c>
    </row>
    <row r="1109" s="1" customFormat="1" spans="1:15">
      <c r="A1109" s="1" t="str">
        <f t="shared" si="752"/>
        <v>202406</v>
      </c>
      <c r="B1109" s="1" t="str">
        <f t="shared" si="753"/>
        <v>150525100</v>
      </c>
      <c r="C1109" s="1" t="str">
        <f>"1014550783"</f>
        <v>1014550783</v>
      </c>
      <c r="D1109" s="1" t="str">
        <f>"152326195402240662"</f>
        <v>152326195402240662</v>
      </c>
      <c r="E1109" s="1" t="s">
        <v>1170</v>
      </c>
      <c r="F1109" s="1" t="s">
        <v>16</v>
      </c>
      <c r="G1109" s="1" t="s">
        <v>19</v>
      </c>
      <c r="H1109" s="1" t="str">
        <f>"70"</f>
        <v>70</v>
      </c>
      <c r="I1109" s="1" t="str">
        <f>"164.15"</f>
        <v>164.15</v>
      </c>
      <c r="J1109" s="1" t="str">
        <f t="shared" ref="J1109:N1109" si="773">"0"</f>
        <v>0</v>
      </c>
      <c r="K1109" s="1" t="str">
        <f t="shared" si="721"/>
        <v>103</v>
      </c>
      <c r="L1109" s="1" t="str">
        <f t="shared" si="722"/>
        <v>47</v>
      </c>
      <c r="M1109" s="1" t="str">
        <f t="shared" si="773"/>
        <v>0</v>
      </c>
      <c r="N1109" s="1" t="str">
        <f t="shared" si="773"/>
        <v>0</v>
      </c>
      <c r="O1109" s="1" t="str">
        <f>"4.15"</f>
        <v>4.15</v>
      </c>
    </row>
    <row r="1110" s="1" customFormat="1" spans="1:15">
      <c r="A1110" s="1" t="str">
        <f t="shared" si="752"/>
        <v>202406</v>
      </c>
      <c r="B1110" s="1" t="str">
        <f t="shared" si="753"/>
        <v>150525100</v>
      </c>
      <c r="C1110" s="1" t="str">
        <f>"1014585325"</f>
        <v>1014585325</v>
      </c>
      <c r="D1110" s="1" t="str">
        <f>"152326195910190665"</f>
        <v>152326195910190665</v>
      </c>
      <c r="E1110" s="1" t="s">
        <v>1171</v>
      </c>
      <c r="F1110" s="1" t="s">
        <v>16</v>
      </c>
      <c r="G1110" s="1" t="s">
        <v>96</v>
      </c>
      <c r="H1110" s="1" t="str">
        <f>"65"</f>
        <v>65</v>
      </c>
      <c r="I1110" s="1" t="str">
        <f>"157.27"</f>
        <v>157.27</v>
      </c>
      <c r="J1110" s="1" t="str">
        <f t="shared" ref="J1110:N1110" si="774">"0"</f>
        <v>0</v>
      </c>
      <c r="K1110" s="1" t="str">
        <f t="shared" si="721"/>
        <v>103</v>
      </c>
      <c r="L1110" s="1" t="str">
        <f t="shared" si="722"/>
        <v>47</v>
      </c>
      <c r="M1110" s="1" t="str">
        <f t="shared" si="774"/>
        <v>0</v>
      </c>
      <c r="N1110" s="1" t="str">
        <f t="shared" si="774"/>
        <v>0</v>
      </c>
      <c r="O1110" s="1" t="str">
        <f>"7.27"</f>
        <v>7.27</v>
      </c>
    </row>
    <row r="1111" s="1" customFormat="1" spans="1:15">
      <c r="A1111" s="1" t="str">
        <f t="shared" si="752"/>
        <v>202406</v>
      </c>
      <c r="B1111" s="1" t="str">
        <f t="shared" si="753"/>
        <v>150525100</v>
      </c>
      <c r="C1111" s="1" t="str">
        <f>"1014561466"</f>
        <v>1014561466</v>
      </c>
      <c r="D1111" s="1" t="str">
        <f>"152326195409140410"</f>
        <v>152326195409140410</v>
      </c>
      <c r="E1111" s="1" t="s">
        <v>1172</v>
      </c>
      <c r="F1111" s="1" t="s">
        <v>25</v>
      </c>
      <c r="G1111" s="1" t="s">
        <v>17</v>
      </c>
      <c r="H1111" s="1" t="str">
        <f>"70"</f>
        <v>70</v>
      </c>
      <c r="I1111" s="1" t="str">
        <f>"152.9"</f>
        <v>152.9</v>
      </c>
      <c r="J1111" s="1" t="str">
        <f t="shared" ref="J1111:N1111" si="775">"0"</f>
        <v>0</v>
      </c>
      <c r="K1111" s="1" t="str">
        <f t="shared" si="721"/>
        <v>103</v>
      </c>
      <c r="L1111" s="1" t="str">
        <f t="shared" si="722"/>
        <v>47</v>
      </c>
      <c r="M1111" s="1" t="str">
        <f t="shared" si="775"/>
        <v>0</v>
      </c>
      <c r="N1111" s="1" t="str">
        <f t="shared" si="775"/>
        <v>0</v>
      </c>
      <c r="O1111" s="1" t="str">
        <f>"2.9"</f>
        <v>2.9</v>
      </c>
    </row>
    <row r="1112" s="1" customFormat="1" spans="1:15">
      <c r="A1112" s="1" t="str">
        <f t="shared" si="752"/>
        <v>202406</v>
      </c>
      <c r="B1112" s="1" t="str">
        <f t="shared" si="753"/>
        <v>150525100</v>
      </c>
      <c r="C1112" s="1" t="str">
        <f>"1014562704"</f>
        <v>1014562704</v>
      </c>
      <c r="D1112" s="1" t="str">
        <f>"152326196002040439"</f>
        <v>152326196002040439</v>
      </c>
      <c r="E1112" s="1" t="s">
        <v>1173</v>
      </c>
      <c r="F1112" s="1" t="s">
        <v>25</v>
      </c>
      <c r="G1112" s="1" t="s">
        <v>17</v>
      </c>
      <c r="H1112" s="1" t="str">
        <f>"64"</f>
        <v>64</v>
      </c>
      <c r="I1112" s="1" t="str">
        <f>"159.2"</f>
        <v>159.2</v>
      </c>
      <c r="J1112" s="1" t="str">
        <f t="shared" ref="J1112:N1112" si="776">"0"</f>
        <v>0</v>
      </c>
      <c r="K1112" s="1" t="str">
        <f t="shared" si="721"/>
        <v>103</v>
      </c>
      <c r="L1112" s="1" t="str">
        <f t="shared" si="722"/>
        <v>47</v>
      </c>
      <c r="M1112" s="1" t="str">
        <f t="shared" si="776"/>
        <v>0</v>
      </c>
      <c r="N1112" s="1" t="str">
        <f t="shared" si="776"/>
        <v>0</v>
      </c>
      <c r="O1112" s="1" t="str">
        <f>"9.2"</f>
        <v>9.2</v>
      </c>
    </row>
    <row r="1113" s="1" customFormat="1" spans="1:15">
      <c r="A1113" s="1" t="str">
        <f t="shared" si="752"/>
        <v>202406</v>
      </c>
      <c r="B1113" s="1" t="str">
        <f t="shared" si="753"/>
        <v>150525100</v>
      </c>
      <c r="C1113" s="1" t="str">
        <f>"1014562709"</f>
        <v>1014562709</v>
      </c>
      <c r="D1113" s="1" t="str">
        <f>"152326195205050421"</f>
        <v>152326195205050421</v>
      </c>
      <c r="E1113" s="1" t="s">
        <v>1174</v>
      </c>
      <c r="F1113" s="1" t="s">
        <v>16</v>
      </c>
      <c r="G1113" s="1" t="s">
        <v>17</v>
      </c>
      <c r="H1113" s="1" t="str">
        <f>"72"</f>
        <v>72</v>
      </c>
      <c r="I1113" s="1" t="str">
        <f>"162.16"</f>
        <v>162.16</v>
      </c>
      <c r="J1113" s="1" t="str">
        <f t="shared" ref="J1113:N1113" si="777">"0"</f>
        <v>0</v>
      </c>
      <c r="K1113" s="1" t="str">
        <f t="shared" si="721"/>
        <v>103</v>
      </c>
      <c r="L1113" s="1" t="str">
        <f t="shared" si="722"/>
        <v>47</v>
      </c>
      <c r="M1113" s="1" t="str">
        <f t="shared" si="777"/>
        <v>0</v>
      </c>
      <c r="N1113" s="1" t="str">
        <f t="shared" si="777"/>
        <v>0</v>
      </c>
      <c r="O1113" s="1" t="str">
        <f>"2.16"</f>
        <v>2.16</v>
      </c>
    </row>
    <row r="1114" s="1" customFormat="1" spans="1:15">
      <c r="A1114" s="1" t="str">
        <f t="shared" si="752"/>
        <v>202406</v>
      </c>
      <c r="B1114" s="1" t="str">
        <f t="shared" si="753"/>
        <v>150525100</v>
      </c>
      <c r="C1114" s="1" t="str">
        <f>"1014583913"</f>
        <v>1014583913</v>
      </c>
      <c r="D1114" s="1" t="str">
        <f>"152326195601130669"</f>
        <v>152326195601130669</v>
      </c>
      <c r="E1114" s="1" t="s">
        <v>1175</v>
      </c>
      <c r="F1114" s="1" t="s">
        <v>16</v>
      </c>
      <c r="G1114" s="1" t="s">
        <v>17</v>
      </c>
      <c r="H1114" s="1" t="str">
        <f t="shared" ref="H1114:H1119" si="778">"68"</f>
        <v>68</v>
      </c>
      <c r="I1114" s="1" t="str">
        <f t="shared" ref="I1114:I1116" si="779">"156.01"</f>
        <v>156.01</v>
      </c>
      <c r="J1114" s="1" t="str">
        <f t="shared" ref="J1114:N1114" si="780">"0"</f>
        <v>0</v>
      </c>
      <c r="K1114" s="1" t="str">
        <f t="shared" si="721"/>
        <v>103</v>
      </c>
      <c r="L1114" s="1" t="str">
        <f t="shared" si="722"/>
        <v>47</v>
      </c>
      <c r="M1114" s="1" t="str">
        <f t="shared" si="780"/>
        <v>0</v>
      </c>
      <c r="N1114" s="1" t="str">
        <f t="shared" si="780"/>
        <v>0</v>
      </c>
      <c r="O1114" s="1" t="str">
        <f t="shared" ref="O1114:O1116" si="781">"6.01"</f>
        <v>6.01</v>
      </c>
    </row>
    <row r="1115" s="1" customFormat="1" spans="1:15">
      <c r="A1115" s="1" t="str">
        <f t="shared" si="752"/>
        <v>202406</v>
      </c>
      <c r="B1115" s="1" t="str">
        <f t="shared" si="753"/>
        <v>150525100</v>
      </c>
      <c r="C1115" s="1" t="str">
        <f>"1014583915"</f>
        <v>1014583915</v>
      </c>
      <c r="D1115" s="1" t="str">
        <f>"152326195601250417"</f>
        <v>152326195601250417</v>
      </c>
      <c r="E1115" s="1" t="s">
        <v>358</v>
      </c>
      <c r="F1115" s="1" t="s">
        <v>25</v>
      </c>
      <c r="G1115" s="1" t="s">
        <v>17</v>
      </c>
      <c r="H1115" s="1" t="str">
        <f t="shared" si="778"/>
        <v>68</v>
      </c>
      <c r="I1115" s="1" t="str">
        <f t="shared" si="779"/>
        <v>156.01</v>
      </c>
      <c r="J1115" s="1" t="str">
        <f t="shared" ref="J1115:N1115" si="782">"0"</f>
        <v>0</v>
      </c>
      <c r="K1115" s="1" t="str">
        <f t="shared" si="721"/>
        <v>103</v>
      </c>
      <c r="L1115" s="1" t="str">
        <f t="shared" si="722"/>
        <v>47</v>
      </c>
      <c r="M1115" s="1" t="str">
        <f t="shared" si="782"/>
        <v>0</v>
      </c>
      <c r="N1115" s="1" t="str">
        <f t="shared" si="782"/>
        <v>0</v>
      </c>
      <c r="O1115" s="1" t="str">
        <f t="shared" si="781"/>
        <v>6.01</v>
      </c>
    </row>
    <row r="1116" s="1" customFormat="1" spans="1:15">
      <c r="A1116" s="1" t="str">
        <f t="shared" si="752"/>
        <v>202406</v>
      </c>
      <c r="B1116" s="1" t="str">
        <f t="shared" si="753"/>
        <v>150525100</v>
      </c>
      <c r="C1116" s="1" t="str">
        <f>"1014583920"</f>
        <v>1014583920</v>
      </c>
      <c r="D1116" s="1" t="str">
        <f>"152326195603130427"</f>
        <v>152326195603130427</v>
      </c>
      <c r="E1116" s="1" t="s">
        <v>1176</v>
      </c>
      <c r="F1116" s="1" t="s">
        <v>16</v>
      </c>
      <c r="G1116" s="1" t="s">
        <v>17</v>
      </c>
      <c r="H1116" s="1" t="str">
        <f t="shared" si="778"/>
        <v>68</v>
      </c>
      <c r="I1116" s="1" t="str">
        <f t="shared" si="779"/>
        <v>156.01</v>
      </c>
      <c r="J1116" s="1" t="str">
        <f t="shared" ref="J1116:N1116" si="783">"0"</f>
        <v>0</v>
      </c>
      <c r="K1116" s="1" t="str">
        <f t="shared" si="721"/>
        <v>103</v>
      </c>
      <c r="L1116" s="1" t="str">
        <f t="shared" si="722"/>
        <v>47</v>
      </c>
      <c r="M1116" s="1" t="str">
        <f t="shared" si="783"/>
        <v>0</v>
      </c>
      <c r="N1116" s="1" t="str">
        <f t="shared" si="783"/>
        <v>0</v>
      </c>
      <c r="O1116" s="1" t="str">
        <f t="shared" si="781"/>
        <v>6.01</v>
      </c>
    </row>
    <row r="1117" s="1" customFormat="1" spans="1:15">
      <c r="A1117" s="1" t="str">
        <f t="shared" si="752"/>
        <v>202406</v>
      </c>
      <c r="B1117" s="1" t="str">
        <f t="shared" si="753"/>
        <v>150525100</v>
      </c>
      <c r="C1117" s="1" t="str">
        <f>"1014583921"</f>
        <v>1014583921</v>
      </c>
      <c r="D1117" s="1" t="str">
        <f>"152326195604100422"</f>
        <v>152326195604100422</v>
      </c>
      <c r="E1117" s="1" t="s">
        <v>1177</v>
      </c>
      <c r="F1117" s="1" t="s">
        <v>16</v>
      </c>
      <c r="G1117" s="1" t="s">
        <v>17</v>
      </c>
      <c r="H1117" s="1" t="str">
        <f t="shared" si="778"/>
        <v>68</v>
      </c>
      <c r="I1117" s="1" t="str">
        <f>"156.03"</f>
        <v>156.03</v>
      </c>
      <c r="J1117" s="1" t="str">
        <f t="shared" ref="J1117:N1117" si="784">"0"</f>
        <v>0</v>
      </c>
      <c r="K1117" s="1" t="str">
        <f t="shared" si="721"/>
        <v>103</v>
      </c>
      <c r="L1117" s="1" t="str">
        <f t="shared" si="722"/>
        <v>47</v>
      </c>
      <c r="M1117" s="1" t="str">
        <f t="shared" si="784"/>
        <v>0</v>
      </c>
      <c r="N1117" s="1" t="str">
        <f t="shared" si="784"/>
        <v>0</v>
      </c>
      <c r="O1117" s="1" t="str">
        <f>"6.03"</f>
        <v>6.03</v>
      </c>
    </row>
    <row r="1118" s="1" customFormat="1" spans="1:15">
      <c r="A1118" s="1" t="str">
        <f t="shared" si="752"/>
        <v>202406</v>
      </c>
      <c r="B1118" s="1" t="str">
        <f t="shared" si="753"/>
        <v>150525100</v>
      </c>
      <c r="C1118" s="1" t="str">
        <f>"1014583924"</f>
        <v>1014583924</v>
      </c>
      <c r="D1118" s="1" t="str">
        <f>"152326195605110665"</f>
        <v>152326195605110665</v>
      </c>
      <c r="E1118" s="1" t="s">
        <v>1178</v>
      </c>
      <c r="F1118" s="1" t="s">
        <v>16</v>
      </c>
      <c r="G1118" s="1" t="s">
        <v>17</v>
      </c>
      <c r="H1118" s="1" t="str">
        <f t="shared" si="778"/>
        <v>68</v>
      </c>
      <c r="I1118" s="1" t="str">
        <f>"156.03"</f>
        <v>156.03</v>
      </c>
      <c r="J1118" s="1" t="str">
        <f t="shared" ref="J1118:N1118" si="785">"0"</f>
        <v>0</v>
      </c>
      <c r="K1118" s="1" t="str">
        <f t="shared" si="721"/>
        <v>103</v>
      </c>
      <c r="L1118" s="1" t="str">
        <f t="shared" si="722"/>
        <v>47</v>
      </c>
      <c r="M1118" s="1" t="str">
        <f t="shared" si="785"/>
        <v>0</v>
      </c>
      <c r="N1118" s="1" t="str">
        <f t="shared" si="785"/>
        <v>0</v>
      </c>
      <c r="O1118" s="1" t="str">
        <f>"6.03"</f>
        <v>6.03</v>
      </c>
    </row>
    <row r="1119" s="1" customFormat="1" spans="1:15">
      <c r="A1119" s="1" t="str">
        <f t="shared" si="752"/>
        <v>202406</v>
      </c>
      <c r="B1119" s="1" t="str">
        <f t="shared" si="753"/>
        <v>150525100</v>
      </c>
      <c r="C1119" s="1" t="str">
        <f>"1014583928"</f>
        <v>1014583928</v>
      </c>
      <c r="D1119" s="1" t="str">
        <f>"152326195605230421"</f>
        <v>152326195605230421</v>
      </c>
      <c r="E1119" s="1" t="s">
        <v>1179</v>
      </c>
      <c r="F1119" s="1" t="s">
        <v>16</v>
      </c>
      <c r="G1119" s="1" t="s">
        <v>17</v>
      </c>
      <c r="H1119" s="1" t="str">
        <f t="shared" si="778"/>
        <v>68</v>
      </c>
      <c r="I1119" s="1" t="str">
        <f>"156.01"</f>
        <v>156.01</v>
      </c>
      <c r="J1119" s="1" t="str">
        <f t="shared" ref="J1119:N1119" si="786">"0"</f>
        <v>0</v>
      </c>
      <c r="K1119" s="1" t="str">
        <f t="shared" si="721"/>
        <v>103</v>
      </c>
      <c r="L1119" s="1" t="str">
        <f t="shared" si="722"/>
        <v>47</v>
      </c>
      <c r="M1119" s="1" t="str">
        <f t="shared" si="786"/>
        <v>0</v>
      </c>
      <c r="N1119" s="1" t="str">
        <f t="shared" si="786"/>
        <v>0</v>
      </c>
      <c r="O1119" s="1" t="str">
        <f>"6.01"</f>
        <v>6.01</v>
      </c>
    </row>
    <row r="1120" s="1" customFormat="1" spans="1:15">
      <c r="A1120" s="1" t="str">
        <f t="shared" si="752"/>
        <v>202406</v>
      </c>
      <c r="B1120" s="1" t="str">
        <f t="shared" si="753"/>
        <v>150525100</v>
      </c>
      <c r="C1120" s="1" t="str">
        <f>"1014550820"</f>
        <v>1014550820</v>
      </c>
      <c r="D1120" s="1" t="str">
        <f>"152326195412263315"</f>
        <v>152326195412263315</v>
      </c>
      <c r="E1120" s="1" t="s">
        <v>1180</v>
      </c>
      <c r="F1120" s="1" t="s">
        <v>25</v>
      </c>
      <c r="G1120" s="1" t="s">
        <v>19</v>
      </c>
      <c r="H1120" s="1" t="str">
        <f>"70"</f>
        <v>70</v>
      </c>
      <c r="I1120" s="1" t="str">
        <f>"154.15"</f>
        <v>154.15</v>
      </c>
      <c r="J1120" s="1" t="str">
        <f t="shared" ref="J1120:N1120" si="787">"0"</f>
        <v>0</v>
      </c>
      <c r="K1120" s="1" t="str">
        <f t="shared" si="721"/>
        <v>103</v>
      </c>
      <c r="L1120" s="1" t="str">
        <f t="shared" si="722"/>
        <v>47</v>
      </c>
      <c r="M1120" s="1" t="str">
        <f t="shared" si="787"/>
        <v>0</v>
      </c>
      <c r="N1120" s="1" t="str">
        <f t="shared" si="787"/>
        <v>0</v>
      </c>
      <c r="O1120" s="1" t="str">
        <f>"4.15"</f>
        <v>4.15</v>
      </c>
    </row>
    <row r="1121" s="1" customFormat="1" spans="1:15">
      <c r="A1121" s="1" t="str">
        <f t="shared" si="752"/>
        <v>202406</v>
      </c>
      <c r="B1121" s="1" t="str">
        <f t="shared" si="753"/>
        <v>150525100</v>
      </c>
      <c r="C1121" s="1" t="str">
        <f>"1014550822"</f>
        <v>1014550822</v>
      </c>
      <c r="D1121" s="1" t="str">
        <f>"152326195501053344"</f>
        <v>152326195501053344</v>
      </c>
      <c r="E1121" s="1" t="s">
        <v>1181</v>
      </c>
      <c r="F1121" s="1" t="s">
        <v>16</v>
      </c>
      <c r="G1121" s="1" t="s">
        <v>17</v>
      </c>
      <c r="H1121" s="1" t="str">
        <f>"70"</f>
        <v>70</v>
      </c>
      <c r="I1121" s="1" t="str">
        <f>"155.1"</f>
        <v>155.1</v>
      </c>
      <c r="J1121" s="1" t="str">
        <f t="shared" ref="J1121:N1121" si="788">"0"</f>
        <v>0</v>
      </c>
      <c r="K1121" s="1" t="str">
        <f t="shared" si="721"/>
        <v>103</v>
      </c>
      <c r="L1121" s="1" t="str">
        <f t="shared" si="722"/>
        <v>47</v>
      </c>
      <c r="M1121" s="1" t="str">
        <f t="shared" si="788"/>
        <v>0</v>
      </c>
      <c r="N1121" s="1" t="str">
        <f t="shared" si="788"/>
        <v>0</v>
      </c>
      <c r="O1121" s="1" t="str">
        <f>"5.1"</f>
        <v>5.1</v>
      </c>
    </row>
    <row r="1122" s="1" customFormat="1" spans="1:15">
      <c r="A1122" s="1" t="str">
        <f t="shared" si="752"/>
        <v>202406</v>
      </c>
      <c r="B1122" s="1" t="str">
        <f t="shared" si="753"/>
        <v>150525100</v>
      </c>
      <c r="C1122" s="1" t="str">
        <f>"1014585344"</f>
        <v>1014585344</v>
      </c>
      <c r="D1122" s="1" t="str">
        <f>"152326195202203322"</f>
        <v>152326195202203322</v>
      </c>
      <c r="E1122" s="1" t="s">
        <v>1182</v>
      </c>
      <c r="F1122" s="1" t="s">
        <v>16</v>
      </c>
      <c r="G1122" s="1" t="s">
        <v>19</v>
      </c>
      <c r="H1122" s="1" t="str">
        <f>"72"</f>
        <v>72</v>
      </c>
      <c r="I1122" s="1" t="str">
        <f>"162.14"</f>
        <v>162.14</v>
      </c>
      <c r="J1122" s="1" t="str">
        <f t="shared" ref="J1122:N1122" si="789">"0"</f>
        <v>0</v>
      </c>
      <c r="K1122" s="1" t="str">
        <f t="shared" si="721"/>
        <v>103</v>
      </c>
      <c r="L1122" s="1" t="str">
        <f t="shared" si="722"/>
        <v>47</v>
      </c>
      <c r="M1122" s="1" t="str">
        <f t="shared" si="789"/>
        <v>0</v>
      </c>
      <c r="N1122" s="1" t="str">
        <f t="shared" si="789"/>
        <v>0</v>
      </c>
      <c r="O1122" s="1" t="str">
        <f>"2.14"</f>
        <v>2.14</v>
      </c>
    </row>
    <row r="1123" s="1" customFormat="1" spans="1:15">
      <c r="A1123" s="1" t="str">
        <f t="shared" si="752"/>
        <v>202406</v>
      </c>
      <c r="B1123" s="1" t="str">
        <f t="shared" si="753"/>
        <v>150525100</v>
      </c>
      <c r="C1123" s="1" t="str">
        <f>"1014585349"</f>
        <v>1014585349</v>
      </c>
      <c r="D1123" s="1" t="str">
        <f>"152326195206130669"</f>
        <v>152326195206130669</v>
      </c>
      <c r="E1123" s="1" t="s">
        <v>1183</v>
      </c>
      <c r="F1123" s="1" t="s">
        <v>16</v>
      </c>
      <c r="G1123" s="1" t="s">
        <v>19</v>
      </c>
      <c r="H1123" s="1" t="str">
        <f>"72"</f>
        <v>72</v>
      </c>
      <c r="I1123" s="1" t="str">
        <f>"162.14"</f>
        <v>162.14</v>
      </c>
      <c r="J1123" s="1" t="str">
        <f t="shared" ref="J1123:N1123" si="790">"0"</f>
        <v>0</v>
      </c>
      <c r="K1123" s="1" t="str">
        <f t="shared" si="721"/>
        <v>103</v>
      </c>
      <c r="L1123" s="1" t="str">
        <f t="shared" si="722"/>
        <v>47</v>
      </c>
      <c r="M1123" s="1" t="str">
        <f t="shared" si="790"/>
        <v>0</v>
      </c>
      <c r="N1123" s="1" t="str">
        <f t="shared" si="790"/>
        <v>0</v>
      </c>
      <c r="O1123" s="1" t="str">
        <f>"2.14"</f>
        <v>2.14</v>
      </c>
    </row>
    <row r="1124" s="1" customFormat="1" spans="1:15">
      <c r="A1124" s="1" t="str">
        <f t="shared" si="752"/>
        <v>202406</v>
      </c>
      <c r="B1124" s="1" t="str">
        <f t="shared" si="753"/>
        <v>150525100</v>
      </c>
      <c r="C1124" s="1" t="str">
        <f>"1014570742"</f>
        <v>1014570742</v>
      </c>
      <c r="D1124" s="1" t="str">
        <f>"152326196306050046"</f>
        <v>152326196306050046</v>
      </c>
      <c r="E1124" s="1" t="s">
        <v>1184</v>
      </c>
      <c r="F1124" s="1" t="s">
        <v>16</v>
      </c>
      <c r="G1124" s="1" t="s">
        <v>19</v>
      </c>
      <c r="H1124" s="1" t="str">
        <f>"61"</f>
        <v>61</v>
      </c>
      <c r="I1124" s="1" t="str">
        <f>"174.55"</f>
        <v>174.55</v>
      </c>
      <c r="J1124" s="1" t="str">
        <f t="shared" ref="J1124:N1124" si="791">"0"</f>
        <v>0</v>
      </c>
      <c r="K1124" s="1" t="str">
        <f t="shared" si="721"/>
        <v>103</v>
      </c>
      <c r="L1124" s="1" t="str">
        <f t="shared" si="722"/>
        <v>47</v>
      </c>
      <c r="M1124" s="1" t="str">
        <f t="shared" si="791"/>
        <v>0</v>
      </c>
      <c r="N1124" s="1" t="str">
        <f t="shared" si="791"/>
        <v>0</v>
      </c>
      <c r="O1124" s="1" t="str">
        <f>"24.55"</f>
        <v>24.55</v>
      </c>
    </row>
    <row r="1125" s="1" customFormat="1" spans="1:15">
      <c r="A1125" s="1" t="str">
        <f t="shared" si="752"/>
        <v>202406</v>
      </c>
      <c r="B1125" s="1" t="str">
        <f t="shared" si="753"/>
        <v>150525100</v>
      </c>
      <c r="C1125" s="1" t="str">
        <f>"1014612860"</f>
        <v>1014612860</v>
      </c>
      <c r="D1125" s="1" t="str">
        <f>"152326194510100427"</f>
        <v>152326194510100427</v>
      </c>
      <c r="E1125" s="1" t="s">
        <v>1185</v>
      </c>
      <c r="F1125" s="1" t="s">
        <v>16</v>
      </c>
      <c r="G1125" s="1" t="s">
        <v>17</v>
      </c>
      <c r="H1125" s="1" t="str">
        <f>"79"</f>
        <v>79</v>
      </c>
      <c r="I1125" s="1" t="str">
        <f t="shared" ref="I1125:I1129" si="792">"160"</f>
        <v>160</v>
      </c>
      <c r="J1125" s="1" t="str">
        <f t="shared" ref="J1125:O1125" si="793">"0"</f>
        <v>0</v>
      </c>
      <c r="K1125" s="1" t="str">
        <f t="shared" si="721"/>
        <v>103</v>
      </c>
      <c r="L1125" s="1" t="str">
        <f t="shared" si="722"/>
        <v>47</v>
      </c>
      <c r="M1125" s="1" t="str">
        <f t="shared" si="793"/>
        <v>0</v>
      </c>
      <c r="N1125" s="1" t="str">
        <f t="shared" si="793"/>
        <v>0</v>
      </c>
      <c r="O1125" s="1" t="str">
        <f t="shared" si="793"/>
        <v>0</v>
      </c>
    </row>
    <row r="1126" s="1" customFormat="1" spans="1:15">
      <c r="A1126" s="1" t="str">
        <f t="shared" si="752"/>
        <v>202406</v>
      </c>
      <c r="B1126" s="1" t="str">
        <f t="shared" si="753"/>
        <v>150525100</v>
      </c>
      <c r="C1126" s="1" t="str">
        <f>"1014612877"</f>
        <v>1014612877</v>
      </c>
      <c r="D1126" s="1" t="str">
        <f>"152326194312200427"</f>
        <v>152326194312200427</v>
      </c>
      <c r="E1126" s="1" t="s">
        <v>1186</v>
      </c>
      <c r="F1126" s="1" t="s">
        <v>16</v>
      </c>
      <c r="G1126" s="1" t="s">
        <v>17</v>
      </c>
      <c r="H1126" s="1" t="str">
        <f>"81"</f>
        <v>81</v>
      </c>
      <c r="I1126" s="1" t="str">
        <f>"170"</f>
        <v>170</v>
      </c>
      <c r="J1126" s="1" t="str">
        <f t="shared" ref="J1126:O1126" si="794">"0"</f>
        <v>0</v>
      </c>
      <c r="K1126" s="1" t="str">
        <f t="shared" si="721"/>
        <v>103</v>
      </c>
      <c r="L1126" s="1" t="str">
        <f t="shared" si="722"/>
        <v>47</v>
      </c>
      <c r="M1126" s="1" t="str">
        <f t="shared" si="794"/>
        <v>0</v>
      </c>
      <c r="N1126" s="1" t="str">
        <f t="shared" si="794"/>
        <v>0</v>
      </c>
      <c r="O1126" s="1" t="str">
        <f t="shared" si="794"/>
        <v>0</v>
      </c>
    </row>
    <row r="1127" s="1" customFormat="1" spans="1:15">
      <c r="A1127" s="1" t="str">
        <f t="shared" si="752"/>
        <v>202406</v>
      </c>
      <c r="B1127" s="1" t="str">
        <f t="shared" si="753"/>
        <v>150525100</v>
      </c>
      <c r="C1127" s="1" t="str">
        <f>"1014613147"</f>
        <v>1014613147</v>
      </c>
      <c r="D1127" s="1" t="str">
        <f>"152326194908270418"</f>
        <v>152326194908270418</v>
      </c>
      <c r="E1127" s="1" t="s">
        <v>1187</v>
      </c>
      <c r="F1127" s="1" t="s">
        <v>25</v>
      </c>
      <c r="G1127" s="1" t="s">
        <v>96</v>
      </c>
      <c r="H1127" s="1" t="str">
        <f>"75"</f>
        <v>75</v>
      </c>
      <c r="I1127" s="1" t="str">
        <f t="shared" si="792"/>
        <v>160</v>
      </c>
      <c r="J1127" s="1" t="str">
        <f t="shared" ref="J1127:O1127" si="795">"0"</f>
        <v>0</v>
      </c>
      <c r="K1127" s="1" t="str">
        <f t="shared" ref="K1127:K1129" si="796">"103"</f>
        <v>103</v>
      </c>
      <c r="L1127" s="1" t="str">
        <f t="shared" ref="L1127:L1129" si="797">"47"</f>
        <v>47</v>
      </c>
      <c r="M1127" s="1" t="str">
        <f t="shared" si="795"/>
        <v>0</v>
      </c>
      <c r="N1127" s="1" t="str">
        <f t="shared" si="795"/>
        <v>0</v>
      </c>
      <c r="O1127" s="1" t="str">
        <f t="shared" si="795"/>
        <v>0</v>
      </c>
    </row>
    <row r="1128" s="1" customFormat="1" spans="1:15">
      <c r="A1128" s="1" t="str">
        <f t="shared" si="752"/>
        <v>202406</v>
      </c>
      <c r="B1128" s="1" t="str">
        <f t="shared" si="753"/>
        <v>150525100</v>
      </c>
      <c r="C1128" s="1" t="str">
        <f>"1014622180"</f>
        <v>1014622180</v>
      </c>
      <c r="D1128" s="1" t="str">
        <f>"152326195108306376"</f>
        <v>152326195108306376</v>
      </c>
      <c r="E1128" s="1" t="s">
        <v>1188</v>
      </c>
      <c r="F1128" s="1" t="s">
        <v>25</v>
      </c>
      <c r="G1128" s="1" t="s">
        <v>19</v>
      </c>
      <c r="H1128" s="1" t="str">
        <f>"73"</f>
        <v>73</v>
      </c>
      <c r="I1128" s="1" t="str">
        <f t="shared" si="792"/>
        <v>160</v>
      </c>
      <c r="J1128" s="1" t="str">
        <f t="shared" ref="J1128:O1128" si="798">"0"</f>
        <v>0</v>
      </c>
      <c r="K1128" s="1" t="str">
        <f t="shared" si="796"/>
        <v>103</v>
      </c>
      <c r="L1128" s="1" t="str">
        <f t="shared" si="797"/>
        <v>47</v>
      </c>
      <c r="M1128" s="1" t="str">
        <f t="shared" si="798"/>
        <v>0</v>
      </c>
      <c r="N1128" s="1" t="str">
        <f t="shared" si="798"/>
        <v>0</v>
      </c>
      <c r="O1128" s="1" t="str">
        <f t="shared" si="798"/>
        <v>0</v>
      </c>
    </row>
    <row r="1129" s="1" customFormat="1" spans="1:15">
      <c r="A1129" s="1" t="str">
        <f t="shared" si="752"/>
        <v>202406</v>
      </c>
      <c r="B1129" s="1" t="str">
        <f t="shared" si="753"/>
        <v>150525100</v>
      </c>
      <c r="C1129" s="1" t="str">
        <f>"1014622581"</f>
        <v>1014622581</v>
      </c>
      <c r="D1129" s="1" t="str">
        <f>"152326195004070418"</f>
        <v>152326195004070418</v>
      </c>
      <c r="E1129" s="1" t="s">
        <v>1189</v>
      </c>
      <c r="F1129" s="1" t="s">
        <v>25</v>
      </c>
      <c r="G1129" s="1" t="s">
        <v>17</v>
      </c>
      <c r="H1129" s="1" t="str">
        <f>"74"</f>
        <v>74</v>
      </c>
      <c r="I1129" s="1" t="str">
        <f t="shared" si="792"/>
        <v>160</v>
      </c>
      <c r="J1129" s="1" t="str">
        <f t="shared" ref="J1129:O1129" si="799">"0"</f>
        <v>0</v>
      </c>
      <c r="K1129" s="1" t="str">
        <f t="shared" si="796"/>
        <v>103</v>
      </c>
      <c r="L1129" s="1" t="str">
        <f t="shared" si="797"/>
        <v>47</v>
      </c>
      <c r="M1129" s="1" t="str">
        <f t="shared" si="799"/>
        <v>0</v>
      </c>
      <c r="N1129" s="1" t="str">
        <f t="shared" si="799"/>
        <v>0</v>
      </c>
      <c r="O1129" s="1" t="str">
        <f t="shared" si="799"/>
        <v>0</v>
      </c>
    </row>
    <row r="1130" s="1" customFormat="1" spans="1:15">
      <c r="A1130" s="1" t="str">
        <f t="shared" si="752"/>
        <v>202406</v>
      </c>
      <c r="B1130" s="1" t="str">
        <f t="shared" si="753"/>
        <v>150525100</v>
      </c>
      <c r="C1130" s="1" t="str">
        <f>"1014622585"</f>
        <v>1014622585</v>
      </c>
      <c r="D1130" s="1" t="str">
        <f>"152326194701120412"</f>
        <v>152326194701120412</v>
      </c>
      <c r="E1130" s="1" t="s">
        <v>1190</v>
      </c>
      <c r="F1130" s="1" t="s">
        <v>25</v>
      </c>
      <c r="G1130" s="1" t="s">
        <v>17</v>
      </c>
      <c r="H1130" s="1" t="str">
        <f>"77"</f>
        <v>77</v>
      </c>
      <c r="I1130" s="1" t="str">
        <f>"960"</f>
        <v>960</v>
      </c>
      <c r="J1130" s="1" t="str">
        <f>"800"</f>
        <v>800</v>
      </c>
      <c r="K1130" s="1" t="str">
        <f>"618"</f>
        <v>618</v>
      </c>
      <c r="L1130" s="1" t="str">
        <f>"282"</f>
        <v>282</v>
      </c>
      <c r="M1130" s="1" t="str">
        <f t="shared" ref="M1130:O1130" si="800">"0"</f>
        <v>0</v>
      </c>
      <c r="N1130" s="1" t="str">
        <f t="shared" si="800"/>
        <v>0</v>
      </c>
      <c r="O1130" s="1" t="str">
        <f t="shared" si="800"/>
        <v>0</v>
      </c>
    </row>
    <row r="1131" s="1" customFormat="1" spans="1:15">
      <c r="A1131" s="1" t="str">
        <f t="shared" si="752"/>
        <v>202406</v>
      </c>
      <c r="B1131" s="1" t="str">
        <f t="shared" si="753"/>
        <v>150525100</v>
      </c>
      <c r="C1131" s="1" t="str">
        <f>"1014622599"</f>
        <v>1014622599</v>
      </c>
      <c r="D1131" s="1" t="str">
        <f>"152326195110100713"</f>
        <v>152326195110100713</v>
      </c>
      <c r="E1131" s="1" t="s">
        <v>1191</v>
      </c>
      <c r="F1131" s="1" t="s">
        <v>25</v>
      </c>
      <c r="G1131" s="1" t="s">
        <v>17</v>
      </c>
      <c r="H1131" s="1" t="str">
        <f>"73"</f>
        <v>73</v>
      </c>
      <c r="I1131" s="1" t="str">
        <f t="shared" ref="I1131:I1134" si="801">"160"</f>
        <v>160</v>
      </c>
      <c r="J1131" s="1" t="str">
        <f t="shared" ref="J1131:O1131" si="802">"0"</f>
        <v>0</v>
      </c>
      <c r="K1131" s="1" t="str">
        <f t="shared" ref="K1131:K1183" si="803">"103"</f>
        <v>103</v>
      </c>
      <c r="L1131" s="1" t="str">
        <f t="shared" ref="L1131:L1183" si="804">"47"</f>
        <v>47</v>
      </c>
      <c r="M1131" s="1" t="str">
        <f t="shared" si="802"/>
        <v>0</v>
      </c>
      <c r="N1131" s="1" t="str">
        <f t="shared" si="802"/>
        <v>0</v>
      </c>
      <c r="O1131" s="1" t="str">
        <f t="shared" si="802"/>
        <v>0</v>
      </c>
    </row>
    <row r="1132" s="1" customFormat="1" spans="1:15">
      <c r="A1132" s="1" t="str">
        <f t="shared" si="752"/>
        <v>202406</v>
      </c>
      <c r="B1132" s="1" t="str">
        <f t="shared" si="753"/>
        <v>150525100</v>
      </c>
      <c r="C1132" s="1" t="str">
        <f>"1014623979"</f>
        <v>1014623979</v>
      </c>
      <c r="D1132" s="1" t="str">
        <f>"152326194702020704"</f>
        <v>152326194702020704</v>
      </c>
      <c r="E1132" s="1" t="s">
        <v>1192</v>
      </c>
      <c r="F1132" s="1" t="s">
        <v>16</v>
      </c>
      <c r="G1132" s="1" t="s">
        <v>17</v>
      </c>
      <c r="H1132" s="1" t="str">
        <f>"77"</f>
        <v>77</v>
      </c>
      <c r="I1132" s="1" t="str">
        <f t="shared" si="801"/>
        <v>160</v>
      </c>
      <c r="J1132" s="1" t="str">
        <f t="shared" ref="J1132:O1132" si="805">"0"</f>
        <v>0</v>
      </c>
      <c r="K1132" s="1" t="str">
        <f t="shared" si="803"/>
        <v>103</v>
      </c>
      <c r="L1132" s="1" t="str">
        <f t="shared" si="804"/>
        <v>47</v>
      </c>
      <c r="M1132" s="1" t="str">
        <f t="shared" si="805"/>
        <v>0</v>
      </c>
      <c r="N1132" s="1" t="str">
        <f t="shared" si="805"/>
        <v>0</v>
      </c>
      <c r="O1132" s="1" t="str">
        <f t="shared" si="805"/>
        <v>0</v>
      </c>
    </row>
    <row r="1133" s="1" customFormat="1" spans="1:15">
      <c r="A1133" s="1" t="str">
        <f t="shared" si="752"/>
        <v>202406</v>
      </c>
      <c r="B1133" s="1" t="str">
        <f t="shared" si="753"/>
        <v>150525100</v>
      </c>
      <c r="C1133" s="1" t="str">
        <f>"1014629355"</f>
        <v>1014629355</v>
      </c>
      <c r="D1133" s="1" t="str">
        <f>"152326195009240025"</f>
        <v>152326195009240025</v>
      </c>
      <c r="E1133" s="1" t="s">
        <v>1193</v>
      </c>
      <c r="F1133" s="1" t="s">
        <v>16</v>
      </c>
      <c r="G1133" s="1" t="s">
        <v>17</v>
      </c>
      <c r="H1133" s="1" t="str">
        <f>"74"</f>
        <v>74</v>
      </c>
      <c r="I1133" s="1" t="str">
        <f t="shared" si="801"/>
        <v>160</v>
      </c>
      <c r="J1133" s="1" t="str">
        <f t="shared" ref="J1133:O1133" si="806">"0"</f>
        <v>0</v>
      </c>
      <c r="K1133" s="1" t="str">
        <f t="shared" si="803"/>
        <v>103</v>
      </c>
      <c r="L1133" s="1" t="str">
        <f t="shared" si="804"/>
        <v>47</v>
      </c>
      <c r="M1133" s="1" t="str">
        <f t="shared" si="806"/>
        <v>0</v>
      </c>
      <c r="N1133" s="1" t="str">
        <f t="shared" si="806"/>
        <v>0</v>
      </c>
      <c r="O1133" s="1" t="str">
        <f t="shared" si="806"/>
        <v>0</v>
      </c>
    </row>
    <row r="1134" s="1" customFormat="1" spans="1:15">
      <c r="A1134" s="1" t="str">
        <f t="shared" si="752"/>
        <v>202406</v>
      </c>
      <c r="B1134" s="1" t="str">
        <f t="shared" si="753"/>
        <v>150525100</v>
      </c>
      <c r="C1134" s="1" t="str">
        <f>"1014629405"</f>
        <v>1014629405</v>
      </c>
      <c r="D1134" s="1" t="s">
        <v>1194</v>
      </c>
      <c r="E1134" s="1" t="s">
        <v>1195</v>
      </c>
      <c r="F1134" s="1" t="s">
        <v>16</v>
      </c>
      <c r="G1134" s="1" t="s">
        <v>17</v>
      </c>
      <c r="H1134" s="1" t="str">
        <f>"73"</f>
        <v>73</v>
      </c>
      <c r="I1134" s="1" t="str">
        <f t="shared" si="801"/>
        <v>160</v>
      </c>
      <c r="J1134" s="1" t="str">
        <f t="shared" ref="J1134:O1134" si="807">"0"</f>
        <v>0</v>
      </c>
      <c r="K1134" s="1" t="str">
        <f t="shared" si="803"/>
        <v>103</v>
      </c>
      <c r="L1134" s="1" t="str">
        <f t="shared" si="804"/>
        <v>47</v>
      </c>
      <c r="M1134" s="1" t="str">
        <f t="shared" si="807"/>
        <v>0</v>
      </c>
      <c r="N1134" s="1" t="str">
        <f t="shared" si="807"/>
        <v>0</v>
      </c>
      <c r="O1134" s="1" t="str">
        <f t="shared" si="807"/>
        <v>0</v>
      </c>
    </row>
    <row r="1135" s="1" customFormat="1" spans="1:15">
      <c r="A1135" s="1" t="str">
        <f t="shared" si="752"/>
        <v>202406</v>
      </c>
      <c r="B1135" s="1" t="str">
        <f t="shared" si="753"/>
        <v>150525100</v>
      </c>
      <c r="C1135" s="1" t="str">
        <f>"1014623460"</f>
        <v>1014623460</v>
      </c>
      <c r="D1135" s="1" t="str">
        <f>"152326193412250427"</f>
        <v>152326193412250427</v>
      </c>
      <c r="E1135" s="1" t="s">
        <v>1196</v>
      </c>
      <c r="F1135" s="1" t="s">
        <v>16</v>
      </c>
      <c r="G1135" s="1" t="s">
        <v>17</v>
      </c>
      <c r="H1135" s="1" t="str">
        <f>"90"</f>
        <v>90</v>
      </c>
      <c r="I1135" s="1" t="str">
        <f>"170"</f>
        <v>170</v>
      </c>
      <c r="J1135" s="1" t="str">
        <f t="shared" ref="J1135:O1135" si="808">"0"</f>
        <v>0</v>
      </c>
      <c r="K1135" s="1" t="str">
        <f t="shared" si="803"/>
        <v>103</v>
      </c>
      <c r="L1135" s="1" t="str">
        <f t="shared" si="804"/>
        <v>47</v>
      </c>
      <c r="M1135" s="1" t="str">
        <f t="shared" si="808"/>
        <v>0</v>
      </c>
      <c r="N1135" s="1" t="str">
        <f t="shared" si="808"/>
        <v>0</v>
      </c>
      <c r="O1135" s="1" t="str">
        <f t="shared" si="808"/>
        <v>0</v>
      </c>
    </row>
    <row r="1136" s="1" customFormat="1" spans="1:15">
      <c r="A1136" s="1" t="str">
        <f t="shared" si="752"/>
        <v>202406</v>
      </c>
      <c r="B1136" s="1" t="str">
        <f t="shared" si="753"/>
        <v>150525100</v>
      </c>
      <c r="C1136" s="1" t="str">
        <f>"1014629839"</f>
        <v>1014629839</v>
      </c>
      <c r="D1136" s="1" t="str">
        <f>"152326194409133099"</f>
        <v>152326194409133099</v>
      </c>
      <c r="E1136" s="1" t="s">
        <v>150</v>
      </c>
      <c r="F1136" s="1" t="s">
        <v>25</v>
      </c>
      <c r="G1136" s="1" t="s">
        <v>17</v>
      </c>
      <c r="H1136" s="1" t="str">
        <f>"80"</f>
        <v>80</v>
      </c>
      <c r="I1136" s="1" t="str">
        <f t="shared" ref="I1136:I1142" si="809">"160"</f>
        <v>160</v>
      </c>
      <c r="J1136" s="1" t="str">
        <f t="shared" ref="J1136:O1136" si="810">"0"</f>
        <v>0</v>
      </c>
      <c r="K1136" s="1" t="str">
        <f t="shared" si="803"/>
        <v>103</v>
      </c>
      <c r="L1136" s="1" t="str">
        <f t="shared" si="804"/>
        <v>47</v>
      </c>
      <c r="M1136" s="1" t="str">
        <f t="shared" si="810"/>
        <v>0</v>
      </c>
      <c r="N1136" s="1" t="str">
        <f t="shared" si="810"/>
        <v>0</v>
      </c>
      <c r="O1136" s="1" t="str">
        <f t="shared" si="810"/>
        <v>0</v>
      </c>
    </row>
    <row r="1137" s="1" customFormat="1" spans="1:15">
      <c r="A1137" s="1" t="str">
        <f t="shared" si="752"/>
        <v>202406</v>
      </c>
      <c r="B1137" s="1" t="str">
        <f t="shared" si="753"/>
        <v>150525100</v>
      </c>
      <c r="C1137" s="1" t="str">
        <f>"1014629855"</f>
        <v>1014629855</v>
      </c>
      <c r="D1137" s="1" t="s">
        <v>1197</v>
      </c>
      <c r="E1137" s="1" t="s">
        <v>1198</v>
      </c>
      <c r="F1137" s="1" t="s">
        <v>25</v>
      </c>
      <c r="G1137" s="1" t="s">
        <v>17</v>
      </c>
      <c r="H1137" s="1" t="str">
        <f>"76"</f>
        <v>76</v>
      </c>
      <c r="I1137" s="1" t="str">
        <f t="shared" si="809"/>
        <v>160</v>
      </c>
      <c r="J1137" s="1" t="str">
        <f t="shared" ref="J1137:O1137" si="811">"0"</f>
        <v>0</v>
      </c>
      <c r="K1137" s="1" t="str">
        <f t="shared" si="803"/>
        <v>103</v>
      </c>
      <c r="L1137" s="1" t="str">
        <f t="shared" si="804"/>
        <v>47</v>
      </c>
      <c r="M1137" s="1" t="str">
        <f t="shared" si="811"/>
        <v>0</v>
      </c>
      <c r="N1137" s="1" t="str">
        <f t="shared" si="811"/>
        <v>0</v>
      </c>
      <c r="O1137" s="1" t="str">
        <f t="shared" si="811"/>
        <v>0</v>
      </c>
    </row>
    <row r="1138" s="1" customFormat="1" spans="1:15">
      <c r="A1138" s="1" t="str">
        <f t="shared" si="752"/>
        <v>202406</v>
      </c>
      <c r="B1138" s="1" t="str">
        <f t="shared" si="753"/>
        <v>150525100</v>
      </c>
      <c r="C1138" s="1" t="str">
        <f>"1014629895"</f>
        <v>1014629895</v>
      </c>
      <c r="D1138" s="1" t="str">
        <f>"152326194502163815"</f>
        <v>152326194502163815</v>
      </c>
      <c r="E1138" s="1" t="s">
        <v>1199</v>
      </c>
      <c r="F1138" s="1" t="s">
        <v>25</v>
      </c>
      <c r="G1138" s="1" t="s">
        <v>19</v>
      </c>
      <c r="H1138" s="1" t="str">
        <f>"79"</f>
        <v>79</v>
      </c>
      <c r="I1138" s="1" t="str">
        <f t="shared" si="809"/>
        <v>160</v>
      </c>
      <c r="J1138" s="1" t="str">
        <f t="shared" ref="J1138:O1138" si="812">"0"</f>
        <v>0</v>
      </c>
      <c r="K1138" s="1" t="str">
        <f t="shared" si="803"/>
        <v>103</v>
      </c>
      <c r="L1138" s="1" t="str">
        <f t="shared" si="804"/>
        <v>47</v>
      </c>
      <c r="M1138" s="1" t="str">
        <f t="shared" si="812"/>
        <v>0</v>
      </c>
      <c r="N1138" s="1" t="str">
        <f t="shared" si="812"/>
        <v>0</v>
      </c>
      <c r="O1138" s="1" t="str">
        <f t="shared" si="812"/>
        <v>0</v>
      </c>
    </row>
    <row r="1139" s="1" customFormat="1" spans="1:15">
      <c r="A1139" s="1" t="str">
        <f t="shared" si="752"/>
        <v>202406</v>
      </c>
      <c r="B1139" s="1" t="str">
        <f t="shared" si="753"/>
        <v>150525100</v>
      </c>
      <c r="C1139" s="1" t="str">
        <f>"1014629916"</f>
        <v>1014629916</v>
      </c>
      <c r="D1139" s="1" t="str">
        <f>"152326194607080039"</f>
        <v>152326194607080039</v>
      </c>
      <c r="E1139" s="1" t="s">
        <v>1200</v>
      </c>
      <c r="F1139" s="1" t="s">
        <v>25</v>
      </c>
      <c r="G1139" s="1" t="s">
        <v>17</v>
      </c>
      <c r="H1139" s="1" t="str">
        <f>"78"</f>
        <v>78</v>
      </c>
      <c r="I1139" s="1" t="str">
        <f t="shared" si="809"/>
        <v>160</v>
      </c>
      <c r="J1139" s="1" t="str">
        <f t="shared" ref="J1139:O1139" si="813">"0"</f>
        <v>0</v>
      </c>
      <c r="K1139" s="1" t="str">
        <f t="shared" si="803"/>
        <v>103</v>
      </c>
      <c r="L1139" s="1" t="str">
        <f t="shared" si="804"/>
        <v>47</v>
      </c>
      <c r="M1139" s="1" t="str">
        <f t="shared" si="813"/>
        <v>0</v>
      </c>
      <c r="N1139" s="1" t="str">
        <f t="shared" si="813"/>
        <v>0</v>
      </c>
      <c r="O1139" s="1" t="str">
        <f t="shared" si="813"/>
        <v>0</v>
      </c>
    </row>
    <row r="1140" s="1" customFormat="1" spans="1:15">
      <c r="A1140" s="1" t="str">
        <f t="shared" si="752"/>
        <v>202406</v>
      </c>
      <c r="B1140" s="1" t="str">
        <f t="shared" si="753"/>
        <v>150525100</v>
      </c>
      <c r="C1140" s="1" t="str">
        <f>"1014629917"</f>
        <v>1014629917</v>
      </c>
      <c r="D1140" s="1" t="str">
        <f>"152326195109130026"</f>
        <v>152326195109130026</v>
      </c>
      <c r="E1140" s="1" t="s">
        <v>1201</v>
      </c>
      <c r="F1140" s="1" t="s">
        <v>16</v>
      </c>
      <c r="G1140" s="1" t="s">
        <v>17</v>
      </c>
      <c r="H1140" s="1" t="str">
        <f>"73"</f>
        <v>73</v>
      </c>
      <c r="I1140" s="1" t="str">
        <f t="shared" si="809"/>
        <v>160</v>
      </c>
      <c r="J1140" s="1" t="str">
        <f t="shared" ref="J1140:O1140" si="814">"0"</f>
        <v>0</v>
      </c>
      <c r="K1140" s="1" t="str">
        <f t="shared" si="803"/>
        <v>103</v>
      </c>
      <c r="L1140" s="1" t="str">
        <f t="shared" si="804"/>
        <v>47</v>
      </c>
      <c r="M1140" s="1" t="str">
        <f t="shared" si="814"/>
        <v>0</v>
      </c>
      <c r="N1140" s="1" t="str">
        <f t="shared" si="814"/>
        <v>0</v>
      </c>
      <c r="O1140" s="1" t="str">
        <f t="shared" si="814"/>
        <v>0</v>
      </c>
    </row>
    <row r="1141" s="1" customFormat="1" spans="1:15">
      <c r="A1141" s="1" t="str">
        <f t="shared" si="752"/>
        <v>202406</v>
      </c>
      <c r="B1141" s="1" t="str">
        <f t="shared" si="753"/>
        <v>150525100</v>
      </c>
      <c r="C1141" s="1" t="str">
        <f>"1014629925"</f>
        <v>1014629925</v>
      </c>
      <c r="D1141" s="1" t="s">
        <v>1202</v>
      </c>
      <c r="E1141" s="1" t="s">
        <v>1203</v>
      </c>
      <c r="F1141" s="1" t="s">
        <v>25</v>
      </c>
      <c r="G1141" s="1" t="s">
        <v>17</v>
      </c>
      <c r="H1141" s="1" t="str">
        <f>"76"</f>
        <v>76</v>
      </c>
      <c r="I1141" s="1" t="str">
        <f t="shared" si="809"/>
        <v>160</v>
      </c>
      <c r="J1141" s="1" t="str">
        <f t="shared" ref="J1141:O1141" si="815">"0"</f>
        <v>0</v>
      </c>
      <c r="K1141" s="1" t="str">
        <f t="shared" si="803"/>
        <v>103</v>
      </c>
      <c r="L1141" s="1" t="str">
        <f t="shared" si="804"/>
        <v>47</v>
      </c>
      <c r="M1141" s="1" t="str">
        <f t="shared" si="815"/>
        <v>0</v>
      </c>
      <c r="N1141" s="1" t="str">
        <f t="shared" si="815"/>
        <v>0</v>
      </c>
      <c r="O1141" s="1" t="str">
        <f t="shared" si="815"/>
        <v>0</v>
      </c>
    </row>
    <row r="1142" s="1" customFormat="1" spans="1:15">
      <c r="A1142" s="1" t="str">
        <f t="shared" si="752"/>
        <v>202406</v>
      </c>
      <c r="B1142" s="1" t="str">
        <f t="shared" si="753"/>
        <v>150525100</v>
      </c>
      <c r="C1142" s="1" t="str">
        <f>"1014629930"</f>
        <v>1014629930</v>
      </c>
      <c r="D1142" s="1" t="str">
        <f>"152326194702220028"</f>
        <v>152326194702220028</v>
      </c>
      <c r="E1142" s="1" t="s">
        <v>1204</v>
      </c>
      <c r="F1142" s="1" t="s">
        <v>16</v>
      </c>
      <c r="G1142" s="1" t="s">
        <v>17</v>
      </c>
      <c r="H1142" s="1" t="str">
        <f>"77"</f>
        <v>77</v>
      </c>
      <c r="I1142" s="1" t="str">
        <f t="shared" si="809"/>
        <v>160</v>
      </c>
      <c r="J1142" s="1" t="str">
        <f t="shared" ref="J1142:O1142" si="816">"0"</f>
        <v>0</v>
      </c>
      <c r="K1142" s="1" t="str">
        <f t="shared" si="803"/>
        <v>103</v>
      </c>
      <c r="L1142" s="1" t="str">
        <f t="shared" si="804"/>
        <v>47</v>
      </c>
      <c r="M1142" s="1" t="str">
        <f t="shared" si="816"/>
        <v>0</v>
      </c>
      <c r="N1142" s="1" t="str">
        <f t="shared" si="816"/>
        <v>0</v>
      </c>
      <c r="O1142" s="1" t="str">
        <f t="shared" si="816"/>
        <v>0</v>
      </c>
    </row>
    <row r="1143" s="1" customFormat="1" spans="1:15">
      <c r="A1143" s="1" t="str">
        <f t="shared" si="752"/>
        <v>202406</v>
      </c>
      <c r="B1143" s="1" t="str">
        <f t="shared" si="753"/>
        <v>150525100</v>
      </c>
      <c r="C1143" s="1" t="str">
        <f>"1014550351"</f>
        <v>1014550351</v>
      </c>
      <c r="D1143" s="1" t="str">
        <f>"152326196212160420"</f>
        <v>152326196212160420</v>
      </c>
      <c r="E1143" s="1" t="s">
        <v>1205</v>
      </c>
      <c r="F1143" s="1" t="s">
        <v>16</v>
      </c>
      <c r="G1143" s="1" t="s">
        <v>17</v>
      </c>
      <c r="H1143" s="1" t="str">
        <f>"62"</f>
        <v>62</v>
      </c>
      <c r="I1143" s="1" t="str">
        <f>"164.94"</f>
        <v>164.94</v>
      </c>
      <c r="J1143" s="1" t="str">
        <f t="shared" ref="J1143:N1143" si="817">"0"</f>
        <v>0</v>
      </c>
      <c r="K1143" s="1" t="str">
        <f t="shared" si="803"/>
        <v>103</v>
      </c>
      <c r="L1143" s="1" t="str">
        <f t="shared" si="804"/>
        <v>47</v>
      </c>
      <c r="M1143" s="1" t="str">
        <f t="shared" si="817"/>
        <v>0</v>
      </c>
      <c r="N1143" s="1" t="str">
        <f t="shared" si="817"/>
        <v>0</v>
      </c>
      <c r="O1143" s="1" t="str">
        <f>"14.94"</f>
        <v>14.94</v>
      </c>
    </row>
    <row r="1144" s="1" customFormat="1" spans="1:15">
      <c r="A1144" s="1" t="str">
        <f t="shared" si="752"/>
        <v>202406</v>
      </c>
      <c r="B1144" s="1" t="str">
        <f t="shared" si="753"/>
        <v>150525100</v>
      </c>
      <c r="C1144" s="1" t="str">
        <f>"1014550356"</f>
        <v>1014550356</v>
      </c>
      <c r="D1144" s="1" t="str">
        <f>"152326196212290663"</f>
        <v>152326196212290663</v>
      </c>
      <c r="E1144" s="1" t="s">
        <v>1206</v>
      </c>
      <c r="F1144" s="1" t="s">
        <v>16</v>
      </c>
      <c r="G1144" s="1" t="s">
        <v>17</v>
      </c>
      <c r="H1144" s="1" t="str">
        <f>"62"</f>
        <v>62</v>
      </c>
      <c r="I1144" s="1" t="str">
        <f>"164.9"</f>
        <v>164.9</v>
      </c>
      <c r="J1144" s="1" t="str">
        <f t="shared" ref="J1144:N1144" si="818">"0"</f>
        <v>0</v>
      </c>
      <c r="K1144" s="1" t="str">
        <f t="shared" si="803"/>
        <v>103</v>
      </c>
      <c r="L1144" s="1" t="str">
        <f t="shared" si="804"/>
        <v>47</v>
      </c>
      <c r="M1144" s="1" t="str">
        <f t="shared" si="818"/>
        <v>0</v>
      </c>
      <c r="N1144" s="1" t="str">
        <f t="shared" si="818"/>
        <v>0</v>
      </c>
      <c r="O1144" s="1" t="str">
        <f>"14.9"</f>
        <v>14.9</v>
      </c>
    </row>
    <row r="1145" s="1" customFormat="1" spans="1:15">
      <c r="A1145" s="1" t="str">
        <f t="shared" si="752"/>
        <v>202406</v>
      </c>
      <c r="B1145" s="1" t="str">
        <f t="shared" si="753"/>
        <v>150525100</v>
      </c>
      <c r="C1145" s="1" t="str">
        <f>"1014584898"</f>
        <v>1014584898</v>
      </c>
      <c r="D1145" s="1" t="str">
        <f>"152326195606100442"</f>
        <v>152326195606100442</v>
      </c>
      <c r="E1145" s="1" t="s">
        <v>1207</v>
      </c>
      <c r="F1145" s="1" t="s">
        <v>16</v>
      </c>
      <c r="G1145" s="1" t="s">
        <v>19</v>
      </c>
      <c r="H1145" s="1" t="str">
        <f t="shared" ref="H1145:H1150" si="819">"68"</f>
        <v>68</v>
      </c>
      <c r="I1145" s="1" t="str">
        <f>"156"</f>
        <v>156</v>
      </c>
      <c r="J1145" s="1" t="str">
        <f t="shared" ref="J1145:N1145" si="820">"0"</f>
        <v>0</v>
      </c>
      <c r="K1145" s="1" t="str">
        <f t="shared" si="803"/>
        <v>103</v>
      </c>
      <c r="L1145" s="1" t="str">
        <f t="shared" si="804"/>
        <v>47</v>
      </c>
      <c r="M1145" s="1" t="str">
        <f t="shared" si="820"/>
        <v>0</v>
      </c>
      <c r="N1145" s="1" t="str">
        <f t="shared" si="820"/>
        <v>0</v>
      </c>
      <c r="O1145" s="1" t="str">
        <f>"6"</f>
        <v>6</v>
      </c>
    </row>
    <row r="1146" s="1" customFormat="1" spans="1:15">
      <c r="A1146" s="1" t="str">
        <f t="shared" si="752"/>
        <v>202406</v>
      </c>
      <c r="B1146" s="1" t="str">
        <f t="shared" si="753"/>
        <v>150525100</v>
      </c>
      <c r="C1146" s="1" t="str">
        <f>"1014563151"</f>
        <v>1014563151</v>
      </c>
      <c r="D1146" s="1" t="str">
        <f>"152326195809040419"</f>
        <v>152326195809040419</v>
      </c>
      <c r="E1146" s="1" t="s">
        <v>1208</v>
      </c>
      <c r="F1146" s="1" t="s">
        <v>25</v>
      </c>
      <c r="G1146" s="1" t="s">
        <v>17</v>
      </c>
      <c r="H1146" s="1" t="str">
        <f>"66"</f>
        <v>66</v>
      </c>
      <c r="I1146" s="1" t="str">
        <f>"157.15"</f>
        <v>157.15</v>
      </c>
      <c r="J1146" s="1" t="str">
        <f t="shared" ref="J1146:N1146" si="821">"0"</f>
        <v>0</v>
      </c>
      <c r="K1146" s="1" t="str">
        <f t="shared" si="803"/>
        <v>103</v>
      </c>
      <c r="L1146" s="1" t="str">
        <f t="shared" si="804"/>
        <v>47</v>
      </c>
      <c r="M1146" s="1" t="str">
        <f t="shared" si="821"/>
        <v>0</v>
      </c>
      <c r="N1146" s="1" t="str">
        <f t="shared" si="821"/>
        <v>0</v>
      </c>
      <c r="O1146" s="1" t="str">
        <f>"7.15"</f>
        <v>7.15</v>
      </c>
    </row>
    <row r="1147" s="1" customFormat="1" spans="1:15">
      <c r="A1147" s="1" t="str">
        <f t="shared" si="752"/>
        <v>202406</v>
      </c>
      <c r="B1147" s="1" t="str">
        <f t="shared" si="753"/>
        <v>150525100</v>
      </c>
      <c r="C1147" s="1" t="str">
        <f>"1014569583"</f>
        <v>1014569583</v>
      </c>
      <c r="D1147" s="1" t="str">
        <f>"152326195709160421"</f>
        <v>152326195709160421</v>
      </c>
      <c r="E1147" s="1" t="s">
        <v>1209</v>
      </c>
      <c r="F1147" s="1" t="s">
        <v>16</v>
      </c>
      <c r="G1147" s="1" t="s">
        <v>19</v>
      </c>
      <c r="H1147" s="1" t="str">
        <f>"67"</f>
        <v>67</v>
      </c>
      <c r="I1147" s="1" t="str">
        <f>"156.09"</f>
        <v>156.09</v>
      </c>
      <c r="J1147" s="1" t="str">
        <f t="shared" ref="J1147:N1147" si="822">"0"</f>
        <v>0</v>
      </c>
      <c r="K1147" s="1" t="str">
        <f t="shared" si="803"/>
        <v>103</v>
      </c>
      <c r="L1147" s="1" t="str">
        <f t="shared" si="804"/>
        <v>47</v>
      </c>
      <c r="M1147" s="1" t="str">
        <f t="shared" si="822"/>
        <v>0</v>
      </c>
      <c r="N1147" s="1" t="str">
        <f t="shared" si="822"/>
        <v>0</v>
      </c>
      <c r="O1147" s="1" t="str">
        <f>"6.09"</f>
        <v>6.09</v>
      </c>
    </row>
    <row r="1148" s="1" customFormat="1" spans="1:15">
      <c r="A1148" s="1" t="str">
        <f t="shared" si="752"/>
        <v>202406</v>
      </c>
      <c r="B1148" s="1" t="str">
        <f t="shared" si="753"/>
        <v>150525100</v>
      </c>
      <c r="C1148" s="1" t="str">
        <f>"1014569595"</f>
        <v>1014569595</v>
      </c>
      <c r="D1148" s="1" t="str">
        <f>"152326196006050415"</f>
        <v>152326196006050415</v>
      </c>
      <c r="E1148" s="1" t="s">
        <v>1210</v>
      </c>
      <c r="F1148" s="1" t="s">
        <v>25</v>
      </c>
      <c r="G1148" s="1" t="s">
        <v>19</v>
      </c>
      <c r="H1148" s="1" t="str">
        <f>"64"</f>
        <v>64</v>
      </c>
      <c r="I1148" s="1" t="str">
        <f>"159.22"</f>
        <v>159.22</v>
      </c>
      <c r="J1148" s="1" t="str">
        <f t="shared" ref="J1148:N1148" si="823">"0"</f>
        <v>0</v>
      </c>
      <c r="K1148" s="1" t="str">
        <f t="shared" si="803"/>
        <v>103</v>
      </c>
      <c r="L1148" s="1" t="str">
        <f t="shared" si="804"/>
        <v>47</v>
      </c>
      <c r="M1148" s="1" t="str">
        <f t="shared" si="823"/>
        <v>0</v>
      </c>
      <c r="N1148" s="1" t="str">
        <f t="shared" si="823"/>
        <v>0</v>
      </c>
      <c r="O1148" s="1" t="str">
        <f>"9.22"</f>
        <v>9.22</v>
      </c>
    </row>
    <row r="1149" s="1" customFormat="1" spans="1:15">
      <c r="A1149" s="1" t="str">
        <f t="shared" si="752"/>
        <v>202406</v>
      </c>
      <c r="B1149" s="1" t="str">
        <f t="shared" si="753"/>
        <v>150525100</v>
      </c>
      <c r="C1149" s="1" t="str">
        <f>"1014583988"</f>
        <v>1014583988</v>
      </c>
      <c r="D1149" s="1" t="str">
        <f>"152326195608010440"</f>
        <v>152326195608010440</v>
      </c>
      <c r="E1149" s="1" t="s">
        <v>1211</v>
      </c>
      <c r="F1149" s="1" t="s">
        <v>16</v>
      </c>
      <c r="G1149" s="1" t="s">
        <v>17</v>
      </c>
      <c r="H1149" s="1" t="str">
        <f t="shared" si="819"/>
        <v>68</v>
      </c>
      <c r="I1149" s="1" t="str">
        <f>"156.01"</f>
        <v>156.01</v>
      </c>
      <c r="J1149" s="1" t="str">
        <f t="shared" ref="J1149:N1149" si="824">"0"</f>
        <v>0</v>
      </c>
      <c r="K1149" s="1" t="str">
        <f t="shared" si="803"/>
        <v>103</v>
      </c>
      <c r="L1149" s="1" t="str">
        <f t="shared" si="804"/>
        <v>47</v>
      </c>
      <c r="M1149" s="1" t="str">
        <f t="shared" si="824"/>
        <v>0</v>
      </c>
      <c r="N1149" s="1" t="str">
        <f t="shared" si="824"/>
        <v>0</v>
      </c>
      <c r="O1149" s="1" t="str">
        <f>"6.01"</f>
        <v>6.01</v>
      </c>
    </row>
    <row r="1150" s="1" customFormat="1" spans="1:15">
      <c r="A1150" s="1" t="str">
        <f t="shared" si="752"/>
        <v>202406</v>
      </c>
      <c r="B1150" s="1" t="str">
        <f t="shared" si="753"/>
        <v>150525100</v>
      </c>
      <c r="C1150" s="1" t="str">
        <f>"1014583995"</f>
        <v>1014583995</v>
      </c>
      <c r="D1150" s="1" t="str">
        <f>"152326195609140677"</f>
        <v>152326195609140677</v>
      </c>
      <c r="E1150" s="1" t="s">
        <v>1212</v>
      </c>
      <c r="F1150" s="1" t="s">
        <v>25</v>
      </c>
      <c r="G1150" s="1" t="s">
        <v>17</v>
      </c>
      <c r="H1150" s="1" t="str">
        <f t="shared" si="819"/>
        <v>68</v>
      </c>
      <c r="I1150" s="1" t="str">
        <f>"155.02"</f>
        <v>155.02</v>
      </c>
      <c r="J1150" s="1" t="str">
        <f t="shared" ref="J1150:N1150" si="825">"0"</f>
        <v>0</v>
      </c>
      <c r="K1150" s="1" t="str">
        <f t="shared" si="803"/>
        <v>103</v>
      </c>
      <c r="L1150" s="1" t="str">
        <f t="shared" si="804"/>
        <v>47</v>
      </c>
      <c r="M1150" s="1" t="str">
        <f t="shared" si="825"/>
        <v>0</v>
      </c>
      <c r="N1150" s="1" t="str">
        <f t="shared" si="825"/>
        <v>0</v>
      </c>
      <c r="O1150" s="1" t="str">
        <f>"5.02"</f>
        <v>5.02</v>
      </c>
    </row>
    <row r="1151" s="1" customFormat="1" spans="1:15">
      <c r="A1151" s="1" t="str">
        <f t="shared" si="752"/>
        <v>202406</v>
      </c>
      <c r="B1151" s="1" t="str">
        <f t="shared" si="753"/>
        <v>150525100</v>
      </c>
      <c r="C1151" s="1" t="str">
        <f>"1014549868"</f>
        <v>1014549868</v>
      </c>
      <c r="D1151" s="1" t="str">
        <f>"152326196207240661"</f>
        <v>152326196207240661</v>
      </c>
      <c r="E1151" s="1" t="s">
        <v>1213</v>
      </c>
      <c r="F1151" s="1" t="s">
        <v>16</v>
      </c>
      <c r="G1151" s="1" t="s">
        <v>17</v>
      </c>
      <c r="H1151" s="1" t="str">
        <f>"62"</f>
        <v>62</v>
      </c>
      <c r="I1151" s="1" t="str">
        <f>"163.07"</f>
        <v>163.07</v>
      </c>
      <c r="J1151" s="1" t="str">
        <f t="shared" ref="J1151:N1151" si="826">"0"</f>
        <v>0</v>
      </c>
      <c r="K1151" s="1" t="str">
        <f t="shared" si="803"/>
        <v>103</v>
      </c>
      <c r="L1151" s="1" t="str">
        <f t="shared" si="804"/>
        <v>47</v>
      </c>
      <c r="M1151" s="1" t="str">
        <f t="shared" si="826"/>
        <v>0</v>
      </c>
      <c r="N1151" s="1" t="str">
        <f t="shared" si="826"/>
        <v>0</v>
      </c>
      <c r="O1151" s="1" t="str">
        <f>"13.07"</f>
        <v>13.07</v>
      </c>
    </row>
    <row r="1152" s="1" customFormat="1" spans="1:15">
      <c r="A1152" s="1" t="str">
        <f t="shared" si="752"/>
        <v>202406</v>
      </c>
      <c r="B1152" s="1" t="str">
        <f t="shared" si="753"/>
        <v>150525100</v>
      </c>
      <c r="C1152" s="1" t="str">
        <f>"1014584911"</f>
        <v>1014584911</v>
      </c>
      <c r="D1152" s="1" t="str">
        <f>"152326195207210417"</f>
        <v>152326195207210417</v>
      </c>
      <c r="E1152" s="1" t="s">
        <v>1214</v>
      </c>
      <c r="F1152" s="1" t="s">
        <v>25</v>
      </c>
      <c r="G1152" s="1" t="s">
        <v>17</v>
      </c>
      <c r="H1152" s="1" t="str">
        <f>"72"</f>
        <v>72</v>
      </c>
      <c r="I1152" s="1" t="str">
        <f>"162.14"</f>
        <v>162.14</v>
      </c>
      <c r="J1152" s="1" t="str">
        <f t="shared" ref="J1152:N1152" si="827">"0"</f>
        <v>0</v>
      </c>
      <c r="K1152" s="1" t="str">
        <f t="shared" si="803"/>
        <v>103</v>
      </c>
      <c r="L1152" s="1" t="str">
        <f t="shared" si="804"/>
        <v>47</v>
      </c>
      <c r="M1152" s="1" t="str">
        <f t="shared" si="827"/>
        <v>0</v>
      </c>
      <c r="N1152" s="1" t="str">
        <f t="shared" si="827"/>
        <v>0</v>
      </c>
      <c r="O1152" s="1" t="str">
        <f>"2.14"</f>
        <v>2.14</v>
      </c>
    </row>
    <row r="1153" s="1" customFormat="1" spans="1:15">
      <c r="A1153" s="1" t="str">
        <f t="shared" si="752"/>
        <v>202406</v>
      </c>
      <c r="B1153" s="1" t="str">
        <f t="shared" si="753"/>
        <v>150525100</v>
      </c>
      <c r="C1153" s="1" t="str">
        <f>"1014584931"</f>
        <v>1014584931</v>
      </c>
      <c r="D1153" s="1" t="str">
        <f>"152326195304070671"</f>
        <v>152326195304070671</v>
      </c>
      <c r="E1153" s="1" t="s">
        <v>1215</v>
      </c>
      <c r="F1153" s="1" t="s">
        <v>25</v>
      </c>
      <c r="G1153" s="1" t="s">
        <v>17</v>
      </c>
      <c r="H1153" s="1" t="str">
        <f>"71"</f>
        <v>71</v>
      </c>
      <c r="I1153" s="1" t="str">
        <f>"162.14"</f>
        <v>162.14</v>
      </c>
      <c r="J1153" s="1" t="str">
        <f t="shared" ref="J1153:N1153" si="828">"0"</f>
        <v>0</v>
      </c>
      <c r="K1153" s="1" t="str">
        <f t="shared" si="803"/>
        <v>103</v>
      </c>
      <c r="L1153" s="1" t="str">
        <f t="shared" si="804"/>
        <v>47</v>
      </c>
      <c r="M1153" s="1" t="str">
        <f t="shared" si="828"/>
        <v>0</v>
      </c>
      <c r="N1153" s="1" t="str">
        <f t="shared" si="828"/>
        <v>0</v>
      </c>
      <c r="O1153" s="1" t="str">
        <f>"2.14"</f>
        <v>2.14</v>
      </c>
    </row>
    <row r="1154" s="1" customFormat="1" spans="1:15">
      <c r="A1154" s="1" t="str">
        <f t="shared" ref="A1154:A1217" si="829">"202406"</f>
        <v>202406</v>
      </c>
      <c r="B1154" s="1" t="str">
        <f t="shared" ref="B1154:B1217" si="830">"150525100"</f>
        <v>150525100</v>
      </c>
      <c r="C1154" s="1" t="str">
        <f>"1040681558"</f>
        <v>1040681558</v>
      </c>
      <c r="D1154" s="1" t="str">
        <f>"152326195506290023"</f>
        <v>152326195506290023</v>
      </c>
      <c r="E1154" s="1" t="s">
        <v>1216</v>
      </c>
      <c r="F1154" s="1" t="s">
        <v>16</v>
      </c>
      <c r="G1154" s="1" t="s">
        <v>17</v>
      </c>
      <c r="H1154" s="1" t="str">
        <f>"69"</f>
        <v>69</v>
      </c>
      <c r="I1154" s="1" t="str">
        <f>"153.88"</f>
        <v>153.88</v>
      </c>
      <c r="J1154" s="1" t="str">
        <f t="shared" ref="J1154:N1154" si="831">"0"</f>
        <v>0</v>
      </c>
      <c r="K1154" s="1" t="str">
        <f t="shared" si="803"/>
        <v>103</v>
      </c>
      <c r="L1154" s="1" t="str">
        <f t="shared" si="804"/>
        <v>47</v>
      </c>
      <c r="M1154" s="1" t="str">
        <f t="shared" si="831"/>
        <v>0</v>
      </c>
      <c r="N1154" s="1" t="str">
        <f t="shared" si="831"/>
        <v>0</v>
      </c>
      <c r="O1154" s="1" t="str">
        <f>"3.88"</f>
        <v>3.88</v>
      </c>
    </row>
    <row r="1155" s="1" customFormat="1" spans="1:15">
      <c r="A1155" s="1" t="str">
        <f t="shared" si="829"/>
        <v>202406</v>
      </c>
      <c r="B1155" s="1" t="str">
        <f t="shared" si="830"/>
        <v>150525100</v>
      </c>
      <c r="C1155" s="1" t="str">
        <f>"1040681602"</f>
        <v>1040681602</v>
      </c>
      <c r="D1155" s="1" t="str">
        <f>"152326195610113844"</f>
        <v>152326195610113844</v>
      </c>
      <c r="E1155" s="1" t="s">
        <v>1217</v>
      </c>
      <c r="F1155" s="1" t="s">
        <v>16</v>
      </c>
      <c r="G1155" s="1" t="s">
        <v>17</v>
      </c>
      <c r="H1155" s="1" t="str">
        <f>"68"</f>
        <v>68</v>
      </c>
      <c r="I1155" s="1" t="str">
        <f>"154.8"</f>
        <v>154.8</v>
      </c>
      <c r="J1155" s="1" t="str">
        <f t="shared" ref="J1155:N1155" si="832">"0"</f>
        <v>0</v>
      </c>
      <c r="K1155" s="1" t="str">
        <f t="shared" si="803"/>
        <v>103</v>
      </c>
      <c r="L1155" s="1" t="str">
        <f t="shared" si="804"/>
        <v>47</v>
      </c>
      <c r="M1155" s="1" t="str">
        <f t="shared" si="832"/>
        <v>0</v>
      </c>
      <c r="N1155" s="1" t="str">
        <f t="shared" si="832"/>
        <v>0</v>
      </c>
      <c r="O1155" s="1" t="str">
        <f>"4.8"</f>
        <v>4.8</v>
      </c>
    </row>
    <row r="1156" s="1" customFormat="1" spans="1:15">
      <c r="A1156" s="1" t="str">
        <f t="shared" si="829"/>
        <v>202406</v>
      </c>
      <c r="B1156" s="1" t="str">
        <f t="shared" si="830"/>
        <v>150525100</v>
      </c>
      <c r="C1156" s="1" t="str">
        <f>"1040681604"</f>
        <v>1040681604</v>
      </c>
      <c r="D1156" s="1" t="str">
        <f>"152326195503113822"</f>
        <v>152326195503113822</v>
      </c>
      <c r="E1156" s="1" t="s">
        <v>1218</v>
      </c>
      <c r="F1156" s="1" t="s">
        <v>16</v>
      </c>
      <c r="G1156" s="1" t="s">
        <v>17</v>
      </c>
      <c r="H1156" s="1" t="str">
        <f>"69"</f>
        <v>69</v>
      </c>
      <c r="I1156" s="1" t="str">
        <f>"153.81"</f>
        <v>153.81</v>
      </c>
      <c r="J1156" s="1" t="str">
        <f t="shared" ref="J1156:N1156" si="833">"0"</f>
        <v>0</v>
      </c>
      <c r="K1156" s="1" t="str">
        <f t="shared" si="803"/>
        <v>103</v>
      </c>
      <c r="L1156" s="1" t="str">
        <f t="shared" si="804"/>
        <v>47</v>
      </c>
      <c r="M1156" s="1" t="str">
        <f t="shared" si="833"/>
        <v>0</v>
      </c>
      <c r="N1156" s="1" t="str">
        <f t="shared" si="833"/>
        <v>0</v>
      </c>
      <c r="O1156" s="1" t="str">
        <f>"3.81"</f>
        <v>3.81</v>
      </c>
    </row>
    <row r="1157" s="1" customFormat="1" spans="1:15">
      <c r="A1157" s="1" t="str">
        <f t="shared" si="829"/>
        <v>202406</v>
      </c>
      <c r="B1157" s="1" t="str">
        <f t="shared" si="830"/>
        <v>150525100</v>
      </c>
      <c r="C1157" s="1" t="str">
        <f>"1040681662"</f>
        <v>1040681662</v>
      </c>
      <c r="D1157" s="1" t="str">
        <f>"152326196011063317"</f>
        <v>152326196011063317</v>
      </c>
      <c r="E1157" s="1" t="s">
        <v>1219</v>
      </c>
      <c r="F1157" s="1" t="s">
        <v>25</v>
      </c>
      <c r="G1157" s="1" t="s">
        <v>17</v>
      </c>
      <c r="H1157" s="1" t="str">
        <f>"64"</f>
        <v>64</v>
      </c>
      <c r="I1157" s="1" t="str">
        <f>"158.81"</f>
        <v>158.81</v>
      </c>
      <c r="J1157" s="1" t="str">
        <f t="shared" ref="J1157:N1157" si="834">"0"</f>
        <v>0</v>
      </c>
      <c r="K1157" s="1" t="str">
        <f t="shared" si="803"/>
        <v>103</v>
      </c>
      <c r="L1157" s="1" t="str">
        <f t="shared" si="804"/>
        <v>47</v>
      </c>
      <c r="M1157" s="1" t="str">
        <f t="shared" si="834"/>
        <v>0</v>
      </c>
      <c r="N1157" s="1" t="str">
        <f t="shared" si="834"/>
        <v>0</v>
      </c>
      <c r="O1157" s="1" t="str">
        <f>"8.81"</f>
        <v>8.81</v>
      </c>
    </row>
    <row r="1158" s="1" customFormat="1" spans="1:15">
      <c r="A1158" s="1" t="str">
        <f t="shared" si="829"/>
        <v>202406</v>
      </c>
      <c r="B1158" s="1" t="str">
        <f t="shared" si="830"/>
        <v>150525100</v>
      </c>
      <c r="C1158" s="1" t="str">
        <f>"1040681510"</f>
        <v>1040681510</v>
      </c>
      <c r="D1158" s="1" t="str">
        <f>"152326195809213818"</f>
        <v>152326195809213818</v>
      </c>
      <c r="E1158" s="1" t="s">
        <v>1220</v>
      </c>
      <c r="F1158" s="1" t="s">
        <v>25</v>
      </c>
      <c r="G1158" s="1" t="s">
        <v>19</v>
      </c>
      <c r="H1158" s="1" t="str">
        <f>"66"</f>
        <v>66</v>
      </c>
      <c r="I1158" s="1" t="str">
        <f>"155.9"</f>
        <v>155.9</v>
      </c>
      <c r="J1158" s="1" t="str">
        <f t="shared" ref="J1158:N1158" si="835">"0"</f>
        <v>0</v>
      </c>
      <c r="K1158" s="1" t="str">
        <f t="shared" si="803"/>
        <v>103</v>
      </c>
      <c r="L1158" s="1" t="str">
        <f t="shared" si="804"/>
        <v>47</v>
      </c>
      <c r="M1158" s="1" t="str">
        <f t="shared" si="835"/>
        <v>0</v>
      </c>
      <c r="N1158" s="1" t="str">
        <f t="shared" si="835"/>
        <v>0</v>
      </c>
      <c r="O1158" s="1" t="str">
        <f>"5.9"</f>
        <v>5.9</v>
      </c>
    </row>
    <row r="1159" s="1" customFormat="1" spans="1:15">
      <c r="A1159" s="1" t="str">
        <f t="shared" si="829"/>
        <v>202406</v>
      </c>
      <c r="B1159" s="1" t="str">
        <f t="shared" si="830"/>
        <v>150525100</v>
      </c>
      <c r="C1159" s="1" t="str">
        <f>"1040681522"</f>
        <v>1040681522</v>
      </c>
      <c r="D1159" s="1" t="str">
        <f>"152326195912023836"</f>
        <v>152326195912023836</v>
      </c>
      <c r="E1159" s="1" t="s">
        <v>1221</v>
      </c>
      <c r="F1159" s="1" t="s">
        <v>25</v>
      </c>
      <c r="G1159" s="1" t="s">
        <v>96</v>
      </c>
      <c r="H1159" s="1" t="str">
        <f>"65"</f>
        <v>65</v>
      </c>
      <c r="I1159" s="1" t="str">
        <f>"156.48"</f>
        <v>156.48</v>
      </c>
      <c r="J1159" s="1" t="str">
        <f t="shared" ref="J1159:N1159" si="836">"0"</f>
        <v>0</v>
      </c>
      <c r="K1159" s="1" t="str">
        <f t="shared" si="803"/>
        <v>103</v>
      </c>
      <c r="L1159" s="1" t="str">
        <f t="shared" si="804"/>
        <v>47</v>
      </c>
      <c r="M1159" s="1" t="str">
        <f t="shared" si="836"/>
        <v>0</v>
      </c>
      <c r="N1159" s="1" t="str">
        <f t="shared" si="836"/>
        <v>0</v>
      </c>
      <c r="O1159" s="1" t="str">
        <f>"6.48"</f>
        <v>6.48</v>
      </c>
    </row>
    <row r="1160" s="1" customFormat="1" spans="1:15">
      <c r="A1160" s="1" t="str">
        <f t="shared" si="829"/>
        <v>202406</v>
      </c>
      <c r="B1160" s="1" t="str">
        <f t="shared" si="830"/>
        <v>150525100</v>
      </c>
      <c r="C1160" s="1" t="str">
        <f>"1014612801"</f>
        <v>1014612801</v>
      </c>
      <c r="D1160" s="1" t="str">
        <f>"152326194312200910"</f>
        <v>152326194312200910</v>
      </c>
      <c r="E1160" s="1" t="s">
        <v>1222</v>
      </c>
      <c r="F1160" s="1" t="s">
        <v>25</v>
      </c>
      <c r="G1160" s="1" t="s">
        <v>19</v>
      </c>
      <c r="H1160" s="1" t="str">
        <f>"81"</f>
        <v>81</v>
      </c>
      <c r="I1160" s="1" t="str">
        <f>"170"</f>
        <v>170</v>
      </c>
      <c r="J1160" s="1" t="str">
        <f t="shared" ref="J1160:O1160" si="837">"0"</f>
        <v>0</v>
      </c>
      <c r="K1160" s="1" t="str">
        <f t="shared" si="803"/>
        <v>103</v>
      </c>
      <c r="L1160" s="1" t="str">
        <f t="shared" si="804"/>
        <v>47</v>
      </c>
      <c r="M1160" s="1" t="str">
        <f t="shared" si="837"/>
        <v>0</v>
      </c>
      <c r="N1160" s="1" t="str">
        <f t="shared" si="837"/>
        <v>0</v>
      </c>
      <c r="O1160" s="1" t="str">
        <f t="shared" si="837"/>
        <v>0</v>
      </c>
    </row>
    <row r="1161" s="1" customFormat="1" spans="1:15">
      <c r="A1161" s="1" t="str">
        <f t="shared" si="829"/>
        <v>202406</v>
      </c>
      <c r="B1161" s="1" t="str">
        <f t="shared" si="830"/>
        <v>150525100</v>
      </c>
      <c r="C1161" s="1" t="str">
        <f>"1014612805"</f>
        <v>1014612805</v>
      </c>
      <c r="D1161" s="1" t="str">
        <f>"152326194701040914"</f>
        <v>152326194701040914</v>
      </c>
      <c r="E1161" s="1" t="s">
        <v>71</v>
      </c>
      <c r="F1161" s="1" t="s">
        <v>25</v>
      </c>
      <c r="G1161" s="1" t="s">
        <v>19</v>
      </c>
      <c r="H1161" s="1" t="str">
        <f>"78"</f>
        <v>78</v>
      </c>
      <c r="I1161" s="1" t="str">
        <f t="shared" ref="I1161:I1170" si="838">"160"</f>
        <v>160</v>
      </c>
      <c r="J1161" s="1" t="str">
        <f t="shared" ref="J1161:O1161" si="839">"0"</f>
        <v>0</v>
      </c>
      <c r="K1161" s="1" t="str">
        <f t="shared" si="803"/>
        <v>103</v>
      </c>
      <c r="L1161" s="1" t="str">
        <f t="shared" si="804"/>
        <v>47</v>
      </c>
      <c r="M1161" s="1" t="str">
        <f t="shared" si="839"/>
        <v>0</v>
      </c>
      <c r="N1161" s="1" t="str">
        <f t="shared" si="839"/>
        <v>0</v>
      </c>
      <c r="O1161" s="1" t="str">
        <f t="shared" si="839"/>
        <v>0</v>
      </c>
    </row>
    <row r="1162" s="1" customFormat="1" spans="1:15">
      <c r="A1162" s="1" t="str">
        <f t="shared" si="829"/>
        <v>202406</v>
      </c>
      <c r="B1162" s="1" t="str">
        <f t="shared" si="830"/>
        <v>150525100</v>
      </c>
      <c r="C1162" s="1" t="str">
        <f>"1014623891"</f>
        <v>1014623891</v>
      </c>
      <c r="D1162" s="1" t="str">
        <f>"152326195001080661"</f>
        <v>152326195001080661</v>
      </c>
      <c r="E1162" s="1" t="s">
        <v>1223</v>
      </c>
      <c r="F1162" s="1" t="s">
        <v>16</v>
      </c>
      <c r="G1162" s="1" t="s">
        <v>17</v>
      </c>
      <c r="H1162" s="1" t="str">
        <f>"74"</f>
        <v>74</v>
      </c>
      <c r="I1162" s="1" t="str">
        <f t="shared" si="838"/>
        <v>160</v>
      </c>
      <c r="J1162" s="1" t="str">
        <f t="shared" ref="J1162:O1162" si="840">"0"</f>
        <v>0</v>
      </c>
      <c r="K1162" s="1" t="str">
        <f t="shared" si="803"/>
        <v>103</v>
      </c>
      <c r="L1162" s="1" t="str">
        <f t="shared" si="804"/>
        <v>47</v>
      </c>
      <c r="M1162" s="1" t="str">
        <f t="shared" si="840"/>
        <v>0</v>
      </c>
      <c r="N1162" s="1" t="str">
        <f t="shared" si="840"/>
        <v>0</v>
      </c>
      <c r="O1162" s="1" t="str">
        <f t="shared" si="840"/>
        <v>0</v>
      </c>
    </row>
    <row r="1163" s="1" customFormat="1" spans="1:15">
      <c r="A1163" s="1" t="str">
        <f t="shared" si="829"/>
        <v>202406</v>
      </c>
      <c r="B1163" s="1" t="str">
        <f t="shared" si="830"/>
        <v>150525100</v>
      </c>
      <c r="C1163" s="1" t="str">
        <f>"1014623902"</f>
        <v>1014623902</v>
      </c>
      <c r="D1163" s="1" t="str">
        <f>"152326195112210676"</f>
        <v>152326195112210676</v>
      </c>
      <c r="E1163" s="1" t="s">
        <v>1224</v>
      </c>
      <c r="F1163" s="1" t="s">
        <v>25</v>
      </c>
      <c r="G1163" s="1" t="s">
        <v>17</v>
      </c>
      <c r="H1163" s="1" t="str">
        <f>"73"</f>
        <v>73</v>
      </c>
      <c r="I1163" s="1" t="str">
        <f t="shared" si="838"/>
        <v>160</v>
      </c>
      <c r="J1163" s="1" t="str">
        <f t="shared" ref="J1163:O1163" si="841">"0"</f>
        <v>0</v>
      </c>
      <c r="K1163" s="1" t="str">
        <f t="shared" si="803"/>
        <v>103</v>
      </c>
      <c r="L1163" s="1" t="str">
        <f t="shared" si="804"/>
        <v>47</v>
      </c>
      <c r="M1163" s="1" t="str">
        <f t="shared" si="841"/>
        <v>0</v>
      </c>
      <c r="N1163" s="1" t="str">
        <f t="shared" si="841"/>
        <v>0</v>
      </c>
      <c r="O1163" s="1" t="str">
        <f t="shared" si="841"/>
        <v>0</v>
      </c>
    </row>
    <row r="1164" s="1" customFormat="1" spans="1:15">
      <c r="A1164" s="1" t="str">
        <f t="shared" si="829"/>
        <v>202406</v>
      </c>
      <c r="B1164" s="1" t="str">
        <f t="shared" si="830"/>
        <v>150525100</v>
      </c>
      <c r="C1164" s="1" t="str">
        <f>"1014623915"</f>
        <v>1014623915</v>
      </c>
      <c r="D1164" s="1" t="str">
        <f>"152326194807160666"</f>
        <v>152326194807160666</v>
      </c>
      <c r="E1164" s="1" t="s">
        <v>1225</v>
      </c>
      <c r="F1164" s="1" t="s">
        <v>16</v>
      </c>
      <c r="G1164" s="1" t="s">
        <v>17</v>
      </c>
      <c r="H1164" s="1" t="str">
        <f>"76"</f>
        <v>76</v>
      </c>
      <c r="I1164" s="1" t="str">
        <f t="shared" si="838"/>
        <v>160</v>
      </c>
      <c r="J1164" s="1" t="str">
        <f t="shared" ref="J1164:O1164" si="842">"0"</f>
        <v>0</v>
      </c>
      <c r="K1164" s="1" t="str">
        <f t="shared" si="803"/>
        <v>103</v>
      </c>
      <c r="L1164" s="1" t="str">
        <f t="shared" si="804"/>
        <v>47</v>
      </c>
      <c r="M1164" s="1" t="str">
        <f t="shared" si="842"/>
        <v>0</v>
      </c>
      <c r="N1164" s="1" t="str">
        <f t="shared" si="842"/>
        <v>0</v>
      </c>
      <c r="O1164" s="1" t="str">
        <f t="shared" si="842"/>
        <v>0</v>
      </c>
    </row>
    <row r="1165" s="1" customFormat="1" spans="1:15">
      <c r="A1165" s="1" t="str">
        <f t="shared" si="829"/>
        <v>202406</v>
      </c>
      <c r="B1165" s="1" t="str">
        <f t="shared" si="830"/>
        <v>150525100</v>
      </c>
      <c r="C1165" s="1" t="str">
        <f>"1014623920"</f>
        <v>1014623920</v>
      </c>
      <c r="D1165" s="1" t="str">
        <f>"152326195110240679"</f>
        <v>152326195110240679</v>
      </c>
      <c r="E1165" s="1" t="s">
        <v>1226</v>
      </c>
      <c r="F1165" s="1" t="s">
        <v>25</v>
      </c>
      <c r="G1165" s="1" t="s">
        <v>17</v>
      </c>
      <c r="H1165" s="1" t="str">
        <f>"73"</f>
        <v>73</v>
      </c>
      <c r="I1165" s="1" t="str">
        <f t="shared" si="838"/>
        <v>160</v>
      </c>
      <c r="J1165" s="1" t="str">
        <f t="shared" ref="J1165:O1165" si="843">"0"</f>
        <v>0</v>
      </c>
      <c r="K1165" s="1" t="str">
        <f t="shared" si="803"/>
        <v>103</v>
      </c>
      <c r="L1165" s="1" t="str">
        <f t="shared" si="804"/>
        <v>47</v>
      </c>
      <c r="M1165" s="1" t="str">
        <f t="shared" si="843"/>
        <v>0</v>
      </c>
      <c r="N1165" s="1" t="str">
        <f t="shared" si="843"/>
        <v>0</v>
      </c>
      <c r="O1165" s="1" t="str">
        <f t="shared" si="843"/>
        <v>0</v>
      </c>
    </row>
    <row r="1166" s="1" customFormat="1" spans="1:15">
      <c r="A1166" s="1" t="str">
        <f t="shared" si="829"/>
        <v>202406</v>
      </c>
      <c r="B1166" s="1" t="str">
        <f t="shared" si="830"/>
        <v>150525100</v>
      </c>
      <c r="C1166" s="1" t="str">
        <f>"1014624375"</f>
        <v>1014624375</v>
      </c>
      <c r="D1166" s="1" t="str">
        <f>"152326194912030927"</f>
        <v>152326194912030927</v>
      </c>
      <c r="E1166" s="1" t="s">
        <v>1227</v>
      </c>
      <c r="F1166" s="1" t="s">
        <v>16</v>
      </c>
      <c r="G1166" s="1" t="s">
        <v>19</v>
      </c>
      <c r="H1166" s="1" t="str">
        <f t="shared" ref="H1166:H1170" si="844">"75"</f>
        <v>75</v>
      </c>
      <c r="I1166" s="1" t="str">
        <f t="shared" si="838"/>
        <v>160</v>
      </c>
      <c r="J1166" s="1" t="str">
        <f t="shared" ref="J1166:O1166" si="845">"0"</f>
        <v>0</v>
      </c>
      <c r="K1166" s="1" t="str">
        <f t="shared" si="803"/>
        <v>103</v>
      </c>
      <c r="L1166" s="1" t="str">
        <f t="shared" si="804"/>
        <v>47</v>
      </c>
      <c r="M1166" s="1" t="str">
        <f t="shared" si="845"/>
        <v>0</v>
      </c>
      <c r="N1166" s="1" t="str">
        <f t="shared" si="845"/>
        <v>0</v>
      </c>
      <c r="O1166" s="1" t="str">
        <f t="shared" si="845"/>
        <v>0</v>
      </c>
    </row>
    <row r="1167" s="1" customFormat="1" spans="1:15">
      <c r="A1167" s="1" t="str">
        <f t="shared" si="829"/>
        <v>202406</v>
      </c>
      <c r="B1167" s="1" t="str">
        <f t="shared" si="830"/>
        <v>150525100</v>
      </c>
      <c r="C1167" s="1" t="str">
        <f>"1014624383"</f>
        <v>1014624383</v>
      </c>
      <c r="D1167" s="1" t="str">
        <f>"152326194806120929"</f>
        <v>152326194806120929</v>
      </c>
      <c r="E1167" s="1" t="s">
        <v>1228</v>
      </c>
      <c r="F1167" s="1" t="s">
        <v>16</v>
      </c>
      <c r="G1167" s="1" t="s">
        <v>19</v>
      </c>
      <c r="H1167" s="1" t="str">
        <f>"76"</f>
        <v>76</v>
      </c>
      <c r="I1167" s="1" t="str">
        <f t="shared" si="838"/>
        <v>160</v>
      </c>
      <c r="J1167" s="1" t="str">
        <f t="shared" ref="J1167:O1167" si="846">"0"</f>
        <v>0</v>
      </c>
      <c r="K1167" s="1" t="str">
        <f t="shared" si="803"/>
        <v>103</v>
      </c>
      <c r="L1167" s="1" t="str">
        <f t="shared" si="804"/>
        <v>47</v>
      </c>
      <c r="M1167" s="1" t="str">
        <f t="shared" si="846"/>
        <v>0</v>
      </c>
      <c r="N1167" s="1" t="str">
        <f t="shared" si="846"/>
        <v>0</v>
      </c>
      <c r="O1167" s="1" t="str">
        <f t="shared" si="846"/>
        <v>0</v>
      </c>
    </row>
    <row r="1168" s="1" customFormat="1" spans="1:15">
      <c r="A1168" s="1" t="str">
        <f t="shared" si="829"/>
        <v>202406</v>
      </c>
      <c r="B1168" s="1" t="str">
        <f t="shared" si="830"/>
        <v>150525100</v>
      </c>
      <c r="C1168" s="1" t="str">
        <f>"1014624387"</f>
        <v>1014624387</v>
      </c>
      <c r="D1168" s="1" t="str">
        <f>"152326194909180916"</f>
        <v>152326194909180916</v>
      </c>
      <c r="E1168" s="1" t="s">
        <v>1229</v>
      </c>
      <c r="F1168" s="1" t="s">
        <v>25</v>
      </c>
      <c r="G1168" s="1" t="s">
        <v>19</v>
      </c>
      <c r="H1168" s="1" t="str">
        <f t="shared" si="844"/>
        <v>75</v>
      </c>
      <c r="I1168" s="1" t="str">
        <f t="shared" si="838"/>
        <v>160</v>
      </c>
      <c r="J1168" s="1" t="str">
        <f t="shared" ref="J1168:O1168" si="847">"0"</f>
        <v>0</v>
      </c>
      <c r="K1168" s="1" t="str">
        <f t="shared" si="803"/>
        <v>103</v>
      </c>
      <c r="L1168" s="1" t="str">
        <f t="shared" si="804"/>
        <v>47</v>
      </c>
      <c r="M1168" s="1" t="str">
        <f t="shared" si="847"/>
        <v>0</v>
      </c>
      <c r="N1168" s="1" t="str">
        <f t="shared" si="847"/>
        <v>0</v>
      </c>
      <c r="O1168" s="1" t="str">
        <f t="shared" si="847"/>
        <v>0</v>
      </c>
    </row>
    <row r="1169" s="1" customFormat="1" spans="1:15">
      <c r="A1169" s="1" t="str">
        <f t="shared" si="829"/>
        <v>202406</v>
      </c>
      <c r="B1169" s="1" t="str">
        <f t="shared" si="830"/>
        <v>150525100</v>
      </c>
      <c r="C1169" s="1" t="str">
        <f>"1014619917"</f>
        <v>1014619917</v>
      </c>
      <c r="D1169" s="1" t="str">
        <f>"152326194601210664"</f>
        <v>152326194601210664</v>
      </c>
      <c r="E1169" s="1" t="s">
        <v>1230</v>
      </c>
      <c r="F1169" s="1" t="s">
        <v>16</v>
      </c>
      <c r="G1169" s="1" t="s">
        <v>17</v>
      </c>
      <c r="H1169" s="1" t="str">
        <f>"78"</f>
        <v>78</v>
      </c>
      <c r="I1169" s="1" t="str">
        <f t="shared" si="838"/>
        <v>160</v>
      </c>
      <c r="J1169" s="1" t="str">
        <f t="shared" ref="J1169:O1169" si="848">"0"</f>
        <v>0</v>
      </c>
      <c r="K1169" s="1" t="str">
        <f t="shared" si="803"/>
        <v>103</v>
      </c>
      <c r="L1169" s="1" t="str">
        <f t="shared" si="804"/>
        <v>47</v>
      </c>
      <c r="M1169" s="1" t="str">
        <f t="shared" si="848"/>
        <v>0</v>
      </c>
      <c r="N1169" s="1" t="str">
        <f t="shared" si="848"/>
        <v>0</v>
      </c>
      <c r="O1169" s="1" t="str">
        <f t="shared" si="848"/>
        <v>0</v>
      </c>
    </row>
    <row r="1170" s="1" customFormat="1" spans="1:15">
      <c r="A1170" s="1" t="str">
        <f t="shared" si="829"/>
        <v>202406</v>
      </c>
      <c r="B1170" s="1" t="str">
        <f t="shared" si="830"/>
        <v>150525100</v>
      </c>
      <c r="C1170" s="1" t="str">
        <f>"1014619919"</f>
        <v>1014619919</v>
      </c>
      <c r="D1170" s="1" t="str">
        <f>"152326194907100660"</f>
        <v>152326194907100660</v>
      </c>
      <c r="E1170" s="1" t="s">
        <v>875</v>
      </c>
      <c r="F1170" s="1" t="s">
        <v>16</v>
      </c>
      <c r="G1170" s="1" t="s">
        <v>17</v>
      </c>
      <c r="H1170" s="1" t="str">
        <f t="shared" si="844"/>
        <v>75</v>
      </c>
      <c r="I1170" s="1" t="str">
        <f t="shared" si="838"/>
        <v>160</v>
      </c>
      <c r="J1170" s="1" t="str">
        <f t="shared" ref="J1170:O1170" si="849">"0"</f>
        <v>0</v>
      </c>
      <c r="K1170" s="1" t="str">
        <f t="shared" si="803"/>
        <v>103</v>
      </c>
      <c r="L1170" s="1" t="str">
        <f t="shared" si="804"/>
        <v>47</v>
      </c>
      <c r="M1170" s="1" t="str">
        <f t="shared" si="849"/>
        <v>0</v>
      </c>
      <c r="N1170" s="1" t="str">
        <f t="shared" si="849"/>
        <v>0</v>
      </c>
      <c r="O1170" s="1" t="str">
        <f t="shared" si="849"/>
        <v>0</v>
      </c>
    </row>
    <row r="1171" s="1" customFormat="1" spans="1:15">
      <c r="A1171" s="1" t="str">
        <f t="shared" si="829"/>
        <v>202406</v>
      </c>
      <c r="B1171" s="1" t="str">
        <f t="shared" si="830"/>
        <v>150525100</v>
      </c>
      <c r="C1171" s="1" t="str">
        <f>"1014623385"</f>
        <v>1014623385</v>
      </c>
      <c r="D1171" s="1" t="str">
        <f>"152326193607043081"</f>
        <v>152326193607043081</v>
      </c>
      <c r="E1171" s="1" t="s">
        <v>1231</v>
      </c>
      <c r="F1171" s="1" t="s">
        <v>16</v>
      </c>
      <c r="G1171" s="1" t="s">
        <v>19</v>
      </c>
      <c r="H1171" s="1" t="str">
        <f>"88"</f>
        <v>88</v>
      </c>
      <c r="I1171" s="1" t="str">
        <f>"170"</f>
        <v>170</v>
      </c>
      <c r="J1171" s="1" t="str">
        <f t="shared" ref="J1171:O1171" si="850">"0"</f>
        <v>0</v>
      </c>
      <c r="K1171" s="1" t="str">
        <f t="shared" si="803"/>
        <v>103</v>
      </c>
      <c r="L1171" s="1" t="str">
        <f t="shared" si="804"/>
        <v>47</v>
      </c>
      <c r="M1171" s="1" t="str">
        <f t="shared" si="850"/>
        <v>0</v>
      </c>
      <c r="N1171" s="1" t="str">
        <f t="shared" si="850"/>
        <v>0</v>
      </c>
      <c r="O1171" s="1" t="str">
        <f t="shared" si="850"/>
        <v>0</v>
      </c>
    </row>
    <row r="1172" s="1" customFormat="1" spans="1:15">
      <c r="A1172" s="1" t="str">
        <f t="shared" si="829"/>
        <v>202406</v>
      </c>
      <c r="B1172" s="1" t="str">
        <f t="shared" si="830"/>
        <v>150525100</v>
      </c>
      <c r="C1172" s="1" t="str">
        <f>"1014623408"</f>
        <v>1014623408</v>
      </c>
      <c r="D1172" s="1" t="str">
        <f>"152326194907293829"</f>
        <v>152326194907293829</v>
      </c>
      <c r="E1172" s="1" t="s">
        <v>1232</v>
      </c>
      <c r="F1172" s="1" t="s">
        <v>16</v>
      </c>
      <c r="G1172" s="1" t="s">
        <v>19</v>
      </c>
      <c r="H1172" s="1" t="str">
        <f t="shared" ref="H1172:H1177" si="851">"75"</f>
        <v>75</v>
      </c>
      <c r="I1172" s="1" t="str">
        <f t="shared" ref="I1172:I1179" si="852">"160"</f>
        <v>160</v>
      </c>
      <c r="J1172" s="1" t="str">
        <f t="shared" ref="J1172:O1172" si="853">"0"</f>
        <v>0</v>
      </c>
      <c r="K1172" s="1" t="str">
        <f t="shared" si="803"/>
        <v>103</v>
      </c>
      <c r="L1172" s="1" t="str">
        <f t="shared" si="804"/>
        <v>47</v>
      </c>
      <c r="M1172" s="1" t="str">
        <f t="shared" si="853"/>
        <v>0</v>
      </c>
      <c r="N1172" s="1" t="str">
        <f t="shared" si="853"/>
        <v>0</v>
      </c>
      <c r="O1172" s="1" t="str">
        <f t="shared" si="853"/>
        <v>0</v>
      </c>
    </row>
    <row r="1173" s="1" customFormat="1" spans="1:15">
      <c r="A1173" s="1" t="str">
        <f t="shared" si="829"/>
        <v>202406</v>
      </c>
      <c r="B1173" s="1" t="str">
        <f t="shared" si="830"/>
        <v>150525100</v>
      </c>
      <c r="C1173" s="1" t="str">
        <f>"1014623412"</f>
        <v>1014623412</v>
      </c>
      <c r="D1173" s="1" t="str">
        <f>"152326194907060427"</f>
        <v>152326194907060427</v>
      </c>
      <c r="E1173" s="1" t="s">
        <v>610</v>
      </c>
      <c r="F1173" s="1" t="s">
        <v>16</v>
      </c>
      <c r="G1173" s="1" t="s">
        <v>19</v>
      </c>
      <c r="H1173" s="1" t="str">
        <f t="shared" si="851"/>
        <v>75</v>
      </c>
      <c r="I1173" s="1" t="str">
        <f t="shared" si="852"/>
        <v>160</v>
      </c>
      <c r="J1173" s="1" t="str">
        <f t="shared" ref="J1173:O1173" si="854">"0"</f>
        <v>0</v>
      </c>
      <c r="K1173" s="1" t="str">
        <f t="shared" si="803"/>
        <v>103</v>
      </c>
      <c r="L1173" s="1" t="str">
        <f t="shared" si="804"/>
        <v>47</v>
      </c>
      <c r="M1173" s="1" t="str">
        <f t="shared" si="854"/>
        <v>0</v>
      </c>
      <c r="N1173" s="1" t="str">
        <f t="shared" si="854"/>
        <v>0</v>
      </c>
      <c r="O1173" s="1" t="str">
        <f t="shared" si="854"/>
        <v>0</v>
      </c>
    </row>
    <row r="1174" s="1" customFormat="1" spans="1:15">
      <c r="A1174" s="1" t="str">
        <f t="shared" si="829"/>
        <v>202406</v>
      </c>
      <c r="B1174" s="1" t="str">
        <f t="shared" si="830"/>
        <v>150525100</v>
      </c>
      <c r="C1174" s="1" t="str">
        <f>"1014629315"</f>
        <v>1014629315</v>
      </c>
      <c r="D1174" s="1" t="str">
        <f>"152326195003103820"</f>
        <v>152326195003103820</v>
      </c>
      <c r="E1174" s="1" t="s">
        <v>1233</v>
      </c>
      <c r="F1174" s="1" t="s">
        <v>16</v>
      </c>
      <c r="G1174" s="1" t="s">
        <v>17</v>
      </c>
      <c r="H1174" s="1" t="str">
        <f>"74"</f>
        <v>74</v>
      </c>
      <c r="I1174" s="1" t="str">
        <f t="shared" si="852"/>
        <v>160</v>
      </c>
      <c r="J1174" s="1" t="str">
        <f t="shared" ref="J1174:O1174" si="855">"0"</f>
        <v>0</v>
      </c>
      <c r="K1174" s="1" t="str">
        <f t="shared" si="803"/>
        <v>103</v>
      </c>
      <c r="L1174" s="1" t="str">
        <f t="shared" si="804"/>
        <v>47</v>
      </c>
      <c r="M1174" s="1" t="str">
        <f t="shared" si="855"/>
        <v>0</v>
      </c>
      <c r="N1174" s="1" t="str">
        <f t="shared" si="855"/>
        <v>0</v>
      </c>
      <c r="O1174" s="1" t="str">
        <f t="shared" si="855"/>
        <v>0</v>
      </c>
    </row>
    <row r="1175" s="1" customFormat="1" spans="1:15">
      <c r="A1175" s="1" t="str">
        <f t="shared" si="829"/>
        <v>202406</v>
      </c>
      <c r="B1175" s="1" t="str">
        <f t="shared" si="830"/>
        <v>150525100</v>
      </c>
      <c r="C1175" s="1" t="str">
        <f>"1014629330"</f>
        <v>1014629330</v>
      </c>
      <c r="D1175" s="1" t="str">
        <f>"152326194605020411"</f>
        <v>152326194605020411</v>
      </c>
      <c r="E1175" s="1" t="s">
        <v>1234</v>
      </c>
      <c r="F1175" s="1" t="s">
        <v>25</v>
      </c>
      <c r="G1175" s="1" t="s">
        <v>17</v>
      </c>
      <c r="H1175" s="1" t="str">
        <f>"78"</f>
        <v>78</v>
      </c>
      <c r="I1175" s="1" t="str">
        <f t="shared" si="852"/>
        <v>160</v>
      </c>
      <c r="J1175" s="1" t="str">
        <f t="shared" ref="J1175:O1175" si="856">"0"</f>
        <v>0</v>
      </c>
      <c r="K1175" s="1" t="str">
        <f t="shared" si="803"/>
        <v>103</v>
      </c>
      <c r="L1175" s="1" t="str">
        <f t="shared" si="804"/>
        <v>47</v>
      </c>
      <c r="M1175" s="1" t="str">
        <f t="shared" si="856"/>
        <v>0</v>
      </c>
      <c r="N1175" s="1" t="str">
        <f t="shared" si="856"/>
        <v>0</v>
      </c>
      <c r="O1175" s="1" t="str">
        <f t="shared" si="856"/>
        <v>0</v>
      </c>
    </row>
    <row r="1176" s="1" customFormat="1" spans="1:15">
      <c r="A1176" s="1" t="str">
        <f t="shared" si="829"/>
        <v>202406</v>
      </c>
      <c r="B1176" s="1" t="str">
        <f t="shared" si="830"/>
        <v>150525100</v>
      </c>
      <c r="C1176" s="1" t="str">
        <f>"1014612821"</f>
        <v>1014612821</v>
      </c>
      <c r="D1176" s="1" t="str">
        <f>"152326194909290429"</f>
        <v>152326194909290429</v>
      </c>
      <c r="E1176" s="1" t="s">
        <v>1235</v>
      </c>
      <c r="F1176" s="1" t="s">
        <v>16</v>
      </c>
      <c r="G1176" s="1" t="s">
        <v>17</v>
      </c>
      <c r="H1176" s="1" t="str">
        <f t="shared" si="851"/>
        <v>75</v>
      </c>
      <c r="I1176" s="1" t="str">
        <f t="shared" si="852"/>
        <v>160</v>
      </c>
      <c r="J1176" s="1" t="str">
        <f t="shared" ref="J1176:O1176" si="857">"0"</f>
        <v>0</v>
      </c>
      <c r="K1176" s="1" t="str">
        <f t="shared" si="803"/>
        <v>103</v>
      </c>
      <c r="L1176" s="1" t="str">
        <f t="shared" si="804"/>
        <v>47</v>
      </c>
      <c r="M1176" s="1" t="str">
        <f t="shared" si="857"/>
        <v>0</v>
      </c>
      <c r="N1176" s="1" t="str">
        <f t="shared" si="857"/>
        <v>0</v>
      </c>
      <c r="O1176" s="1" t="str">
        <f t="shared" si="857"/>
        <v>0</v>
      </c>
    </row>
    <row r="1177" s="1" customFormat="1" spans="1:15">
      <c r="A1177" s="1" t="str">
        <f t="shared" si="829"/>
        <v>202406</v>
      </c>
      <c r="B1177" s="1" t="str">
        <f t="shared" si="830"/>
        <v>150525100</v>
      </c>
      <c r="C1177" s="1" t="str">
        <f>"1014612833"</f>
        <v>1014612833</v>
      </c>
      <c r="D1177" s="1" t="str">
        <f>"152326194903050424"</f>
        <v>152326194903050424</v>
      </c>
      <c r="E1177" s="1" t="s">
        <v>1236</v>
      </c>
      <c r="F1177" s="1" t="s">
        <v>16</v>
      </c>
      <c r="G1177" s="1" t="s">
        <v>17</v>
      </c>
      <c r="H1177" s="1" t="str">
        <f t="shared" si="851"/>
        <v>75</v>
      </c>
      <c r="I1177" s="1" t="str">
        <f t="shared" si="852"/>
        <v>160</v>
      </c>
      <c r="J1177" s="1" t="str">
        <f t="shared" ref="J1177:O1177" si="858">"0"</f>
        <v>0</v>
      </c>
      <c r="K1177" s="1" t="str">
        <f t="shared" si="803"/>
        <v>103</v>
      </c>
      <c r="L1177" s="1" t="str">
        <f t="shared" si="804"/>
        <v>47</v>
      </c>
      <c r="M1177" s="1" t="str">
        <f t="shared" si="858"/>
        <v>0</v>
      </c>
      <c r="N1177" s="1" t="str">
        <f t="shared" si="858"/>
        <v>0</v>
      </c>
      <c r="O1177" s="1" t="str">
        <f t="shared" si="858"/>
        <v>0</v>
      </c>
    </row>
    <row r="1178" s="1" customFormat="1" spans="1:15">
      <c r="A1178" s="1" t="str">
        <f t="shared" si="829"/>
        <v>202406</v>
      </c>
      <c r="B1178" s="1" t="str">
        <f t="shared" si="830"/>
        <v>150525100</v>
      </c>
      <c r="C1178" s="1" t="str">
        <f>"1014613120"</f>
        <v>1014613120</v>
      </c>
      <c r="D1178" s="1" t="s">
        <v>1237</v>
      </c>
      <c r="E1178" s="1" t="s">
        <v>1238</v>
      </c>
      <c r="F1178" s="1" t="s">
        <v>25</v>
      </c>
      <c r="G1178" s="1" t="s">
        <v>17</v>
      </c>
      <c r="H1178" s="1" t="str">
        <f>"76"</f>
        <v>76</v>
      </c>
      <c r="I1178" s="1" t="str">
        <f t="shared" si="852"/>
        <v>160</v>
      </c>
      <c r="J1178" s="1" t="str">
        <f t="shared" ref="J1178:O1178" si="859">"0"</f>
        <v>0</v>
      </c>
      <c r="K1178" s="1" t="str">
        <f t="shared" si="803"/>
        <v>103</v>
      </c>
      <c r="L1178" s="1" t="str">
        <f t="shared" si="804"/>
        <v>47</v>
      </c>
      <c r="M1178" s="1" t="str">
        <f t="shared" si="859"/>
        <v>0</v>
      </c>
      <c r="N1178" s="1" t="str">
        <f t="shared" si="859"/>
        <v>0</v>
      </c>
      <c r="O1178" s="1" t="str">
        <f t="shared" si="859"/>
        <v>0</v>
      </c>
    </row>
    <row r="1179" s="1" customFormat="1" spans="1:15">
      <c r="A1179" s="1" t="str">
        <f t="shared" si="829"/>
        <v>202406</v>
      </c>
      <c r="B1179" s="1" t="str">
        <f t="shared" si="830"/>
        <v>150525100</v>
      </c>
      <c r="C1179" s="1" t="str">
        <f>"1014622155"</f>
        <v>1014622155</v>
      </c>
      <c r="D1179" s="1" t="str">
        <f>"152326194411036378"</f>
        <v>152326194411036378</v>
      </c>
      <c r="E1179" s="1" t="s">
        <v>1239</v>
      </c>
      <c r="F1179" s="1" t="s">
        <v>25</v>
      </c>
      <c r="G1179" s="1" t="s">
        <v>17</v>
      </c>
      <c r="H1179" s="1" t="str">
        <f>"80"</f>
        <v>80</v>
      </c>
      <c r="I1179" s="1" t="str">
        <f t="shared" si="852"/>
        <v>160</v>
      </c>
      <c r="J1179" s="1" t="str">
        <f t="shared" ref="J1179:O1179" si="860">"0"</f>
        <v>0</v>
      </c>
      <c r="K1179" s="1" t="str">
        <f t="shared" si="803"/>
        <v>103</v>
      </c>
      <c r="L1179" s="1" t="str">
        <f t="shared" si="804"/>
        <v>47</v>
      </c>
      <c r="M1179" s="1" t="str">
        <f t="shared" si="860"/>
        <v>0</v>
      </c>
      <c r="N1179" s="1" t="str">
        <f t="shared" si="860"/>
        <v>0</v>
      </c>
      <c r="O1179" s="1" t="str">
        <f t="shared" si="860"/>
        <v>0</v>
      </c>
    </row>
    <row r="1180" s="1" customFormat="1" spans="1:15">
      <c r="A1180" s="1" t="str">
        <f t="shared" si="829"/>
        <v>202406</v>
      </c>
      <c r="B1180" s="1" t="str">
        <f t="shared" si="830"/>
        <v>150525100</v>
      </c>
      <c r="C1180" s="1" t="str">
        <f>"1014622567"</f>
        <v>1014622567</v>
      </c>
      <c r="D1180" s="1" t="str">
        <f>"152326194108180668"</f>
        <v>152326194108180668</v>
      </c>
      <c r="E1180" s="1" t="s">
        <v>1240</v>
      </c>
      <c r="F1180" s="1" t="s">
        <v>16</v>
      </c>
      <c r="G1180" s="1" t="s">
        <v>19</v>
      </c>
      <c r="H1180" s="1" t="str">
        <f>"83"</f>
        <v>83</v>
      </c>
      <c r="I1180" s="1" t="str">
        <f t="shared" ref="I1180:I1183" si="861">"170"</f>
        <v>170</v>
      </c>
      <c r="J1180" s="1" t="str">
        <f t="shared" ref="J1180:O1180" si="862">"0"</f>
        <v>0</v>
      </c>
      <c r="K1180" s="1" t="str">
        <f t="shared" si="803"/>
        <v>103</v>
      </c>
      <c r="L1180" s="1" t="str">
        <f t="shared" si="804"/>
        <v>47</v>
      </c>
      <c r="M1180" s="1" t="str">
        <f t="shared" si="862"/>
        <v>0</v>
      </c>
      <c r="N1180" s="1" t="str">
        <f t="shared" si="862"/>
        <v>0</v>
      </c>
      <c r="O1180" s="1" t="str">
        <f t="shared" si="862"/>
        <v>0</v>
      </c>
    </row>
    <row r="1181" s="1" customFormat="1" spans="1:15">
      <c r="A1181" s="1" t="str">
        <f t="shared" si="829"/>
        <v>202406</v>
      </c>
      <c r="B1181" s="1" t="str">
        <f t="shared" si="830"/>
        <v>150525100</v>
      </c>
      <c r="C1181" s="1" t="str">
        <f>"1014623925"</f>
        <v>1014623925</v>
      </c>
      <c r="D1181" s="1" t="str">
        <f>"152326194901030665"</f>
        <v>152326194901030665</v>
      </c>
      <c r="E1181" s="1" t="s">
        <v>1241</v>
      </c>
      <c r="F1181" s="1" t="s">
        <v>16</v>
      </c>
      <c r="G1181" s="1" t="s">
        <v>17</v>
      </c>
      <c r="H1181" s="1" t="str">
        <f>"76"</f>
        <v>76</v>
      </c>
      <c r="I1181" s="1" t="str">
        <f t="shared" ref="I1181:I1189" si="863">"160"</f>
        <v>160</v>
      </c>
      <c r="J1181" s="1" t="str">
        <f t="shared" ref="J1181:O1181" si="864">"0"</f>
        <v>0</v>
      </c>
      <c r="K1181" s="1" t="str">
        <f t="shared" si="803"/>
        <v>103</v>
      </c>
      <c r="L1181" s="1" t="str">
        <f t="shared" si="804"/>
        <v>47</v>
      </c>
      <c r="M1181" s="1" t="str">
        <f t="shared" si="864"/>
        <v>0</v>
      </c>
      <c r="N1181" s="1" t="str">
        <f t="shared" si="864"/>
        <v>0</v>
      </c>
      <c r="O1181" s="1" t="str">
        <f t="shared" si="864"/>
        <v>0</v>
      </c>
    </row>
    <row r="1182" s="1" customFormat="1" spans="1:15">
      <c r="A1182" s="1" t="str">
        <f t="shared" si="829"/>
        <v>202406</v>
      </c>
      <c r="B1182" s="1" t="str">
        <f t="shared" si="830"/>
        <v>150525100</v>
      </c>
      <c r="C1182" s="1" t="str">
        <f>"1014623939"</f>
        <v>1014623939</v>
      </c>
      <c r="D1182" s="1" t="str">
        <f>"152326194111100673"</f>
        <v>152326194111100673</v>
      </c>
      <c r="E1182" s="1" t="s">
        <v>1242</v>
      </c>
      <c r="F1182" s="1" t="s">
        <v>25</v>
      </c>
      <c r="G1182" s="1" t="s">
        <v>17</v>
      </c>
      <c r="H1182" s="1" t="str">
        <f>"83"</f>
        <v>83</v>
      </c>
      <c r="I1182" s="1" t="str">
        <f t="shared" si="861"/>
        <v>170</v>
      </c>
      <c r="J1182" s="1" t="str">
        <f t="shared" ref="J1182:O1182" si="865">"0"</f>
        <v>0</v>
      </c>
      <c r="K1182" s="1" t="str">
        <f t="shared" si="803"/>
        <v>103</v>
      </c>
      <c r="L1182" s="1" t="str">
        <f t="shared" si="804"/>
        <v>47</v>
      </c>
      <c r="M1182" s="1" t="str">
        <f t="shared" si="865"/>
        <v>0</v>
      </c>
      <c r="N1182" s="1" t="str">
        <f t="shared" si="865"/>
        <v>0</v>
      </c>
      <c r="O1182" s="1" t="str">
        <f t="shared" si="865"/>
        <v>0</v>
      </c>
    </row>
    <row r="1183" s="1" customFormat="1" spans="1:15">
      <c r="A1183" s="1" t="str">
        <f t="shared" si="829"/>
        <v>202406</v>
      </c>
      <c r="B1183" s="1" t="str">
        <f t="shared" si="830"/>
        <v>150525100</v>
      </c>
      <c r="C1183" s="1" t="str">
        <f>"1014623948"</f>
        <v>1014623948</v>
      </c>
      <c r="D1183" s="1" t="str">
        <f>"152326193709160676"</f>
        <v>152326193709160676</v>
      </c>
      <c r="E1183" s="1" t="s">
        <v>1243</v>
      </c>
      <c r="F1183" s="1" t="s">
        <v>25</v>
      </c>
      <c r="G1183" s="1" t="s">
        <v>17</v>
      </c>
      <c r="H1183" s="1" t="str">
        <f>"87"</f>
        <v>87</v>
      </c>
      <c r="I1183" s="1" t="str">
        <f t="shared" si="861"/>
        <v>170</v>
      </c>
      <c r="J1183" s="1" t="str">
        <f t="shared" ref="J1183:O1183" si="866">"0"</f>
        <v>0</v>
      </c>
      <c r="K1183" s="1" t="str">
        <f t="shared" si="803"/>
        <v>103</v>
      </c>
      <c r="L1183" s="1" t="str">
        <f t="shared" si="804"/>
        <v>47</v>
      </c>
      <c r="M1183" s="1" t="str">
        <f t="shared" si="866"/>
        <v>0</v>
      </c>
      <c r="N1183" s="1" t="str">
        <f t="shared" si="866"/>
        <v>0</v>
      </c>
      <c r="O1183" s="1" t="str">
        <f t="shared" si="866"/>
        <v>0</v>
      </c>
    </row>
    <row r="1184" s="1" customFormat="1" spans="1:15">
      <c r="A1184" s="1" t="str">
        <f t="shared" si="829"/>
        <v>202406</v>
      </c>
      <c r="B1184" s="1" t="str">
        <f t="shared" si="830"/>
        <v>150525100</v>
      </c>
      <c r="C1184" s="1" t="str">
        <f>"1014624410"</f>
        <v>1014624410</v>
      </c>
      <c r="D1184" s="1" t="str">
        <f>"152326194608010681"</f>
        <v>152326194608010681</v>
      </c>
      <c r="E1184" s="1" t="s">
        <v>1244</v>
      </c>
      <c r="F1184" s="1" t="s">
        <v>16</v>
      </c>
      <c r="G1184" s="1" t="s">
        <v>17</v>
      </c>
      <c r="H1184" s="1" t="str">
        <f>"78"</f>
        <v>78</v>
      </c>
      <c r="I1184" s="1" t="str">
        <f>"1640"</f>
        <v>1640</v>
      </c>
      <c r="J1184" s="1" t="str">
        <f t="shared" ref="J1184:O1184" si="867">"0"</f>
        <v>0</v>
      </c>
      <c r="K1184" s="1" t="str">
        <f t="shared" si="867"/>
        <v>0</v>
      </c>
      <c r="L1184" s="1" t="str">
        <f t="shared" si="867"/>
        <v>0</v>
      </c>
      <c r="M1184" s="1" t="str">
        <f t="shared" si="867"/>
        <v>0</v>
      </c>
      <c r="N1184" s="1" t="str">
        <f t="shared" si="867"/>
        <v>0</v>
      </c>
      <c r="O1184" s="1" t="str">
        <f t="shared" si="867"/>
        <v>0</v>
      </c>
    </row>
    <row r="1185" s="1" customFormat="1" spans="1:15">
      <c r="A1185" s="1" t="str">
        <f t="shared" si="829"/>
        <v>202406</v>
      </c>
      <c r="B1185" s="1" t="str">
        <f t="shared" si="830"/>
        <v>150525100</v>
      </c>
      <c r="C1185" s="1" t="str">
        <f>"1014624413"</f>
        <v>1014624413</v>
      </c>
      <c r="D1185" s="1" t="str">
        <f>"152326195001100669"</f>
        <v>152326195001100669</v>
      </c>
      <c r="E1185" s="1" t="s">
        <v>1245</v>
      </c>
      <c r="F1185" s="1" t="s">
        <v>16</v>
      </c>
      <c r="G1185" s="1" t="s">
        <v>17</v>
      </c>
      <c r="H1185" s="1" t="str">
        <f>"74"</f>
        <v>74</v>
      </c>
      <c r="I1185" s="1" t="str">
        <f t="shared" si="863"/>
        <v>160</v>
      </c>
      <c r="J1185" s="1" t="str">
        <f t="shared" ref="J1185:O1185" si="868">"0"</f>
        <v>0</v>
      </c>
      <c r="K1185" s="1" t="str">
        <f t="shared" ref="K1185:K1193" si="869">"103"</f>
        <v>103</v>
      </c>
      <c r="L1185" s="1" t="str">
        <f t="shared" ref="L1185:L1193" si="870">"47"</f>
        <v>47</v>
      </c>
      <c r="M1185" s="1" t="str">
        <f t="shared" si="868"/>
        <v>0</v>
      </c>
      <c r="N1185" s="1" t="str">
        <f t="shared" si="868"/>
        <v>0</v>
      </c>
      <c r="O1185" s="1" t="str">
        <f t="shared" si="868"/>
        <v>0</v>
      </c>
    </row>
    <row r="1186" s="1" customFormat="1" spans="1:15">
      <c r="A1186" s="1" t="str">
        <f t="shared" si="829"/>
        <v>202406</v>
      </c>
      <c r="B1186" s="1" t="str">
        <f t="shared" si="830"/>
        <v>150525100</v>
      </c>
      <c r="C1186" s="1" t="str">
        <f>"1014624415"</f>
        <v>1014624415</v>
      </c>
      <c r="D1186" s="1" t="s">
        <v>1246</v>
      </c>
      <c r="E1186" s="1" t="s">
        <v>1247</v>
      </c>
      <c r="F1186" s="1" t="s">
        <v>16</v>
      </c>
      <c r="G1186" s="1" t="s">
        <v>17</v>
      </c>
      <c r="H1186" s="1" t="str">
        <f>"76"</f>
        <v>76</v>
      </c>
      <c r="I1186" s="1" t="str">
        <f t="shared" si="863"/>
        <v>160</v>
      </c>
      <c r="J1186" s="1" t="str">
        <f t="shared" ref="J1186:O1186" si="871">"0"</f>
        <v>0</v>
      </c>
      <c r="K1186" s="1" t="str">
        <f t="shared" si="869"/>
        <v>103</v>
      </c>
      <c r="L1186" s="1" t="str">
        <f t="shared" si="870"/>
        <v>47</v>
      </c>
      <c r="M1186" s="1" t="str">
        <f t="shared" si="871"/>
        <v>0</v>
      </c>
      <c r="N1186" s="1" t="str">
        <f t="shared" si="871"/>
        <v>0</v>
      </c>
      <c r="O1186" s="1" t="str">
        <f t="shared" si="871"/>
        <v>0</v>
      </c>
    </row>
    <row r="1187" s="1" customFormat="1" spans="1:15">
      <c r="A1187" s="1" t="str">
        <f t="shared" si="829"/>
        <v>202406</v>
      </c>
      <c r="B1187" s="1" t="str">
        <f t="shared" si="830"/>
        <v>150525100</v>
      </c>
      <c r="C1187" s="1" t="str">
        <f>"1014619406"</f>
        <v>1014619406</v>
      </c>
      <c r="D1187" s="1" t="str">
        <f>"152326195109240671"</f>
        <v>152326195109240671</v>
      </c>
      <c r="E1187" s="1" t="s">
        <v>1248</v>
      </c>
      <c r="F1187" s="1" t="s">
        <v>25</v>
      </c>
      <c r="G1187" s="1" t="s">
        <v>17</v>
      </c>
      <c r="H1187" s="1" t="str">
        <f>"73"</f>
        <v>73</v>
      </c>
      <c r="I1187" s="1" t="str">
        <f t="shared" si="863"/>
        <v>160</v>
      </c>
      <c r="J1187" s="1" t="str">
        <f t="shared" ref="J1187:O1187" si="872">"0"</f>
        <v>0</v>
      </c>
      <c r="K1187" s="1" t="str">
        <f t="shared" si="869"/>
        <v>103</v>
      </c>
      <c r="L1187" s="1" t="str">
        <f t="shared" si="870"/>
        <v>47</v>
      </c>
      <c r="M1187" s="1" t="str">
        <f t="shared" si="872"/>
        <v>0</v>
      </c>
      <c r="N1187" s="1" t="str">
        <f t="shared" si="872"/>
        <v>0</v>
      </c>
      <c r="O1187" s="1" t="str">
        <f t="shared" si="872"/>
        <v>0</v>
      </c>
    </row>
    <row r="1188" s="1" customFormat="1" spans="1:15">
      <c r="A1188" s="1" t="str">
        <f t="shared" si="829"/>
        <v>202406</v>
      </c>
      <c r="B1188" s="1" t="str">
        <f t="shared" si="830"/>
        <v>150525100</v>
      </c>
      <c r="C1188" s="1" t="str">
        <f>"1014622928"</f>
        <v>1014622928</v>
      </c>
      <c r="D1188" s="1" t="str">
        <f>"152326194901290424"</f>
        <v>152326194901290424</v>
      </c>
      <c r="E1188" s="1" t="s">
        <v>1249</v>
      </c>
      <c r="F1188" s="1" t="s">
        <v>16</v>
      </c>
      <c r="G1188" s="1" t="s">
        <v>17</v>
      </c>
      <c r="H1188" s="1" t="str">
        <f>"75"</f>
        <v>75</v>
      </c>
      <c r="I1188" s="1" t="str">
        <f t="shared" si="863"/>
        <v>160</v>
      </c>
      <c r="J1188" s="1" t="str">
        <f t="shared" ref="J1188:O1188" si="873">"0"</f>
        <v>0</v>
      </c>
      <c r="K1188" s="1" t="str">
        <f t="shared" si="869"/>
        <v>103</v>
      </c>
      <c r="L1188" s="1" t="str">
        <f t="shared" si="870"/>
        <v>47</v>
      </c>
      <c r="M1188" s="1" t="str">
        <f t="shared" si="873"/>
        <v>0</v>
      </c>
      <c r="N1188" s="1" t="str">
        <f t="shared" si="873"/>
        <v>0</v>
      </c>
      <c r="O1188" s="1" t="str">
        <f t="shared" si="873"/>
        <v>0</v>
      </c>
    </row>
    <row r="1189" s="1" customFormat="1" spans="1:15">
      <c r="A1189" s="1" t="str">
        <f t="shared" si="829"/>
        <v>202406</v>
      </c>
      <c r="B1189" s="1" t="str">
        <f t="shared" si="830"/>
        <v>150525100</v>
      </c>
      <c r="C1189" s="1" t="str">
        <f>"1014622935"</f>
        <v>1014622935</v>
      </c>
      <c r="D1189" s="1" t="str">
        <f>"152326194706180414"</f>
        <v>152326194706180414</v>
      </c>
      <c r="E1189" s="1" t="s">
        <v>757</v>
      </c>
      <c r="F1189" s="1" t="s">
        <v>25</v>
      </c>
      <c r="G1189" s="1" t="s">
        <v>17</v>
      </c>
      <c r="H1189" s="1" t="str">
        <f>"77"</f>
        <v>77</v>
      </c>
      <c r="I1189" s="1" t="str">
        <f t="shared" si="863"/>
        <v>160</v>
      </c>
      <c r="J1189" s="1" t="str">
        <f t="shared" ref="J1189:O1189" si="874">"0"</f>
        <v>0</v>
      </c>
      <c r="K1189" s="1" t="str">
        <f t="shared" si="869"/>
        <v>103</v>
      </c>
      <c r="L1189" s="1" t="str">
        <f t="shared" si="870"/>
        <v>47</v>
      </c>
      <c r="M1189" s="1" t="str">
        <f t="shared" si="874"/>
        <v>0</v>
      </c>
      <c r="N1189" s="1" t="str">
        <f t="shared" si="874"/>
        <v>0</v>
      </c>
      <c r="O1189" s="1" t="str">
        <f t="shared" si="874"/>
        <v>0</v>
      </c>
    </row>
    <row r="1190" s="1" customFormat="1" spans="1:15">
      <c r="A1190" s="1" t="str">
        <f t="shared" si="829"/>
        <v>202406</v>
      </c>
      <c r="B1190" s="1" t="str">
        <f t="shared" si="830"/>
        <v>150525100</v>
      </c>
      <c r="C1190" s="1" t="str">
        <f>"1014623415"</f>
        <v>1014623415</v>
      </c>
      <c r="D1190" s="1" t="str">
        <f>"152326193604260427"</f>
        <v>152326193604260427</v>
      </c>
      <c r="E1190" s="1" t="s">
        <v>1250</v>
      </c>
      <c r="F1190" s="1" t="s">
        <v>16</v>
      </c>
      <c r="G1190" s="1" t="s">
        <v>17</v>
      </c>
      <c r="H1190" s="1" t="str">
        <f>"88"</f>
        <v>88</v>
      </c>
      <c r="I1190" s="1" t="str">
        <f>"170"</f>
        <v>170</v>
      </c>
      <c r="J1190" s="1" t="str">
        <f t="shared" ref="J1190:O1190" si="875">"0"</f>
        <v>0</v>
      </c>
      <c r="K1190" s="1" t="str">
        <f t="shared" si="869"/>
        <v>103</v>
      </c>
      <c r="L1190" s="1" t="str">
        <f t="shared" si="870"/>
        <v>47</v>
      </c>
      <c r="M1190" s="1" t="str">
        <f t="shared" si="875"/>
        <v>0</v>
      </c>
      <c r="N1190" s="1" t="str">
        <f t="shared" si="875"/>
        <v>0</v>
      </c>
      <c r="O1190" s="1" t="str">
        <f t="shared" si="875"/>
        <v>0</v>
      </c>
    </row>
    <row r="1191" s="1" customFormat="1" spans="1:15">
      <c r="A1191" s="1" t="str">
        <f t="shared" si="829"/>
        <v>202406</v>
      </c>
      <c r="B1191" s="1" t="str">
        <f t="shared" si="830"/>
        <v>150525100</v>
      </c>
      <c r="C1191" s="1" t="str">
        <f>"1014630161"</f>
        <v>1014630161</v>
      </c>
      <c r="D1191" s="1" t="str">
        <f>"152326194208270425"</f>
        <v>152326194208270425</v>
      </c>
      <c r="E1191" s="1" t="s">
        <v>1251</v>
      </c>
      <c r="F1191" s="1" t="s">
        <v>16</v>
      </c>
      <c r="G1191" s="1" t="s">
        <v>17</v>
      </c>
      <c r="H1191" s="1" t="str">
        <f>"82"</f>
        <v>82</v>
      </c>
      <c r="I1191" s="1" t="str">
        <f>"170"</f>
        <v>170</v>
      </c>
      <c r="J1191" s="1" t="str">
        <f t="shared" ref="J1191:O1191" si="876">"0"</f>
        <v>0</v>
      </c>
      <c r="K1191" s="1" t="str">
        <f t="shared" si="869"/>
        <v>103</v>
      </c>
      <c r="L1191" s="1" t="str">
        <f t="shared" si="870"/>
        <v>47</v>
      </c>
      <c r="M1191" s="1" t="str">
        <f t="shared" si="876"/>
        <v>0</v>
      </c>
      <c r="N1191" s="1" t="str">
        <f t="shared" si="876"/>
        <v>0</v>
      </c>
      <c r="O1191" s="1" t="str">
        <f t="shared" si="876"/>
        <v>0</v>
      </c>
    </row>
    <row r="1192" s="1" customFormat="1" spans="1:15">
      <c r="A1192" s="1" t="str">
        <f t="shared" si="829"/>
        <v>202406</v>
      </c>
      <c r="B1192" s="1" t="str">
        <f t="shared" si="830"/>
        <v>150525100</v>
      </c>
      <c r="C1192" s="1" t="str">
        <f>"1014589009"</f>
        <v>1014589009</v>
      </c>
      <c r="D1192" s="1" t="str">
        <f>"152326195809140428"</f>
        <v>152326195809140428</v>
      </c>
      <c r="E1192" s="1" t="s">
        <v>1252</v>
      </c>
      <c r="F1192" s="1" t="s">
        <v>16</v>
      </c>
      <c r="G1192" s="1" t="s">
        <v>17</v>
      </c>
      <c r="H1192" s="1" t="str">
        <f>"66"</f>
        <v>66</v>
      </c>
      <c r="I1192" s="1" t="str">
        <f>"158.07"</f>
        <v>158.07</v>
      </c>
      <c r="J1192" s="1" t="str">
        <f t="shared" ref="J1192:N1192" si="877">"0"</f>
        <v>0</v>
      </c>
      <c r="K1192" s="1" t="str">
        <f t="shared" si="869"/>
        <v>103</v>
      </c>
      <c r="L1192" s="1" t="str">
        <f t="shared" si="870"/>
        <v>47</v>
      </c>
      <c r="M1192" s="1" t="str">
        <f t="shared" si="877"/>
        <v>0</v>
      </c>
      <c r="N1192" s="1" t="str">
        <f t="shared" si="877"/>
        <v>0</v>
      </c>
      <c r="O1192" s="1" t="str">
        <f>"8.07"</f>
        <v>8.07</v>
      </c>
    </row>
    <row r="1193" s="1" customFormat="1" spans="1:15">
      <c r="A1193" s="1" t="str">
        <f t="shared" si="829"/>
        <v>202406</v>
      </c>
      <c r="B1193" s="1" t="str">
        <f t="shared" si="830"/>
        <v>150525100</v>
      </c>
      <c r="C1193" s="1" t="str">
        <f>"1014589037"</f>
        <v>1014589037</v>
      </c>
      <c r="D1193" s="1" t="str">
        <f>"152326195608160465"</f>
        <v>152326195608160465</v>
      </c>
      <c r="E1193" s="1" t="s">
        <v>1253</v>
      </c>
      <c r="F1193" s="1" t="s">
        <v>16</v>
      </c>
      <c r="G1193" s="1" t="s">
        <v>17</v>
      </c>
      <c r="H1193" s="1" t="str">
        <f>"68"</f>
        <v>68</v>
      </c>
      <c r="I1193" s="1" t="str">
        <f>"156.02"</f>
        <v>156.02</v>
      </c>
      <c r="J1193" s="1" t="str">
        <f t="shared" ref="J1193:N1193" si="878">"0"</f>
        <v>0</v>
      </c>
      <c r="K1193" s="1" t="str">
        <f t="shared" si="869"/>
        <v>103</v>
      </c>
      <c r="L1193" s="1" t="str">
        <f t="shared" si="870"/>
        <v>47</v>
      </c>
      <c r="M1193" s="1" t="str">
        <f t="shared" si="878"/>
        <v>0</v>
      </c>
      <c r="N1193" s="1" t="str">
        <f t="shared" si="878"/>
        <v>0</v>
      </c>
      <c r="O1193" s="1" t="str">
        <f>"6.02"</f>
        <v>6.02</v>
      </c>
    </row>
    <row r="1194" s="1" customFormat="1" spans="1:15">
      <c r="A1194" s="1" t="str">
        <f t="shared" si="829"/>
        <v>202406</v>
      </c>
      <c r="B1194" s="1" t="str">
        <f t="shared" si="830"/>
        <v>150525100</v>
      </c>
      <c r="C1194" s="1" t="str">
        <f>"1014612879"</f>
        <v>1014612879</v>
      </c>
      <c r="D1194" s="1" t="str">
        <f>"152326193908300424"</f>
        <v>152326193908300424</v>
      </c>
      <c r="E1194" s="1" t="s">
        <v>1254</v>
      </c>
      <c r="F1194" s="1" t="s">
        <v>16</v>
      </c>
      <c r="G1194" s="1" t="s">
        <v>17</v>
      </c>
      <c r="H1194" s="1" t="str">
        <f>"85"</f>
        <v>85</v>
      </c>
      <c r="I1194" s="1" t="str">
        <f>"1630"</f>
        <v>1630</v>
      </c>
      <c r="J1194" s="1" t="str">
        <f t="shared" ref="J1194:O1194" si="879">"0"</f>
        <v>0</v>
      </c>
      <c r="K1194" s="1" t="str">
        <f t="shared" si="879"/>
        <v>0</v>
      </c>
      <c r="L1194" s="1" t="str">
        <f t="shared" si="879"/>
        <v>0</v>
      </c>
      <c r="M1194" s="1" t="str">
        <f t="shared" si="879"/>
        <v>0</v>
      </c>
      <c r="N1194" s="1" t="str">
        <f t="shared" si="879"/>
        <v>0</v>
      </c>
      <c r="O1194" s="1" t="str">
        <f t="shared" si="879"/>
        <v>0</v>
      </c>
    </row>
    <row r="1195" s="1" customFormat="1" spans="1:15">
      <c r="A1195" s="1" t="str">
        <f t="shared" si="829"/>
        <v>202406</v>
      </c>
      <c r="B1195" s="1" t="str">
        <f t="shared" si="830"/>
        <v>150525100</v>
      </c>
      <c r="C1195" s="1" t="str">
        <f>"1014613165"</f>
        <v>1014613165</v>
      </c>
      <c r="D1195" s="1" t="s">
        <v>1255</v>
      </c>
      <c r="E1195" s="1" t="s">
        <v>1256</v>
      </c>
      <c r="F1195" s="1" t="s">
        <v>25</v>
      </c>
      <c r="G1195" s="1" t="s">
        <v>19</v>
      </c>
      <c r="H1195" s="1" t="str">
        <f>"75"</f>
        <v>75</v>
      </c>
      <c r="I1195" s="1" t="str">
        <f t="shared" ref="I1195:I1197" si="880">"160"</f>
        <v>160</v>
      </c>
      <c r="J1195" s="1" t="str">
        <f t="shared" ref="J1195:O1195" si="881">"0"</f>
        <v>0</v>
      </c>
      <c r="K1195" s="1" t="str">
        <f t="shared" ref="K1195:K1216" si="882">"103"</f>
        <v>103</v>
      </c>
      <c r="L1195" s="1" t="str">
        <f t="shared" ref="L1195:L1216" si="883">"47"</f>
        <v>47</v>
      </c>
      <c r="M1195" s="1" t="str">
        <f t="shared" si="881"/>
        <v>0</v>
      </c>
      <c r="N1195" s="1" t="str">
        <f t="shared" si="881"/>
        <v>0</v>
      </c>
      <c r="O1195" s="1" t="str">
        <f t="shared" si="881"/>
        <v>0</v>
      </c>
    </row>
    <row r="1196" s="1" customFormat="1" spans="1:15">
      <c r="A1196" s="1" t="str">
        <f t="shared" si="829"/>
        <v>202406</v>
      </c>
      <c r="B1196" s="1" t="str">
        <f t="shared" si="830"/>
        <v>150525100</v>
      </c>
      <c r="C1196" s="1" t="str">
        <f>"1014622206"</f>
        <v>1014622206</v>
      </c>
      <c r="D1196" s="1" t="str">
        <f>"152326194407220674"</f>
        <v>152326194407220674</v>
      </c>
      <c r="E1196" s="1" t="s">
        <v>640</v>
      </c>
      <c r="F1196" s="1" t="s">
        <v>25</v>
      </c>
      <c r="G1196" s="1" t="s">
        <v>17</v>
      </c>
      <c r="H1196" s="1" t="str">
        <f>"80"</f>
        <v>80</v>
      </c>
      <c r="I1196" s="1" t="str">
        <f t="shared" si="880"/>
        <v>160</v>
      </c>
      <c r="J1196" s="1" t="str">
        <f t="shared" ref="J1196:O1196" si="884">"0"</f>
        <v>0</v>
      </c>
      <c r="K1196" s="1" t="str">
        <f t="shared" si="882"/>
        <v>103</v>
      </c>
      <c r="L1196" s="1" t="str">
        <f t="shared" si="883"/>
        <v>47</v>
      </c>
      <c r="M1196" s="1" t="str">
        <f t="shared" si="884"/>
        <v>0</v>
      </c>
      <c r="N1196" s="1" t="str">
        <f t="shared" si="884"/>
        <v>0</v>
      </c>
      <c r="O1196" s="1" t="str">
        <f t="shared" si="884"/>
        <v>0</v>
      </c>
    </row>
    <row r="1197" s="1" customFormat="1" spans="1:15">
      <c r="A1197" s="1" t="str">
        <f t="shared" si="829"/>
        <v>202406</v>
      </c>
      <c r="B1197" s="1" t="str">
        <f t="shared" si="830"/>
        <v>150525100</v>
      </c>
      <c r="C1197" s="1" t="str">
        <f>"1014622235"</f>
        <v>1014622235</v>
      </c>
      <c r="D1197" s="1" t="str">
        <f>"152326195104060428"</f>
        <v>152326195104060428</v>
      </c>
      <c r="E1197" s="1" t="s">
        <v>1257</v>
      </c>
      <c r="F1197" s="1" t="s">
        <v>16</v>
      </c>
      <c r="G1197" s="1" t="s">
        <v>17</v>
      </c>
      <c r="H1197" s="1" t="str">
        <f>"73"</f>
        <v>73</v>
      </c>
      <c r="I1197" s="1" t="str">
        <f t="shared" si="880"/>
        <v>160</v>
      </c>
      <c r="J1197" s="1" t="str">
        <f t="shared" ref="J1197:O1197" si="885">"0"</f>
        <v>0</v>
      </c>
      <c r="K1197" s="1" t="str">
        <f t="shared" si="882"/>
        <v>103</v>
      </c>
      <c r="L1197" s="1" t="str">
        <f t="shared" si="883"/>
        <v>47</v>
      </c>
      <c r="M1197" s="1" t="str">
        <f t="shared" si="885"/>
        <v>0</v>
      </c>
      <c r="N1197" s="1" t="str">
        <f t="shared" si="885"/>
        <v>0</v>
      </c>
      <c r="O1197" s="1" t="str">
        <f t="shared" si="885"/>
        <v>0</v>
      </c>
    </row>
    <row r="1198" s="1" customFormat="1" spans="1:15">
      <c r="A1198" s="1" t="str">
        <f t="shared" si="829"/>
        <v>202406</v>
      </c>
      <c r="B1198" s="1" t="str">
        <f t="shared" si="830"/>
        <v>150525100</v>
      </c>
      <c r="C1198" s="1" t="str">
        <f>"1014622602"</f>
        <v>1014622602</v>
      </c>
      <c r="D1198" s="1" t="str">
        <f>"152326194402190672"</f>
        <v>152326194402190672</v>
      </c>
      <c r="E1198" s="1" t="s">
        <v>1258</v>
      </c>
      <c r="F1198" s="1" t="s">
        <v>25</v>
      </c>
      <c r="G1198" s="1" t="s">
        <v>17</v>
      </c>
      <c r="H1198" s="1" t="str">
        <f>"80"</f>
        <v>80</v>
      </c>
      <c r="I1198" s="1" t="str">
        <f>"170"</f>
        <v>170</v>
      </c>
      <c r="J1198" s="1" t="str">
        <f t="shared" ref="J1198:O1198" si="886">"0"</f>
        <v>0</v>
      </c>
      <c r="K1198" s="1" t="str">
        <f t="shared" si="882"/>
        <v>103</v>
      </c>
      <c r="L1198" s="1" t="str">
        <f t="shared" si="883"/>
        <v>47</v>
      </c>
      <c r="M1198" s="1" t="str">
        <f t="shared" si="886"/>
        <v>0</v>
      </c>
      <c r="N1198" s="1" t="str">
        <f t="shared" si="886"/>
        <v>0</v>
      </c>
      <c r="O1198" s="1" t="str">
        <f t="shared" si="886"/>
        <v>0</v>
      </c>
    </row>
    <row r="1199" s="1" customFormat="1" spans="1:15">
      <c r="A1199" s="1" t="str">
        <f t="shared" si="829"/>
        <v>202406</v>
      </c>
      <c r="B1199" s="1" t="str">
        <f t="shared" si="830"/>
        <v>150525100</v>
      </c>
      <c r="C1199" s="1" t="str">
        <f>"1014622618"</f>
        <v>1014622618</v>
      </c>
      <c r="D1199" s="1" t="s">
        <v>1259</v>
      </c>
      <c r="E1199" s="1" t="s">
        <v>1260</v>
      </c>
      <c r="F1199" s="1" t="s">
        <v>25</v>
      </c>
      <c r="G1199" s="1" t="s">
        <v>17</v>
      </c>
      <c r="H1199" s="1" t="str">
        <f>"78"</f>
        <v>78</v>
      </c>
      <c r="I1199" s="1" t="str">
        <f t="shared" ref="I1199:I1202" si="887">"160"</f>
        <v>160</v>
      </c>
      <c r="J1199" s="1" t="str">
        <f t="shared" ref="J1199:O1199" si="888">"0"</f>
        <v>0</v>
      </c>
      <c r="K1199" s="1" t="str">
        <f t="shared" si="882"/>
        <v>103</v>
      </c>
      <c r="L1199" s="1" t="str">
        <f t="shared" si="883"/>
        <v>47</v>
      </c>
      <c r="M1199" s="1" t="str">
        <f t="shared" si="888"/>
        <v>0</v>
      </c>
      <c r="N1199" s="1" t="str">
        <f t="shared" si="888"/>
        <v>0</v>
      </c>
      <c r="O1199" s="1" t="str">
        <f t="shared" si="888"/>
        <v>0</v>
      </c>
    </row>
    <row r="1200" s="1" customFormat="1" spans="1:15">
      <c r="A1200" s="1" t="str">
        <f t="shared" si="829"/>
        <v>202406</v>
      </c>
      <c r="B1200" s="1" t="str">
        <f t="shared" si="830"/>
        <v>150525100</v>
      </c>
      <c r="C1200" s="1" t="str">
        <f>"1014622624"</f>
        <v>1014622624</v>
      </c>
      <c r="D1200" s="1" t="str">
        <f>"152326194811280679"</f>
        <v>152326194811280679</v>
      </c>
      <c r="E1200" s="1" t="s">
        <v>1261</v>
      </c>
      <c r="F1200" s="1" t="s">
        <v>25</v>
      </c>
      <c r="G1200" s="1" t="s">
        <v>17</v>
      </c>
      <c r="H1200" s="1" t="str">
        <f>"76"</f>
        <v>76</v>
      </c>
      <c r="I1200" s="1" t="str">
        <f t="shared" si="887"/>
        <v>160</v>
      </c>
      <c r="J1200" s="1" t="str">
        <f t="shared" ref="J1200:O1200" si="889">"0"</f>
        <v>0</v>
      </c>
      <c r="K1200" s="1" t="str">
        <f t="shared" si="882"/>
        <v>103</v>
      </c>
      <c r="L1200" s="1" t="str">
        <f t="shared" si="883"/>
        <v>47</v>
      </c>
      <c r="M1200" s="1" t="str">
        <f t="shared" si="889"/>
        <v>0</v>
      </c>
      <c r="N1200" s="1" t="str">
        <f t="shared" si="889"/>
        <v>0</v>
      </c>
      <c r="O1200" s="1" t="str">
        <f t="shared" si="889"/>
        <v>0</v>
      </c>
    </row>
    <row r="1201" s="1" customFormat="1" spans="1:15">
      <c r="A1201" s="1" t="str">
        <f t="shared" si="829"/>
        <v>202406</v>
      </c>
      <c r="B1201" s="1" t="str">
        <f t="shared" si="830"/>
        <v>150525100</v>
      </c>
      <c r="C1201" s="1" t="str">
        <f>"1014623988"</f>
        <v>1014623988</v>
      </c>
      <c r="D1201" s="1" t="str">
        <f>"152326194911280668"</f>
        <v>152326194911280668</v>
      </c>
      <c r="E1201" s="1" t="s">
        <v>1262</v>
      </c>
      <c r="F1201" s="1" t="s">
        <v>16</v>
      </c>
      <c r="G1201" s="1" t="s">
        <v>17</v>
      </c>
      <c r="H1201" s="1" t="str">
        <f>"75"</f>
        <v>75</v>
      </c>
      <c r="I1201" s="1" t="str">
        <f t="shared" si="887"/>
        <v>160</v>
      </c>
      <c r="J1201" s="1" t="str">
        <f t="shared" ref="J1201:O1201" si="890">"0"</f>
        <v>0</v>
      </c>
      <c r="K1201" s="1" t="str">
        <f t="shared" si="882"/>
        <v>103</v>
      </c>
      <c r="L1201" s="1" t="str">
        <f t="shared" si="883"/>
        <v>47</v>
      </c>
      <c r="M1201" s="1" t="str">
        <f t="shared" si="890"/>
        <v>0</v>
      </c>
      <c r="N1201" s="1" t="str">
        <f t="shared" si="890"/>
        <v>0</v>
      </c>
      <c r="O1201" s="1" t="str">
        <f t="shared" si="890"/>
        <v>0</v>
      </c>
    </row>
    <row r="1202" s="1" customFormat="1" spans="1:15">
      <c r="A1202" s="1" t="str">
        <f t="shared" si="829"/>
        <v>202406</v>
      </c>
      <c r="B1202" s="1" t="str">
        <f t="shared" si="830"/>
        <v>150525100</v>
      </c>
      <c r="C1202" s="1" t="str">
        <f>"1014623996"</f>
        <v>1014623996</v>
      </c>
      <c r="D1202" s="1" t="str">
        <f>"152326194502060664"</f>
        <v>152326194502060664</v>
      </c>
      <c r="E1202" s="1" t="s">
        <v>281</v>
      </c>
      <c r="F1202" s="1" t="s">
        <v>16</v>
      </c>
      <c r="G1202" s="1" t="s">
        <v>17</v>
      </c>
      <c r="H1202" s="1" t="str">
        <f>"79"</f>
        <v>79</v>
      </c>
      <c r="I1202" s="1" t="str">
        <f t="shared" si="887"/>
        <v>160</v>
      </c>
      <c r="J1202" s="1" t="str">
        <f t="shared" ref="J1202:O1202" si="891">"0"</f>
        <v>0</v>
      </c>
      <c r="K1202" s="1" t="str">
        <f t="shared" si="882"/>
        <v>103</v>
      </c>
      <c r="L1202" s="1" t="str">
        <f t="shared" si="883"/>
        <v>47</v>
      </c>
      <c r="M1202" s="1" t="str">
        <f t="shared" si="891"/>
        <v>0</v>
      </c>
      <c r="N1202" s="1" t="str">
        <f t="shared" si="891"/>
        <v>0</v>
      </c>
      <c r="O1202" s="1" t="str">
        <f t="shared" si="891"/>
        <v>0</v>
      </c>
    </row>
    <row r="1203" s="1" customFormat="1" spans="1:15">
      <c r="A1203" s="1" t="str">
        <f t="shared" si="829"/>
        <v>202406</v>
      </c>
      <c r="B1203" s="1" t="str">
        <f t="shared" si="830"/>
        <v>150525100</v>
      </c>
      <c r="C1203" s="1" t="str">
        <f>"1014624016"</f>
        <v>1014624016</v>
      </c>
      <c r="D1203" s="1" t="str">
        <f>"152326194212293080"</f>
        <v>152326194212293080</v>
      </c>
      <c r="E1203" s="1" t="s">
        <v>1263</v>
      </c>
      <c r="F1203" s="1" t="s">
        <v>16</v>
      </c>
      <c r="G1203" s="1" t="s">
        <v>17</v>
      </c>
      <c r="H1203" s="1" t="str">
        <f>"82"</f>
        <v>82</v>
      </c>
      <c r="I1203" s="1" t="str">
        <f>"170"</f>
        <v>170</v>
      </c>
      <c r="J1203" s="1" t="str">
        <f t="shared" ref="J1203:O1203" si="892">"0"</f>
        <v>0</v>
      </c>
      <c r="K1203" s="1" t="str">
        <f t="shared" si="882"/>
        <v>103</v>
      </c>
      <c r="L1203" s="1" t="str">
        <f t="shared" si="883"/>
        <v>47</v>
      </c>
      <c r="M1203" s="1" t="str">
        <f t="shared" si="892"/>
        <v>0</v>
      </c>
      <c r="N1203" s="1" t="str">
        <f t="shared" si="892"/>
        <v>0</v>
      </c>
      <c r="O1203" s="1" t="str">
        <f t="shared" si="892"/>
        <v>0</v>
      </c>
    </row>
    <row r="1204" s="1" customFormat="1" spans="1:15">
      <c r="A1204" s="1" t="str">
        <f t="shared" si="829"/>
        <v>202406</v>
      </c>
      <c r="B1204" s="1" t="str">
        <f t="shared" si="830"/>
        <v>150525100</v>
      </c>
      <c r="C1204" s="1" t="str">
        <f>"1014624475"</f>
        <v>1014624475</v>
      </c>
      <c r="D1204" s="1" t="str">
        <f>"152326194505020924"</f>
        <v>152326194505020924</v>
      </c>
      <c r="E1204" s="1" t="s">
        <v>1264</v>
      </c>
      <c r="F1204" s="1" t="s">
        <v>16</v>
      </c>
      <c r="G1204" s="1" t="s">
        <v>19</v>
      </c>
      <c r="H1204" s="1" t="str">
        <f>"79"</f>
        <v>79</v>
      </c>
      <c r="I1204" s="1" t="str">
        <f t="shared" ref="I1204:I1207" si="893">"160"</f>
        <v>160</v>
      </c>
      <c r="J1204" s="1" t="str">
        <f t="shared" ref="J1204:O1204" si="894">"0"</f>
        <v>0</v>
      </c>
      <c r="K1204" s="1" t="str">
        <f t="shared" si="882"/>
        <v>103</v>
      </c>
      <c r="L1204" s="1" t="str">
        <f t="shared" si="883"/>
        <v>47</v>
      </c>
      <c r="M1204" s="1" t="str">
        <f t="shared" si="894"/>
        <v>0</v>
      </c>
      <c r="N1204" s="1" t="str">
        <f t="shared" si="894"/>
        <v>0</v>
      </c>
      <c r="O1204" s="1" t="str">
        <f t="shared" si="894"/>
        <v>0</v>
      </c>
    </row>
    <row r="1205" s="1" customFormat="1" spans="1:15">
      <c r="A1205" s="1" t="str">
        <f t="shared" si="829"/>
        <v>202406</v>
      </c>
      <c r="B1205" s="1" t="str">
        <f t="shared" si="830"/>
        <v>150525100</v>
      </c>
      <c r="C1205" s="1" t="str">
        <f>"1014624477"</f>
        <v>1014624477</v>
      </c>
      <c r="D1205" s="1" t="str">
        <f>"152326195010040928"</f>
        <v>152326195010040928</v>
      </c>
      <c r="E1205" s="1" t="s">
        <v>1265</v>
      </c>
      <c r="F1205" s="1" t="s">
        <v>16</v>
      </c>
      <c r="G1205" s="1" t="s">
        <v>19</v>
      </c>
      <c r="H1205" s="1" t="str">
        <f>"74"</f>
        <v>74</v>
      </c>
      <c r="I1205" s="1" t="str">
        <f t="shared" si="893"/>
        <v>160</v>
      </c>
      <c r="J1205" s="1" t="str">
        <f t="shared" ref="J1205:O1205" si="895">"0"</f>
        <v>0</v>
      </c>
      <c r="K1205" s="1" t="str">
        <f t="shared" si="882"/>
        <v>103</v>
      </c>
      <c r="L1205" s="1" t="str">
        <f t="shared" si="883"/>
        <v>47</v>
      </c>
      <c r="M1205" s="1" t="str">
        <f t="shared" si="895"/>
        <v>0</v>
      </c>
      <c r="N1205" s="1" t="str">
        <f t="shared" si="895"/>
        <v>0</v>
      </c>
      <c r="O1205" s="1" t="str">
        <f t="shared" si="895"/>
        <v>0</v>
      </c>
    </row>
    <row r="1206" s="1" customFormat="1" spans="1:15">
      <c r="A1206" s="1" t="str">
        <f t="shared" si="829"/>
        <v>202406</v>
      </c>
      <c r="B1206" s="1" t="str">
        <f t="shared" si="830"/>
        <v>150525100</v>
      </c>
      <c r="C1206" s="1" t="str">
        <f>"1014622990"</f>
        <v>1014622990</v>
      </c>
      <c r="D1206" s="1" t="str">
        <f>"152326194901210420"</f>
        <v>152326194901210420</v>
      </c>
      <c r="E1206" s="1" t="s">
        <v>1266</v>
      </c>
      <c r="F1206" s="1" t="s">
        <v>16</v>
      </c>
      <c r="G1206" s="1" t="s">
        <v>17</v>
      </c>
      <c r="H1206" s="1" t="str">
        <f>"75"</f>
        <v>75</v>
      </c>
      <c r="I1206" s="1" t="str">
        <f t="shared" si="893"/>
        <v>160</v>
      </c>
      <c r="J1206" s="1" t="str">
        <f t="shared" ref="J1206:O1206" si="896">"0"</f>
        <v>0</v>
      </c>
      <c r="K1206" s="1" t="str">
        <f t="shared" si="882"/>
        <v>103</v>
      </c>
      <c r="L1206" s="1" t="str">
        <f t="shared" si="883"/>
        <v>47</v>
      </c>
      <c r="M1206" s="1" t="str">
        <f t="shared" si="896"/>
        <v>0</v>
      </c>
      <c r="N1206" s="1" t="str">
        <f t="shared" si="896"/>
        <v>0</v>
      </c>
      <c r="O1206" s="1" t="str">
        <f t="shared" si="896"/>
        <v>0</v>
      </c>
    </row>
    <row r="1207" s="1" customFormat="1" spans="1:15">
      <c r="A1207" s="1" t="str">
        <f t="shared" si="829"/>
        <v>202406</v>
      </c>
      <c r="B1207" s="1" t="str">
        <f t="shared" si="830"/>
        <v>150525100</v>
      </c>
      <c r="C1207" s="1" t="str">
        <f>"1014623481"</f>
        <v>1014623481</v>
      </c>
      <c r="D1207" s="1" t="str">
        <f>"152326194912253821"</f>
        <v>152326194912253821</v>
      </c>
      <c r="E1207" s="1" t="s">
        <v>1267</v>
      </c>
      <c r="F1207" s="1" t="s">
        <v>16</v>
      </c>
      <c r="G1207" s="1" t="s">
        <v>19</v>
      </c>
      <c r="H1207" s="1" t="str">
        <f>"75"</f>
        <v>75</v>
      </c>
      <c r="I1207" s="1" t="str">
        <f t="shared" si="893"/>
        <v>160</v>
      </c>
      <c r="J1207" s="1" t="str">
        <f t="shared" ref="J1207:O1207" si="897">"0"</f>
        <v>0</v>
      </c>
      <c r="K1207" s="1" t="str">
        <f t="shared" si="882"/>
        <v>103</v>
      </c>
      <c r="L1207" s="1" t="str">
        <f t="shared" si="883"/>
        <v>47</v>
      </c>
      <c r="M1207" s="1" t="str">
        <f t="shared" si="897"/>
        <v>0</v>
      </c>
      <c r="N1207" s="1" t="str">
        <f t="shared" si="897"/>
        <v>0</v>
      </c>
      <c r="O1207" s="1" t="str">
        <f t="shared" si="897"/>
        <v>0</v>
      </c>
    </row>
    <row r="1208" s="1" customFormat="1" spans="1:15">
      <c r="A1208" s="1" t="str">
        <f t="shared" si="829"/>
        <v>202406</v>
      </c>
      <c r="B1208" s="1" t="str">
        <f t="shared" si="830"/>
        <v>150525100</v>
      </c>
      <c r="C1208" s="1" t="str">
        <f>"1014623494"</f>
        <v>1014623494</v>
      </c>
      <c r="D1208" s="1" t="str">
        <f>"152326193912160428"</f>
        <v>152326193912160428</v>
      </c>
      <c r="E1208" s="1" t="s">
        <v>1268</v>
      </c>
      <c r="F1208" s="1" t="s">
        <v>16</v>
      </c>
      <c r="G1208" s="1" t="s">
        <v>17</v>
      </c>
      <c r="H1208" s="1" t="str">
        <f>"85"</f>
        <v>85</v>
      </c>
      <c r="I1208" s="1" t="str">
        <f t="shared" ref="I1208:I1212" si="898">"170"</f>
        <v>170</v>
      </c>
      <c r="J1208" s="1" t="str">
        <f t="shared" ref="J1208:O1208" si="899">"0"</f>
        <v>0</v>
      </c>
      <c r="K1208" s="1" t="str">
        <f t="shared" si="882"/>
        <v>103</v>
      </c>
      <c r="L1208" s="1" t="str">
        <f t="shared" si="883"/>
        <v>47</v>
      </c>
      <c r="M1208" s="1" t="str">
        <f t="shared" si="899"/>
        <v>0</v>
      </c>
      <c r="N1208" s="1" t="str">
        <f t="shared" si="899"/>
        <v>0</v>
      </c>
      <c r="O1208" s="1" t="str">
        <f t="shared" si="899"/>
        <v>0</v>
      </c>
    </row>
    <row r="1209" s="1" customFormat="1" spans="1:15">
      <c r="A1209" s="1" t="str">
        <f t="shared" si="829"/>
        <v>202406</v>
      </c>
      <c r="B1209" s="1" t="str">
        <f t="shared" si="830"/>
        <v>150525100</v>
      </c>
      <c r="C1209" s="1" t="str">
        <f>"1014623503"</f>
        <v>1014623503</v>
      </c>
      <c r="D1209" s="1" t="str">
        <f>"152326194010100447"</f>
        <v>152326194010100447</v>
      </c>
      <c r="E1209" s="1" t="s">
        <v>1269</v>
      </c>
      <c r="F1209" s="1" t="s">
        <v>16</v>
      </c>
      <c r="G1209" s="1" t="s">
        <v>17</v>
      </c>
      <c r="H1209" s="1" t="str">
        <f>"84"</f>
        <v>84</v>
      </c>
      <c r="I1209" s="1" t="str">
        <f t="shared" si="898"/>
        <v>170</v>
      </c>
      <c r="J1209" s="1" t="str">
        <f t="shared" ref="J1209:O1209" si="900">"0"</f>
        <v>0</v>
      </c>
      <c r="K1209" s="1" t="str">
        <f t="shared" si="882"/>
        <v>103</v>
      </c>
      <c r="L1209" s="1" t="str">
        <f t="shared" si="883"/>
        <v>47</v>
      </c>
      <c r="M1209" s="1" t="str">
        <f t="shared" si="900"/>
        <v>0</v>
      </c>
      <c r="N1209" s="1" t="str">
        <f t="shared" si="900"/>
        <v>0</v>
      </c>
      <c r="O1209" s="1" t="str">
        <f t="shared" si="900"/>
        <v>0</v>
      </c>
    </row>
    <row r="1210" s="1" customFormat="1" spans="1:15">
      <c r="A1210" s="1" t="str">
        <f t="shared" si="829"/>
        <v>202406</v>
      </c>
      <c r="B1210" s="1" t="str">
        <f t="shared" si="830"/>
        <v>150525100</v>
      </c>
      <c r="C1210" s="1" t="str">
        <f>"1014629649"</f>
        <v>1014629649</v>
      </c>
      <c r="D1210" s="1" t="str">
        <f>"152326195005260053"</f>
        <v>152326195005260053</v>
      </c>
      <c r="E1210" s="1" t="s">
        <v>1270</v>
      </c>
      <c r="F1210" s="1" t="s">
        <v>25</v>
      </c>
      <c r="G1210" s="1" t="s">
        <v>17</v>
      </c>
      <c r="H1210" s="1" t="str">
        <f>"74"</f>
        <v>74</v>
      </c>
      <c r="I1210" s="1" t="str">
        <f t="shared" ref="I1210:I1216" si="901">"160"</f>
        <v>160</v>
      </c>
      <c r="J1210" s="1" t="str">
        <f t="shared" ref="J1210:O1210" si="902">"0"</f>
        <v>0</v>
      </c>
      <c r="K1210" s="1" t="str">
        <f t="shared" si="882"/>
        <v>103</v>
      </c>
      <c r="L1210" s="1" t="str">
        <f t="shared" si="883"/>
        <v>47</v>
      </c>
      <c r="M1210" s="1" t="str">
        <f t="shared" si="902"/>
        <v>0</v>
      </c>
      <c r="N1210" s="1" t="str">
        <f t="shared" si="902"/>
        <v>0</v>
      </c>
      <c r="O1210" s="1" t="str">
        <f t="shared" si="902"/>
        <v>0</v>
      </c>
    </row>
    <row r="1211" s="1" customFormat="1" spans="1:15">
      <c r="A1211" s="1" t="str">
        <f t="shared" si="829"/>
        <v>202406</v>
      </c>
      <c r="B1211" s="1" t="str">
        <f t="shared" si="830"/>
        <v>150525100</v>
      </c>
      <c r="C1211" s="1" t="str">
        <f>"1014629659"</f>
        <v>1014629659</v>
      </c>
      <c r="D1211" s="1" t="str">
        <f>"152326194603100020"</f>
        <v>152326194603100020</v>
      </c>
      <c r="E1211" s="1" t="s">
        <v>1271</v>
      </c>
      <c r="F1211" s="1" t="s">
        <v>16</v>
      </c>
      <c r="G1211" s="1" t="s">
        <v>17</v>
      </c>
      <c r="H1211" s="1" t="str">
        <f>"78"</f>
        <v>78</v>
      </c>
      <c r="I1211" s="1" t="str">
        <f t="shared" si="901"/>
        <v>160</v>
      </c>
      <c r="J1211" s="1" t="str">
        <f t="shared" ref="J1211:O1211" si="903">"0"</f>
        <v>0</v>
      </c>
      <c r="K1211" s="1" t="str">
        <f t="shared" si="882"/>
        <v>103</v>
      </c>
      <c r="L1211" s="1" t="str">
        <f t="shared" si="883"/>
        <v>47</v>
      </c>
      <c r="M1211" s="1" t="str">
        <f t="shared" si="903"/>
        <v>0</v>
      </c>
      <c r="N1211" s="1" t="str">
        <f t="shared" si="903"/>
        <v>0</v>
      </c>
      <c r="O1211" s="1" t="str">
        <f t="shared" si="903"/>
        <v>0</v>
      </c>
    </row>
    <row r="1212" s="1" customFormat="1" spans="1:15">
      <c r="A1212" s="1" t="str">
        <f t="shared" si="829"/>
        <v>202406</v>
      </c>
      <c r="B1212" s="1" t="str">
        <f t="shared" si="830"/>
        <v>150525100</v>
      </c>
      <c r="C1212" s="1" t="str">
        <f>"1014629666"</f>
        <v>1014629666</v>
      </c>
      <c r="D1212" s="1" t="str">
        <f>"152326194110020014"</f>
        <v>152326194110020014</v>
      </c>
      <c r="E1212" s="1" t="s">
        <v>1272</v>
      </c>
      <c r="F1212" s="1" t="s">
        <v>25</v>
      </c>
      <c r="G1212" s="1" t="s">
        <v>17</v>
      </c>
      <c r="H1212" s="1" t="str">
        <f>"83"</f>
        <v>83</v>
      </c>
      <c r="I1212" s="1" t="str">
        <f t="shared" si="898"/>
        <v>170</v>
      </c>
      <c r="J1212" s="1" t="str">
        <f t="shared" ref="J1212:O1212" si="904">"0"</f>
        <v>0</v>
      </c>
      <c r="K1212" s="1" t="str">
        <f t="shared" si="882"/>
        <v>103</v>
      </c>
      <c r="L1212" s="1" t="str">
        <f t="shared" si="883"/>
        <v>47</v>
      </c>
      <c r="M1212" s="1" t="str">
        <f t="shared" si="904"/>
        <v>0</v>
      </c>
      <c r="N1212" s="1" t="str">
        <f t="shared" si="904"/>
        <v>0</v>
      </c>
      <c r="O1212" s="1" t="str">
        <f t="shared" si="904"/>
        <v>0</v>
      </c>
    </row>
    <row r="1213" s="1" customFormat="1" spans="1:15">
      <c r="A1213" s="1" t="str">
        <f t="shared" si="829"/>
        <v>202406</v>
      </c>
      <c r="B1213" s="1" t="str">
        <f t="shared" si="830"/>
        <v>150525100</v>
      </c>
      <c r="C1213" s="1" t="str">
        <f>"1014589058"</f>
        <v>1014589058</v>
      </c>
      <c r="D1213" s="1" t="str">
        <f>"152326195207230426"</f>
        <v>152326195207230426</v>
      </c>
      <c r="E1213" s="1" t="s">
        <v>1273</v>
      </c>
      <c r="F1213" s="1" t="s">
        <v>16</v>
      </c>
      <c r="G1213" s="1" t="s">
        <v>17</v>
      </c>
      <c r="H1213" s="1" t="str">
        <f>"72"</f>
        <v>72</v>
      </c>
      <c r="I1213" s="1" t="str">
        <f>"162.15"</f>
        <v>162.15</v>
      </c>
      <c r="J1213" s="1" t="str">
        <f t="shared" ref="J1213:N1213" si="905">"0"</f>
        <v>0</v>
      </c>
      <c r="K1213" s="1" t="str">
        <f t="shared" si="882"/>
        <v>103</v>
      </c>
      <c r="L1213" s="1" t="str">
        <f t="shared" si="883"/>
        <v>47</v>
      </c>
      <c r="M1213" s="1" t="str">
        <f t="shared" si="905"/>
        <v>0</v>
      </c>
      <c r="N1213" s="1" t="str">
        <f t="shared" si="905"/>
        <v>0</v>
      </c>
      <c r="O1213" s="1" t="str">
        <f>"2.15"</f>
        <v>2.15</v>
      </c>
    </row>
    <row r="1214" s="1" customFormat="1" spans="1:15">
      <c r="A1214" s="1" t="str">
        <f t="shared" si="829"/>
        <v>202406</v>
      </c>
      <c r="B1214" s="1" t="str">
        <f t="shared" si="830"/>
        <v>150525100</v>
      </c>
      <c r="C1214" s="1" t="str">
        <f>"1014612974"</f>
        <v>1014612974</v>
      </c>
      <c r="D1214" s="1" t="str">
        <f>"152326194812230921"</f>
        <v>152326194812230921</v>
      </c>
      <c r="E1214" s="1" t="s">
        <v>1274</v>
      </c>
      <c r="F1214" s="1" t="s">
        <v>16</v>
      </c>
      <c r="G1214" s="1" t="s">
        <v>19</v>
      </c>
      <c r="H1214" s="1" t="str">
        <f t="shared" ref="H1214:H1217" si="906">"76"</f>
        <v>76</v>
      </c>
      <c r="I1214" s="1" t="str">
        <f t="shared" si="901"/>
        <v>160</v>
      </c>
      <c r="J1214" s="1" t="str">
        <f t="shared" ref="J1214:O1214" si="907">"0"</f>
        <v>0</v>
      </c>
      <c r="K1214" s="1" t="str">
        <f t="shared" si="882"/>
        <v>103</v>
      </c>
      <c r="L1214" s="1" t="str">
        <f t="shared" si="883"/>
        <v>47</v>
      </c>
      <c r="M1214" s="1" t="str">
        <f t="shared" si="907"/>
        <v>0</v>
      </c>
      <c r="N1214" s="1" t="str">
        <f t="shared" si="907"/>
        <v>0</v>
      </c>
      <c r="O1214" s="1" t="str">
        <f t="shared" si="907"/>
        <v>0</v>
      </c>
    </row>
    <row r="1215" s="1" customFormat="1" spans="1:15">
      <c r="A1215" s="1" t="str">
        <f t="shared" si="829"/>
        <v>202406</v>
      </c>
      <c r="B1215" s="1" t="str">
        <f t="shared" si="830"/>
        <v>150525100</v>
      </c>
      <c r="C1215" s="1" t="str">
        <f>"1014612981"</f>
        <v>1014612981</v>
      </c>
      <c r="D1215" s="1" t="str">
        <f>"152326194812050920"</f>
        <v>152326194812050920</v>
      </c>
      <c r="E1215" s="1" t="s">
        <v>1275</v>
      </c>
      <c r="F1215" s="1" t="s">
        <v>16</v>
      </c>
      <c r="G1215" s="1" t="s">
        <v>19</v>
      </c>
      <c r="H1215" s="1" t="str">
        <f t="shared" si="906"/>
        <v>76</v>
      </c>
      <c r="I1215" s="1" t="str">
        <f t="shared" si="901"/>
        <v>160</v>
      </c>
      <c r="J1215" s="1" t="str">
        <f t="shared" ref="J1215:O1215" si="908">"0"</f>
        <v>0</v>
      </c>
      <c r="K1215" s="1" t="str">
        <f t="shared" si="882"/>
        <v>103</v>
      </c>
      <c r="L1215" s="1" t="str">
        <f t="shared" si="883"/>
        <v>47</v>
      </c>
      <c r="M1215" s="1" t="str">
        <f t="shared" si="908"/>
        <v>0</v>
      </c>
      <c r="N1215" s="1" t="str">
        <f t="shared" si="908"/>
        <v>0</v>
      </c>
      <c r="O1215" s="1" t="str">
        <f t="shared" si="908"/>
        <v>0</v>
      </c>
    </row>
    <row r="1216" s="1" customFormat="1" spans="1:15">
      <c r="A1216" s="1" t="str">
        <f t="shared" si="829"/>
        <v>202406</v>
      </c>
      <c r="B1216" s="1" t="str">
        <f t="shared" si="830"/>
        <v>150525100</v>
      </c>
      <c r="C1216" s="1" t="str">
        <f>"1014613268"</f>
        <v>1014613268</v>
      </c>
      <c r="D1216" s="1" t="str">
        <f>"152326194910090424"</f>
        <v>152326194910090424</v>
      </c>
      <c r="E1216" s="1" t="s">
        <v>1276</v>
      </c>
      <c r="F1216" s="1" t="s">
        <v>16</v>
      </c>
      <c r="G1216" s="1" t="s">
        <v>17</v>
      </c>
      <c r="H1216" s="1" t="str">
        <f>"75"</f>
        <v>75</v>
      </c>
      <c r="I1216" s="1" t="str">
        <f t="shared" si="901"/>
        <v>160</v>
      </c>
      <c r="J1216" s="1" t="str">
        <f t="shared" ref="J1216:O1216" si="909">"0"</f>
        <v>0</v>
      </c>
      <c r="K1216" s="1" t="str">
        <f t="shared" si="882"/>
        <v>103</v>
      </c>
      <c r="L1216" s="1" t="str">
        <f t="shared" si="883"/>
        <v>47</v>
      </c>
      <c r="M1216" s="1" t="str">
        <f t="shared" si="909"/>
        <v>0</v>
      </c>
      <c r="N1216" s="1" t="str">
        <f t="shared" si="909"/>
        <v>0</v>
      </c>
      <c r="O1216" s="1" t="str">
        <f t="shared" si="909"/>
        <v>0</v>
      </c>
    </row>
    <row r="1217" s="1" customFormat="1" spans="1:15">
      <c r="A1217" s="1" t="str">
        <f t="shared" si="829"/>
        <v>202406</v>
      </c>
      <c r="B1217" s="1" t="str">
        <f t="shared" si="830"/>
        <v>150525100</v>
      </c>
      <c r="C1217" s="1" t="str">
        <f>"1014613278"</f>
        <v>1014613278</v>
      </c>
      <c r="D1217" s="1" t="str">
        <f>"152326194807133844"</f>
        <v>152326194807133844</v>
      </c>
      <c r="E1217" s="1" t="s">
        <v>1277</v>
      </c>
      <c r="F1217" s="1" t="s">
        <v>16</v>
      </c>
      <c r="G1217" s="1" t="s">
        <v>17</v>
      </c>
      <c r="H1217" s="1" t="str">
        <f t="shared" si="906"/>
        <v>76</v>
      </c>
      <c r="I1217" s="1" t="str">
        <f>"1600"</f>
        <v>1600</v>
      </c>
      <c r="J1217" s="1" t="str">
        <f>"1440"</f>
        <v>1440</v>
      </c>
      <c r="K1217" s="1" t="str">
        <f>"1030"</f>
        <v>1030</v>
      </c>
      <c r="L1217" s="1" t="str">
        <f>"470"</f>
        <v>470</v>
      </c>
      <c r="M1217" s="1" t="str">
        <f t="shared" ref="M1217:O1217" si="910">"0"</f>
        <v>0</v>
      </c>
      <c r="N1217" s="1" t="str">
        <f t="shared" si="910"/>
        <v>0</v>
      </c>
      <c r="O1217" s="1" t="str">
        <f t="shared" si="910"/>
        <v>0</v>
      </c>
    </row>
    <row r="1218" s="1" customFormat="1" spans="1:15">
      <c r="A1218" s="1" t="str">
        <f t="shared" ref="A1218:A1281" si="911">"202406"</f>
        <v>202406</v>
      </c>
      <c r="B1218" s="1" t="str">
        <f t="shared" ref="B1218:B1281" si="912">"150525100"</f>
        <v>150525100</v>
      </c>
      <c r="C1218" s="1" t="str">
        <f>"1014613286"</f>
        <v>1014613286</v>
      </c>
      <c r="D1218" s="1" t="str">
        <f>"152326194611163822"</f>
        <v>152326194611163822</v>
      </c>
      <c r="E1218" s="1" t="s">
        <v>1278</v>
      </c>
      <c r="F1218" s="1" t="s">
        <v>16</v>
      </c>
      <c r="G1218" s="1" t="s">
        <v>17</v>
      </c>
      <c r="H1218" s="1" t="str">
        <f>"78"</f>
        <v>78</v>
      </c>
      <c r="I1218" s="1" t="str">
        <f t="shared" ref="I1218:I1224" si="913">"160"</f>
        <v>160</v>
      </c>
      <c r="J1218" s="1" t="str">
        <f t="shared" ref="J1218:O1218" si="914">"0"</f>
        <v>0</v>
      </c>
      <c r="K1218" s="1" t="str">
        <f t="shared" ref="K1218:K1224" si="915">"103"</f>
        <v>103</v>
      </c>
      <c r="L1218" s="1" t="str">
        <f t="shared" ref="L1218:L1224" si="916">"47"</f>
        <v>47</v>
      </c>
      <c r="M1218" s="1" t="str">
        <f t="shared" si="914"/>
        <v>0</v>
      </c>
      <c r="N1218" s="1" t="str">
        <f t="shared" si="914"/>
        <v>0</v>
      </c>
      <c r="O1218" s="1" t="str">
        <f t="shared" si="914"/>
        <v>0</v>
      </c>
    </row>
    <row r="1219" s="1" customFormat="1" spans="1:15">
      <c r="A1219" s="1" t="str">
        <f t="shared" si="911"/>
        <v>202406</v>
      </c>
      <c r="B1219" s="1" t="str">
        <f t="shared" si="912"/>
        <v>150525100</v>
      </c>
      <c r="C1219" s="1" t="str">
        <f>"1014622308"</f>
        <v>1014622308</v>
      </c>
      <c r="D1219" s="1" t="str">
        <f>"152326194907140662"</f>
        <v>152326194907140662</v>
      </c>
      <c r="E1219" s="1" t="s">
        <v>1279</v>
      </c>
      <c r="F1219" s="1" t="s">
        <v>16</v>
      </c>
      <c r="G1219" s="1" t="s">
        <v>17</v>
      </c>
      <c r="H1219" s="1" t="str">
        <f>"75"</f>
        <v>75</v>
      </c>
      <c r="I1219" s="1" t="str">
        <f t="shared" si="913"/>
        <v>160</v>
      </c>
      <c r="J1219" s="1" t="str">
        <f t="shared" ref="J1219:O1219" si="917">"0"</f>
        <v>0</v>
      </c>
      <c r="K1219" s="1" t="str">
        <f t="shared" si="915"/>
        <v>103</v>
      </c>
      <c r="L1219" s="1" t="str">
        <f t="shared" si="916"/>
        <v>47</v>
      </c>
      <c r="M1219" s="1" t="str">
        <f t="shared" si="917"/>
        <v>0</v>
      </c>
      <c r="N1219" s="1" t="str">
        <f t="shared" si="917"/>
        <v>0</v>
      </c>
      <c r="O1219" s="1" t="str">
        <f t="shared" si="917"/>
        <v>0</v>
      </c>
    </row>
    <row r="1220" s="1" customFormat="1" spans="1:15">
      <c r="A1220" s="1" t="str">
        <f t="shared" si="911"/>
        <v>202406</v>
      </c>
      <c r="B1220" s="1" t="str">
        <f t="shared" si="912"/>
        <v>150525100</v>
      </c>
      <c r="C1220" s="1" t="str">
        <f>"1014622311"</f>
        <v>1014622311</v>
      </c>
      <c r="D1220" s="1" t="str">
        <f>"152326194702120668"</f>
        <v>152326194702120668</v>
      </c>
      <c r="E1220" s="1" t="s">
        <v>265</v>
      </c>
      <c r="F1220" s="1" t="s">
        <v>16</v>
      </c>
      <c r="G1220" s="1" t="s">
        <v>17</v>
      </c>
      <c r="H1220" s="1" t="str">
        <f>"77"</f>
        <v>77</v>
      </c>
      <c r="I1220" s="1" t="str">
        <f t="shared" si="913"/>
        <v>160</v>
      </c>
      <c r="J1220" s="1" t="str">
        <f t="shared" ref="J1220:O1220" si="918">"0"</f>
        <v>0</v>
      </c>
      <c r="K1220" s="1" t="str">
        <f t="shared" si="915"/>
        <v>103</v>
      </c>
      <c r="L1220" s="1" t="str">
        <f t="shared" si="916"/>
        <v>47</v>
      </c>
      <c r="M1220" s="1" t="str">
        <f t="shared" si="918"/>
        <v>0</v>
      </c>
      <c r="N1220" s="1" t="str">
        <f t="shared" si="918"/>
        <v>0</v>
      </c>
      <c r="O1220" s="1" t="str">
        <f t="shared" si="918"/>
        <v>0</v>
      </c>
    </row>
    <row r="1221" s="1" customFormat="1" spans="1:15">
      <c r="A1221" s="1" t="str">
        <f t="shared" si="911"/>
        <v>202406</v>
      </c>
      <c r="B1221" s="1" t="str">
        <f t="shared" si="912"/>
        <v>150525100</v>
      </c>
      <c r="C1221" s="1" t="str">
        <f>"1014622321"</f>
        <v>1014622321</v>
      </c>
      <c r="D1221" s="1" t="str">
        <f>"152326195112190660"</f>
        <v>152326195112190660</v>
      </c>
      <c r="E1221" s="1" t="s">
        <v>1280</v>
      </c>
      <c r="F1221" s="1" t="s">
        <v>16</v>
      </c>
      <c r="G1221" s="1" t="s">
        <v>17</v>
      </c>
      <c r="H1221" s="1" t="str">
        <f>"73"</f>
        <v>73</v>
      </c>
      <c r="I1221" s="1" t="str">
        <f t="shared" si="913"/>
        <v>160</v>
      </c>
      <c r="J1221" s="1" t="str">
        <f t="shared" ref="J1221:O1221" si="919">"0"</f>
        <v>0</v>
      </c>
      <c r="K1221" s="1" t="str">
        <f t="shared" si="915"/>
        <v>103</v>
      </c>
      <c r="L1221" s="1" t="str">
        <f t="shared" si="916"/>
        <v>47</v>
      </c>
      <c r="M1221" s="1" t="str">
        <f t="shared" si="919"/>
        <v>0</v>
      </c>
      <c r="N1221" s="1" t="str">
        <f t="shared" si="919"/>
        <v>0</v>
      </c>
      <c r="O1221" s="1" t="str">
        <f t="shared" si="919"/>
        <v>0</v>
      </c>
    </row>
    <row r="1222" s="1" customFormat="1" spans="1:15">
      <c r="A1222" s="1" t="str">
        <f t="shared" si="911"/>
        <v>202406</v>
      </c>
      <c r="B1222" s="1" t="str">
        <f t="shared" si="912"/>
        <v>150525100</v>
      </c>
      <c r="C1222" s="1" t="str">
        <f>"1014622706"</f>
        <v>1014622706</v>
      </c>
      <c r="D1222" s="1" t="str">
        <f>"152326194704170669"</f>
        <v>152326194704170669</v>
      </c>
      <c r="E1222" s="1" t="s">
        <v>1281</v>
      </c>
      <c r="F1222" s="1" t="s">
        <v>16</v>
      </c>
      <c r="G1222" s="1" t="s">
        <v>17</v>
      </c>
      <c r="H1222" s="1" t="str">
        <f>"77"</f>
        <v>77</v>
      </c>
      <c r="I1222" s="1" t="str">
        <f t="shared" si="913"/>
        <v>160</v>
      </c>
      <c r="J1222" s="1" t="str">
        <f t="shared" ref="J1222:O1222" si="920">"0"</f>
        <v>0</v>
      </c>
      <c r="K1222" s="1" t="str">
        <f t="shared" si="915"/>
        <v>103</v>
      </c>
      <c r="L1222" s="1" t="str">
        <f t="shared" si="916"/>
        <v>47</v>
      </c>
      <c r="M1222" s="1" t="str">
        <f t="shared" si="920"/>
        <v>0</v>
      </c>
      <c r="N1222" s="1" t="str">
        <f t="shared" si="920"/>
        <v>0</v>
      </c>
      <c r="O1222" s="1" t="str">
        <f t="shared" si="920"/>
        <v>0</v>
      </c>
    </row>
    <row r="1223" s="1" customFormat="1" spans="1:15">
      <c r="A1223" s="1" t="str">
        <f t="shared" si="911"/>
        <v>202406</v>
      </c>
      <c r="B1223" s="1" t="str">
        <f t="shared" si="912"/>
        <v>150525100</v>
      </c>
      <c r="C1223" s="1" t="str">
        <f>"1014622711"</f>
        <v>1014622711</v>
      </c>
      <c r="D1223" s="1" t="s">
        <v>1282</v>
      </c>
      <c r="E1223" s="1" t="s">
        <v>390</v>
      </c>
      <c r="F1223" s="1" t="s">
        <v>16</v>
      </c>
      <c r="G1223" s="1" t="s">
        <v>17</v>
      </c>
      <c r="H1223" s="1" t="str">
        <f>"76"</f>
        <v>76</v>
      </c>
      <c r="I1223" s="1" t="str">
        <f t="shared" si="913"/>
        <v>160</v>
      </c>
      <c r="J1223" s="1" t="str">
        <f t="shared" ref="J1223:O1223" si="921">"0"</f>
        <v>0</v>
      </c>
      <c r="K1223" s="1" t="str">
        <f t="shared" si="915"/>
        <v>103</v>
      </c>
      <c r="L1223" s="1" t="str">
        <f t="shared" si="916"/>
        <v>47</v>
      </c>
      <c r="M1223" s="1" t="str">
        <f t="shared" si="921"/>
        <v>0</v>
      </c>
      <c r="N1223" s="1" t="str">
        <f t="shared" si="921"/>
        <v>0</v>
      </c>
      <c r="O1223" s="1" t="str">
        <f t="shared" si="921"/>
        <v>0</v>
      </c>
    </row>
    <row r="1224" s="1" customFormat="1" spans="1:15">
      <c r="A1224" s="1" t="str">
        <f t="shared" si="911"/>
        <v>202406</v>
      </c>
      <c r="B1224" s="1" t="str">
        <f t="shared" si="912"/>
        <v>150525100</v>
      </c>
      <c r="C1224" s="1" t="str">
        <f>"1014624084"</f>
        <v>1014624084</v>
      </c>
      <c r="D1224" s="1" t="str">
        <f>"152326194608193086"</f>
        <v>152326194608193086</v>
      </c>
      <c r="E1224" s="1" t="s">
        <v>1283</v>
      </c>
      <c r="F1224" s="1" t="s">
        <v>16</v>
      </c>
      <c r="G1224" s="1" t="s">
        <v>17</v>
      </c>
      <c r="H1224" s="1" t="str">
        <f>"78"</f>
        <v>78</v>
      </c>
      <c r="I1224" s="1" t="str">
        <f t="shared" si="913"/>
        <v>160</v>
      </c>
      <c r="J1224" s="1" t="str">
        <f t="shared" ref="J1224:O1224" si="922">"0"</f>
        <v>0</v>
      </c>
      <c r="K1224" s="1" t="str">
        <f t="shared" si="915"/>
        <v>103</v>
      </c>
      <c r="L1224" s="1" t="str">
        <f t="shared" si="916"/>
        <v>47</v>
      </c>
      <c r="M1224" s="1" t="str">
        <f t="shared" si="922"/>
        <v>0</v>
      </c>
      <c r="N1224" s="1" t="str">
        <f t="shared" si="922"/>
        <v>0</v>
      </c>
      <c r="O1224" s="1" t="str">
        <f t="shared" si="922"/>
        <v>0</v>
      </c>
    </row>
    <row r="1225" s="1" customFormat="1" spans="1:15">
      <c r="A1225" s="1" t="str">
        <f t="shared" si="911"/>
        <v>202406</v>
      </c>
      <c r="B1225" s="1" t="str">
        <f t="shared" si="912"/>
        <v>150525100</v>
      </c>
      <c r="C1225" s="1" t="str">
        <f>"1014624570"</f>
        <v>1014624570</v>
      </c>
      <c r="D1225" s="1" t="str">
        <f>"152326194811110661"</f>
        <v>152326194811110661</v>
      </c>
      <c r="E1225" s="1" t="s">
        <v>1284</v>
      </c>
      <c r="F1225" s="1" t="s">
        <v>16</v>
      </c>
      <c r="G1225" s="1" t="s">
        <v>17</v>
      </c>
      <c r="H1225" s="1" t="str">
        <f>"76"</f>
        <v>76</v>
      </c>
      <c r="I1225" s="1" t="str">
        <f>"1800"</f>
        <v>1800</v>
      </c>
      <c r="J1225" s="1" t="str">
        <f t="shared" ref="J1225:O1225" si="923">"0"</f>
        <v>0</v>
      </c>
      <c r="K1225" s="1" t="str">
        <f t="shared" si="923"/>
        <v>0</v>
      </c>
      <c r="L1225" s="1" t="str">
        <f t="shared" si="923"/>
        <v>0</v>
      </c>
      <c r="M1225" s="1" t="str">
        <f t="shared" si="923"/>
        <v>0</v>
      </c>
      <c r="N1225" s="1" t="str">
        <f t="shared" si="923"/>
        <v>0</v>
      </c>
      <c r="O1225" s="1" t="str">
        <f t="shared" si="923"/>
        <v>0</v>
      </c>
    </row>
    <row r="1226" s="1" customFormat="1" spans="1:15">
      <c r="A1226" s="1" t="str">
        <f t="shared" si="911"/>
        <v>202406</v>
      </c>
      <c r="B1226" s="1" t="str">
        <f t="shared" si="912"/>
        <v>150525100</v>
      </c>
      <c r="C1226" s="1" t="str">
        <f>"1014619554"</f>
        <v>1014619554</v>
      </c>
      <c r="D1226" s="1" t="str">
        <f>"152326194510100662"</f>
        <v>152326194510100662</v>
      </c>
      <c r="E1226" s="1" t="s">
        <v>1285</v>
      </c>
      <c r="F1226" s="1" t="s">
        <v>16</v>
      </c>
      <c r="G1226" s="1" t="s">
        <v>17</v>
      </c>
      <c r="H1226" s="1" t="str">
        <f>"79"</f>
        <v>79</v>
      </c>
      <c r="I1226" s="1" t="str">
        <f t="shared" ref="I1226:I1231" si="924">"160"</f>
        <v>160</v>
      </c>
      <c r="J1226" s="1" t="str">
        <f t="shared" ref="J1226:O1226" si="925">"0"</f>
        <v>0</v>
      </c>
      <c r="K1226" s="1" t="str">
        <f t="shared" ref="K1226:K1231" si="926">"103"</f>
        <v>103</v>
      </c>
      <c r="L1226" s="1" t="str">
        <f t="shared" ref="L1226:L1231" si="927">"47"</f>
        <v>47</v>
      </c>
      <c r="M1226" s="1" t="str">
        <f t="shared" si="925"/>
        <v>0</v>
      </c>
      <c r="N1226" s="1" t="str">
        <f t="shared" si="925"/>
        <v>0</v>
      </c>
      <c r="O1226" s="1" t="str">
        <f t="shared" si="925"/>
        <v>0</v>
      </c>
    </row>
    <row r="1227" s="1" customFormat="1" spans="1:15">
      <c r="A1227" s="1" t="str">
        <f t="shared" si="911"/>
        <v>202406</v>
      </c>
      <c r="B1227" s="1" t="str">
        <f t="shared" si="912"/>
        <v>150525100</v>
      </c>
      <c r="C1227" s="1" t="str">
        <f>"1014619706"</f>
        <v>1014619706</v>
      </c>
      <c r="D1227" s="1" t="str">
        <f>"152326194712100660"</f>
        <v>152326194712100660</v>
      </c>
      <c r="E1227" s="1" t="s">
        <v>1286</v>
      </c>
      <c r="F1227" s="1" t="s">
        <v>16</v>
      </c>
      <c r="G1227" s="1" t="s">
        <v>19</v>
      </c>
      <c r="H1227" s="1" t="str">
        <f>"77"</f>
        <v>77</v>
      </c>
      <c r="I1227" s="1" t="str">
        <f t="shared" si="924"/>
        <v>160</v>
      </c>
      <c r="J1227" s="1" t="str">
        <f t="shared" ref="J1227:O1227" si="928">"0"</f>
        <v>0</v>
      </c>
      <c r="K1227" s="1" t="str">
        <f t="shared" si="926"/>
        <v>103</v>
      </c>
      <c r="L1227" s="1" t="str">
        <f t="shared" si="927"/>
        <v>47</v>
      </c>
      <c r="M1227" s="1" t="str">
        <f t="shared" si="928"/>
        <v>0</v>
      </c>
      <c r="N1227" s="1" t="str">
        <f t="shared" si="928"/>
        <v>0</v>
      </c>
      <c r="O1227" s="1" t="str">
        <f t="shared" si="928"/>
        <v>0</v>
      </c>
    </row>
    <row r="1228" s="1" customFormat="1" spans="1:15">
      <c r="A1228" s="1" t="str">
        <f t="shared" si="911"/>
        <v>202406</v>
      </c>
      <c r="B1228" s="1" t="str">
        <f t="shared" si="912"/>
        <v>150525100</v>
      </c>
      <c r="C1228" s="1" t="str">
        <f>"1014629626"</f>
        <v>1014629626</v>
      </c>
      <c r="D1228" s="1" t="str">
        <f>"152326193711293080"</f>
        <v>152326193711293080</v>
      </c>
      <c r="E1228" s="1" t="s">
        <v>741</v>
      </c>
      <c r="F1228" s="1" t="s">
        <v>16</v>
      </c>
      <c r="G1228" s="1" t="s">
        <v>17</v>
      </c>
      <c r="H1228" s="1" t="str">
        <f>"87"</f>
        <v>87</v>
      </c>
      <c r="I1228" s="1" t="str">
        <f>"170"</f>
        <v>170</v>
      </c>
      <c r="J1228" s="1" t="str">
        <f t="shared" ref="J1228:O1228" si="929">"0"</f>
        <v>0</v>
      </c>
      <c r="K1228" s="1" t="str">
        <f t="shared" si="926"/>
        <v>103</v>
      </c>
      <c r="L1228" s="1" t="str">
        <f t="shared" si="927"/>
        <v>47</v>
      </c>
      <c r="M1228" s="1" t="str">
        <f t="shared" si="929"/>
        <v>0</v>
      </c>
      <c r="N1228" s="1" t="str">
        <f t="shared" si="929"/>
        <v>0</v>
      </c>
      <c r="O1228" s="1" t="str">
        <f t="shared" si="929"/>
        <v>0</v>
      </c>
    </row>
    <row r="1229" s="1" customFormat="1" spans="1:15">
      <c r="A1229" s="1" t="str">
        <f t="shared" si="911"/>
        <v>202406</v>
      </c>
      <c r="B1229" s="1" t="str">
        <f t="shared" si="912"/>
        <v>150525100</v>
      </c>
      <c r="C1229" s="1" t="str">
        <f>"1014623604"</f>
        <v>1014623604</v>
      </c>
      <c r="D1229" s="1" t="str">
        <f>"152326194609130415"</f>
        <v>152326194609130415</v>
      </c>
      <c r="E1229" s="1" t="s">
        <v>1287</v>
      </c>
      <c r="F1229" s="1" t="s">
        <v>25</v>
      </c>
      <c r="G1229" s="1" t="s">
        <v>17</v>
      </c>
      <c r="H1229" s="1" t="str">
        <f>"78"</f>
        <v>78</v>
      </c>
      <c r="I1229" s="1" t="str">
        <f t="shared" si="924"/>
        <v>160</v>
      </c>
      <c r="J1229" s="1" t="str">
        <f t="shared" ref="J1229:O1229" si="930">"0"</f>
        <v>0</v>
      </c>
      <c r="K1229" s="1" t="str">
        <f t="shared" si="926"/>
        <v>103</v>
      </c>
      <c r="L1229" s="1" t="str">
        <f t="shared" si="927"/>
        <v>47</v>
      </c>
      <c r="M1229" s="1" t="str">
        <f t="shared" si="930"/>
        <v>0</v>
      </c>
      <c r="N1229" s="1" t="str">
        <f t="shared" si="930"/>
        <v>0</v>
      </c>
      <c r="O1229" s="1" t="str">
        <f t="shared" si="930"/>
        <v>0</v>
      </c>
    </row>
    <row r="1230" s="1" customFormat="1" spans="1:15">
      <c r="A1230" s="1" t="str">
        <f t="shared" si="911"/>
        <v>202406</v>
      </c>
      <c r="B1230" s="1" t="str">
        <f t="shared" si="912"/>
        <v>150525100</v>
      </c>
      <c r="C1230" s="1" t="str">
        <f>"1014612931"</f>
        <v>1014612931</v>
      </c>
      <c r="D1230" s="1" t="str">
        <f>"152326194711163328"</f>
        <v>152326194711163328</v>
      </c>
      <c r="E1230" s="1" t="s">
        <v>1288</v>
      </c>
      <c r="F1230" s="1" t="s">
        <v>16</v>
      </c>
      <c r="G1230" s="1" t="s">
        <v>17</v>
      </c>
      <c r="H1230" s="1" t="str">
        <f>"77"</f>
        <v>77</v>
      </c>
      <c r="I1230" s="1" t="str">
        <f t="shared" si="924"/>
        <v>160</v>
      </c>
      <c r="J1230" s="1" t="str">
        <f t="shared" ref="J1230:O1230" si="931">"0"</f>
        <v>0</v>
      </c>
      <c r="K1230" s="1" t="str">
        <f t="shared" si="926"/>
        <v>103</v>
      </c>
      <c r="L1230" s="1" t="str">
        <f t="shared" si="927"/>
        <v>47</v>
      </c>
      <c r="M1230" s="1" t="str">
        <f t="shared" si="931"/>
        <v>0</v>
      </c>
      <c r="N1230" s="1" t="str">
        <f t="shared" si="931"/>
        <v>0</v>
      </c>
      <c r="O1230" s="1" t="str">
        <f t="shared" si="931"/>
        <v>0</v>
      </c>
    </row>
    <row r="1231" s="1" customFormat="1" spans="1:15">
      <c r="A1231" s="1" t="str">
        <f t="shared" si="911"/>
        <v>202406</v>
      </c>
      <c r="B1231" s="1" t="str">
        <f t="shared" si="912"/>
        <v>150525100</v>
      </c>
      <c r="C1231" s="1" t="str">
        <f>"1014613200"</f>
        <v>1014613200</v>
      </c>
      <c r="D1231" s="1" t="str">
        <f>"152326194611120910"</f>
        <v>152326194611120910</v>
      </c>
      <c r="E1231" s="1" t="s">
        <v>1289</v>
      </c>
      <c r="F1231" s="1" t="s">
        <v>25</v>
      </c>
      <c r="G1231" s="1" t="s">
        <v>19</v>
      </c>
      <c r="H1231" s="1" t="str">
        <f>"78"</f>
        <v>78</v>
      </c>
      <c r="I1231" s="1" t="str">
        <f t="shared" si="924"/>
        <v>160</v>
      </c>
      <c r="J1231" s="1" t="str">
        <f t="shared" ref="J1231:O1231" si="932">"0"</f>
        <v>0</v>
      </c>
      <c r="K1231" s="1" t="str">
        <f t="shared" si="926"/>
        <v>103</v>
      </c>
      <c r="L1231" s="1" t="str">
        <f t="shared" si="927"/>
        <v>47</v>
      </c>
      <c r="M1231" s="1" t="str">
        <f t="shared" si="932"/>
        <v>0</v>
      </c>
      <c r="N1231" s="1" t="str">
        <f t="shared" si="932"/>
        <v>0</v>
      </c>
      <c r="O1231" s="1" t="str">
        <f t="shared" si="932"/>
        <v>0</v>
      </c>
    </row>
    <row r="1232" s="1" customFormat="1" spans="1:15">
      <c r="A1232" s="1" t="str">
        <f t="shared" si="911"/>
        <v>202406</v>
      </c>
      <c r="B1232" s="1" t="str">
        <f t="shared" si="912"/>
        <v>150525100</v>
      </c>
      <c r="C1232" s="1" t="str">
        <f>"1014613202"</f>
        <v>1014613202</v>
      </c>
      <c r="D1232" s="1" t="str">
        <f>"152326195007130914"</f>
        <v>152326195007130914</v>
      </c>
      <c r="E1232" s="1" t="s">
        <v>1290</v>
      </c>
      <c r="F1232" s="1" t="s">
        <v>25</v>
      </c>
      <c r="G1232" s="1" t="s">
        <v>19</v>
      </c>
      <c r="H1232" s="1" t="str">
        <f>"74"</f>
        <v>74</v>
      </c>
      <c r="I1232" s="1" t="str">
        <f>"1800"</f>
        <v>1800</v>
      </c>
      <c r="J1232" s="1" t="str">
        <f t="shared" ref="J1232:O1232" si="933">"0"</f>
        <v>0</v>
      </c>
      <c r="K1232" s="1" t="str">
        <f t="shared" si="933"/>
        <v>0</v>
      </c>
      <c r="L1232" s="1" t="str">
        <f t="shared" si="933"/>
        <v>0</v>
      </c>
      <c r="M1232" s="1" t="str">
        <f t="shared" si="933"/>
        <v>0</v>
      </c>
      <c r="N1232" s="1" t="str">
        <f t="shared" si="933"/>
        <v>0</v>
      </c>
      <c r="O1232" s="1" t="str">
        <f t="shared" si="933"/>
        <v>0</v>
      </c>
    </row>
    <row r="1233" s="1" customFormat="1" spans="1:15">
      <c r="A1233" s="1" t="str">
        <f t="shared" si="911"/>
        <v>202406</v>
      </c>
      <c r="B1233" s="1" t="str">
        <f t="shared" si="912"/>
        <v>150525100</v>
      </c>
      <c r="C1233" s="1" t="str">
        <f>"1014613213"</f>
        <v>1014613213</v>
      </c>
      <c r="D1233" s="1" t="s">
        <v>1291</v>
      </c>
      <c r="E1233" s="1" t="s">
        <v>1292</v>
      </c>
      <c r="F1233" s="1" t="s">
        <v>16</v>
      </c>
      <c r="G1233" s="1" t="s">
        <v>17</v>
      </c>
      <c r="H1233" s="1" t="str">
        <f>"73"</f>
        <v>73</v>
      </c>
      <c r="I1233" s="1" t="str">
        <f t="shared" ref="I1233:I1237" si="934">"160"</f>
        <v>160</v>
      </c>
      <c r="J1233" s="1" t="str">
        <f t="shared" ref="J1233:O1233" si="935">"0"</f>
        <v>0</v>
      </c>
      <c r="K1233" s="1" t="str">
        <f t="shared" ref="K1233:K1235" si="936">"103"</f>
        <v>103</v>
      </c>
      <c r="L1233" s="1" t="str">
        <f t="shared" ref="L1233:L1235" si="937">"47"</f>
        <v>47</v>
      </c>
      <c r="M1233" s="1" t="str">
        <f t="shared" si="935"/>
        <v>0</v>
      </c>
      <c r="N1233" s="1" t="str">
        <f t="shared" si="935"/>
        <v>0</v>
      </c>
      <c r="O1233" s="1" t="str">
        <f t="shared" si="935"/>
        <v>0</v>
      </c>
    </row>
    <row r="1234" s="1" customFormat="1" spans="1:15">
      <c r="A1234" s="1" t="str">
        <f t="shared" si="911"/>
        <v>202406</v>
      </c>
      <c r="B1234" s="1" t="str">
        <f t="shared" si="912"/>
        <v>150525100</v>
      </c>
      <c r="C1234" s="1" t="str">
        <f>"1014622241"</f>
        <v>1014622241</v>
      </c>
      <c r="D1234" s="1" t="str">
        <f>"152326194305240420"</f>
        <v>152326194305240420</v>
      </c>
      <c r="E1234" s="1" t="s">
        <v>1293</v>
      </c>
      <c r="F1234" s="1" t="s">
        <v>16</v>
      </c>
      <c r="G1234" s="1" t="s">
        <v>17</v>
      </c>
      <c r="H1234" s="1" t="str">
        <f>"81"</f>
        <v>81</v>
      </c>
      <c r="I1234" s="1" t="str">
        <f>"170"</f>
        <v>170</v>
      </c>
      <c r="J1234" s="1" t="str">
        <f t="shared" ref="J1234:O1234" si="938">"0"</f>
        <v>0</v>
      </c>
      <c r="K1234" s="1" t="str">
        <f t="shared" si="936"/>
        <v>103</v>
      </c>
      <c r="L1234" s="1" t="str">
        <f t="shared" si="937"/>
        <v>47</v>
      </c>
      <c r="M1234" s="1" t="str">
        <f t="shared" si="938"/>
        <v>0</v>
      </c>
      <c r="N1234" s="1" t="str">
        <f t="shared" si="938"/>
        <v>0</v>
      </c>
      <c r="O1234" s="1" t="str">
        <f t="shared" si="938"/>
        <v>0</v>
      </c>
    </row>
    <row r="1235" s="1" customFormat="1" spans="1:15">
      <c r="A1235" s="1" t="str">
        <f t="shared" si="911"/>
        <v>202406</v>
      </c>
      <c r="B1235" s="1" t="str">
        <f t="shared" si="912"/>
        <v>150525100</v>
      </c>
      <c r="C1235" s="1" t="str">
        <f>"1014622243"</f>
        <v>1014622243</v>
      </c>
      <c r="D1235" s="1" t="str">
        <f>"152326195011120428"</f>
        <v>152326195011120428</v>
      </c>
      <c r="E1235" s="1" t="s">
        <v>1294</v>
      </c>
      <c r="F1235" s="1" t="s">
        <v>16</v>
      </c>
      <c r="G1235" s="1" t="s">
        <v>17</v>
      </c>
      <c r="H1235" s="1" t="str">
        <f>"74"</f>
        <v>74</v>
      </c>
      <c r="I1235" s="1" t="str">
        <f t="shared" si="934"/>
        <v>160</v>
      </c>
      <c r="J1235" s="1" t="str">
        <f t="shared" ref="J1235:O1235" si="939">"0"</f>
        <v>0</v>
      </c>
      <c r="K1235" s="1" t="str">
        <f t="shared" si="936"/>
        <v>103</v>
      </c>
      <c r="L1235" s="1" t="str">
        <f t="shared" si="937"/>
        <v>47</v>
      </c>
      <c r="M1235" s="1" t="str">
        <f t="shared" si="939"/>
        <v>0</v>
      </c>
      <c r="N1235" s="1" t="str">
        <f t="shared" si="939"/>
        <v>0</v>
      </c>
      <c r="O1235" s="1" t="str">
        <f t="shared" si="939"/>
        <v>0</v>
      </c>
    </row>
    <row r="1236" s="1" customFormat="1" spans="1:15">
      <c r="A1236" s="1" t="str">
        <f t="shared" si="911"/>
        <v>202406</v>
      </c>
      <c r="B1236" s="1" t="str">
        <f t="shared" si="912"/>
        <v>150525100</v>
      </c>
      <c r="C1236" s="1" t="str">
        <f>"1014622251"</f>
        <v>1014622251</v>
      </c>
      <c r="D1236" s="1" t="str">
        <f>"152326194802130425"</f>
        <v>152326194802130425</v>
      </c>
      <c r="E1236" s="1" t="s">
        <v>1295</v>
      </c>
      <c r="F1236" s="1" t="s">
        <v>16</v>
      </c>
      <c r="G1236" s="1" t="s">
        <v>17</v>
      </c>
      <c r="H1236" s="1" t="str">
        <f>"76"</f>
        <v>76</v>
      </c>
      <c r="I1236" s="1" t="str">
        <f>"960"</f>
        <v>960</v>
      </c>
      <c r="J1236" s="1" t="str">
        <f>"800"</f>
        <v>800</v>
      </c>
      <c r="K1236" s="1" t="str">
        <f>"618"</f>
        <v>618</v>
      </c>
      <c r="L1236" s="1" t="str">
        <f>"282"</f>
        <v>282</v>
      </c>
      <c r="M1236" s="1" t="str">
        <f t="shared" ref="M1236:O1236" si="940">"0"</f>
        <v>0</v>
      </c>
      <c r="N1236" s="1" t="str">
        <f t="shared" si="940"/>
        <v>0</v>
      </c>
      <c r="O1236" s="1" t="str">
        <f t="shared" si="940"/>
        <v>0</v>
      </c>
    </row>
    <row r="1237" s="1" customFormat="1" spans="1:15">
      <c r="A1237" s="1" t="str">
        <f t="shared" si="911"/>
        <v>202406</v>
      </c>
      <c r="B1237" s="1" t="str">
        <f t="shared" si="912"/>
        <v>150525100</v>
      </c>
      <c r="C1237" s="1" t="str">
        <f>"1014622252"</f>
        <v>1014622252</v>
      </c>
      <c r="D1237" s="1" t="str">
        <f>"152326195112230423"</f>
        <v>152326195112230423</v>
      </c>
      <c r="E1237" s="1" t="s">
        <v>1296</v>
      </c>
      <c r="F1237" s="1" t="s">
        <v>16</v>
      </c>
      <c r="G1237" s="1" t="s">
        <v>17</v>
      </c>
      <c r="H1237" s="1" t="str">
        <f>"73"</f>
        <v>73</v>
      </c>
      <c r="I1237" s="1" t="str">
        <f t="shared" si="934"/>
        <v>160</v>
      </c>
      <c r="J1237" s="1" t="str">
        <f t="shared" ref="J1237:O1237" si="941">"0"</f>
        <v>0</v>
      </c>
      <c r="K1237" s="1" t="str">
        <f t="shared" ref="K1237:K1240" si="942">"103"</f>
        <v>103</v>
      </c>
      <c r="L1237" s="1" t="str">
        <f t="shared" ref="L1237:L1240" si="943">"47"</f>
        <v>47</v>
      </c>
      <c r="M1237" s="1" t="str">
        <f t="shared" si="941"/>
        <v>0</v>
      </c>
      <c r="N1237" s="1" t="str">
        <f t="shared" si="941"/>
        <v>0</v>
      </c>
      <c r="O1237" s="1" t="str">
        <f t="shared" si="941"/>
        <v>0</v>
      </c>
    </row>
    <row r="1238" s="1" customFormat="1" spans="1:15">
      <c r="A1238" s="1" t="str">
        <f t="shared" si="911"/>
        <v>202406</v>
      </c>
      <c r="B1238" s="1" t="str">
        <f t="shared" si="912"/>
        <v>150525100</v>
      </c>
      <c r="C1238" s="1" t="str">
        <f>"1014622635"</f>
        <v>1014622635</v>
      </c>
      <c r="D1238" s="1" t="str">
        <f>"152326193504200697"</f>
        <v>152326193504200697</v>
      </c>
      <c r="E1238" s="1" t="s">
        <v>1297</v>
      </c>
      <c r="F1238" s="1" t="s">
        <v>25</v>
      </c>
      <c r="G1238" s="1" t="s">
        <v>17</v>
      </c>
      <c r="H1238" s="1" t="str">
        <f>"89"</f>
        <v>89</v>
      </c>
      <c r="I1238" s="1" t="str">
        <f t="shared" ref="I1238:I1243" si="944">"170"</f>
        <v>170</v>
      </c>
      <c r="J1238" s="1" t="str">
        <f t="shared" ref="J1238:O1238" si="945">"0"</f>
        <v>0</v>
      </c>
      <c r="K1238" s="1" t="str">
        <f t="shared" si="942"/>
        <v>103</v>
      </c>
      <c r="L1238" s="1" t="str">
        <f t="shared" si="943"/>
        <v>47</v>
      </c>
      <c r="M1238" s="1" t="str">
        <f t="shared" si="945"/>
        <v>0</v>
      </c>
      <c r="N1238" s="1" t="str">
        <f t="shared" si="945"/>
        <v>0</v>
      </c>
      <c r="O1238" s="1" t="str">
        <f t="shared" si="945"/>
        <v>0</v>
      </c>
    </row>
    <row r="1239" s="1" customFormat="1" spans="1:15">
      <c r="A1239" s="1" t="str">
        <f t="shared" si="911"/>
        <v>202406</v>
      </c>
      <c r="B1239" s="1" t="str">
        <f t="shared" si="912"/>
        <v>150525100</v>
      </c>
      <c r="C1239" s="1" t="str">
        <f>"1014622657"</f>
        <v>1014622657</v>
      </c>
      <c r="D1239" s="1" t="str">
        <f>"152326194610060661"</f>
        <v>152326194610060661</v>
      </c>
      <c r="E1239" s="1" t="s">
        <v>1298</v>
      </c>
      <c r="F1239" s="1" t="s">
        <v>16</v>
      </c>
      <c r="G1239" s="1" t="s">
        <v>17</v>
      </c>
      <c r="H1239" s="1" t="str">
        <f>"78"</f>
        <v>78</v>
      </c>
      <c r="I1239" s="1" t="str">
        <f t="shared" ref="I1239:I1245" si="946">"160"</f>
        <v>160</v>
      </c>
      <c r="J1239" s="1" t="str">
        <f t="shared" ref="J1239:O1239" si="947">"0"</f>
        <v>0</v>
      </c>
      <c r="K1239" s="1" t="str">
        <f t="shared" si="942"/>
        <v>103</v>
      </c>
      <c r="L1239" s="1" t="str">
        <f t="shared" si="943"/>
        <v>47</v>
      </c>
      <c r="M1239" s="1" t="str">
        <f t="shared" si="947"/>
        <v>0</v>
      </c>
      <c r="N1239" s="1" t="str">
        <f t="shared" si="947"/>
        <v>0</v>
      </c>
      <c r="O1239" s="1" t="str">
        <f t="shared" si="947"/>
        <v>0</v>
      </c>
    </row>
    <row r="1240" s="1" customFormat="1" spans="1:15">
      <c r="A1240" s="1" t="str">
        <f t="shared" si="911"/>
        <v>202406</v>
      </c>
      <c r="B1240" s="1" t="str">
        <f t="shared" si="912"/>
        <v>150525100</v>
      </c>
      <c r="C1240" s="1" t="str">
        <f>"1014624513"</f>
        <v>1014624513</v>
      </c>
      <c r="D1240" s="1" t="str">
        <f>"152326193908020668"</f>
        <v>152326193908020668</v>
      </c>
      <c r="E1240" s="1" t="s">
        <v>1299</v>
      </c>
      <c r="F1240" s="1" t="s">
        <v>16</v>
      </c>
      <c r="G1240" s="1" t="s">
        <v>17</v>
      </c>
      <c r="H1240" s="1" t="str">
        <f>"85"</f>
        <v>85</v>
      </c>
      <c r="I1240" s="1" t="str">
        <f t="shared" si="944"/>
        <v>170</v>
      </c>
      <c r="J1240" s="1" t="str">
        <f t="shared" ref="J1240:O1240" si="948">"0"</f>
        <v>0</v>
      </c>
      <c r="K1240" s="1" t="str">
        <f t="shared" si="942"/>
        <v>103</v>
      </c>
      <c r="L1240" s="1" t="str">
        <f t="shared" si="943"/>
        <v>47</v>
      </c>
      <c r="M1240" s="1" t="str">
        <f t="shared" si="948"/>
        <v>0</v>
      </c>
      <c r="N1240" s="1" t="str">
        <f t="shared" si="948"/>
        <v>0</v>
      </c>
      <c r="O1240" s="1" t="str">
        <f t="shared" si="948"/>
        <v>0</v>
      </c>
    </row>
    <row r="1241" s="1" customFormat="1" spans="1:15">
      <c r="A1241" s="1" t="str">
        <f t="shared" si="911"/>
        <v>202406</v>
      </c>
      <c r="B1241" s="1" t="str">
        <f t="shared" si="912"/>
        <v>150525100</v>
      </c>
      <c r="C1241" s="1" t="str">
        <f>"1014624517"</f>
        <v>1014624517</v>
      </c>
      <c r="D1241" s="1" t="str">
        <f>"152326195109130667"</f>
        <v>152326195109130667</v>
      </c>
      <c r="E1241" s="1" t="s">
        <v>1300</v>
      </c>
      <c r="F1241" s="1" t="s">
        <v>16</v>
      </c>
      <c r="G1241" s="1" t="s">
        <v>17</v>
      </c>
      <c r="H1241" s="1" t="str">
        <f>"73"</f>
        <v>73</v>
      </c>
      <c r="I1241" s="1" t="str">
        <f>"1800"</f>
        <v>1800</v>
      </c>
      <c r="J1241" s="1" t="str">
        <f t="shared" ref="J1241:O1241" si="949">"0"</f>
        <v>0</v>
      </c>
      <c r="K1241" s="1" t="str">
        <f t="shared" si="949"/>
        <v>0</v>
      </c>
      <c r="L1241" s="1" t="str">
        <f t="shared" si="949"/>
        <v>0</v>
      </c>
      <c r="M1241" s="1" t="str">
        <f t="shared" si="949"/>
        <v>0</v>
      </c>
      <c r="N1241" s="1" t="str">
        <f t="shared" si="949"/>
        <v>0</v>
      </c>
      <c r="O1241" s="1" t="str">
        <f t="shared" si="949"/>
        <v>0</v>
      </c>
    </row>
    <row r="1242" s="1" customFormat="1" spans="1:15">
      <c r="A1242" s="1" t="str">
        <f t="shared" si="911"/>
        <v>202406</v>
      </c>
      <c r="B1242" s="1" t="str">
        <f t="shared" si="912"/>
        <v>150525100</v>
      </c>
      <c r="C1242" s="1" t="str">
        <f>"1014619488"</f>
        <v>1014619488</v>
      </c>
      <c r="D1242" s="1" t="s">
        <v>1301</v>
      </c>
      <c r="E1242" s="1" t="s">
        <v>1302</v>
      </c>
      <c r="F1242" s="1" t="s">
        <v>25</v>
      </c>
      <c r="G1242" s="1" t="s">
        <v>17</v>
      </c>
      <c r="H1242" s="1" t="str">
        <f>"76"</f>
        <v>76</v>
      </c>
      <c r="I1242" s="1" t="str">
        <f t="shared" si="946"/>
        <v>160</v>
      </c>
      <c r="J1242" s="1" t="str">
        <f t="shared" ref="J1242:O1242" si="950">"0"</f>
        <v>0</v>
      </c>
      <c r="K1242" s="1" t="str">
        <f t="shared" ref="K1242:K1266" si="951">"103"</f>
        <v>103</v>
      </c>
      <c r="L1242" s="1" t="str">
        <f t="shared" ref="L1242:L1266" si="952">"47"</f>
        <v>47</v>
      </c>
      <c r="M1242" s="1" t="str">
        <f t="shared" si="950"/>
        <v>0</v>
      </c>
      <c r="N1242" s="1" t="str">
        <f t="shared" si="950"/>
        <v>0</v>
      </c>
      <c r="O1242" s="1" t="str">
        <f t="shared" si="950"/>
        <v>0</v>
      </c>
    </row>
    <row r="1243" s="1" customFormat="1" spans="1:15">
      <c r="A1243" s="1" t="str">
        <f t="shared" si="911"/>
        <v>202406</v>
      </c>
      <c r="B1243" s="1" t="str">
        <f t="shared" si="912"/>
        <v>150525100</v>
      </c>
      <c r="C1243" s="1" t="str">
        <f>"1014619657"</f>
        <v>1014619657</v>
      </c>
      <c r="D1243" s="1" t="str">
        <f>"152326194010193073"</f>
        <v>152326194010193073</v>
      </c>
      <c r="E1243" s="1" t="s">
        <v>1303</v>
      </c>
      <c r="F1243" s="1" t="s">
        <v>25</v>
      </c>
      <c r="G1243" s="1" t="s">
        <v>17</v>
      </c>
      <c r="H1243" s="1" t="str">
        <f>"84"</f>
        <v>84</v>
      </c>
      <c r="I1243" s="1" t="str">
        <f t="shared" si="944"/>
        <v>170</v>
      </c>
      <c r="J1243" s="1" t="str">
        <f t="shared" ref="J1243:O1243" si="953">"0"</f>
        <v>0</v>
      </c>
      <c r="K1243" s="1" t="str">
        <f t="shared" si="951"/>
        <v>103</v>
      </c>
      <c r="L1243" s="1" t="str">
        <f t="shared" si="952"/>
        <v>47</v>
      </c>
      <c r="M1243" s="1" t="str">
        <f t="shared" si="953"/>
        <v>0</v>
      </c>
      <c r="N1243" s="1" t="str">
        <f t="shared" si="953"/>
        <v>0</v>
      </c>
      <c r="O1243" s="1" t="str">
        <f t="shared" si="953"/>
        <v>0</v>
      </c>
    </row>
    <row r="1244" s="1" customFormat="1" spans="1:15">
      <c r="A1244" s="1" t="str">
        <f t="shared" si="911"/>
        <v>202406</v>
      </c>
      <c r="B1244" s="1" t="str">
        <f t="shared" si="912"/>
        <v>150525100</v>
      </c>
      <c r="C1244" s="1" t="str">
        <f>"1014619670"</f>
        <v>1014619670</v>
      </c>
      <c r="D1244" s="1" t="str">
        <f>"152326194908170660"</f>
        <v>152326194908170660</v>
      </c>
      <c r="E1244" s="1" t="s">
        <v>1304</v>
      </c>
      <c r="F1244" s="1" t="s">
        <v>16</v>
      </c>
      <c r="G1244" s="1" t="s">
        <v>19</v>
      </c>
      <c r="H1244" s="1" t="str">
        <f>"75"</f>
        <v>75</v>
      </c>
      <c r="I1244" s="1" t="str">
        <f t="shared" si="946"/>
        <v>160</v>
      </c>
      <c r="J1244" s="1" t="str">
        <f t="shared" ref="J1244:O1244" si="954">"0"</f>
        <v>0</v>
      </c>
      <c r="K1244" s="1" t="str">
        <f t="shared" si="951"/>
        <v>103</v>
      </c>
      <c r="L1244" s="1" t="str">
        <f t="shared" si="952"/>
        <v>47</v>
      </c>
      <c r="M1244" s="1" t="str">
        <f t="shared" si="954"/>
        <v>0</v>
      </c>
      <c r="N1244" s="1" t="str">
        <f t="shared" si="954"/>
        <v>0</v>
      </c>
      <c r="O1244" s="1" t="str">
        <f t="shared" si="954"/>
        <v>0</v>
      </c>
    </row>
    <row r="1245" s="1" customFormat="1" spans="1:15">
      <c r="A1245" s="1" t="str">
        <f t="shared" si="911"/>
        <v>202406</v>
      </c>
      <c r="B1245" s="1" t="str">
        <f t="shared" si="912"/>
        <v>150525100</v>
      </c>
      <c r="C1245" s="1" t="str">
        <f>"1014629960"</f>
        <v>1014629960</v>
      </c>
      <c r="D1245" s="1" t="str">
        <f>"152326195107073814"</f>
        <v>152326195107073814</v>
      </c>
      <c r="E1245" s="1" t="s">
        <v>1305</v>
      </c>
      <c r="F1245" s="1" t="s">
        <v>25</v>
      </c>
      <c r="G1245" s="1" t="s">
        <v>19</v>
      </c>
      <c r="H1245" s="1" t="str">
        <f>"73"</f>
        <v>73</v>
      </c>
      <c r="I1245" s="1" t="str">
        <f t="shared" si="946"/>
        <v>160</v>
      </c>
      <c r="J1245" s="1" t="str">
        <f t="shared" ref="J1245:O1245" si="955">"0"</f>
        <v>0</v>
      </c>
      <c r="K1245" s="1" t="str">
        <f t="shared" si="951"/>
        <v>103</v>
      </c>
      <c r="L1245" s="1" t="str">
        <f t="shared" si="952"/>
        <v>47</v>
      </c>
      <c r="M1245" s="1" t="str">
        <f t="shared" si="955"/>
        <v>0</v>
      </c>
      <c r="N1245" s="1" t="str">
        <f t="shared" si="955"/>
        <v>0</v>
      </c>
      <c r="O1245" s="1" t="str">
        <f t="shared" si="955"/>
        <v>0</v>
      </c>
    </row>
    <row r="1246" s="1" customFormat="1" spans="1:15">
      <c r="A1246" s="1" t="str">
        <f t="shared" si="911"/>
        <v>202406</v>
      </c>
      <c r="B1246" s="1" t="str">
        <f t="shared" si="912"/>
        <v>150525100</v>
      </c>
      <c r="C1246" s="1" t="str">
        <f>"1014623023"</f>
        <v>1014623023</v>
      </c>
      <c r="D1246" s="1" t="str">
        <f>"152326193904100046"</f>
        <v>152326193904100046</v>
      </c>
      <c r="E1246" s="1" t="s">
        <v>1306</v>
      </c>
      <c r="F1246" s="1" t="s">
        <v>16</v>
      </c>
      <c r="G1246" s="1" t="s">
        <v>17</v>
      </c>
      <c r="H1246" s="1" t="str">
        <f>"85"</f>
        <v>85</v>
      </c>
      <c r="I1246" s="1" t="str">
        <f t="shared" ref="I1246:I1250" si="956">"170"</f>
        <v>170</v>
      </c>
      <c r="J1246" s="1" t="str">
        <f t="shared" ref="J1246:O1246" si="957">"0"</f>
        <v>0</v>
      </c>
      <c r="K1246" s="1" t="str">
        <f t="shared" si="951"/>
        <v>103</v>
      </c>
      <c r="L1246" s="1" t="str">
        <f t="shared" si="952"/>
        <v>47</v>
      </c>
      <c r="M1246" s="1" t="str">
        <f t="shared" si="957"/>
        <v>0</v>
      </c>
      <c r="N1246" s="1" t="str">
        <f t="shared" si="957"/>
        <v>0</v>
      </c>
      <c r="O1246" s="1" t="str">
        <f t="shared" si="957"/>
        <v>0</v>
      </c>
    </row>
    <row r="1247" s="1" customFormat="1" spans="1:15">
      <c r="A1247" s="1" t="str">
        <f t="shared" si="911"/>
        <v>202406</v>
      </c>
      <c r="B1247" s="1" t="str">
        <f t="shared" si="912"/>
        <v>150525100</v>
      </c>
      <c r="C1247" s="1" t="str">
        <f>"1014623518"</f>
        <v>1014623518</v>
      </c>
      <c r="D1247" s="1" t="str">
        <f>"152326193709200420"</f>
        <v>152326193709200420</v>
      </c>
      <c r="E1247" s="1" t="s">
        <v>1307</v>
      </c>
      <c r="F1247" s="1" t="s">
        <v>16</v>
      </c>
      <c r="G1247" s="1" t="s">
        <v>17</v>
      </c>
      <c r="H1247" s="1" t="str">
        <f>"87"</f>
        <v>87</v>
      </c>
      <c r="I1247" s="1" t="str">
        <f t="shared" si="956"/>
        <v>170</v>
      </c>
      <c r="J1247" s="1" t="str">
        <f t="shared" ref="J1247:O1247" si="958">"0"</f>
        <v>0</v>
      </c>
      <c r="K1247" s="1" t="str">
        <f t="shared" si="951"/>
        <v>103</v>
      </c>
      <c r="L1247" s="1" t="str">
        <f t="shared" si="952"/>
        <v>47</v>
      </c>
      <c r="M1247" s="1" t="str">
        <f t="shared" si="958"/>
        <v>0</v>
      </c>
      <c r="N1247" s="1" t="str">
        <f t="shared" si="958"/>
        <v>0</v>
      </c>
      <c r="O1247" s="1" t="str">
        <f t="shared" si="958"/>
        <v>0</v>
      </c>
    </row>
    <row r="1248" s="1" customFormat="1" spans="1:15">
      <c r="A1248" s="1" t="str">
        <f t="shared" si="911"/>
        <v>202406</v>
      </c>
      <c r="B1248" s="1" t="str">
        <f t="shared" si="912"/>
        <v>150525100</v>
      </c>
      <c r="C1248" s="1" t="str">
        <f>"1014629479"</f>
        <v>1014629479</v>
      </c>
      <c r="D1248" s="1" t="s">
        <v>1308</v>
      </c>
      <c r="E1248" s="1" t="s">
        <v>1309</v>
      </c>
      <c r="F1248" s="1" t="s">
        <v>16</v>
      </c>
      <c r="G1248" s="1" t="s">
        <v>19</v>
      </c>
      <c r="H1248" s="1" t="str">
        <f>"76"</f>
        <v>76</v>
      </c>
      <c r="I1248" s="1" t="str">
        <f t="shared" ref="I1248:I1251" si="959">"160"</f>
        <v>160</v>
      </c>
      <c r="J1248" s="1" t="str">
        <f t="shared" ref="J1248:O1248" si="960">"0"</f>
        <v>0</v>
      </c>
      <c r="K1248" s="1" t="str">
        <f t="shared" si="951"/>
        <v>103</v>
      </c>
      <c r="L1248" s="1" t="str">
        <f t="shared" si="952"/>
        <v>47</v>
      </c>
      <c r="M1248" s="1" t="str">
        <f t="shared" si="960"/>
        <v>0</v>
      </c>
      <c r="N1248" s="1" t="str">
        <f t="shared" si="960"/>
        <v>0</v>
      </c>
      <c r="O1248" s="1" t="str">
        <f t="shared" si="960"/>
        <v>0</v>
      </c>
    </row>
    <row r="1249" s="1" customFormat="1" spans="1:15">
      <c r="A1249" s="1" t="str">
        <f t="shared" si="911"/>
        <v>202406</v>
      </c>
      <c r="B1249" s="1" t="str">
        <f t="shared" si="912"/>
        <v>150525100</v>
      </c>
      <c r="C1249" s="1" t="str">
        <f>"1014629484"</f>
        <v>1014629484</v>
      </c>
      <c r="D1249" s="1" t="str">
        <f>"152326194407273821"</f>
        <v>152326194407273821</v>
      </c>
      <c r="E1249" s="1" t="s">
        <v>1310</v>
      </c>
      <c r="F1249" s="1" t="s">
        <v>16</v>
      </c>
      <c r="G1249" s="1" t="s">
        <v>19</v>
      </c>
      <c r="H1249" s="1" t="str">
        <f>"80"</f>
        <v>80</v>
      </c>
      <c r="I1249" s="1" t="str">
        <f t="shared" si="959"/>
        <v>160</v>
      </c>
      <c r="J1249" s="1" t="str">
        <f t="shared" ref="J1249:O1249" si="961">"0"</f>
        <v>0</v>
      </c>
      <c r="K1249" s="1" t="str">
        <f t="shared" si="951"/>
        <v>103</v>
      </c>
      <c r="L1249" s="1" t="str">
        <f t="shared" si="952"/>
        <v>47</v>
      </c>
      <c r="M1249" s="1" t="str">
        <f t="shared" si="961"/>
        <v>0</v>
      </c>
      <c r="N1249" s="1" t="str">
        <f t="shared" si="961"/>
        <v>0</v>
      </c>
      <c r="O1249" s="1" t="str">
        <f t="shared" si="961"/>
        <v>0</v>
      </c>
    </row>
    <row r="1250" s="1" customFormat="1" spans="1:15">
      <c r="A1250" s="1" t="str">
        <f t="shared" si="911"/>
        <v>202406</v>
      </c>
      <c r="B1250" s="1" t="str">
        <f t="shared" si="912"/>
        <v>150525100</v>
      </c>
      <c r="C1250" s="1" t="str">
        <f>"1014629502"</f>
        <v>1014629502</v>
      </c>
      <c r="D1250" s="1" t="s">
        <v>1311</v>
      </c>
      <c r="E1250" s="1" t="s">
        <v>1177</v>
      </c>
      <c r="F1250" s="1" t="s">
        <v>16</v>
      </c>
      <c r="G1250" s="1" t="s">
        <v>17</v>
      </c>
      <c r="H1250" s="1" t="str">
        <f>"90"</f>
        <v>90</v>
      </c>
      <c r="I1250" s="1" t="str">
        <f t="shared" si="956"/>
        <v>170</v>
      </c>
      <c r="J1250" s="1" t="str">
        <f t="shared" ref="J1250:O1250" si="962">"0"</f>
        <v>0</v>
      </c>
      <c r="K1250" s="1" t="str">
        <f t="shared" si="951"/>
        <v>103</v>
      </c>
      <c r="L1250" s="1" t="str">
        <f t="shared" si="952"/>
        <v>47</v>
      </c>
      <c r="M1250" s="1" t="str">
        <f t="shared" si="962"/>
        <v>0</v>
      </c>
      <c r="N1250" s="1" t="str">
        <f t="shared" si="962"/>
        <v>0</v>
      </c>
      <c r="O1250" s="1" t="str">
        <f t="shared" si="962"/>
        <v>0</v>
      </c>
    </row>
    <row r="1251" s="1" customFormat="1" spans="1:15">
      <c r="A1251" s="1" t="str">
        <f t="shared" si="911"/>
        <v>202406</v>
      </c>
      <c r="B1251" s="1" t="str">
        <f t="shared" si="912"/>
        <v>150525100</v>
      </c>
      <c r="C1251" s="1" t="str">
        <f>"1014629505"</f>
        <v>1014629505</v>
      </c>
      <c r="D1251" s="1" t="str">
        <f>"152326194712030025"</f>
        <v>152326194712030025</v>
      </c>
      <c r="E1251" s="1" t="s">
        <v>1312</v>
      </c>
      <c r="F1251" s="1" t="s">
        <v>16</v>
      </c>
      <c r="G1251" s="1" t="s">
        <v>17</v>
      </c>
      <c r="H1251" s="1" t="str">
        <f>"77"</f>
        <v>77</v>
      </c>
      <c r="I1251" s="1" t="str">
        <f t="shared" si="959"/>
        <v>160</v>
      </c>
      <c r="J1251" s="1" t="str">
        <f t="shared" ref="J1251:O1251" si="963">"0"</f>
        <v>0</v>
      </c>
      <c r="K1251" s="1" t="str">
        <f t="shared" si="951"/>
        <v>103</v>
      </c>
      <c r="L1251" s="1" t="str">
        <f t="shared" si="952"/>
        <v>47</v>
      </c>
      <c r="M1251" s="1" t="str">
        <f t="shared" si="963"/>
        <v>0</v>
      </c>
      <c r="N1251" s="1" t="str">
        <f t="shared" si="963"/>
        <v>0</v>
      </c>
      <c r="O1251" s="1" t="str">
        <f t="shared" si="963"/>
        <v>0</v>
      </c>
    </row>
    <row r="1252" s="1" customFormat="1" spans="1:15">
      <c r="A1252" s="1" t="str">
        <f t="shared" si="911"/>
        <v>202406</v>
      </c>
      <c r="B1252" s="1" t="str">
        <f t="shared" si="912"/>
        <v>150525100</v>
      </c>
      <c r="C1252" s="1" t="str">
        <f>"1014629540"</f>
        <v>1014629540</v>
      </c>
      <c r="D1252" s="1" t="str">
        <f>"152326193810070026"</f>
        <v>152326193810070026</v>
      </c>
      <c r="E1252" s="1" t="s">
        <v>1313</v>
      </c>
      <c r="F1252" s="1" t="s">
        <v>16</v>
      </c>
      <c r="G1252" s="1" t="s">
        <v>17</v>
      </c>
      <c r="H1252" s="1" t="str">
        <f>"86"</f>
        <v>86</v>
      </c>
      <c r="I1252" s="1" t="str">
        <f>"170"</f>
        <v>170</v>
      </c>
      <c r="J1252" s="1" t="str">
        <f t="shared" ref="J1252:O1252" si="964">"0"</f>
        <v>0</v>
      </c>
      <c r="K1252" s="1" t="str">
        <f t="shared" si="951"/>
        <v>103</v>
      </c>
      <c r="L1252" s="1" t="str">
        <f t="shared" si="952"/>
        <v>47</v>
      </c>
      <c r="M1252" s="1" t="str">
        <f t="shared" si="964"/>
        <v>0</v>
      </c>
      <c r="N1252" s="1" t="str">
        <f t="shared" si="964"/>
        <v>0</v>
      </c>
      <c r="O1252" s="1" t="str">
        <f t="shared" si="964"/>
        <v>0</v>
      </c>
    </row>
    <row r="1253" s="1" customFormat="1" spans="1:15">
      <c r="A1253" s="1" t="str">
        <f t="shared" si="911"/>
        <v>202406</v>
      </c>
      <c r="B1253" s="1" t="str">
        <f t="shared" si="912"/>
        <v>150525100</v>
      </c>
      <c r="C1253" s="1" t="str">
        <f>"1014629545"</f>
        <v>1014629545</v>
      </c>
      <c r="D1253" s="1" t="str">
        <f>"152326195105193089"</f>
        <v>152326195105193089</v>
      </c>
      <c r="E1253" s="1" t="s">
        <v>1314</v>
      </c>
      <c r="F1253" s="1" t="s">
        <v>16</v>
      </c>
      <c r="G1253" s="1" t="s">
        <v>17</v>
      </c>
      <c r="H1253" s="1" t="str">
        <f t="shared" ref="H1253:H1258" si="965">"73"</f>
        <v>73</v>
      </c>
      <c r="I1253" s="1" t="str">
        <f t="shared" ref="I1253:I1255" si="966">"160"</f>
        <v>160</v>
      </c>
      <c r="J1253" s="1" t="str">
        <f t="shared" ref="J1253:O1253" si="967">"0"</f>
        <v>0</v>
      </c>
      <c r="K1253" s="1" t="str">
        <f t="shared" si="951"/>
        <v>103</v>
      </c>
      <c r="L1253" s="1" t="str">
        <f t="shared" si="952"/>
        <v>47</v>
      </c>
      <c r="M1253" s="1" t="str">
        <f t="shared" si="967"/>
        <v>0</v>
      </c>
      <c r="N1253" s="1" t="str">
        <f t="shared" si="967"/>
        <v>0</v>
      </c>
      <c r="O1253" s="1" t="str">
        <f t="shared" si="967"/>
        <v>0</v>
      </c>
    </row>
    <row r="1254" s="1" customFormat="1" spans="1:15">
      <c r="A1254" s="1" t="str">
        <f t="shared" si="911"/>
        <v>202406</v>
      </c>
      <c r="B1254" s="1" t="str">
        <f t="shared" si="912"/>
        <v>150525100</v>
      </c>
      <c r="C1254" s="1" t="str">
        <f>"1014629556"</f>
        <v>1014629556</v>
      </c>
      <c r="D1254" s="1" t="str">
        <f>"152326194411303077"</f>
        <v>152326194411303077</v>
      </c>
      <c r="E1254" s="1" t="s">
        <v>1315</v>
      </c>
      <c r="F1254" s="1" t="s">
        <v>25</v>
      </c>
      <c r="G1254" s="1" t="s">
        <v>17</v>
      </c>
      <c r="H1254" s="1" t="str">
        <f>"80"</f>
        <v>80</v>
      </c>
      <c r="I1254" s="1" t="str">
        <f t="shared" si="966"/>
        <v>160</v>
      </c>
      <c r="J1254" s="1" t="str">
        <f t="shared" ref="J1254:O1254" si="968">"0"</f>
        <v>0</v>
      </c>
      <c r="K1254" s="1" t="str">
        <f t="shared" si="951"/>
        <v>103</v>
      </c>
      <c r="L1254" s="1" t="str">
        <f t="shared" si="952"/>
        <v>47</v>
      </c>
      <c r="M1254" s="1" t="str">
        <f t="shared" si="968"/>
        <v>0</v>
      </c>
      <c r="N1254" s="1" t="str">
        <f t="shared" si="968"/>
        <v>0</v>
      </c>
      <c r="O1254" s="1" t="str">
        <f t="shared" si="968"/>
        <v>0</v>
      </c>
    </row>
    <row r="1255" s="1" customFormat="1" spans="1:15">
      <c r="A1255" s="1" t="str">
        <f t="shared" si="911"/>
        <v>202406</v>
      </c>
      <c r="B1255" s="1" t="str">
        <f t="shared" si="912"/>
        <v>150525100</v>
      </c>
      <c r="C1255" s="1" t="str">
        <f>"1014612968"</f>
        <v>1014612968</v>
      </c>
      <c r="D1255" s="1" t="str">
        <f>"152326194909120921"</f>
        <v>152326194909120921</v>
      </c>
      <c r="E1255" s="1" t="s">
        <v>510</v>
      </c>
      <c r="F1255" s="1" t="s">
        <v>16</v>
      </c>
      <c r="G1255" s="1" t="s">
        <v>19</v>
      </c>
      <c r="H1255" s="1" t="str">
        <f>"75"</f>
        <v>75</v>
      </c>
      <c r="I1255" s="1" t="str">
        <f t="shared" si="966"/>
        <v>160</v>
      </c>
      <c r="J1255" s="1" t="str">
        <f t="shared" ref="J1255:O1255" si="969">"0"</f>
        <v>0</v>
      </c>
      <c r="K1255" s="1" t="str">
        <f t="shared" si="951"/>
        <v>103</v>
      </c>
      <c r="L1255" s="1" t="str">
        <f t="shared" si="952"/>
        <v>47</v>
      </c>
      <c r="M1255" s="1" t="str">
        <f t="shared" si="969"/>
        <v>0</v>
      </c>
      <c r="N1255" s="1" t="str">
        <f t="shared" si="969"/>
        <v>0</v>
      </c>
      <c r="O1255" s="1" t="str">
        <f t="shared" si="969"/>
        <v>0</v>
      </c>
    </row>
    <row r="1256" s="1" customFormat="1" spans="1:15">
      <c r="A1256" s="1" t="str">
        <f t="shared" si="911"/>
        <v>202406</v>
      </c>
      <c r="B1256" s="1" t="str">
        <f t="shared" si="912"/>
        <v>150525100</v>
      </c>
      <c r="C1256" s="1" t="str">
        <f>"1014612972"</f>
        <v>1014612972</v>
      </c>
      <c r="D1256" s="1" t="str">
        <f>"152326194101240920"</f>
        <v>152326194101240920</v>
      </c>
      <c r="E1256" s="1" t="s">
        <v>1316</v>
      </c>
      <c r="F1256" s="1" t="s">
        <v>16</v>
      </c>
      <c r="G1256" s="1" t="s">
        <v>19</v>
      </c>
      <c r="H1256" s="1" t="str">
        <f>"83"</f>
        <v>83</v>
      </c>
      <c r="I1256" s="1" t="str">
        <f>"170"</f>
        <v>170</v>
      </c>
      <c r="J1256" s="1" t="str">
        <f t="shared" ref="J1256:O1256" si="970">"0"</f>
        <v>0</v>
      </c>
      <c r="K1256" s="1" t="str">
        <f t="shared" si="951"/>
        <v>103</v>
      </c>
      <c r="L1256" s="1" t="str">
        <f t="shared" si="952"/>
        <v>47</v>
      </c>
      <c r="M1256" s="1" t="str">
        <f t="shared" si="970"/>
        <v>0</v>
      </c>
      <c r="N1256" s="1" t="str">
        <f t="shared" si="970"/>
        <v>0</v>
      </c>
      <c r="O1256" s="1" t="str">
        <f t="shared" si="970"/>
        <v>0</v>
      </c>
    </row>
    <row r="1257" s="1" customFormat="1" spans="1:15">
      <c r="A1257" s="1" t="str">
        <f t="shared" si="911"/>
        <v>202406</v>
      </c>
      <c r="B1257" s="1" t="str">
        <f t="shared" si="912"/>
        <v>150525100</v>
      </c>
      <c r="C1257" s="1" t="str">
        <f>"1014613239"</f>
        <v>1014613239</v>
      </c>
      <c r="D1257" s="1" t="str">
        <f>"152326195108200424"</f>
        <v>152326195108200424</v>
      </c>
      <c r="E1257" s="1" t="s">
        <v>1317</v>
      </c>
      <c r="F1257" s="1" t="s">
        <v>16</v>
      </c>
      <c r="G1257" s="1" t="s">
        <v>17</v>
      </c>
      <c r="H1257" s="1" t="str">
        <f t="shared" si="965"/>
        <v>73</v>
      </c>
      <c r="I1257" s="1" t="str">
        <f t="shared" ref="I1257:I1263" si="971">"160"</f>
        <v>160</v>
      </c>
      <c r="J1257" s="1" t="str">
        <f t="shared" ref="J1257:O1257" si="972">"0"</f>
        <v>0</v>
      </c>
      <c r="K1257" s="1" t="str">
        <f t="shared" si="951"/>
        <v>103</v>
      </c>
      <c r="L1257" s="1" t="str">
        <f t="shared" si="952"/>
        <v>47</v>
      </c>
      <c r="M1257" s="1" t="str">
        <f t="shared" si="972"/>
        <v>0</v>
      </c>
      <c r="N1257" s="1" t="str">
        <f t="shared" si="972"/>
        <v>0</v>
      </c>
      <c r="O1257" s="1" t="str">
        <f t="shared" si="972"/>
        <v>0</v>
      </c>
    </row>
    <row r="1258" s="1" customFormat="1" spans="1:15">
      <c r="A1258" s="1" t="str">
        <f t="shared" si="911"/>
        <v>202406</v>
      </c>
      <c r="B1258" s="1" t="str">
        <f t="shared" si="912"/>
        <v>150525100</v>
      </c>
      <c r="C1258" s="1" t="str">
        <f>"1014622292"</f>
        <v>1014622292</v>
      </c>
      <c r="D1258" s="1" t="str">
        <f>"152326195103190669"</f>
        <v>152326195103190669</v>
      </c>
      <c r="E1258" s="1" t="s">
        <v>295</v>
      </c>
      <c r="F1258" s="1" t="s">
        <v>16</v>
      </c>
      <c r="G1258" s="1" t="s">
        <v>17</v>
      </c>
      <c r="H1258" s="1" t="str">
        <f t="shared" si="965"/>
        <v>73</v>
      </c>
      <c r="I1258" s="1" t="str">
        <f t="shared" si="971"/>
        <v>160</v>
      </c>
      <c r="J1258" s="1" t="str">
        <f t="shared" ref="J1258:O1258" si="973">"0"</f>
        <v>0</v>
      </c>
      <c r="K1258" s="1" t="str">
        <f t="shared" si="951"/>
        <v>103</v>
      </c>
      <c r="L1258" s="1" t="str">
        <f t="shared" si="952"/>
        <v>47</v>
      </c>
      <c r="M1258" s="1" t="str">
        <f t="shared" si="973"/>
        <v>0</v>
      </c>
      <c r="N1258" s="1" t="str">
        <f t="shared" si="973"/>
        <v>0</v>
      </c>
      <c r="O1258" s="1" t="str">
        <f t="shared" si="973"/>
        <v>0</v>
      </c>
    </row>
    <row r="1259" s="1" customFormat="1" spans="1:15">
      <c r="A1259" s="1" t="str">
        <f t="shared" si="911"/>
        <v>202406</v>
      </c>
      <c r="B1259" s="1" t="str">
        <f t="shared" si="912"/>
        <v>150525100</v>
      </c>
      <c r="C1259" s="1" t="str">
        <f>"1014624045"</f>
        <v>1014624045</v>
      </c>
      <c r="D1259" s="1" t="str">
        <f>"152326194405253077"</f>
        <v>152326194405253077</v>
      </c>
      <c r="E1259" s="1" t="s">
        <v>1318</v>
      </c>
      <c r="F1259" s="1" t="s">
        <v>25</v>
      </c>
      <c r="G1259" s="1" t="s">
        <v>17</v>
      </c>
      <c r="H1259" s="1" t="str">
        <f>"80"</f>
        <v>80</v>
      </c>
      <c r="I1259" s="1" t="str">
        <f>"170"</f>
        <v>170</v>
      </c>
      <c r="J1259" s="1" t="str">
        <f t="shared" ref="J1259:O1259" si="974">"0"</f>
        <v>0</v>
      </c>
      <c r="K1259" s="1" t="str">
        <f t="shared" si="951"/>
        <v>103</v>
      </c>
      <c r="L1259" s="1" t="str">
        <f t="shared" si="952"/>
        <v>47</v>
      </c>
      <c r="M1259" s="1" t="str">
        <f t="shared" si="974"/>
        <v>0</v>
      </c>
      <c r="N1259" s="1" t="str">
        <f t="shared" si="974"/>
        <v>0</v>
      </c>
      <c r="O1259" s="1" t="str">
        <f t="shared" si="974"/>
        <v>0</v>
      </c>
    </row>
    <row r="1260" s="1" customFormat="1" spans="1:15">
      <c r="A1260" s="1" t="str">
        <f t="shared" si="911"/>
        <v>202406</v>
      </c>
      <c r="B1260" s="1" t="str">
        <f t="shared" si="912"/>
        <v>150525100</v>
      </c>
      <c r="C1260" s="1" t="str">
        <f>"1014624060"</f>
        <v>1014624060</v>
      </c>
      <c r="D1260" s="1" t="str">
        <f>"152326194808153089"</f>
        <v>152326194808153089</v>
      </c>
      <c r="E1260" s="1" t="s">
        <v>980</v>
      </c>
      <c r="F1260" s="1" t="s">
        <v>16</v>
      </c>
      <c r="G1260" s="1" t="s">
        <v>17</v>
      </c>
      <c r="H1260" s="1" t="str">
        <f>"76"</f>
        <v>76</v>
      </c>
      <c r="I1260" s="1" t="str">
        <f t="shared" si="971"/>
        <v>160</v>
      </c>
      <c r="J1260" s="1" t="str">
        <f t="shared" ref="J1260:O1260" si="975">"0"</f>
        <v>0</v>
      </c>
      <c r="K1260" s="1" t="str">
        <f t="shared" si="951"/>
        <v>103</v>
      </c>
      <c r="L1260" s="1" t="str">
        <f t="shared" si="952"/>
        <v>47</v>
      </c>
      <c r="M1260" s="1" t="str">
        <f t="shared" si="975"/>
        <v>0</v>
      </c>
      <c r="N1260" s="1" t="str">
        <f t="shared" si="975"/>
        <v>0</v>
      </c>
      <c r="O1260" s="1" t="str">
        <f t="shared" si="975"/>
        <v>0</v>
      </c>
    </row>
    <row r="1261" s="1" customFormat="1" spans="1:15">
      <c r="A1261" s="1" t="str">
        <f t="shared" si="911"/>
        <v>202406</v>
      </c>
      <c r="B1261" s="1" t="str">
        <f t="shared" si="912"/>
        <v>150525100</v>
      </c>
      <c r="C1261" s="1" t="str">
        <f>"1014619517"</f>
        <v>1014619517</v>
      </c>
      <c r="D1261" s="1" t="str">
        <f>"152326195006163079"</f>
        <v>152326195006163079</v>
      </c>
      <c r="E1261" s="1" t="s">
        <v>1319</v>
      </c>
      <c r="F1261" s="1" t="s">
        <v>25</v>
      </c>
      <c r="G1261" s="1" t="s">
        <v>17</v>
      </c>
      <c r="H1261" s="1" t="str">
        <f>"74"</f>
        <v>74</v>
      </c>
      <c r="I1261" s="1" t="str">
        <f t="shared" si="971"/>
        <v>160</v>
      </c>
      <c r="J1261" s="1" t="str">
        <f t="shared" ref="J1261:O1261" si="976">"0"</f>
        <v>0</v>
      </c>
      <c r="K1261" s="1" t="str">
        <f t="shared" si="951"/>
        <v>103</v>
      </c>
      <c r="L1261" s="1" t="str">
        <f t="shared" si="952"/>
        <v>47</v>
      </c>
      <c r="M1261" s="1" t="str">
        <f t="shared" si="976"/>
        <v>0</v>
      </c>
      <c r="N1261" s="1" t="str">
        <f t="shared" si="976"/>
        <v>0</v>
      </c>
      <c r="O1261" s="1" t="str">
        <f t="shared" si="976"/>
        <v>0</v>
      </c>
    </row>
    <row r="1262" s="1" customFormat="1" spans="1:15">
      <c r="A1262" s="1" t="str">
        <f t="shared" si="911"/>
        <v>202406</v>
      </c>
      <c r="B1262" s="1" t="str">
        <f t="shared" si="912"/>
        <v>150525100</v>
      </c>
      <c r="C1262" s="1" t="str">
        <f>"1014619536"</f>
        <v>1014619536</v>
      </c>
      <c r="D1262" s="1" t="str">
        <f>"152326195112040670"</f>
        <v>152326195112040670</v>
      </c>
      <c r="E1262" s="1" t="s">
        <v>1320</v>
      </c>
      <c r="F1262" s="1" t="s">
        <v>25</v>
      </c>
      <c r="G1262" s="1" t="s">
        <v>96</v>
      </c>
      <c r="H1262" s="1" t="str">
        <f>"73"</f>
        <v>73</v>
      </c>
      <c r="I1262" s="1" t="str">
        <f t="shared" si="971"/>
        <v>160</v>
      </c>
      <c r="J1262" s="1" t="str">
        <f t="shared" ref="J1262:O1262" si="977">"0"</f>
        <v>0</v>
      </c>
      <c r="K1262" s="1" t="str">
        <f t="shared" si="951"/>
        <v>103</v>
      </c>
      <c r="L1262" s="1" t="str">
        <f t="shared" si="952"/>
        <v>47</v>
      </c>
      <c r="M1262" s="1" t="str">
        <f t="shared" si="977"/>
        <v>0</v>
      </c>
      <c r="N1262" s="1" t="str">
        <f t="shared" si="977"/>
        <v>0</v>
      </c>
      <c r="O1262" s="1" t="str">
        <f t="shared" si="977"/>
        <v>0</v>
      </c>
    </row>
    <row r="1263" s="1" customFormat="1" spans="1:15">
      <c r="A1263" s="1" t="str">
        <f t="shared" si="911"/>
        <v>202406</v>
      </c>
      <c r="B1263" s="1" t="str">
        <f t="shared" si="912"/>
        <v>150525100</v>
      </c>
      <c r="C1263" s="1" t="str">
        <f>"1014619701"</f>
        <v>1014619701</v>
      </c>
      <c r="D1263" s="1" t="str">
        <f>"152326194609270661"</f>
        <v>152326194609270661</v>
      </c>
      <c r="E1263" s="1" t="s">
        <v>1321</v>
      </c>
      <c r="F1263" s="1" t="s">
        <v>16</v>
      </c>
      <c r="G1263" s="1" t="s">
        <v>19</v>
      </c>
      <c r="H1263" s="1" t="str">
        <f>"78"</f>
        <v>78</v>
      </c>
      <c r="I1263" s="1" t="str">
        <f t="shared" si="971"/>
        <v>160</v>
      </c>
      <c r="J1263" s="1" t="str">
        <f t="shared" ref="J1263:O1263" si="978">"0"</f>
        <v>0</v>
      </c>
      <c r="K1263" s="1" t="str">
        <f t="shared" si="951"/>
        <v>103</v>
      </c>
      <c r="L1263" s="1" t="str">
        <f t="shared" si="952"/>
        <v>47</v>
      </c>
      <c r="M1263" s="1" t="str">
        <f t="shared" si="978"/>
        <v>0</v>
      </c>
      <c r="N1263" s="1" t="str">
        <f t="shared" si="978"/>
        <v>0</v>
      </c>
      <c r="O1263" s="1" t="str">
        <f t="shared" si="978"/>
        <v>0</v>
      </c>
    </row>
    <row r="1264" s="1" customFormat="1" spans="1:15">
      <c r="A1264" s="1" t="str">
        <f t="shared" si="911"/>
        <v>202406</v>
      </c>
      <c r="B1264" s="1" t="str">
        <f t="shared" si="912"/>
        <v>150525100</v>
      </c>
      <c r="C1264" s="1" t="str">
        <f>"1014629206"</f>
        <v>1014629206</v>
      </c>
      <c r="D1264" s="1" t="str">
        <f>"152326194405093085"</f>
        <v>152326194405093085</v>
      </c>
      <c r="E1264" s="1" t="s">
        <v>1231</v>
      </c>
      <c r="F1264" s="1" t="s">
        <v>16</v>
      </c>
      <c r="G1264" s="1" t="s">
        <v>17</v>
      </c>
      <c r="H1264" s="1" t="str">
        <f>"80"</f>
        <v>80</v>
      </c>
      <c r="I1264" s="1" t="str">
        <f>"170"</f>
        <v>170</v>
      </c>
      <c r="J1264" s="1" t="str">
        <f t="shared" ref="J1264:O1264" si="979">"0"</f>
        <v>0</v>
      </c>
      <c r="K1264" s="1" t="str">
        <f t="shared" si="951"/>
        <v>103</v>
      </c>
      <c r="L1264" s="1" t="str">
        <f t="shared" si="952"/>
        <v>47</v>
      </c>
      <c r="M1264" s="1" t="str">
        <f t="shared" si="979"/>
        <v>0</v>
      </c>
      <c r="N1264" s="1" t="str">
        <f t="shared" si="979"/>
        <v>0</v>
      </c>
      <c r="O1264" s="1" t="str">
        <f t="shared" si="979"/>
        <v>0</v>
      </c>
    </row>
    <row r="1265" s="1" customFormat="1" spans="1:15">
      <c r="A1265" s="1" t="str">
        <f t="shared" si="911"/>
        <v>202406</v>
      </c>
      <c r="B1265" s="1" t="str">
        <f t="shared" si="912"/>
        <v>150525100</v>
      </c>
      <c r="C1265" s="1" t="str">
        <f>"1014629219"</f>
        <v>1014629219</v>
      </c>
      <c r="D1265" s="1" t="str">
        <f>"152326194410013094"</f>
        <v>152326194410013094</v>
      </c>
      <c r="E1265" s="1" t="s">
        <v>1322</v>
      </c>
      <c r="F1265" s="1" t="s">
        <v>25</v>
      </c>
      <c r="G1265" s="1" t="s">
        <v>17</v>
      </c>
      <c r="H1265" s="1" t="str">
        <f>"80"</f>
        <v>80</v>
      </c>
      <c r="I1265" s="1" t="str">
        <f>"160"</f>
        <v>160</v>
      </c>
      <c r="J1265" s="1" t="str">
        <f t="shared" ref="J1265:O1265" si="980">"0"</f>
        <v>0</v>
      </c>
      <c r="K1265" s="1" t="str">
        <f t="shared" si="951"/>
        <v>103</v>
      </c>
      <c r="L1265" s="1" t="str">
        <f t="shared" si="952"/>
        <v>47</v>
      </c>
      <c r="M1265" s="1" t="str">
        <f t="shared" si="980"/>
        <v>0</v>
      </c>
      <c r="N1265" s="1" t="str">
        <f t="shared" si="980"/>
        <v>0</v>
      </c>
      <c r="O1265" s="1" t="str">
        <f t="shared" si="980"/>
        <v>0</v>
      </c>
    </row>
    <row r="1266" s="1" customFormat="1" spans="1:15">
      <c r="A1266" s="1" t="str">
        <f t="shared" si="911"/>
        <v>202406</v>
      </c>
      <c r="B1266" s="1" t="str">
        <f t="shared" si="912"/>
        <v>150525100</v>
      </c>
      <c r="C1266" s="1" t="str">
        <f>"1014629278"</f>
        <v>1014629278</v>
      </c>
      <c r="D1266" s="1" t="str">
        <f>"152326195007243820"</f>
        <v>152326195007243820</v>
      </c>
      <c r="E1266" s="1" t="s">
        <v>329</v>
      </c>
      <c r="F1266" s="1" t="s">
        <v>16</v>
      </c>
      <c r="G1266" s="1" t="s">
        <v>17</v>
      </c>
      <c r="H1266" s="1" t="str">
        <f>"74"</f>
        <v>74</v>
      </c>
      <c r="I1266" s="1" t="str">
        <f>"160"</f>
        <v>160</v>
      </c>
      <c r="J1266" s="1" t="str">
        <f t="shared" ref="J1266:O1266" si="981">"0"</f>
        <v>0</v>
      </c>
      <c r="K1266" s="1" t="str">
        <f t="shared" si="951"/>
        <v>103</v>
      </c>
      <c r="L1266" s="1" t="str">
        <f t="shared" si="952"/>
        <v>47</v>
      </c>
      <c r="M1266" s="1" t="str">
        <f t="shared" si="981"/>
        <v>0</v>
      </c>
      <c r="N1266" s="1" t="str">
        <f t="shared" si="981"/>
        <v>0</v>
      </c>
      <c r="O1266" s="1" t="str">
        <f t="shared" si="981"/>
        <v>0</v>
      </c>
    </row>
    <row r="1267" s="1" customFormat="1" spans="1:15">
      <c r="A1267" s="1" t="str">
        <f t="shared" si="911"/>
        <v>202406</v>
      </c>
      <c r="B1267" s="1" t="str">
        <f t="shared" si="912"/>
        <v>150525100</v>
      </c>
      <c r="C1267" s="1" t="str">
        <f>"1014629282"</f>
        <v>1014629282</v>
      </c>
      <c r="D1267" s="1" t="str">
        <f>"152326193012292070"</f>
        <v>152326193012292070</v>
      </c>
      <c r="E1267" s="1" t="s">
        <v>1323</v>
      </c>
      <c r="F1267" s="1" t="s">
        <v>25</v>
      </c>
      <c r="G1267" s="1" t="s">
        <v>17</v>
      </c>
      <c r="H1267" s="1" t="str">
        <f>"94"</f>
        <v>94</v>
      </c>
      <c r="I1267" s="1" t="str">
        <f>"1530"</f>
        <v>1530</v>
      </c>
      <c r="J1267" s="1" t="str">
        <f>"1360"</f>
        <v>1360</v>
      </c>
      <c r="K1267" s="1" t="str">
        <f>"927"</f>
        <v>927</v>
      </c>
      <c r="L1267" s="1" t="str">
        <f>"423"</f>
        <v>423</v>
      </c>
      <c r="M1267" s="1" t="str">
        <f t="shared" ref="M1267:O1267" si="982">"0"</f>
        <v>0</v>
      </c>
      <c r="N1267" s="1" t="str">
        <f t="shared" si="982"/>
        <v>0</v>
      </c>
      <c r="O1267" s="1" t="str">
        <f t="shared" si="982"/>
        <v>0</v>
      </c>
    </row>
    <row r="1268" s="1" customFormat="1" spans="1:15">
      <c r="A1268" s="1" t="str">
        <f t="shared" si="911"/>
        <v>202406</v>
      </c>
      <c r="B1268" s="1" t="str">
        <f t="shared" si="912"/>
        <v>150525100</v>
      </c>
      <c r="C1268" s="1" t="str">
        <f>"1014589148"</f>
        <v>1014589148</v>
      </c>
      <c r="D1268" s="1" t="str">
        <f>"152326195312150428"</f>
        <v>152326195312150428</v>
      </c>
      <c r="E1268" s="1" t="s">
        <v>1324</v>
      </c>
      <c r="F1268" s="1" t="s">
        <v>16</v>
      </c>
      <c r="G1268" s="1" t="s">
        <v>17</v>
      </c>
      <c r="H1268" s="1" t="str">
        <f>"71"</f>
        <v>71</v>
      </c>
      <c r="I1268" s="1" t="str">
        <f>"163.16"</f>
        <v>163.16</v>
      </c>
      <c r="J1268" s="1" t="str">
        <f t="shared" ref="J1268:N1268" si="983">"0"</f>
        <v>0</v>
      </c>
      <c r="K1268" s="1" t="str">
        <f t="shared" ref="K1268:K1287" si="984">"103"</f>
        <v>103</v>
      </c>
      <c r="L1268" s="1" t="str">
        <f t="shared" ref="L1268:L1287" si="985">"47"</f>
        <v>47</v>
      </c>
      <c r="M1268" s="1" t="str">
        <f t="shared" si="983"/>
        <v>0</v>
      </c>
      <c r="N1268" s="1" t="str">
        <f t="shared" si="983"/>
        <v>0</v>
      </c>
      <c r="O1268" s="1" t="str">
        <f>"3.16"</f>
        <v>3.16</v>
      </c>
    </row>
    <row r="1269" s="1" customFormat="1" spans="1:15">
      <c r="A1269" s="1" t="str">
        <f t="shared" si="911"/>
        <v>202406</v>
      </c>
      <c r="B1269" s="1" t="str">
        <f t="shared" si="912"/>
        <v>150525100</v>
      </c>
      <c r="C1269" s="1" t="str">
        <f>"1014589152"</f>
        <v>1014589152</v>
      </c>
      <c r="D1269" s="1" t="s">
        <v>1325</v>
      </c>
      <c r="E1269" s="1" t="s">
        <v>1326</v>
      </c>
      <c r="F1269" s="1" t="s">
        <v>16</v>
      </c>
      <c r="G1269" s="1" t="s">
        <v>17</v>
      </c>
      <c r="H1269" s="1" t="str">
        <f>"71"</f>
        <v>71</v>
      </c>
      <c r="I1269" s="1" t="str">
        <f>"163.16"</f>
        <v>163.16</v>
      </c>
      <c r="J1269" s="1" t="str">
        <f t="shared" ref="J1269:N1269" si="986">"0"</f>
        <v>0</v>
      </c>
      <c r="K1269" s="1" t="str">
        <f t="shared" si="984"/>
        <v>103</v>
      </c>
      <c r="L1269" s="1" t="str">
        <f t="shared" si="985"/>
        <v>47</v>
      </c>
      <c r="M1269" s="1" t="str">
        <f t="shared" si="986"/>
        <v>0</v>
      </c>
      <c r="N1269" s="1" t="str">
        <f t="shared" si="986"/>
        <v>0</v>
      </c>
      <c r="O1269" s="1" t="str">
        <f>"3.16"</f>
        <v>3.16</v>
      </c>
    </row>
    <row r="1270" s="1" customFormat="1" spans="1:15">
      <c r="A1270" s="1" t="str">
        <f t="shared" si="911"/>
        <v>202406</v>
      </c>
      <c r="B1270" s="1" t="str">
        <f t="shared" si="912"/>
        <v>150525100</v>
      </c>
      <c r="C1270" s="1" t="str">
        <f>"1014589155"</f>
        <v>1014589155</v>
      </c>
      <c r="D1270" s="1" t="str">
        <f>"152326196310060415"</f>
        <v>152326196310060415</v>
      </c>
      <c r="E1270" s="1" t="s">
        <v>1327</v>
      </c>
      <c r="F1270" s="1" t="s">
        <v>25</v>
      </c>
      <c r="G1270" s="1" t="s">
        <v>17</v>
      </c>
      <c r="H1270" s="1" t="str">
        <f>"61"</f>
        <v>61</v>
      </c>
      <c r="I1270" s="1" t="str">
        <f>"166.54"</f>
        <v>166.54</v>
      </c>
      <c r="J1270" s="1" t="str">
        <f t="shared" ref="J1270:N1270" si="987">"0"</f>
        <v>0</v>
      </c>
      <c r="K1270" s="1" t="str">
        <f t="shared" si="984"/>
        <v>103</v>
      </c>
      <c r="L1270" s="1" t="str">
        <f t="shared" si="985"/>
        <v>47</v>
      </c>
      <c r="M1270" s="1" t="str">
        <f t="shared" si="987"/>
        <v>0</v>
      </c>
      <c r="N1270" s="1" t="str">
        <f t="shared" si="987"/>
        <v>0</v>
      </c>
      <c r="O1270" s="1" t="str">
        <f>"16.54"</f>
        <v>16.54</v>
      </c>
    </row>
    <row r="1271" s="1" customFormat="1" spans="1:15">
      <c r="A1271" s="1" t="str">
        <f t="shared" si="911"/>
        <v>202406</v>
      </c>
      <c r="B1271" s="1" t="str">
        <f t="shared" si="912"/>
        <v>150525100</v>
      </c>
      <c r="C1271" s="1" t="str">
        <f>"1014613007"</f>
        <v>1014613007</v>
      </c>
      <c r="D1271" s="1" t="str">
        <f>"152326194604200920"</f>
        <v>152326194604200920</v>
      </c>
      <c r="E1271" s="1" t="s">
        <v>1328</v>
      </c>
      <c r="F1271" s="1" t="s">
        <v>16</v>
      </c>
      <c r="G1271" s="1" t="s">
        <v>19</v>
      </c>
      <c r="H1271" s="1" t="str">
        <f>"78"</f>
        <v>78</v>
      </c>
      <c r="I1271" s="1" t="str">
        <f t="shared" ref="I1271:I1275" si="988">"160"</f>
        <v>160</v>
      </c>
      <c r="J1271" s="1" t="str">
        <f t="shared" ref="J1271:O1271" si="989">"0"</f>
        <v>0</v>
      </c>
      <c r="K1271" s="1" t="str">
        <f t="shared" si="984"/>
        <v>103</v>
      </c>
      <c r="L1271" s="1" t="str">
        <f t="shared" si="985"/>
        <v>47</v>
      </c>
      <c r="M1271" s="1" t="str">
        <f t="shared" si="989"/>
        <v>0</v>
      </c>
      <c r="N1271" s="1" t="str">
        <f t="shared" si="989"/>
        <v>0</v>
      </c>
      <c r="O1271" s="1" t="str">
        <f t="shared" si="989"/>
        <v>0</v>
      </c>
    </row>
    <row r="1272" s="1" customFormat="1" spans="1:15">
      <c r="A1272" s="1" t="str">
        <f t="shared" si="911"/>
        <v>202406</v>
      </c>
      <c r="B1272" s="1" t="str">
        <f t="shared" si="912"/>
        <v>150525100</v>
      </c>
      <c r="C1272" s="1" t="str">
        <f>"1014613032"</f>
        <v>1014613032</v>
      </c>
      <c r="D1272" s="1" t="str">
        <f>"152326193612200926"</f>
        <v>152326193612200926</v>
      </c>
      <c r="E1272" s="1" t="s">
        <v>1329</v>
      </c>
      <c r="F1272" s="1" t="s">
        <v>16</v>
      </c>
      <c r="G1272" s="1" t="s">
        <v>19</v>
      </c>
      <c r="H1272" s="1" t="str">
        <f>"88"</f>
        <v>88</v>
      </c>
      <c r="I1272" s="1" t="str">
        <f t="shared" ref="I1272:I1277" si="990">"170"</f>
        <v>170</v>
      </c>
      <c r="J1272" s="1" t="str">
        <f t="shared" ref="J1272:O1272" si="991">"0"</f>
        <v>0</v>
      </c>
      <c r="K1272" s="1" t="str">
        <f t="shared" si="984"/>
        <v>103</v>
      </c>
      <c r="L1272" s="1" t="str">
        <f t="shared" si="985"/>
        <v>47</v>
      </c>
      <c r="M1272" s="1" t="str">
        <f t="shared" si="991"/>
        <v>0</v>
      </c>
      <c r="N1272" s="1" t="str">
        <f t="shared" si="991"/>
        <v>0</v>
      </c>
      <c r="O1272" s="1" t="str">
        <f t="shared" si="991"/>
        <v>0</v>
      </c>
    </row>
    <row r="1273" s="1" customFormat="1" spans="1:15">
      <c r="A1273" s="1" t="str">
        <f t="shared" si="911"/>
        <v>202406</v>
      </c>
      <c r="B1273" s="1" t="str">
        <f t="shared" si="912"/>
        <v>150525100</v>
      </c>
      <c r="C1273" s="1" t="str">
        <f>"1014613310"</f>
        <v>1014613310</v>
      </c>
      <c r="D1273" s="1" t="str">
        <f>"152326194906270414"</f>
        <v>152326194906270414</v>
      </c>
      <c r="E1273" s="1" t="s">
        <v>1330</v>
      </c>
      <c r="F1273" s="1" t="s">
        <v>25</v>
      </c>
      <c r="G1273" s="1" t="s">
        <v>19</v>
      </c>
      <c r="H1273" s="1" t="str">
        <f>"75"</f>
        <v>75</v>
      </c>
      <c r="I1273" s="1" t="str">
        <f t="shared" si="988"/>
        <v>160</v>
      </c>
      <c r="J1273" s="1" t="str">
        <f t="shared" ref="J1273:O1273" si="992">"0"</f>
        <v>0</v>
      </c>
      <c r="K1273" s="1" t="str">
        <f t="shared" si="984"/>
        <v>103</v>
      </c>
      <c r="L1273" s="1" t="str">
        <f t="shared" si="985"/>
        <v>47</v>
      </c>
      <c r="M1273" s="1" t="str">
        <f t="shared" si="992"/>
        <v>0</v>
      </c>
      <c r="N1273" s="1" t="str">
        <f t="shared" si="992"/>
        <v>0</v>
      </c>
      <c r="O1273" s="1" t="str">
        <f t="shared" si="992"/>
        <v>0</v>
      </c>
    </row>
    <row r="1274" s="1" customFormat="1" spans="1:15">
      <c r="A1274" s="1" t="str">
        <f t="shared" si="911"/>
        <v>202406</v>
      </c>
      <c r="B1274" s="1" t="str">
        <f t="shared" si="912"/>
        <v>150525100</v>
      </c>
      <c r="C1274" s="1" t="str">
        <f>"1014621936"</f>
        <v>1014621936</v>
      </c>
      <c r="D1274" s="1" t="str">
        <f>"152326194502170679"</f>
        <v>152326194502170679</v>
      </c>
      <c r="E1274" s="1" t="s">
        <v>1331</v>
      </c>
      <c r="F1274" s="1" t="s">
        <v>25</v>
      </c>
      <c r="G1274" s="1" t="s">
        <v>96</v>
      </c>
      <c r="H1274" s="1" t="str">
        <f>"79"</f>
        <v>79</v>
      </c>
      <c r="I1274" s="1" t="str">
        <f t="shared" si="988"/>
        <v>160</v>
      </c>
      <c r="J1274" s="1" t="str">
        <f t="shared" ref="J1274:O1274" si="993">"0"</f>
        <v>0</v>
      </c>
      <c r="K1274" s="1" t="str">
        <f t="shared" si="984"/>
        <v>103</v>
      </c>
      <c r="L1274" s="1" t="str">
        <f t="shared" si="985"/>
        <v>47</v>
      </c>
      <c r="M1274" s="1" t="str">
        <f t="shared" si="993"/>
        <v>0</v>
      </c>
      <c r="N1274" s="1" t="str">
        <f t="shared" si="993"/>
        <v>0</v>
      </c>
      <c r="O1274" s="1" t="str">
        <f t="shared" si="993"/>
        <v>0</v>
      </c>
    </row>
    <row r="1275" s="1" customFormat="1" spans="1:15">
      <c r="A1275" s="1" t="str">
        <f t="shared" si="911"/>
        <v>202406</v>
      </c>
      <c r="B1275" s="1" t="str">
        <f t="shared" si="912"/>
        <v>150525100</v>
      </c>
      <c r="C1275" s="1" t="str">
        <f>"1014621949"</f>
        <v>1014621949</v>
      </c>
      <c r="D1275" s="1" t="str">
        <f>"152326195003170679"</f>
        <v>152326195003170679</v>
      </c>
      <c r="E1275" s="1" t="s">
        <v>1332</v>
      </c>
      <c r="F1275" s="1" t="s">
        <v>25</v>
      </c>
      <c r="G1275" s="1" t="s">
        <v>19</v>
      </c>
      <c r="H1275" s="1" t="str">
        <f>"74"</f>
        <v>74</v>
      </c>
      <c r="I1275" s="1" t="str">
        <f t="shared" si="988"/>
        <v>160</v>
      </c>
      <c r="J1275" s="1" t="str">
        <f t="shared" ref="J1275:O1275" si="994">"0"</f>
        <v>0</v>
      </c>
      <c r="K1275" s="1" t="str">
        <f t="shared" si="984"/>
        <v>103</v>
      </c>
      <c r="L1275" s="1" t="str">
        <f t="shared" si="985"/>
        <v>47</v>
      </c>
      <c r="M1275" s="1" t="str">
        <f t="shared" si="994"/>
        <v>0</v>
      </c>
      <c r="N1275" s="1" t="str">
        <f t="shared" si="994"/>
        <v>0</v>
      </c>
      <c r="O1275" s="1" t="str">
        <f t="shared" si="994"/>
        <v>0</v>
      </c>
    </row>
    <row r="1276" s="1" customFormat="1" spans="1:15">
      <c r="A1276" s="1" t="str">
        <f t="shared" si="911"/>
        <v>202406</v>
      </c>
      <c r="B1276" s="1" t="str">
        <f t="shared" si="912"/>
        <v>150525100</v>
      </c>
      <c r="C1276" s="1" t="str">
        <f>"1014622333"</f>
        <v>1014622333</v>
      </c>
      <c r="D1276" s="1" t="str">
        <f>"152326194312110667"</f>
        <v>152326194312110667</v>
      </c>
      <c r="E1276" s="1" t="s">
        <v>1333</v>
      </c>
      <c r="F1276" s="1" t="s">
        <v>16</v>
      </c>
      <c r="G1276" s="1" t="s">
        <v>17</v>
      </c>
      <c r="H1276" s="1" t="str">
        <f>"81"</f>
        <v>81</v>
      </c>
      <c r="I1276" s="1" t="str">
        <f t="shared" si="990"/>
        <v>170</v>
      </c>
      <c r="J1276" s="1" t="str">
        <f t="shared" ref="J1276:O1276" si="995">"0"</f>
        <v>0</v>
      </c>
      <c r="K1276" s="1" t="str">
        <f t="shared" si="984"/>
        <v>103</v>
      </c>
      <c r="L1276" s="1" t="str">
        <f t="shared" si="985"/>
        <v>47</v>
      </c>
      <c r="M1276" s="1" t="str">
        <f t="shared" si="995"/>
        <v>0</v>
      </c>
      <c r="N1276" s="1" t="str">
        <f t="shared" si="995"/>
        <v>0</v>
      </c>
      <c r="O1276" s="1" t="str">
        <f t="shared" si="995"/>
        <v>0</v>
      </c>
    </row>
    <row r="1277" s="1" customFormat="1" spans="1:15">
      <c r="A1277" s="1" t="str">
        <f t="shared" si="911"/>
        <v>202406</v>
      </c>
      <c r="B1277" s="1" t="str">
        <f t="shared" si="912"/>
        <v>150525100</v>
      </c>
      <c r="C1277" s="1" t="str">
        <f>"1014622343"</f>
        <v>1014622343</v>
      </c>
      <c r="D1277" s="1" t="str">
        <f>"152326193601240666"</f>
        <v>152326193601240666</v>
      </c>
      <c r="E1277" s="1" t="s">
        <v>1334</v>
      </c>
      <c r="F1277" s="1" t="s">
        <v>16</v>
      </c>
      <c r="G1277" s="1" t="s">
        <v>17</v>
      </c>
      <c r="H1277" s="1" t="str">
        <f>"88"</f>
        <v>88</v>
      </c>
      <c r="I1277" s="1" t="str">
        <f t="shared" si="990"/>
        <v>170</v>
      </c>
      <c r="J1277" s="1" t="str">
        <f t="shared" ref="J1277:O1277" si="996">"0"</f>
        <v>0</v>
      </c>
      <c r="K1277" s="1" t="str">
        <f t="shared" si="984"/>
        <v>103</v>
      </c>
      <c r="L1277" s="1" t="str">
        <f t="shared" si="985"/>
        <v>47</v>
      </c>
      <c r="M1277" s="1" t="str">
        <f t="shared" si="996"/>
        <v>0</v>
      </c>
      <c r="N1277" s="1" t="str">
        <f t="shared" si="996"/>
        <v>0</v>
      </c>
      <c r="O1277" s="1" t="str">
        <f t="shared" si="996"/>
        <v>0</v>
      </c>
    </row>
    <row r="1278" s="1" customFormat="1" spans="1:15">
      <c r="A1278" s="1" t="str">
        <f t="shared" si="911"/>
        <v>202406</v>
      </c>
      <c r="B1278" s="1" t="str">
        <f t="shared" si="912"/>
        <v>150525100</v>
      </c>
      <c r="C1278" s="1" t="str">
        <f>"1014622347"</f>
        <v>1014622347</v>
      </c>
      <c r="D1278" s="1" t="str">
        <f>"152326194509140667"</f>
        <v>152326194509140667</v>
      </c>
      <c r="E1278" s="1" t="s">
        <v>805</v>
      </c>
      <c r="F1278" s="1" t="s">
        <v>16</v>
      </c>
      <c r="G1278" s="1" t="s">
        <v>17</v>
      </c>
      <c r="H1278" s="1" t="str">
        <f>"79"</f>
        <v>79</v>
      </c>
      <c r="I1278" s="1" t="str">
        <f t="shared" ref="I1278:I1282" si="997">"160"</f>
        <v>160</v>
      </c>
      <c r="J1278" s="1" t="str">
        <f t="shared" ref="J1278:O1278" si="998">"0"</f>
        <v>0</v>
      </c>
      <c r="K1278" s="1" t="str">
        <f t="shared" si="984"/>
        <v>103</v>
      </c>
      <c r="L1278" s="1" t="str">
        <f t="shared" si="985"/>
        <v>47</v>
      </c>
      <c r="M1278" s="1" t="str">
        <f t="shared" si="998"/>
        <v>0</v>
      </c>
      <c r="N1278" s="1" t="str">
        <f t="shared" si="998"/>
        <v>0</v>
      </c>
      <c r="O1278" s="1" t="str">
        <f t="shared" si="998"/>
        <v>0</v>
      </c>
    </row>
    <row r="1279" s="1" customFormat="1" spans="1:15">
      <c r="A1279" s="1" t="str">
        <f t="shared" si="911"/>
        <v>202406</v>
      </c>
      <c r="B1279" s="1" t="str">
        <f t="shared" si="912"/>
        <v>150525100</v>
      </c>
      <c r="C1279" s="1" t="str">
        <f>"1014622363"</f>
        <v>1014622363</v>
      </c>
      <c r="D1279" s="1" t="s">
        <v>1335</v>
      </c>
      <c r="E1279" s="1" t="s">
        <v>1336</v>
      </c>
      <c r="F1279" s="1" t="s">
        <v>16</v>
      </c>
      <c r="G1279" s="1" t="s">
        <v>17</v>
      </c>
      <c r="H1279" s="1" t="str">
        <f>"80"</f>
        <v>80</v>
      </c>
      <c r="I1279" s="1" t="str">
        <f t="shared" ref="I1279:I1284" si="999">"170"</f>
        <v>170</v>
      </c>
      <c r="J1279" s="1" t="str">
        <f t="shared" ref="J1279:O1279" si="1000">"0"</f>
        <v>0</v>
      </c>
      <c r="K1279" s="1" t="str">
        <f t="shared" si="984"/>
        <v>103</v>
      </c>
      <c r="L1279" s="1" t="str">
        <f t="shared" si="985"/>
        <v>47</v>
      </c>
      <c r="M1279" s="1" t="str">
        <f t="shared" si="1000"/>
        <v>0</v>
      </c>
      <c r="N1279" s="1" t="str">
        <f t="shared" si="1000"/>
        <v>0</v>
      </c>
      <c r="O1279" s="1" t="str">
        <f t="shared" si="1000"/>
        <v>0</v>
      </c>
    </row>
    <row r="1280" s="1" customFormat="1" spans="1:15">
      <c r="A1280" s="1" t="str">
        <f t="shared" si="911"/>
        <v>202406</v>
      </c>
      <c r="B1280" s="1" t="str">
        <f t="shared" si="912"/>
        <v>150525100</v>
      </c>
      <c r="C1280" s="1" t="str">
        <f>"1014622730"</f>
        <v>1014622730</v>
      </c>
      <c r="D1280" s="1" t="str">
        <f>"152326194805223328"</f>
        <v>152326194805223328</v>
      </c>
      <c r="E1280" s="1" t="s">
        <v>1337</v>
      </c>
      <c r="F1280" s="1" t="s">
        <v>16</v>
      </c>
      <c r="G1280" s="1" t="s">
        <v>17</v>
      </c>
      <c r="H1280" s="1" t="str">
        <f>"76"</f>
        <v>76</v>
      </c>
      <c r="I1280" s="1" t="str">
        <f t="shared" si="997"/>
        <v>160</v>
      </c>
      <c r="J1280" s="1" t="str">
        <f t="shared" ref="J1280:O1280" si="1001">"0"</f>
        <v>0</v>
      </c>
      <c r="K1280" s="1" t="str">
        <f t="shared" si="984"/>
        <v>103</v>
      </c>
      <c r="L1280" s="1" t="str">
        <f t="shared" si="985"/>
        <v>47</v>
      </c>
      <c r="M1280" s="1" t="str">
        <f t="shared" si="1001"/>
        <v>0</v>
      </c>
      <c r="N1280" s="1" t="str">
        <f t="shared" si="1001"/>
        <v>0</v>
      </c>
      <c r="O1280" s="1" t="str">
        <f t="shared" si="1001"/>
        <v>0</v>
      </c>
    </row>
    <row r="1281" s="1" customFormat="1" spans="1:15">
      <c r="A1281" s="1" t="str">
        <f t="shared" si="911"/>
        <v>202406</v>
      </c>
      <c r="B1281" s="1" t="str">
        <f t="shared" si="912"/>
        <v>150525100</v>
      </c>
      <c r="C1281" s="1" t="str">
        <f>"1014629241"</f>
        <v>1014629241</v>
      </c>
      <c r="D1281" s="1" t="s">
        <v>1338</v>
      </c>
      <c r="E1281" s="1" t="s">
        <v>870</v>
      </c>
      <c r="F1281" s="1" t="s">
        <v>16</v>
      </c>
      <c r="G1281" s="1" t="s">
        <v>19</v>
      </c>
      <c r="H1281" s="1" t="str">
        <f>"74"</f>
        <v>74</v>
      </c>
      <c r="I1281" s="1" t="str">
        <f t="shared" si="997"/>
        <v>160</v>
      </c>
      <c r="J1281" s="1" t="str">
        <f t="shared" ref="J1281:O1281" si="1002">"0"</f>
        <v>0</v>
      </c>
      <c r="K1281" s="1" t="str">
        <f t="shared" si="984"/>
        <v>103</v>
      </c>
      <c r="L1281" s="1" t="str">
        <f t="shared" si="985"/>
        <v>47</v>
      </c>
      <c r="M1281" s="1" t="str">
        <f t="shared" si="1002"/>
        <v>0</v>
      </c>
      <c r="N1281" s="1" t="str">
        <f t="shared" si="1002"/>
        <v>0</v>
      </c>
      <c r="O1281" s="1" t="str">
        <f t="shared" si="1002"/>
        <v>0</v>
      </c>
    </row>
    <row r="1282" s="1" customFormat="1" spans="1:15">
      <c r="A1282" s="1" t="str">
        <f t="shared" ref="A1282:A1345" si="1003">"202406"</f>
        <v>202406</v>
      </c>
      <c r="B1282" s="1" t="str">
        <f t="shared" ref="B1282:B1345" si="1004">"150525100"</f>
        <v>150525100</v>
      </c>
      <c r="C1282" s="1" t="str">
        <f>"1014629256"</f>
        <v>1014629256</v>
      </c>
      <c r="D1282" s="1" t="str">
        <f>"152326194911180018"</f>
        <v>152326194911180018</v>
      </c>
      <c r="E1282" s="1" t="s">
        <v>1339</v>
      </c>
      <c r="F1282" s="1" t="s">
        <v>25</v>
      </c>
      <c r="G1282" s="1" t="s">
        <v>19</v>
      </c>
      <c r="H1282" s="1" t="str">
        <f>"75"</f>
        <v>75</v>
      </c>
      <c r="I1282" s="1" t="str">
        <f t="shared" si="997"/>
        <v>160</v>
      </c>
      <c r="J1282" s="1" t="str">
        <f t="shared" ref="J1282:O1282" si="1005">"0"</f>
        <v>0</v>
      </c>
      <c r="K1282" s="1" t="str">
        <f t="shared" si="984"/>
        <v>103</v>
      </c>
      <c r="L1282" s="1" t="str">
        <f t="shared" si="985"/>
        <v>47</v>
      </c>
      <c r="M1282" s="1" t="str">
        <f t="shared" si="1005"/>
        <v>0</v>
      </c>
      <c r="N1282" s="1" t="str">
        <f t="shared" si="1005"/>
        <v>0</v>
      </c>
      <c r="O1282" s="1" t="str">
        <f t="shared" si="1005"/>
        <v>0</v>
      </c>
    </row>
    <row r="1283" s="1" customFormat="1" spans="1:15">
      <c r="A1283" s="1" t="str">
        <f t="shared" si="1003"/>
        <v>202406</v>
      </c>
      <c r="B1283" s="1" t="str">
        <f t="shared" si="1004"/>
        <v>150525100</v>
      </c>
      <c r="C1283" s="1" t="str">
        <f>"1014619596"</f>
        <v>1014619596</v>
      </c>
      <c r="D1283" s="1" t="str">
        <f>"152326193903033072"</f>
        <v>152326193903033072</v>
      </c>
      <c r="E1283" s="1" t="s">
        <v>1340</v>
      </c>
      <c r="F1283" s="1" t="s">
        <v>25</v>
      </c>
      <c r="G1283" s="1" t="s">
        <v>17</v>
      </c>
      <c r="H1283" s="1" t="str">
        <f>"85"</f>
        <v>85</v>
      </c>
      <c r="I1283" s="1" t="str">
        <f t="shared" si="999"/>
        <v>170</v>
      </c>
      <c r="J1283" s="1" t="str">
        <f t="shared" ref="J1283:O1283" si="1006">"0"</f>
        <v>0</v>
      </c>
      <c r="K1283" s="1" t="str">
        <f t="shared" si="984"/>
        <v>103</v>
      </c>
      <c r="L1283" s="1" t="str">
        <f t="shared" si="985"/>
        <v>47</v>
      </c>
      <c r="M1283" s="1" t="str">
        <f t="shared" si="1006"/>
        <v>0</v>
      </c>
      <c r="N1283" s="1" t="str">
        <f t="shared" si="1006"/>
        <v>0</v>
      </c>
      <c r="O1283" s="1" t="str">
        <f t="shared" si="1006"/>
        <v>0</v>
      </c>
    </row>
    <row r="1284" s="1" customFormat="1" spans="1:15">
      <c r="A1284" s="1" t="str">
        <f t="shared" si="1003"/>
        <v>202406</v>
      </c>
      <c r="B1284" s="1" t="str">
        <f t="shared" si="1004"/>
        <v>150525100</v>
      </c>
      <c r="C1284" s="1" t="str">
        <f>"1014619603"</f>
        <v>1014619603</v>
      </c>
      <c r="D1284" s="1" t="s">
        <v>1341</v>
      </c>
      <c r="E1284" s="1" t="s">
        <v>209</v>
      </c>
      <c r="F1284" s="1" t="s">
        <v>16</v>
      </c>
      <c r="G1284" s="1" t="s">
        <v>17</v>
      </c>
      <c r="H1284" s="1" t="str">
        <f>"84"</f>
        <v>84</v>
      </c>
      <c r="I1284" s="1" t="str">
        <f t="shared" si="999"/>
        <v>170</v>
      </c>
      <c r="J1284" s="1" t="str">
        <f t="shared" ref="J1284:O1284" si="1007">"0"</f>
        <v>0</v>
      </c>
      <c r="K1284" s="1" t="str">
        <f t="shared" si="984"/>
        <v>103</v>
      </c>
      <c r="L1284" s="1" t="str">
        <f t="shared" si="985"/>
        <v>47</v>
      </c>
      <c r="M1284" s="1" t="str">
        <f t="shared" si="1007"/>
        <v>0</v>
      </c>
      <c r="N1284" s="1" t="str">
        <f t="shared" si="1007"/>
        <v>0</v>
      </c>
      <c r="O1284" s="1" t="str">
        <f t="shared" si="1007"/>
        <v>0</v>
      </c>
    </row>
    <row r="1285" s="1" customFormat="1" spans="1:15">
      <c r="A1285" s="1" t="str">
        <f t="shared" si="1003"/>
        <v>202406</v>
      </c>
      <c r="B1285" s="1" t="str">
        <f t="shared" si="1004"/>
        <v>150525100</v>
      </c>
      <c r="C1285" s="1" t="str">
        <f>"1014619761"</f>
        <v>1014619761</v>
      </c>
      <c r="D1285" s="1" t="str">
        <f>"152326195007193077"</f>
        <v>152326195007193077</v>
      </c>
      <c r="E1285" s="1" t="s">
        <v>1342</v>
      </c>
      <c r="F1285" s="1" t="s">
        <v>25</v>
      </c>
      <c r="G1285" s="1" t="s">
        <v>17</v>
      </c>
      <c r="H1285" s="1" t="str">
        <f>"74"</f>
        <v>74</v>
      </c>
      <c r="I1285" s="1" t="str">
        <f t="shared" ref="I1285:I1287" si="1008">"160"</f>
        <v>160</v>
      </c>
      <c r="J1285" s="1" t="str">
        <f t="shared" ref="J1285:O1285" si="1009">"0"</f>
        <v>0</v>
      </c>
      <c r="K1285" s="1" t="str">
        <f t="shared" si="984"/>
        <v>103</v>
      </c>
      <c r="L1285" s="1" t="str">
        <f t="shared" si="985"/>
        <v>47</v>
      </c>
      <c r="M1285" s="1" t="str">
        <f t="shared" si="1009"/>
        <v>0</v>
      </c>
      <c r="N1285" s="1" t="str">
        <f t="shared" si="1009"/>
        <v>0</v>
      </c>
      <c r="O1285" s="1" t="str">
        <f t="shared" si="1009"/>
        <v>0</v>
      </c>
    </row>
    <row r="1286" s="1" customFormat="1" spans="1:15">
      <c r="A1286" s="1" t="str">
        <f t="shared" si="1003"/>
        <v>202406</v>
      </c>
      <c r="B1286" s="1" t="str">
        <f t="shared" si="1004"/>
        <v>150525100</v>
      </c>
      <c r="C1286" s="1" t="str">
        <f>"1014623108"</f>
        <v>1014623108</v>
      </c>
      <c r="D1286" s="1" t="str">
        <f>"152326194711060425"</f>
        <v>152326194711060425</v>
      </c>
      <c r="E1286" s="1" t="s">
        <v>1343</v>
      </c>
      <c r="F1286" s="1" t="s">
        <v>16</v>
      </c>
      <c r="G1286" s="1" t="s">
        <v>17</v>
      </c>
      <c r="H1286" s="1" t="str">
        <f>"77"</f>
        <v>77</v>
      </c>
      <c r="I1286" s="1" t="str">
        <f t="shared" si="1008"/>
        <v>160</v>
      </c>
      <c r="J1286" s="1" t="str">
        <f t="shared" ref="J1286:O1286" si="1010">"0"</f>
        <v>0</v>
      </c>
      <c r="K1286" s="1" t="str">
        <f t="shared" si="984"/>
        <v>103</v>
      </c>
      <c r="L1286" s="1" t="str">
        <f t="shared" si="985"/>
        <v>47</v>
      </c>
      <c r="M1286" s="1" t="str">
        <f t="shared" si="1010"/>
        <v>0</v>
      </c>
      <c r="N1286" s="1" t="str">
        <f t="shared" si="1010"/>
        <v>0</v>
      </c>
      <c r="O1286" s="1" t="str">
        <f t="shared" si="1010"/>
        <v>0</v>
      </c>
    </row>
    <row r="1287" s="1" customFormat="1" spans="1:15">
      <c r="A1287" s="1" t="str">
        <f t="shared" si="1003"/>
        <v>202406</v>
      </c>
      <c r="B1287" s="1" t="str">
        <f t="shared" si="1004"/>
        <v>150525100</v>
      </c>
      <c r="C1287" s="1" t="str">
        <f>"1014623116"</f>
        <v>1014623116</v>
      </c>
      <c r="D1287" s="1" t="str">
        <f>"152326195105130424"</f>
        <v>152326195105130424</v>
      </c>
      <c r="E1287" s="1" t="s">
        <v>1344</v>
      </c>
      <c r="F1287" s="1" t="s">
        <v>16</v>
      </c>
      <c r="G1287" s="1" t="s">
        <v>17</v>
      </c>
      <c r="H1287" s="1" t="str">
        <f>"73"</f>
        <v>73</v>
      </c>
      <c r="I1287" s="1" t="str">
        <f t="shared" si="1008"/>
        <v>160</v>
      </c>
      <c r="J1287" s="1" t="str">
        <f t="shared" ref="J1287:O1287" si="1011">"0"</f>
        <v>0</v>
      </c>
      <c r="K1287" s="1" t="str">
        <f t="shared" si="984"/>
        <v>103</v>
      </c>
      <c r="L1287" s="1" t="str">
        <f t="shared" si="985"/>
        <v>47</v>
      </c>
      <c r="M1287" s="1" t="str">
        <f t="shared" si="1011"/>
        <v>0</v>
      </c>
      <c r="N1287" s="1" t="str">
        <f t="shared" si="1011"/>
        <v>0</v>
      </c>
      <c r="O1287" s="1" t="str">
        <f t="shared" si="1011"/>
        <v>0</v>
      </c>
    </row>
    <row r="1288" s="1" customFormat="1" spans="1:15">
      <c r="A1288" s="1" t="str">
        <f t="shared" si="1003"/>
        <v>202406</v>
      </c>
      <c r="B1288" s="1" t="str">
        <f t="shared" si="1004"/>
        <v>150525100</v>
      </c>
      <c r="C1288" s="1" t="str">
        <f>"1014623120"</f>
        <v>1014623120</v>
      </c>
      <c r="D1288" s="1" t="str">
        <f>"152326194904260423"</f>
        <v>152326194904260423</v>
      </c>
      <c r="E1288" s="1" t="s">
        <v>1345</v>
      </c>
      <c r="F1288" s="1" t="s">
        <v>16</v>
      </c>
      <c r="G1288" s="1" t="s">
        <v>17</v>
      </c>
      <c r="H1288" s="1" t="str">
        <f>"75"</f>
        <v>75</v>
      </c>
      <c r="I1288" s="1" t="str">
        <f>"1920"</f>
        <v>1920</v>
      </c>
      <c r="J1288" s="1" t="str">
        <f>"1760"</f>
        <v>1760</v>
      </c>
      <c r="K1288" s="1" t="str">
        <f>"1236"</f>
        <v>1236</v>
      </c>
      <c r="L1288" s="1" t="str">
        <f>"564"</f>
        <v>564</v>
      </c>
      <c r="M1288" s="1" t="str">
        <f t="shared" ref="M1288:O1288" si="1012">"0"</f>
        <v>0</v>
      </c>
      <c r="N1288" s="1" t="str">
        <f t="shared" si="1012"/>
        <v>0</v>
      </c>
      <c r="O1288" s="1" t="str">
        <f t="shared" si="1012"/>
        <v>0</v>
      </c>
    </row>
    <row r="1289" s="1" customFormat="1" spans="1:15">
      <c r="A1289" s="1" t="str">
        <f t="shared" si="1003"/>
        <v>202406</v>
      </c>
      <c r="B1289" s="1" t="str">
        <f t="shared" si="1004"/>
        <v>150525100</v>
      </c>
      <c r="C1289" s="1" t="str">
        <f>"1014623619"</f>
        <v>1014623619</v>
      </c>
      <c r="D1289" s="1" t="str">
        <f>"152326194107220410"</f>
        <v>152326194107220410</v>
      </c>
      <c r="E1289" s="1" t="s">
        <v>1346</v>
      </c>
      <c r="F1289" s="1" t="s">
        <v>25</v>
      </c>
      <c r="G1289" s="1" t="s">
        <v>17</v>
      </c>
      <c r="H1289" s="1" t="str">
        <f>"83"</f>
        <v>83</v>
      </c>
      <c r="I1289" s="1" t="str">
        <f>"170"</f>
        <v>170</v>
      </c>
      <c r="J1289" s="1" t="str">
        <f t="shared" ref="J1289:O1289" si="1013">"0"</f>
        <v>0</v>
      </c>
      <c r="K1289" s="1" t="str">
        <f t="shared" ref="K1289:K1319" si="1014">"103"</f>
        <v>103</v>
      </c>
      <c r="L1289" s="1" t="str">
        <f t="shared" ref="L1289:L1319" si="1015">"47"</f>
        <v>47</v>
      </c>
      <c r="M1289" s="1" t="str">
        <f t="shared" si="1013"/>
        <v>0</v>
      </c>
      <c r="N1289" s="1" t="str">
        <f t="shared" si="1013"/>
        <v>0</v>
      </c>
      <c r="O1289" s="1" t="str">
        <f t="shared" si="1013"/>
        <v>0</v>
      </c>
    </row>
    <row r="1290" s="1" customFormat="1" spans="1:15">
      <c r="A1290" s="1" t="str">
        <f t="shared" si="1003"/>
        <v>202406</v>
      </c>
      <c r="B1290" s="1" t="str">
        <f t="shared" si="1004"/>
        <v>150525100</v>
      </c>
      <c r="C1290" s="1" t="str">
        <f>"1014623630"</f>
        <v>1014623630</v>
      </c>
      <c r="D1290" s="1" t="str">
        <f>"152326194308260419"</f>
        <v>152326194308260419</v>
      </c>
      <c r="E1290" s="1" t="s">
        <v>1347</v>
      </c>
      <c r="F1290" s="1" t="s">
        <v>25</v>
      </c>
      <c r="G1290" s="1" t="s">
        <v>17</v>
      </c>
      <c r="H1290" s="1" t="str">
        <f>"81"</f>
        <v>81</v>
      </c>
      <c r="I1290" s="1" t="str">
        <f>"170"</f>
        <v>170</v>
      </c>
      <c r="J1290" s="1" t="str">
        <f t="shared" ref="J1290:O1290" si="1016">"0"</f>
        <v>0</v>
      </c>
      <c r="K1290" s="1" t="str">
        <f t="shared" si="1014"/>
        <v>103</v>
      </c>
      <c r="L1290" s="1" t="str">
        <f t="shared" si="1015"/>
        <v>47</v>
      </c>
      <c r="M1290" s="1" t="str">
        <f t="shared" si="1016"/>
        <v>0</v>
      </c>
      <c r="N1290" s="1" t="str">
        <f t="shared" si="1016"/>
        <v>0</v>
      </c>
      <c r="O1290" s="1" t="str">
        <f t="shared" si="1016"/>
        <v>0</v>
      </c>
    </row>
    <row r="1291" s="1" customFormat="1" spans="1:15">
      <c r="A1291" s="1" t="str">
        <f t="shared" si="1003"/>
        <v>202406</v>
      </c>
      <c r="B1291" s="1" t="str">
        <f t="shared" si="1004"/>
        <v>150525100</v>
      </c>
      <c r="C1291" s="1" t="str">
        <f>"1014629823"</f>
        <v>1014629823</v>
      </c>
      <c r="D1291" s="1" t="str">
        <f>"152326194910033825"</f>
        <v>152326194910033825</v>
      </c>
      <c r="E1291" s="1" t="s">
        <v>1348</v>
      </c>
      <c r="F1291" s="1" t="s">
        <v>16</v>
      </c>
      <c r="G1291" s="1" t="s">
        <v>17</v>
      </c>
      <c r="H1291" s="1" t="str">
        <f>"75"</f>
        <v>75</v>
      </c>
      <c r="I1291" s="1" t="str">
        <f t="shared" ref="I1291:I1295" si="1017">"160"</f>
        <v>160</v>
      </c>
      <c r="J1291" s="1" t="str">
        <f t="shared" ref="J1291:O1291" si="1018">"0"</f>
        <v>0</v>
      </c>
      <c r="K1291" s="1" t="str">
        <f t="shared" si="1014"/>
        <v>103</v>
      </c>
      <c r="L1291" s="1" t="str">
        <f t="shared" si="1015"/>
        <v>47</v>
      </c>
      <c r="M1291" s="1" t="str">
        <f t="shared" si="1018"/>
        <v>0</v>
      </c>
      <c r="N1291" s="1" t="str">
        <f t="shared" si="1018"/>
        <v>0</v>
      </c>
      <c r="O1291" s="1" t="str">
        <f t="shared" si="1018"/>
        <v>0</v>
      </c>
    </row>
    <row r="1292" s="1" customFormat="1" spans="1:15">
      <c r="A1292" s="1" t="str">
        <f t="shared" si="1003"/>
        <v>202406</v>
      </c>
      <c r="B1292" s="1" t="str">
        <f t="shared" si="1004"/>
        <v>150525100</v>
      </c>
      <c r="C1292" s="1" t="str">
        <f>"1014589186"</f>
        <v>1014589186</v>
      </c>
      <c r="D1292" s="1" t="str">
        <f>"152326196203160410"</f>
        <v>152326196203160410</v>
      </c>
      <c r="E1292" s="1" t="s">
        <v>1349</v>
      </c>
      <c r="F1292" s="1" t="s">
        <v>25</v>
      </c>
      <c r="G1292" s="1" t="s">
        <v>17</v>
      </c>
      <c r="H1292" s="1" t="str">
        <f>"62"</f>
        <v>62</v>
      </c>
      <c r="I1292" s="1" t="str">
        <f>"169.77"</f>
        <v>169.77</v>
      </c>
      <c r="J1292" s="1" t="str">
        <f t="shared" ref="J1292:N1292" si="1019">"0"</f>
        <v>0</v>
      </c>
      <c r="K1292" s="1" t="str">
        <f t="shared" si="1014"/>
        <v>103</v>
      </c>
      <c r="L1292" s="1" t="str">
        <f t="shared" si="1015"/>
        <v>47</v>
      </c>
      <c r="M1292" s="1" t="str">
        <f t="shared" si="1019"/>
        <v>0</v>
      </c>
      <c r="N1292" s="1" t="str">
        <f t="shared" si="1019"/>
        <v>0</v>
      </c>
      <c r="O1292" s="1" t="str">
        <f>"19.77"</f>
        <v>19.77</v>
      </c>
    </row>
    <row r="1293" s="1" customFormat="1" spans="1:15">
      <c r="A1293" s="1" t="str">
        <f t="shared" si="1003"/>
        <v>202406</v>
      </c>
      <c r="B1293" s="1" t="str">
        <f t="shared" si="1004"/>
        <v>150525100</v>
      </c>
      <c r="C1293" s="1" t="str">
        <f>"1014589195"</f>
        <v>1014589195</v>
      </c>
      <c r="D1293" s="1" t="str">
        <f>"152326196309230413"</f>
        <v>152326196309230413</v>
      </c>
      <c r="E1293" s="1" t="s">
        <v>1350</v>
      </c>
      <c r="F1293" s="1" t="s">
        <v>25</v>
      </c>
      <c r="G1293" s="1" t="s">
        <v>17</v>
      </c>
      <c r="H1293" s="1" t="str">
        <f>"61"</f>
        <v>61</v>
      </c>
      <c r="I1293" s="1" t="str">
        <f>"165.07"</f>
        <v>165.07</v>
      </c>
      <c r="J1293" s="1" t="str">
        <f t="shared" ref="J1293:N1293" si="1020">"0"</f>
        <v>0</v>
      </c>
      <c r="K1293" s="1" t="str">
        <f t="shared" si="1014"/>
        <v>103</v>
      </c>
      <c r="L1293" s="1" t="str">
        <f t="shared" si="1015"/>
        <v>47</v>
      </c>
      <c r="M1293" s="1" t="str">
        <f t="shared" si="1020"/>
        <v>0</v>
      </c>
      <c r="N1293" s="1" t="str">
        <f t="shared" si="1020"/>
        <v>0</v>
      </c>
      <c r="O1293" s="1" t="str">
        <f>"15.07"</f>
        <v>15.07</v>
      </c>
    </row>
    <row r="1294" s="1" customFormat="1" spans="1:15">
      <c r="A1294" s="1" t="str">
        <f t="shared" si="1003"/>
        <v>202406</v>
      </c>
      <c r="B1294" s="1" t="str">
        <f t="shared" si="1004"/>
        <v>150525100</v>
      </c>
      <c r="C1294" s="1" t="str">
        <f>"1014624878"</f>
        <v>1014624878</v>
      </c>
      <c r="D1294" s="1" t="str">
        <f>"152326195005260416"</f>
        <v>152326195005260416</v>
      </c>
      <c r="E1294" s="1" t="s">
        <v>1351</v>
      </c>
      <c r="F1294" s="1" t="s">
        <v>25</v>
      </c>
      <c r="G1294" s="1" t="s">
        <v>17</v>
      </c>
      <c r="H1294" s="1" t="str">
        <f>"74"</f>
        <v>74</v>
      </c>
      <c r="I1294" s="1" t="str">
        <f t="shared" si="1017"/>
        <v>160</v>
      </c>
      <c r="J1294" s="1" t="str">
        <f t="shared" ref="J1294:O1294" si="1021">"0"</f>
        <v>0</v>
      </c>
      <c r="K1294" s="1" t="str">
        <f t="shared" si="1014"/>
        <v>103</v>
      </c>
      <c r="L1294" s="1" t="str">
        <f t="shared" si="1015"/>
        <v>47</v>
      </c>
      <c r="M1294" s="1" t="str">
        <f t="shared" si="1021"/>
        <v>0</v>
      </c>
      <c r="N1294" s="1" t="str">
        <f t="shared" si="1021"/>
        <v>0</v>
      </c>
      <c r="O1294" s="1" t="str">
        <f t="shared" si="1021"/>
        <v>0</v>
      </c>
    </row>
    <row r="1295" s="1" customFormat="1" spans="1:15">
      <c r="A1295" s="1" t="str">
        <f t="shared" si="1003"/>
        <v>202406</v>
      </c>
      <c r="B1295" s="1" t="str">
        <f t="shared" si="1004"/>
        <v>150525100</v>
      </c>
      <c r="C1295" s="1" t="str">
        <f>"1014625323"</f>
        <v>1014625323</v>
      </c>
      <c r="D1295" s="1" t="str">
        <f>"152326194703203326"</f>
        <v>152326194703203326</v>
      </c>
      <c r="E1295" s="1" t="s">
        <v>1352</v>
      </c>
      <c r="F1295" s="1" t="s">
        <v>16</v>
      </c>
      <c r="G1295" s="1" t="s">
        <v>17</v>
      </c>
      <c r="H1295" s="1" t="str">
        <f>"77"</f>
        <v>77</v>
      </c>
      <c r="I1295" s="1" t="str">
        <f t="shared" si="1017"/>
        <v>160</v>
      </c>
      <c r="J1295" s="1" t="str">
        <f t="shared" ref="J1295:O1295" si="1022">"0"</f>
        <v>0</v>
      </c>
      <c r="K1295" s="1" t="str">
        <f t="shared" si="1014"/>
        <v>103</v>
      </c>
      <c r="L1295" s="1" t="str">
        <f t="shared" si="1015"/>
        <v>47</v>
      </c>
      <c r="M1295" s="1" t="str">
        <f t="shared" si="1022"/>
        <v>0</v>
      </c>
      <c r="N1295" s="1" t="str">
        <f t="shared" si="1022"/>
        <v>0</v>
      </c>
      <c r="O1295" s="1" t="str">
        <f t="shared" si="1022"/>
        <v>0</v>
      </c>
    </row>
    <row r="1296" s="1" customFormat="1" spans="1:15">
      <c r="A1296" s="1" t="str">
        <f t="shared" si="1003"/>
        <v>202406</v>
      </c>
      <c r="B1296" s="1" t="str">
        <f t="shared" si="1004"/>
        <v>150525100</v>
      </c>
      <c r="C1296" s="1" t="str">
        <f>"1014640982"</f>
        <v>1014640982</v>
      </c>
      <c r="D1296" s="1" t="str">
        <f>"152326195704063833"</f>
        <v>152326195704063833</v>
      </c>
      <c r="E1296" s="1" t="s">
        <v>1353</v>
      </c>
      <c r="F1296" s="1" t="s">
        <v>25</v>
      </c>
      <c r="G1296" s="1" t="s">
        <v>17</v>
      </c>
      <c r="H1296" s="1" t="str">
        <f>"67"</f>
        <v>67</v>
      </c>
      <c r="I1296" s="1" t="str">
        <f>"155.82"</f>
        <v>155.82</v>
      </c>
      <c r="J1296" s="1" t="str">
        <f t="shared" ref="J1296:N1296" si="1023">"0"</f>
        <v>0</v>
      </c>
      <c r="K1296" s="1" t="str">
        <f t="shared" si="1014"/>
        <v>103</v>
      </c>
      <c r="L1296" s="1" t="str">
        <f t="shared" si="1015"/>
        <v>47</v>
      </c>
      <c r="M1296" s="1" t="str">
        <f t="shared" si="1023"/>
        <v>0</v>
      </c>
      <c r="N1296" s="1" t="str">
        <f t="shared" si="1023"/>
        <v>0</v>
      </c>
      <c r="O1296" s="1" t="str">
        <f>"5.82"</f>
        <v>5.82</v>
      </c>
    </row>
    <row r="1297" s="1" customFormat="1" spans="1:15">
      <c r="A1297" s="1" t="str">
        <f t="shared" si="1003"/>
        <v>202406</v>
      </c>
      <c r="B1297" s="1" t="str">
        <f t="shared" si="1004"/>
        <v>150525100</v>
      </c>
      <c r="C1297" s="1" t="str">
        <f>"1014640993"</f>
        <v>1014640993</v>
      </c>
      <c r="D1297" s="1" t="str">
        <f>"152326196102193846"</f>
        <v>152326196102193846</v>
      </c>
      <c r="E1297" s="1" t="s">
        <v>1354</v>
      </c>
      <c r="F1297" s="1" t="s">
        <v>16</v>
      </c>
      <c r="G1297" s="1" t="s">
        <v>19</v>
      </c>
      <c r="H1297" s="1" t="str">
        <f>"63"</f>
        <v>63</v>
      </c>
      <c r="I1297" s="1" t="str">
        <f>"159.74"</f>
        <v>159.74</v>
      </c>
      <c r="J1297" s="1" t="str">
        <f t="shared" ref="J1297:N1297" si="1024">"0"</f>
        <v>0</v>
      </c>
      <c r="K1297" s="1" t="str">
        <f t="shared" si="1014"/>
        <v>103</v>
      </c>
      <c r="L1297" s="1" t="str">
        <f t="shared" si="1015"/>
        <v>47</v>
      </c>
      <c r="M1297" s="1" t="str">
        <f t="shared" si="1024"/>
        <v>0</v>
      </c>
      <c r="N1297" s="1" t="str">
        <f t="shared" si="1024"/>
        <v>0</v>
      </c>
      <c r="O1297" s="1" t="str">
        <f>"9.74"</f>
        <v>9.74</v>
      </c>
    </row>
    <row r="1298" s="1" customFormat="1" spans="1:15">
      <c r="A1298" s="1" t="str">
        <f t="shared" si="1003"/>
        <v>202406</v>
      </c>
      <c r="B1298" s="1" t="str">
        <f t="shared" si="1004"/>
        <v>150525100</v>
      </c>
      <c r="C1298" s="1" t="str">
        <f>"1014624816"</f>
        <v>1014624816</v>
      </c>
      <c r="D1298" s="1" t="str">
        <f>"152326194904060667"</f>
        <v>152326194904060667</v>
      </c>
      <c r="E1298" s="1" t="s">
        <v>1355</v>
      </c>
      <c r="F1298" s="1" t="s">
        <v>16</v>
      </c>
      <c r="G1298" s="1" t="s">
        <v>17</v>
      </c>
      <c r="H1298" s="1" t="str">
        <f t="shared" ref="H1298:H1303" si="1025">"75"</f>
        <v>75</v>
      </c>
      <c r="I1298" s="1" t="str">
        <f t="shared" ref="I1298:I1305" si="1026">"160"</f>
        <v>160</v>
      </c>
      <c r="J1298" s="1" t="str">
        <f t="shared" ref="J1298:O1298" si="1027">"0"</f>
        <v>0</v>
      </c>
      <c r="K1298" s="1" t="str">
        <f t="shared" si="1014"/>
        <v>103</v>
      </c>
      <c r="L1298" s="1" t="str">
        <f t="shared" si="1015"/>
        <v>47</v>
      </c>
      <c r="M1298" s="1" t="str">
        <f t="shared" si="1027"/>
        <v>0</v>
      </c>
      <c r="N1298" s="1" t="str">
        <f t="shared" si="1027"/>
        <v>0</v>
      </c>
      <c r="O1298" s="1" t="str">
        <f t="shared" si="1027"/>
        <v>0</v>
      </c>
    </row>
    <row r="1299" s="1" customFormat="1" spans="1:15">
      <c r="A1299" s="1" t="str">
        <f t="shared" si="1003"/>
        <v>202406</v>
      </c>
      <c r="B1299" s="1" t="str">
        <f t="shared" si="1004"/>
        <v>150525100</v>
      </c>
      <c r="C1299" s="1" t="str">
        <f>"1014625268"</f>
        <v>1014625268</v>
      </c>
      <c r="D1299" s="1" t="str">
        <f>"152326193511113321"</f>
        <v>152326193511113321</v>
      </c>
      <c r="E1299" s="1" t="s">
        <v>1356</v>
      </c>
      <c r="F1299" s="1" t="s">
        <v>16</v>
      </c>
      <c r="G1299" s="1" t="s">
        <v>19</v>
      </c>
      <c r="H1299" s="1" t="str">
        <f>"89"</f>
        <v>89</v>
      </c>
      <c r="I1299" s="1" t="str">
        <f>"170"</f>
        <v>170</v>
      </c>
      <c r="J1299" s="1" t="str">
        <f t="shared" ref="J1299:O1299" si="1028">"0"</f>
        <v>0</v>
      </c>
      <c r="K1299" s="1" t="str">
        <f t="shared" si="1014"/>
        <v>103</v>
      </c>
      <c r="L1299" s="1" t="str">
        <f t="shared" si="1015"/>
        <v>47</v>
      </c>
      <c r="M1299" s="1" t="str">
        <f t="shared" si="1028"/>
        <v>0</v>
      </c>
      <c r="N1299" s="1" t="str">
        <f t="shared" si="1028"/>
        <v>0</v>
      </c>
      <c r="O1299" s="1" t="str">
        <f t="shared" si="1028"/>
        <v>0</v>
      </c>
    </row>
    <row r="1300" s="1" customFormat="1" spans="1:15">
      <c r="A1300" s="1" t="str">
        <f t="shared" si="1003"/>
        <v>202406</v>
      </c>
      <c r="B1300" s="1" t="str">
        <f t="shared" si="1004"/>
        <v>150525100</v>
      </c>
      <c r="C1300" s="1" t="str">
        <f>"1014625277"</f>
        <v>1014625277</v>
      </c>
      <c r="D1300" s="1" t="str">
        <f>"152326194802203321"</f>
        <v>152326194802203321</v>
      </c>
      <c r="E1300" s="1" t="s">
        <v>1357</v>
      </c>
      <c r="F1300" s="1" t="s">
        <v>16</v>
      </c>
      <c r="G1300" s="1" t="s">
        <v>19</v>
      </c>
      <c r="H1300" s="1" t="str">
        <f>"76"</f>
        <v>76</v>
      </c>
      <c r="I1300" s="1" t="str">
        <f t="shared" si="1026"/>
        <v>160</v>
      </c>
      <c r="J1300" s="1" t="str">
        <f t="shared" ref="J1300:O1300" si="1029">"0"</f>
        <v>0</v>
      </c>
      <c r="K1300" s="1" t="str">
        <f t="shared" si="1014"/>
        <v>103</v>
      </c>
      <c r="L1300" s="1" t="str">
        <f t="shared" si="1015"/>
        <v>47</v>
      </c>
      <c r="M1300" s="1" t="str">
        <f t="shared" si="1029"/>
        <v>0</v>
      </c>
      <c r="N1300" s="1" t="str">
        <f t="shared" si="1029"/>
        <v>0</v>
      </c>
      <c r="O1300" s="1" t="str">
        <f t="shared" si="1029"/>
        <v>0</v>
      </c>
    </row>
    <row r="1301" s="1" customFormat="1" spans="1:15">
      <c r="A1301" s="1" t="str">
        <f t="shared" si="1003"/>
        <v>202406</v>
      </c>
      <c r="B1301" s="1" t="str">
        <f t="shared" si="1004"/>
        <v>150525100</v>
      </c>
      <c r="C1301" s="1" t="str">
        <f>"1014625278"</f>
        <v>1014625278</v>
      </c>
      <c r="D1301" s="1" t="str">
        <f>"152326194902023328"</f>
        <v>152326194902023328</v>
      </c>
      <c r="E1301" s="1" t="s">
        <v>1358</v>
      </c>
      <c r="F1301" s="1" t="s">
        <v>16</v>
      </c>
      <c r="G1301" s="1" t="s">
        <v>19</v>
      </c>
      <c r="H1301" s="1" t="str">
        <f t="shared" si="1025"/>
        <v>75</v>
      </c>
      <c r="I1301" s="1" t="str">
        <f t="shared" si="1026"/>
        <v>160</v>
      </c>
      <c r="J1301" s="1" t="str">
        <f t="shared" ref="J1301:O1301" si="1030">"0"</f>
        <v>0</v>
      </c>
      <c r="K1301" s="1" t="str">
        <f t="shared" si="1014"/>
        <v>103</v>
      </c>
      <c r="L1301" s="1" t="str">
        <f t="shared" si="1015"/>
        <v>47</v>
      </c>
      <c r="M1301" s="1" t="str">
        <f t="shared" si="1030"/>
        <v>0</v>
      </c>
      <c r="N1301" s="1" t="str">
        <f t="shared" si="1030"/>
        <v>0</v>
      </c>
      <c r="O1301" s="1" t="str">
        <f t="shared" si="1030"/>
        <v>0</v>
      </c>
    </row>
    <row r="1302" s="1" customFormat="1" spans="1:15">
      <c r="A1302" s="1" t="str">
        <f t="shared" si="1003"/>
        <v>202406</v>
      </c>
      <c r="B1302" s="1" t="str">
        <f t="shared" si="1004"/>
        <v>150525100</v>
      </c>
      <c r="C1302" s="1" t="str">
        <f>"1014624825"</f>
        <v>1014624825</v>
      </c>
      <c r="D1302" s="1" t="str">
        <f>"152326194508020663"</f>
        <v>152326194508020663</v>
      </c>
      <c r="E1302" s="1" t="s">
        <v>1359</v>
      </c>
      <c r="F1302" s="1" t="s">
        <v>16</v>
      </c>
      <c r="G1302" s="1" t="s">
        <v>17</v>
      </c>
      <c r="H1302" s="1" t="str">
        <f>"79"</f>
        <v>79</v>
      </c>
      <c r="I1302" s="1" t="str">
        <f t="shared" si="1026"/>
        <v>160</v>
      </c>
      <c r="J1302" s="1" t="str">
        <f t="shared" ref="J1302:O1302" si="1031">"0"</f>
        <v>0</v>
      </c>
      <c r="K1302" s="1" t="str">
        <f t="shared" si="1014"/>
        <v>103</v>
      </c>
      <c r="L1302" s="1" t="str">
        <f t="shared" si="1015"/>
        <v>47</v>
      </c>
      <c r="M1302" s="1" t="str">
        <f t="shared" si="1031"/>
        <v>0</v>
      </c>
      <c r="N1302" s="1" t="str">
        <f t="shared" si="1031"/>
        <v>0</v>
      </c>
      <c r="O1302" s="1" t="str">
        <f t="shared" si="1031"/>
        <v>0</v>
      </c>
    </row>
    <row r="1303" s="1" customFormat="1" spans="1:15">
      <c r="A1303" s="1" t="str">
        <f t="shared" si="1003"/>
        <v>202406</v>
      </c>
      <c r="B1303" s="1" t="str">
        <f t="shared" si="1004"/>
        <v>150525100</v>
      </c>
      <c r="C1303" s="1" t="str">
        <f>"1014625296"</f>
        <v>1014625296</v>
      </c>
      <c r="D1303" s="1" t="str">
        <f>"152326194903243322"</f>
        <v>152326194903243322</v>
      </c>
      <c r="E1303" s="1" t="s">
        <v>1360</v>
      </c>
      <c r="F1303" s="1" t="s">
        <v>16</v>
      </c>
      <c r="G1303" s="1" t="s">
        <v>17</v>
      </c>
      <c r="H1303" s="1" t="str">
        <f t="shared" si="1025"/>
        <v>75</v>
      </c>
      <c r="I1303" s="1" t="str">
        <f t="shared" si="1026"/>
        <v>160</v>
      </c>
      <c r="J1303" s="1" t="str">
        <f t="shared" ref="J1303:O1303" si="1032">"0"</f>
        <v>0</v>
      </c>
      <c r="K1303" s="1" t="str">
        <f t="shared" si="1014"/>
        <v>103</v>
      </c>
      <c r="L1303" s="1" t="str">
        <f t="shared" si="1015"/>
        <v>47</v>
      </c>
      <c r="M1303" s="1" t="str">
        <f t="shared" si="1032"/>
        <v>0</v>
      </c>
      <c r="N1303" s="1" t="str">
        <f t="shared" si="1032"/>
        <v>0</v>
      </c>
      <c r="O1303" s="1" t="str">
        <f t="shared" si="1032"/>
        <v>0</v>
      </c>
    </row>
    <row r="1304" s="1" customFormat="1" spans="1:15">
      <c r="A1304" s="1" t="str">
        <f t="shared" si="1003"/>
        <v>202406</v>
      </c>
      <c r="B1304" s="1" t="str">
        <f t="shared" si="1004"/>
        <v>150525100</v>
      </c>
      <c r="C1304" s="1" t="str">
        <f>"1014624665"</f>
        <v>1014624665</v>
      </c>
      <c r="D1304" s="1" t="str">
        <f>"152326195107220677"</f>
        <v>152326195107220677</v>
      </c>
      <c r="E1304" s="1" t="s">
        <v>1361</v>
      </c>
      <c r="F1304" s="1" t="s">
        <v>25</v>
      </c>
      <c r="G1304" s="1" t="s">
        <v>17</v>
      </c>
      <c r="H1304" s="1" t="str">
        <f>"73"</f>
        <v>73</v>
      </c>
      <c r="I1304" s="1" t="str">
        <f t="shared" si="1026"/>
        <v>160</v>
      </c>
      <c r="J1304" s="1" t="str">
        <f t="shared" ref="J1304:O1304" si="1033">"0"</f>
        <v>0</v>
      </c>
      <c r="K1304" s="1" t="str">
        <f t="shared" si="1014"/>
        <v>103</v>
      </c>
      <c r="L1304" s="1" t="str">
        <f t="shared" si="1015"/>
        <v>47</v>
      </c>
      <c r="M1304" s="1" t="str">
        <f t="shared" si="1033"/>
        <v>0</v>
      </c>
      <c r="N1304" s="1" t="str">
        <f t="shared" si="1033"/>
        <v>0</v>
      </c>
      <c r="O1304" s="1" t="str">
        <f t="shared" si="1033"/>
        <v>0</v>
      </c>
    </row>
    <row r="1305" s="1" customFormat="1" spans="1:15">
      <c r="A1305" s="1" t="str">
        <f t="shared" si="1003"/>
        <v>202406</v>
      </c>
      <c r="B1305" s="1" t="str">
        <f t="shared" si="1004"/>
        <v>150525100</v>
      </c>
      <c r="C1305" s="1" t="str">
        <f>"1014624677"</f>
        <v>1014624677</v>
      </c>
      <c r="D1305" s="1" t="str">
        <f>"152326194811090429"</f>
        <v>152326194811090429</v>
      </c>
      <c r="E1305" s="1" t="s">
        <v>1362</v>
      </c>
      <c r="F1305" s="1" t="s">
        <v>16</v>
      </c>
      <c r="G1305" s="1" t="s">
        <v>19</v>
      </c>
      <c r="H1305" s="1" t="str">
        <f>"76"</f>
        <v>76</v>
      </c>
      <c r="I1305" s="1" t="str">
        <f t="shared" si="1026"/>
        <v>160</v>
      </c>
      <c r="J1305" s="1" t="str">
        <f t="shared" ref="J1305:O1305" si="1034">"0"</f>
        <v>0</v>
      </c>
      <c r="K1305" s="1" t="str">
        <f t="shared" si="1014"/>
        <v>103</v>
      </c>
      <c r="L1305" s="1" t="str">
        <f t="shared" si="1015"/>
        <v>47</v>
      </c>
      <c r="M1305" s="1" t="str">
        <f t="shared" si="1034"/>
        <v>0</v>
      </c>
      <c r="N1305" s="1" t="str">
        <f t="shared" si="1034"/>
        <v>0</v>
      </c>
      <c r="O1305" s="1" t="str">
        <f t="shared" si="1034"/>
        <v>0</v>
      </c>
    </row>
    <row r="1306" s="1" customFormat="1" spans="1:15">
      <c r="A1306" s="1" t="str">
        <f t="shared" si="1003"/>
        <v>202406</v>
      </c>
      <c r="B1306" s="1" t="str">
        <f t="shared" si="1004"/>
        <v>150525100</v>
      </c>
      <c r="C1306" s="1" t="str">
        <f>"1014625344"</f>
        <v>1014625344</v>
      </c>
      <c r="D1306" s="1" t="str">
        <f>"152326194006233810"</f>
        <v>152326194006233810</v>
      </c>
      <c r="E1306" s="1" t="s">
        <v>1363</v>
      </c>
      <c r="F1306" s="1" t="s">
        <v>25</v>
      </c>
      <c r="G1306" s="1" t="s">
        <v>17</v>
      </c>
      <c r="H1306" s="1" t="str">
        <f>"84"</f>
        <v>84</v>
      </c>
      <c r="I1306" s="1" t="str">
        <f>"170"</f>
        <v>170</v>
      </c>
      <c r="J1306" s="1" t="str">
        <f t="shared" ref="J1306:O1306" si="1035">"0"</f>
        <v>0</v>
      </c>
      <c r="K1306" s="1" t="str">
        <f t="shared" si="1014"/>
        <v>103</v>
      </c>
      <c r="L1306" s="1" t="str">
        <f t="shared" si="1015"/>
        <v>47</v>
      </c>
      <c r="M1306" s="1" t="str">
        <f t="shared" si="1035"/>
        <v>0</v>
      </c>
      <c r="N1306" s="1" t="str">
        <f t="shared" si="1035"/>
        <v>0</v>
      </c>
      <c r="O1306" s="1" t="str">
        <f t="shared" si="1035"/>
        <v>0</v>
      </c>
    </row>
    <row r="1307" s="1" customFormat="1" spans="1:15">
      <c r="A1307" s="1" t="str">
        <f t="shared" si="1003"/>
        <v>202406</v>
      </c>
      <c r="B1307" s="1" t="str">
        <f t="shared" si="1004"/>
        <v>150525100</v>
      </c>
      <c r="C1307" s="1" t="str">
        <f>"1014625357"</f>
        <v>1014625357</v>
      </c>
      <c r="D1307" s="1" t="str">
        <f>"152326194911113819"</f>
        <v>152326194911113819</v>
      </c>
      <c r="E1307" s="1" t="s">
        <v>1364</v>
      </c>
      <c r="F1307" s="1" t="s">
        <v>25</v>
      </c>
      <c r="G1307" s="1" t="s">
        <v>17</v>
      </c>
      <c r="H1307" s="1" t="str">
        <f t="shared" ref="H1307:H1312" si="1036">"75"</f>
        <v>75</v>
      </c>
      <c r="I1307" s="1" t="str">
        <f t="shared" ref="I1307:I1312" si="1037">"160"</f>
        <v>160</v>
      </c>
      <c r="J1307" s="1" t="str">
        <f t="shared" ref="J1307:O1307" si="1038">"0"</f>
        <v>0</v>
      </c>
      <c r="K1307" s="1" t="str">
        <f t="shared" si="1014"/>
        <v>103</v>
      </c>
      <c r="L1307" s="1" t="str">
        <f t="shared" si="1015"/>
        <v>47</v>
      </c>
      <c r="M1307" s="1" t="str">
        <f t="shared" si="1038"/>
        <v>0</v>
      </c>
      <c r="N1307" s="1" t="str">
        <f t="shared" si="1038"/>
        <v>0</v>
      </c>
      <c r="O1307" s="1" t="str">
        <f t="shared" si="1038"/>
        <v>0</v>
      </c>
    </row>
    <row r="1308" s="1" customFormat="1" spans="1:15">
      <c r="A1308" s="1" t="str">
        <f t="shared" si="1003"/>
        <v>202406</v>
      </c>
      <c r="B1308" s="1" t="str">
        <f t="shared" si="1004"/>
        <v>150525100</v>
      </c>
      <c r="C1308" s="1" t="str">
        <f>"1014625370"</f>
        <v>1014625370</v>
      </c>
      <c r="D1308" s="1" t="str">
        <f>"152326194811213310"</f>
        <v>152326194811213310</v>
      </c>
      <c r="E1308" s="1" t="s">
        <v>1365</v>
      </c>
      <c r="F1308" s="1" t="s">
        <v>25</v>
      </c>
      <c r="G1308" s="1" t="s">
        <v>19</v>
      </c>
      <c r="H1308" s="1" t="str">
        <f>"76"</f>
        <v>76</v>
      </c>
      <c r="I1308" s="1" t="str">
        <f t="shared" si="1037"/>
        <v>160</v>
      </c>
      <c r="J1308" s="1" t="str">
        <f t="shared" ref="J1308:O1308" si="1039">"0"</f>
        <v>0</v>
      </c>
      <c r="K1308" s="1" t="str">
        <f t="shared" si="1014"/>
        <v>103</v>
      </c>
      <c r="L1308" s="1" t="str">
        <f t="shared" si="1015"/>
        <v>47</v>
      </c>
      <c r="M1308" s="1" t="str">
        <f t="shared" si="1039"/>
        <v>0</v>
      </c>
      <c r="N1308" s="1" t="str">
        <f t="shared" si="1039"/>
        <v>0</v>
      </c>
      <c r="O1308" s="1" t="str">
        <f t="shared" si="1039"/>
        <v>0</v>
      </c>
    </row>
    <row r="1309" s="1" customFormat="1" spans="1:15">
      <c r="A1309" s="1" t="str">
        <f t="shared" si="1003"/>
        <v>202406</v>
      </c>
      <c r="B1309" s="1" t="str">
        <f t="shared" si="1004"/>
        <v>150525100</v>
      </c>
      <c r="C1309" s="1" t="str">
        <f>"1014619052"</f>
        <v>1014619052</v>
      </c>
      <c r="D1309" s="1" t="str">
        <f>"152326194105170413"</f>
        <v>152326194105170413</v>
      </c>
      <c r="E1309" s="1" t="s">
        <v>1366</v>
      </c>
      <c r="F1309" s="1" t="s">
        <v>25</v>
      </c>
      <c r="G1309" s="1" t="s">
        <v>17</v>
      </c>
      <c r="H1309" s="1" t="str">
        <f>"83"</f>
        <v>83</v>
      </c>
      <c r="I1309" s="1" t="str">
        <f t="shared" ref="I1309:I1314" si="1040">"170"</f>
        <v>170</v>
      </c>
      <c r="J1309" s="1" t="str">
        <f t="shared" ref="J1309:O1309" si="1041">"0"</f>
        <v>0</v>
      </c>
      <c r="K1309" s="1" t="str">
        <f t="shared" si="1014"/>
        <v>103</v>
      </c>
      <c r="L1309" s="1" t="str">
        <f t="shared" si="1015"/>
        <v>47</v>
      </c>
      <c r="M1309" s="1" t="str">
        <f t="shared" si="1041"/>
        <v>0</v>
      </c>
      <c r="N1309" s="1" t="str">
        <f t="shared" si="1041"/>
        <v>0</v>
      </c>
      <c r="O1309" s="1" t="str">
        <f t="shared" si="1041"/>
        <v>0</v>
      </c>
    </row>
    <row r="1310" s="1" customFormat="1" spans="1:15">
      <c r="A1310" s="1" t="str">
        <f t="shared" si="1003"/>
        <v>202406</v>
      </c>
      <c r="B1310" s="1" t="str">
        <f t="shared" si="1004"/>
        <v>150525100</v>
      </c>
      <c r="C1310" s="1" t="str">
        <f>"1014624919"</f>
        <v>1014624919</v>
      </c>
      <c r="D1310" s="1" t="str">
        <f>"152326194901240419"</f>
        <v>152326194901240419</v>
      </c>
      <c r="E1310" s="1" t="s">
        <v>1367</v>
      </c>
      <c r="F1310" s="1" t="s">
        <v>25</v>
      </c>
      <c r="G1310" s="1" t="s">
        <v>17</v>
      </c>
      <c r="H1310" s="1" t="str">
        <f t="shared" si="1036"/>
        <v>75</v>
      </c>
      <c r="I1310" s="1" t="str">
        <f t="shared" si="1037"/>
        <v>160</v>
      </c>
      <c r="J1310" s="1" t="str">
        <f t="shared" ref="J1310:O1310" si="1042">"0"</f>
        <v>0</v>
      </c>
      <c r="K1310" s="1" t="str">
        <f t="shared" si="1014"/>
        <v>103</v>
      </c>
      <c r="L1310" s="1" t="str">
        <f t="shared" si="1015"/>
        <v>47</v>
      </c>
      <c r="M1310" s="1" t="str">
        <f t="shared" si="1042"/>
        <v>0</v>
      </c>
      <c r="N1310" s="1" t="str">
        <f t="shared" si="1042"/>
        <v>0</v>
      </c>
      <c r="O1310" s="1" t="str">
        <f t="shared" si="1042"/>
        <v>0</v>
      </c>
    </row>
    <row r="1311" s="1" customFormat="1" spans="1:15">
      <c r="A1311" s="1" t="str">
        <f t="shared" si="1003"/>
        <v>202406</v>
      </c>
      <c r="B1311" s="1" t="str">
        <f t="shared" si="1004"/>
        <v>150525100</v>
      </c>
      <c r="C1311" s="1" t="str">
        <f>"1014619073"</f>
        <v>1014619073</v>
      </c>
      <c r="D1311" s="1" t="str">
        <f>"152326194803093822"</f>
        <v>152326194803093822</v>
      </c>
      <c r="E1311" s="1" t="s">
        <v>1368</v>
      </c>
      <c r="F1311" s="1" t="s">
        <v>16</v>
      </c>
      <c r="G1311" s="1" t="s">
        <v>17</v>
      </c>
      <c r="H1311" s="1" t="str">
        <f>"76"</f>
        <v>76</v>
      </c>
      <c r="I1311" s="1" t="str">
        <f t="shared" si="1037"/>
        <v>160</v>
      </c>
      <c r="J1311" s="1" t="str">
        <f t="shared" ref="J1311:O1311" si="1043">"0"</f>
        <v>0</v>
      </c>
      <c r="K1311" s="1" t="str">
        <f t="shared" si="1014"/>
        <v>103</v>
      </c>
      <c r="L1311" s="1" t="str">
        <f t="shared" si="1015"/>
        <v>47</v>
      </c>
      <c r="M1311" s="1" t="str">
        <f t="shared" si="1043"/>
        <v>0</v>
      </c>
      <c r="N1311" s="1" t="str">
        <f t="shared" si="1043"/>
        <v>0</v>
      </c>
      <c r="O1311" s="1" t="str">
        <f t="shared" si="1043"/>
        <v>0</v>
      </c>
    </row>
    <row r="1312" s="1" customFormat="1" spans="1:15">
      <c r="A1312" s="1" t="str">
        <f t="shared" si="1003"/>
        <v>202406</v>
      </c>
      <c r="B1312" s="1" t="str">
        <f t="shared" si="1004"/>
        <v>150525100</v>
      </c>
      <c r="C1312" s="1" t="str">
        <f>"1014619082"</f>
        <v>1014619082</v>
      </c>
      <c r="D1312" s="1" t="str">
        <f>"152326194906013821"</f>
        <v>152326194906013821</v>
      </c>
      <c r="E1312" s="1" t="s">
        <v>1369</v>
      </c>
      <c r="F1312" s="1" t="s">
        <v>16</v>
      </c>
      <c r="G1312" s="1" t="s">
        <v>19</v>
      </c>
      <c r="H1312" s="1" t="str">
        <f t="shared" si="1036"/>
        <v>75</v>
      </c>
      <c r="I1312" s="1" t="str">
        <f t="shared" si="1037"/>
        <v>160</v>
      </c>
      <c r="J1312" s="1" t="str">
        <f t="shared" ref="J1312:O1312" si="1044">"0"</f>
        <v>0</v>
      </c>
      <c r="K1312" s="1" t="str">
        <f t="shared" si="1014"/>
        <v>103</v>
      </c>
      <c r="L1312" s="1" t="str">
        <f t="shared" si="1015"/>
        <v>47</v>
      </c>
      <c r="M1312" s="1" t="str">
        <f t="shared" si="1044"/>
        <v>0</v>
      </c>
      <c r="N1312" s="1" t="str">
        <f t="shared" si="1044"/>
        <v>0</v>
      </c>
      <c r="O1312" s="1" t="str">
        <f t="shared" si="1044"/>
        <v>0</v>
      </c>
    </row>
    <row r="1313" s="1" customFormat="1" spans="1:15">
      <c r="A1313" s="1" t="str">
        <f t="shared" si="1003"/>
        <v>202406</v>
      </c>
      <c r="B1313" s="1" t="str">
        <f t="shared" si="1004"/>
        <v>150525100</v>
      </c>
      <c r="C1313" s="1" t="str">
        <f>"1014624981"</f>
        <v>1014624981</v>
      </c>
      <c r="D1313" s="1" t="str">
        <f>"152326194211230678"</f>
        <v>152326194211230678</v>
      </c>
      <c r="E1313" s="1" t="s">
        <v>1370</v>
      </c>
      <c r="F1313" s="1" t="s">
        <v>25</v>
      </c>
      <c r="G1313" s="1" t="s">
        <v>19</v>
      </c>
      <c r="H1313" s="1" t="str">
        <f>"82"</f>
        <v>82</v>
      </c>
      <c r="I1313" s="1" t="str">
        <f t="shared" si="1040"/>
        <v>170</v>
      </c>
      <c r="J1313" s="1" t="str">
        <f t="shared" ref="J1313:O1313" si="1045">"0"</f>
        <v>0</v>
      </c>
      <c r="K1313" s="1" t="str">
        <f t="shared" si="1014"/>
        <v>103</v>
      </c>
      <c r="L1313" s="1" t="str">
        <f t="shared" si="1015"/>
        <v>47</v>
      </c>
      <c r="M1313" s="1" t="str">
        <f t="shared" si="1045"/>
        <v>0</v>
      </c>
      <c r="N1313" s="1" t="str">
        <f t="shared" si="1045"/>
        <v>0</v>
      </c>
      <c r="O1313" s="1" t="str">
        <f t="shared" si="1045"/>
        <v>0</v>
      </c>
    </row>
    <row r="1314" s="1" customFormat="1" spans="1:15">
      <c r="A1314" s="1" t="str">
        <f t="shared" si="1003"/>
        <v>202406</v>
      </c>
      <c r="B1314" s="1" t="str">
        <f t="shared" si="1004"/>
        <v>150525100</v>
      </c>
      <c r="C1314" s="1" t="str">
        <f>"1014624987"</f>
        <v>1014624987</v>
      </c>
      <c r="D1314" s="1" t="s">
        <v>1371</v>
      </c>
      <c r="E1314" s="1" t="s">
        <v>1372</v>
      </c>
      <c r="F1314" s="1" t="s">
        <v>25</v>
      </c>
      <c r="G1314" s="1" t="s">
        <v>17</v>
      </c>
      <c r="H1314" s="1" t="str">
        <f>"85"</f>
        <v>85</v>
      </c>
      <c r="I1314" s="1" t="str">
        <f t="shared" si="1040"/>
        <v>170</v>
      </c>
      <c r="J1314" s="1" t="str">
        <f t="shared" ref="J1314:O1314" si="1046">"0"</f>
        <v>0</v>
      </c>
      <c r="K1314" s="1" t="str">
        <f t="shared" si="1014"/>
        <v>103</v>
      </c>
      <c r="L1314" s="1" t="str">
        <f t="shared" si="1015"/>
        <v>47</v>
      </c>
      <c r="M1314" s="1" t="str">
        <f t="shared" si="1046"/>
        <v>0</v>
      </c>
      <c r="N1314" s="1" t="str">
        <f t="shared" si="1046"/>
        <v>0</v>
      </c>
      <c r="O1314" s="1" t="str">
        <f t="shared" si="1046"/>
        <v>0</v>
      </c>
    </row>
    <row r="1315" s="1" customFormat="1" spans="1:15">
      <c r="A1315" s="1" t="str">
        <f t="shared" si="1003"/>
        <v>202406</v>
      </c>
      <c r="B1315" s="1" t="str">
        <f t="shared" si="1004"/>
        <v>150525100</v>
      </c>
      <c r="C1315" s="1" t="str">
        <f>"1014624995"</f>
        <v>1014624995</v>
      </c>
      <c r="D1315" s="1" t="str">
        <f>"152326194910250678"</f>
        <v>152326194910250678</v>
      </c>
      <c r="E1315" s="1" t="s">
        <v>1373</v>
      </c>
      <c r="F1315" s="1" t="s">
        <v>25</v>
      </c>
      <c r="G1315" s="1" t="s">
        <v>17</v>
      </c>
      <c r="H1315" s="1" t="str">
        <f>"75"</f>
        <v>75</v>
      </c>
      <c r="I1315" s="1" t="str">
        <f>"160"</f>
        <v>160</v>
      </c>
      <c r="J1315" s="1" t="str">
        <f t="shared" ref="J1315:O1315" si="1047">"0"</f>
        <v>0</v>
      </c>
      <c r="K1315" s="1" t="str">
        <f t="shared" si="1014"/>
        <v>103</v>
      </c>
      <c r="L1315" s="1" t="str">
        <f t="shared" si="1015"/>
        <v>47</v>
      </c>
      <c r="M1315" s="1" t="str">
        <f t="shared" si="1047"/>
        <v>0</v>
      </c>
      <c r="N1315" s="1" t="str">
        <f t="shared" si="1047"/>
        <v>0</v>
      </c>
      <c r="O1315" s="1" t="str">
        <f t="shared" si="1047"/>
        <v>0</v>
      </c>
    </row>
    <row r="1316" s="1" customFormat="1" spans="1:15">
      <c r="A1316" s="1" t="str">
        <f t="shared" si="1003"/>
        <v>202406</v>
      </c>
      <c r="B1316" s="1" t="str">
        <f t="shared" si="1004"/>
        <v>150525100</v>
      </c>
      <c r="C1316" s="1" t="str">
        <f>"1014625475"</f>
        <v>1014625475</v>
      </c>
      <c r="D1316" s="1" t="str">
        <f>"152326194812073313"</f>
        <v>152326194812073313</v>
      </c>
      <c r="E1316" s="1" t="s">
        <v>1374</v>
      </c>
      <c r="F1316" s="1" t="s">
        <v>25</v>
      </c>
      <c r="G1316" s="1" t="s">
        <v>19</v>
      </c>
      <c r="H1316" s="1" t="str">
        <f>"76"</f>
        <v>76</v>
      </c>
      <c r="I1316" s="1" t="str">
        <f>"160"</f>
        <v>160</v>
      </c>
      <c r="J1316" s="1" t="str">
        <f t="shared" ref="J1316:O1316" si="1048">"0"</f>
        <v>0</v>
      </c>
      <c r="K1316" s="1" t="str">
        <f t="shared" si="1014"/>
        <v>103</v>
      </c>
      <c r="L1316" s="1" t="str">
        <f t="shared" si="1015"/>
        <v>47</v>
      </c>
      <c r="M1316" s="1" t="str">
        <f t="shared" si="1048"/>
        <v>0</v>
      </c>
      <c r="N1316" s="1" t="str">
        <f t="shared" si="1048"/>
        <v>0</v>
      </c>
      <c r="O1316" s="1" t="str">
        <f t="shared" si="1048"/>
        <v>0</v>
      </c>
    </row>
    <row r="1317" s="1" customFormat="1" spans="1:15">
      <c r="A1317" s="1" t="str">
        <f t="shared" si="1003"/>
        <v>202406</v>
      </c>
      <c r="B1317" s="1" t="str">
        <f t="shared" si="1004"/>
        <v>150525100</v>
      </c>
      <c r="C1317" s="1" t="str">
        <f>"1014666600"</f>
        <v>1014666600</v>
      </c>
      <c r="D1317" s="1" t="str">
        <f>"152326196107050019"</f>
        <v>152326196107050019</v>
      </c>
      <c r="E1317" s="1" t="s">
        <v>1375</v>
      </c>
      <c r="F1317" s="1" t="s">
        <v>25</v>
      </c>
      <c r="G1317" s="1" t="s">
        <v>17</v>
      </c>
      <c r="H1317" s="1" t="str">
        <f>"63"</f>
        <v>63</v>
      </c>
      <c r="I1317" s="1" t="str">
        <f>"184.66"</f>
        <v>184.66</v>
      </c>
      <c r="J1317" s="1" t="str">
        <f t="shared" ref="J1317:N1317" si="1049">"0"</f>
        <v>0</v>
      </c>
      <c r="K1317" s="1" t="str">
        <f t="shared" si="1014"/>
        <v>103</v>
      </c>
      <c r="L1317" s="1" t="str">
        <f t="shared" si="1015"/>
        <v>47</v>
      </c>
      <c r="M1317" s="1" t="str">
        <f t="shared" si="1049"/>
        <v>0</v>
      </c>
      <c r="N1317" s="1" t="str">
        <f t="shared" si="1049"/>
        <v>0</v>
      </c>
      <c r="O1317" s="1" t="str">
        <f>"34.66"</f>
        <v>34.66</v>
      </c>
    </row>
    <row r="1318" s="1" customFormat="1" spans="1:15">
      <c r="A1318" s="1" t="str">
        <f t="shared" si="1003"/>
        <v>202406</v>
      </c>
      <c r="B1318" s="1" t="str">
        <f t="shared" si="1004"/>
        <v>150525100</v>
      </c>
      <c r="C1318" s="1" t="str">
        <f>"1014641932"</f>
        <v>1014641932</v>
      </c>
      <c r="D1318" s="1" t="str">
        <f>"152326195604100465"</f>
        <v>152326195604100465</v>
      </c>
      <c r="E1318" s="1" t="s">
        <v>1376</v>
      </c>
      <c r="F1318" s="1" t="s">
        <v>16</v>
      </c>
      <c r="G1318" s="1" t="s">
        <v>17</v>
      </c>
      <c r="H1318" s="1" t="str">
        <f t="shared" ref="H1318:H1322" si="1050">"68"</f>
        <v>68</v>
      </c>
      <c r="I1318" s="1" t="str">
        <f>"154.94"</f>
        <v>154.94</v>
      </c>
      <c r="J1318" s="1" t="str">
        <f t="shared" ref="J1318:N1318" si="1051">"0"</f>
        <v>0</v>
      </c>
      <c r="K1318" s="1" t="str">
        <f t="shared" si="1014"/>
        <v>103</v>
      </c>
      <c r="L1318" s="1" t="str">
        <f t="shared" si="1015"/>
        <v>47</v>
      </c>
      <c r="M1318" s="1" t="str">
        <f t="shared" si="1051"/>
        <v>0</v>
      </c>
      <c r="N1318" s="1" t="str">
        <f t="shared" si="1051"/>
        <v>0</v>
      </c>
      <c r="O1318" s="1" t="str">
        <f>"4.94"</f>
        <v>4.94</v>
      </c>
    </row>
    <row r="1319" s="1" customFormat="1" spans="1:15">
      <c r="A1319" s="1" t="str">
        <f t="shared" si="1003"/>
        <v>202406</v>
      </c>
      <c r="B1319" s="1" t="str">
        <f t="shared" si="1004"/>
        <v>150525100</v>
      </c>
      <c r="C1319" s="1" t="str">
        <f>"1040681706"</f>
        <v>1040681706</v>
      </c>
      <c r="D1319" s="1" t="str">
        <f>"152326195911223318"</f>
        <v>152326195911223318</v>
      </c>
      <c r="E1319" s="1" t="s">
        <v>1377</v>
      </c>
      <c r="F1319" s="1" t="s">
        <v>25</v>
      </c>
      <c r="G1319" s="1" t="s">
        <v>19</v>
      </c>
      <c r="H1319" s="1" t="str">
        <f>"65"</f>
        <v>65</v>
      </c>
      <c r="I1319" s="1" t="str">
        <f>"156.95"</f>
        <v>156.95</v>
      </c>
      <c r="J1319" s="1" t="str">
        <f t="shared" ref="J1319:N1319" si="1052">"0"</f>
        <v>0</v>
      </c>
      <c r="K1319" s="1" t="str">
        <f t="shared" si="1014"/>
        <v>103</v>
      </c>
      <c r="L1319" s="1" t="str">
        <f t="shared" si="1015"/>
        <v>47</v>
      </c>
      <c r="M1319" s="1" t="str">
        <f t="shared" si="1052"/>
        <v>0</v>
      </c>
      <c r="N1319" s="1" t="str">
        <f t="shared" si="1052"/>
        <v>0</v>
      </c>
      <c r="O1319" s="1" t="str">
        <f>"6.95"</f>
        <v>6.95</v>
      </c>
    </row>
    <row r="1320" s="1" customFormat="1" spans="1:15">
      <c r="A1320" s="1" t="str">
        <f t="shared" si="1003"/>
        <v>202406</v>
      </c>
      <c r="B1320" s="1" t="str">
        <f t="shared" si="1004"/>
        <v>150525100</v>
      </c>
      <c r="C1320" s="1" t="str">
        <f>"1040681709"</f>
        <v>1040681709</v>
      </c>
      <c r="D1320" s="1" t="str">
        <f>"152326195609080416"</f>
        <v>152326195609080416</v>
      </c>
      <c r="E1320" s="1" t="s">
        <v>1378</v>
      </c>
      <c r="F1320" s="1" t="s">
        <v>25</v>
      </c>
      <c r="G1320" s="1" t="s">
        <v>17</v>
      </c>
      <c r="H1320" s="1" t="str">
        <f t="shared" si="1050"/>
        <v>68</v>
      </c>
      <c r="I1320" s="1" t="str">
        <f>"2007.53"</f>
        <v>2007.53</v>
      </c>
      <c r="J1320" s="1" t="str">
        <f>"1852.72"</f>
        <v>1852.72</v>
      </c>
      <c r="K1320" s="1" t="str">
        <f>"1334"</f>
        <v>1334</v>
      </c>
      <c r="L1320" s="1" t="str">
        <f>"611"</f>
        <v>611</v>
      </c>
      <c r="M1320" s="1" t="str">
        <f>"0"</f>
        <v>0</v>
      </c>
      <c r="N1320" s="1" t="str">
        <f>"0"</f>
        <v>0</v>
      </c>
      <c r="O1320" s="1" t="str">
        <f>"62.53"</f>
        <v>62.53</v>
      </c>
    </row>
    <row r="1321" s="1" customFormat="1" spans="1:15">
      <c r="A1321" s="1" t="str">
        <f t="shared" si="1003"/>
        <v>202406</v>
      </c>
      <c r="B1321" s="1" t="str">
        <f t="shared" si="1004"/>
        <v>150525100</v>
      </c>
      <c r="C1321" s="1" t="str">
        <f>"1040681714"</f>
        <v>1040681714</v>
      </c>
      <c r="D1321" s="1" t="str">
        <f>"152326195709080413"</f>
        <v>152326195709080413</v>
      </c>
      <c r="E1321" s="1" t="s">
        <v>1379</v>
      </c>
      <c r="F1321" s="1" t="s">
        <v>25</v>
      </c>
      <c r="G1321" s="1" t="s">
        <v>17</v>
      </c>
      <c r="H1321" s="1" t="str">
        <f>"67"</f>
        <v>67</v>
      </c>
      <c r="I1321" s="1" t="str">
        <f>"154.87"</f>
        <v>154.87</v>
      </c>
      <c r="J1321" s="1" t="str">
        <f t="shared" ref="J1321:N1321" si="1053">"0"</f>
        <v>0</v>
      </c>
      <c r="K1321" s="1" t="str">
        <f t="shared" ref="K1321:K1343" si="1054">"103"</f>
        <v>103</v>
      </c>
      <c r="L1321" s="1" t="str">
        <f t="shared" ref="L1321:L1343" si="1055">"47"</f>
        <v>47</v>
      </c>
      <c r="M1321" s="1" t="str">
        <f t="shared" si="1053"/>
        <v>0</v>
      </c>
      <c r="N1321" s="1" t="str">
        <f t="shared" si="1053"/>
        <v>0</v>
      </c>
      <c r="O1321" s="1" t="str">
        <f>"4.87"</f>
        <v>4.87</v>
      </c>
    </row>
    <row r="1322" s="1" customFormat="1" spans="1:15">
      <c r="A1322" s="1" t="str">
        <f t="shared" si="1003"/>
        <v>202406</v>
      </c>
      <c r="B1322" s="1" t="str">
        <f t="shared" si="1004"/>
        <v>150525100</v>
      </c>
      <c r="C1322" s="1" t="str">
        <f>"1040681738"</f>
        <v>1040681738</v>
      </c>
      <c r="D1322" s="1" t="str">
        <f>"152326195610030424"</f>
        <v>152326195610030424</v>
      </c>
      <c r="E1322" s="1" t="s">
        <v>1380</v>
      </c>
      <c r="F1322" s="1" t="s">
        <v>16</v>
      </c>
      <c r="G1322" s="1" t="s">
        <v>17</v>
      </c>
      <c r="H1322" s="1" t="str">
        <f t="shared" si="1050"/>
        <v>68</v>
      </c>
      <c r="I1322" s="1" t="str">
        <f>"154.81"</f>
        <v>154.81</v>
      </c>
      <c r="J1322" s="1" t="str">
        <f t="shared" ref="J1322:N1322" si="1056">"0"</f>
        <v>0</v>
      </c>
      <c r="K1322" s="1" t="str">
        <f t="shared" si="1054"/>
        <v>103</v>
      </c>
      <c r="L1322" s="1" t="str">
        <f t="shared" si="1055"/>
        <v>47</v>
      </c>
      <c r="M1322" s="1" t="str">
        <f t="shared" si="1056"/>
        <v>0</v>
      </c>
      <c r="N1322" s="1" t="str">
        <f t="shared" si="1056"/>
        <v>0</v>
      </c>
      <c r="O1322" s="1" t="str">
        <f>"4.81"</f>
        <v>4.81</v>
      </c>
    </row>
    <row r="1323" s="1" customFormat="1" spans="1:15">
      <c r="A1323" s="1" t="str">
        <f t="shared" si="1003"/>
        <v>202406</v>
      </c>
      <c r="B1323" s="1" t="str">
        <f t="shared" si="1004"/>
        <v>150525100</v>
      </c>
      <c r="C1323" s="1" t="str">
        <f>"1040681742"</f>
        <v>1040681742</v>
      </c>
      <c r="D1323" s="1" t="str">
        <f>"152326195704250428"</f>
        <v>152326195704250428</v>
      </c>
      <c r="E1323" s="1" t="s">
        <v>1381</v>
      </c>
      <c r="F1323" s="1" t="s">
        <v>16</v>
      </c>
      <c r="G1323" s="1" t="s">
        <v>17</v>
      </c>
      <c r="H1323" s="1" t="str">
        <f>"67"</f>
        <v>67</v>
      </c>
      <c r="I1323" s="1" t="str">
        <f>"159.31"</f>
        <v>159.31</v>
      </c>
      <c r="J1323" s="1" t="str">
        <f t="shared" ref="J1323:N1323" si="1057">"0"</f>
        <v>0</v>
      </c>
      <c r="K1323" s="1" t="str">
        <f t="shared" si="1054"/>
        <v>103</v>
      </c>
      <c r="L1323" s="1" t="str">
        <f t="shared" si="1055"/>
        <v>47</v>
      </c>
      <c r="M1323" s="1" t="str">
        <f t="shared" si="1057"/>
        <v>0</v>
      </c>
      <c r="N1323" s="1" t="str">
        <f t="shared" si="1057"/>
        <v>0</v>
      </c>
      <c r="O1323" s="1" t="str">
        <f>"9.31"</f>
        <v>9.31</v>
      </c>
    </row>
    <row r="1324" s="1" customFormat="1" spans="1:15">
      <c r="A1324" s="1" t="str">
        <f t="shared" si="1003"/>
        <v>202406</v>
      </c>
      <c r="B1324" s="1" t="str">
        <f t="shared" si="1004"/>
        <v>150525100</v>
      </c>
      <c r="C1324" s="1" t="str">
        <f>"1040681760"</f>
        <v>1040681760</v>
      </c>
      <c r="D1324" s="1" t="str">
        <f>"152326196104163325"</f>
        <v>152326196104163325</v>
      </c>
      <c r="E1324" s="1" t="s">
        <v>1382</v>
      </c>
      <c r="F1324" s="1" t="s">
        <v>16</v>
      </c>
      <c r="G1324" s="1" t="s">
        <v>19</v>
      </c>
      <c r="H1324" s="1" t="str">
        <f>"63"</f>
        <v>63</v>
      </c>
      <c r="I1324" s="1" t="str">
        <f>"159.79"</f>
        <v>159.79</v>
      </c>
      <c r="J1324" s="1" t="str">
        <f t="shared" ref="J1324:N1324" si="1058">"0"</f>
        <v>0</v>
      </c>
      <c r="K1324" s="1" t="str">
        <f t="shared" si="1054"/>
        <v>103</v>
      </c>
      <c r="L1324" s="1" t="str">
        <f t="shared" si="1055"/>
        <v>47</v>
      </c>
      <c r="M1324" s="1" t="str">
        <f t="shared" si="1058"/>
        <v>0</v>
      </c>
      <c r="N1324" s="1" t="str">
        <f t="shared" si="1058"/>
        <v>0</v>
      </c>
      <c r="O1324" s="1" t="str">
        <f>"9.79"</f>
        <v>9.79</v>
      </c>
    </row>
    <row r="1325" s="1" customFormat="1" spans="1:15">
      <c r="A1325" s="1" t="str">
        <f t="shared" si="1003"/>
        <v>202406</v>
      </c>
      <c r="B1325" s="1" t="str">
        <f t="shared" si="1004"/>
        <v>150525100</v>
      </c>
      <c r="C1325" s="1" t="str">
        <f>"1040681677"</f>
        <v>1040681677</v>
      </c>
      <c r="D1325" s="1" t="str">
        <f>"152326195412293311"</f>
        <v>152326195412293311</v>
      </c>
      <c r="E1325" s="1" t="s">
        <v>1383</v>
      </c>
      <c r="F1325" s="1" t="s">
        <v>25</v>
      </c>
      <c r="G1325" s="1" t="s">
        <v>19</v>
      </c>
      <c r="H1325" s="1" t="str">
        <f>"70"</f>
        <v>70</v>
      </c>
      <c r="I1325" s="1" t="str">
        <f>"153.89"</f>
        <v>153.89</v>
      </c>
      <c r="J1325" s="1" t="str">
        <f t="shared" ref="J1325:N1325" si="1059">"0"</f>
        <v>0</v>
      </c>
      <c r="K1325" s="1" t="str">
        <f t="shared" si="1054"/>
        <v>103</v>
      </c>
      <c r="L1325" s="1" t="str">
        <f t="shared" si="1055"/>
        <v>47</v>
      </c>
      <c r="M1325" s="1" t="str">
        <f t="shared" si="1059"/>
        <v>0</v>
      </c>
      <c r="N1325" s="1" t="str">
        <f t="shared" si="1059"/>
        <v>0</v>
      </c>
      <c r="O1325" s="1" t="str">
        <f>"3.89"</f>
        <v>3.89</v>
      </c>
    </row>
    <row r="1326" s="1" customFormat="1" spans="1:15">
      <c r="A1326" s="1" t="str">
        <f t="shared" si="1003"/>
        <v>202406</v>
      </c>
      <c r="B1326" s="1" t="str">
        <f t="shared" si="1004"/>
        <v>150525100</v>
      </c>
      <c r="C1326" s="1" t="str">
        <f>"1040681682"</f>
        <v>1040681682</v>
      </c>
      <c r="D1326" s="1" t="str">
        <f>"152326195902043323"</f>
        <v>152326195902043323</v>
      </c>
      <c r="E1326" s="1" t="s">
        <v>1384</v>
      </c>
      <c r="F1326" s="1" t="s">
        <v>16</v>
      </c>
      <c r="G1326" s="1" t="s">
        <v>17</v>
      </c>
      <c r="H1326" s="1" t="str">
        <f>"65"</f>
        <v>65</v>
      </c>
      <c r="I1326" s="1" t="str">
        <f>"158.59"</f>
        <v>158.59</v>
      </c>
      <c r="J1326" s="1" t="str">
        <f t="shared" ref="J1326:N1326" si="1060">"0"</f>
        <v>0</v>
      </c>
      <c r="K1326" s="1" t="str">
        <f t="shared" si="1054"/>
        <v>103</v>
      </c>
      <c r="L1326" s="1" t="str">
        <f t="shared" si="1055"/>
        <v>47</v>
      </c>
      <c r="M1326" s="1" t="str">
        <f t="shared" si="1060"/>
        <v>0</v>
      </c>
      <c r="N1326" s="1" t="str">
        <f t="shared" si="1060"/>
        <v>0</v>
      </c>
      <c r="O1326" s="1" t="str">
        <f>"8.59"</f>
        <v>8.59</v>
      </c>
    </row>
    <row r="1327" s="1" customFormat="1" spans="1:15">
      <c r="A1327" s="1" t="str">
        <f t="shared" si="1003"/>
        <v>202406</v>
      </c>
      <c r="B1327" s="1" t="str">
        <f t="shared" si="1004"/>
        <v>150525100</v>
      </c>
      <c r="C1327" s="1" t="str">
        <f>"1040681805"</f>
        <v>1040681805</v>
      </c>
      <c r="D1327" s="1" t="str">
        <f>"152326195505140672"</f>
        <v>152326195505140672</v>
      </c>
      <c r="E1327" s="1" t="s">
        <v>1385</v>
      </c>
      <c r="F1327" s="1" t="s">
        <v>25</v>
      </c>
      <c r="G1327" s="1" t="s">
        <v>17</v>
      </c>
      <c r="H1327" s="1" t="str">
        <f>"69"</f>
        <v>69</v>
      </c>
      <c r="I1327" s="1" t="str">
        <f>"153.88"</f>
        <v>153.88</v>
      </c>
      <c r="J1327" s="1" t="str">
        <f t="shared" ref="J1327:N1327" si="1061">"0"</f>
        <v>0</v>
      </c>
      <c r="K1327" s="1" t="str">
        <f t="shared" si="1054"/>
        <v>103</v>
      </c>
      <c r="L1327" s="1" t="str">
        <f t="shared" si="1055"/>
        <v>47</v>
      </c>
      <c r="M1327" s="1" t="str">
        <f t="shared" si="1061"/>
        <v>0</v>
      </c>
      <c r="N1327" s="1" t="str">
        <f t="shared" si="1061"/>
        <v>0</v>
      </c>
      <c r="O1327" s="1" t="str">
        <f>"3.88"</f>
        <v>3.88</v>
      </c>
    </row>
    <row r="1328" s="1" customFormat="1" spans="1:15">
      <c r="A1328" s="1" t="str">
        <f t="shared" si="1003"/>
        <v>202406</v>
      </c>
      <c r="B1328" s="1" t="str">
        <f t="shared" si="1004"/>
        <v>150525100</v>
      </c>
      <c r="C1328" s="1" t="str">
        <f>"1040682137"</f>
        <v>1040682137</v>
      </c>
      <c r="D1328" s="1" t="str">
        <f>"152326196002100665"</f>
        <v>152326196002100665</v>
      </c>
      <c r="E1328" s="1" t="s">
        <v>1386</v>
      </c>
      <c r="F1328" s="1" t="s">
        <v>16</v>
      </c>
      <c r="G1328" s="1" t="s">
        <v>17</v>
      </c>
      <c r="H1328" s="1" t="str">
        <f>"64"</f>
        <v>64</v>
      </c>
      <c r="I1328" s="1" t="str">
        <f>"157.93"</f>
        <v>157.93</v>
      </c>
      <c r="J1328" s="1" t="str">
        <f t="shared" ref="J1328:N1328" si="1062">"0"</f>
        <v>0</v>
      </c>
      <c r="K1328" s="1" t="str">
        <f t="shared" si="1054"/>
        <v>103</v>
      </c>
      <c r="L1328" s="1" t="str">
        <f t="shared" si="1055"/>
        <v>47</v>
      </c>
      <c r="M1328" s="1" t="str">
        <f t="shared" si="1062"/>
        <v>0</v>
      </c>
      <c r="N1328" s="1" t="str">
        <f t="shared" si="1062"/>
        <v>0</v>
      </c>
      <c r="O1328" s="1" t="str">
        <f>"7.93"</f>
        <v>7.93</v>
      </c>
    </row>
    <row r="1329" s="1" customFormat="1" spans="1:15">
      <c r="A1329" s="1" t="str">
        <f t="shared" si="1003"/>
        <v>202406</v>
      </c>
      <c r="B1329" s="1" t="str">
        <f t="shared" si="1004"/>
        <v>150525100</v>
      </c>
      <c r="C1329" s="1" t="str">
        <f>"1040682146"</f>
        <v>1040682146</v>
      </c>
      <c r="D1329" s="1" t="str">
        <f>"152326195409260674"</f>
        <v>152326195409260674</v>
      </c>
      <c r="E1329" s="1" t="s">
        <v>1387</v>
      </c>
      <c r="F1329" s="1" t="s">
        <v>25</v>
      </c>
      <c r="G1329" s="1" t="s">
        <v>17</v>
      </c>
      <c r="H1329" s="1" t="str">
        <f>"70"</f>
        <v>70</v>
      </c>
      <c r="I1329" s="1" t="str">
        <f>"152.95"</f>
        <v>152.95</v>
      </c>
      <c r="J1329" s="1" t="str">
        <f t="shared" ref="J1329:N1329" si="1063">"0"</f>
        <v>0</v>
      </c>
      <c r="K1329" s="1" t="str">
        <f t="shared" si="1054"/>
        <v>103</v>
      </c>
      <c r="L1329" s="1" t="str">
        <f t="shared" si="1055"/>
        <v>47</v>
      </c>
      <c r="M1329" s="1" t="str">
        <f t="shared" si="1063"/>
        <v>0</v>
      </c>
      <c r="N1329" s="1" t="str">
        <f t="shared" si="1063"/>
        <v>0</v>
      </c>
      <c r="O1329" s="1" t="str">
        <f>"2.95"</f>
        <v>2.95</v>
      </c>
    </row>
    <row r="1330" s="1" customFormat="1" spans="1:15">
      <c r="A1330" s="1" t="str">
        <f t="shared" si="1003"/>
        <v>202406</v>
      </c>
      <c r="B1330" s="1" t="str">
        <f t="shared" si="1004"/>
        <v>150525100</v>
      </c>
      <c r="C1330" s="1" t="str">
        <f>"1040682159"</f>
        <v>1040682159</v>
      </c>
      <c r="D1330" s="1" t="str">
        <f>"152326195707240428"</f>
        <v>152326195707240428</v>
      </c>
      <c r="E1330" s="1" t="s">
        <v>1388</v>
      </c>
      <c r="F1330" s="1" t="s">
        <v>16</v>
      </c>
      <c r="G1330" s="1" t="s">
        <v>19</v>
      </c>
      <c r="H1330" s="1" t="str">
        <f>"67"</f>
        <v>67</v>
      </c>
      <c r="I1330" s="1" t="str">
        <f>"173.01"</f>
        <v>173.01</v>
      </c>
      <c r="J1330" s="1" t="str">
        <f t="shared" ref="J1330:N1330" si="1064">"0"</f>
        <v>0</v>
      </c>
      <c r="K1330" s="1" t="str">
        <f t="shared" si="1054"/>
        <v>103</v>
      </c>
      <c r="L1330" s="1" t="str">
        <f t="shared" si="1055"/>
        <v>47</v>
      </c>
      <c r="M1330" s="1" t="str">
        <f t="shared" si="1064"/>
        <v>0</v>
      </c>
      <c r="N1330" s="1" t="str">
        <f t="shared" si="1064"/>
        <v>0</v>
      </c>
      <c r="O1330" s="1" t="str">
        <f>"23.01"</f>
        <v>23.01</v>
      </c>
    </row>
    <row r="1331" s="1" customFormat="1" spans="1:15">
      <c r="A1331" s="1" t="str">
        <f t="shared" si="1003"/>
        <v>202406</v>
      </c>
      <c r="B1331" s="1" t="str">
        <f t="shared" si="1004"/>
        <v>150525100</v>
      </c>
      <c r="C1331" s="1" t="str">
        <f>"1040682170"</f>
        <v>1040682170</v>
      </c>
      <c r="D1331" s="1" t="s">
        <v>1389</v>
      </c>
      <c r="E1331" s="1" t="s">
        <v>1390</v>
      </c>
      <c r="F1331" s="1" t="s">
        <v>16</v>
      </c>
      <c r="G1331" s="1" t="s">
        <v>17</v>
      </c>
      <c r="H1331" s="1" t="str">
        <f>"62"</f>
        <v>62</v>
      </c>
      <c r="I1331" s="1" t="str">
        <f>"160.88"</f>
        <v>160.88</v>
      </c>
      <c r="J1331" s="1" t="str">
        <f t="shared" ref="J1331:N1331" si="1065">"0"</f>
        <v>0</v>
      </c>
      <c r="K1331" s="1" t="str">
        <f t="shared" si="1054"/>
        <v>103</v>
      </c>
      <c r="L1331" s="1" t="str">
        <f t="shared" si="1055"/>
        <v>47</v>
      </c>
      <c r="M1331" s="1" t="str">
        <f t="shared" si="1065"/>
        <v>0</v>
      </c>
      <c r="N1331" s="1" t="str">
        <f t="shared" si="1065"/>
        <v>0</v>
      </c>
      <c r="O1331" s="1" t="str">
        <f>"10.88"</f>
        <v>10.88</v>
      </c>
    </row>
    <row r="1332" s="1" customFormat="1" spans="1:15">
      <c r="A1332" s="1" t="str">
        <f t="shared" si="1003"/>
        <v>202406</v>
      </c>
      <c r="B1332" s="1" t="str">
        <f t="shared" si="1004"/>
        <v>150525100</v>
      </c>
      <c r="C1332" s="1" t="str">
        <f>"1040682029"</f>
        <v>1040682029</v>
      </c>
      <c r="D1332" s="1" t="str">
        <f>"152326196201010443"</f>
        <v>152326196201010443</v>
      </c>
      <c r="E1332" s="1" t="s">
        <v>123</v>
      </c>
      <c r="F1332" s="1" t="s">
        <v>16</v>
      </c>
      <c r="G1332" s="1" t="s">
        <v>17</v>
      </c>
      <c r="H1332" s="1" t="str">
        <f>"63"</f>
        <v>63</v>
      </c>
      <c r="I1332" s="1" t="str">
        <f>"165.64"</f>
        <v>165.64</v>
      </c>
      <c r="J1332" s="1" t="str">
        <f t="shared" ref="J1332:N1332" si="1066">"0"</f>
        <v>0</v>
      </c>
      <c r="K1332" s="1" t="str">
        <f t="shared" si="1054"/>
        <v>103</v>
      </c>
      <c r="L1332" s="1" t="str">
        <f t="shared" si="1055"/>
        <v>47</v>
      </c>
      <c r="M1332" s="1" t="str">
        <f t="shared" si="1066"/>
        <v>0</v>
      </c>
      <c r="N1332" s="1" t="str">
        <f t="shared" si="1066"/>
        <v>0</v>
      </c>
      <c r="O1332" s="1" t="str">
        <f>"15.64"</f>
        <v>15.64</v>
      </c>
    </row>
    <row r="1333" s="1" customFormat="1" spans="1:15">
      <c r="A1333" s="1" t="str">
        <f t="shared" si="1003"/>
        <v>202406</v>
      </c>
      <c r="B1333" s="1" t="str">
        <f t="shared" si="1004"/>
        <v>150525100</v>
      </c>
      <c r="C1333" s="1" t="str">
        <f>"1040682039"</f>
        <v>1040682039</v>
      </c>
      <c r="D1333" s="1" t="str">
        <f>"152326196012203326"</f>
        <v>152326196012203326</v>
      </c>
      <c r="E1333" s="1" t="s">
        <v>1391</v>
      </c>
      <c r="F1333" s="1" t="s">
        <v>16</v>
      </c>
      <c r="G1333" s="1" t="s">
        <v>17</v>
      </c>
      <c r="H1333" s="1" t="str">
        <f>"64"</f>
        <v>64</v>
      </c>
      <c r="I1333" s="1" t="str">
        <f>"158.04"</f>
        <v>158.04</v>
      </c>
      <c r="J1333" s="1" t="str">
        <f t="shared" ref="J1333:N1333" si="1067">"0"</f>
        <v>0</v>
      </c>
      <c r="K1333" s="1" t="str">
        <f t="shared" si="1054"/>
        <v>103</v>
      </c>
      <c r="L1333" s="1" t="str">
        <f t="shared" si="1055"/>
        <v>47</v>
      </c>
      <c r="M1333" s="1" t="str">
        <f t="shared" si="1067"/>
        <v>0</v>
      </c>
      <c r="N1333" s="1" t="str">
        <f t="shared" si="1067"/>
        <v>0</v>
      </c>
      <c r="O1333" s="1" t="str">
        <f>"8.04"</f>
        <v>8.04</v>
      </c>
    </row>
    <row r="1334" s="1" customFormat="1" spans="1:15">
      <c r="A1334" s="1" t="str">
        <f t="shared" si="1003"/>
        <v>202406</v>
      </c>
      <c r="B1334" s="1" t="str">
        <f t="shared" si="1004"/>
        <v>150525100</v>
      </c>
      <c r="C1334" s="1" t="str">
        <f>"1040682123"</f>
        <v>1040682123</v>
      </c>
      <c r="D1334" s="1" t="str">
        <f>"152326195708250695"</f>
        <v>152326195708250695</v>
      </c>
      <c r="E1334" s="1" t="s">
        <v>1392</v>
      </c>
      <c r="F1334" s="1" t="s">
        <v>25</v>
      </c>
      <c r="G1334" s="1" t="s">
        <v>19</v>
      </c>
      <c r="H1334" s="1" t="str">
        <f>"67"</f>
        <v>67</v>
      </c>
      <c r="I1334" s="1" t="str">
        <f>"154.89"</f>
        <v>154.89</v>
      </c>
      <c r="J1334" s="1" t="str">
        <f t="shared" ref="J1334:N1334" si="1068">"0"</f>
        <v>0</v>
      </c>
      <c r="K1334" s="1" t="str">
        <f t="shared" si="1054"/>
        <v>103</v>
      </c>
      <c r="L1334" s="1" t="str">
        <f t="shared" si="1055"/>
        <v>47</v>
      </c>
      <c r="M1334" s="1" t="str">
        <f t="shared" si="1068"/>
        <v>0</v>
      </c>
      <c r="N1334" s="1" t="str">
        <f t="shared" si="1068"/>
        <v>0</v>
      </c>
      <c r="O1334" s="1" t="str">
        <f>"4.89"</f>
        <v>4.89</v>
      </c>
    </row>
    <row r="1335" s="1" customFormat="1" spans="1:15">
      <c r="A1335" s="1" t="str">
        <f t="shared" si="1003"/>
        <v>202406</v>
      </c>
      <c r="B1335" s="1" t="str">
        <f t="shared" si="1004"/>
        <v>150525100</v>
      </c>
      <c r="C1335" s="1" t="str">
        <f>"1040681907"</f>
        <v>1040681907</v>
      </c>
      <c r="D1335" s="1" t="s">
        <v>1393</v>
      </c>
      <c r="E1335" s="1" t="s">
        <v>1394</v>
      </c>
      <c r="F1335" s="1" t="s">
        <v>16</v>
      </c>
      <c r="G1335" s="1" t="s">
        <v>17</v>
      </c>
      <c r="H1335" s="1" t="str">
        <f t="shared" ref="H1335:H1337" si="1069">"66"</f>
        <v>66</v>
      </c>
      <c r="I1335" s="1" t="str">
        <f>"155.86"</f>
        <v>155.86</v>
      </c>
      <c r="J1335" s="1" t="str">
        <f t="shared" ref="J1335:N1335" si="1070">"0"</f>
        <v>0</v>
      </c>
      <c r="K1335" s="1" t="str">
        <f t="shared" si="1054"/>
        <v>103</v>
      </c>
      <c r="L1335" s="1" t="str">
        <f t="shared" si="1055"/>
        <v>47</v>
      </c>
      <c r="M1335" s="1" t="str">
        <f t="shared" si="1070"/>
        <v>0</v>
      </c>
      <c r="N1335" s="1" t="str">
        <f t="shared" si="1070"/>
        <v>0</v>
      </c>
      <c r="O1335" s="1" t="str">
        <f>"5.86"</f>
        <v>5.86</v>
      </c>
    </row>
    <row r="1336" s="1" customFormat="1" spans="1:15">
      <c r="A1336" s="1" t="str">
        <f t="shared" si="1003"/>
        <v>202406</v>
      </c>
      <c r="B1336" s="1" t="str">
        <f t="shared" si="1004"/>
        <v>150525100</v>
      </c>
      <c r="C1336" s="1" t="str">
        <f>"1040681917"</f>
        <v>1040681917</v>
      </c>
      <c r="D1336" s="1" t="str">
        <f>"152326195811150676"</f>
        <v>152326195811150676</v>
      </c>
      <c r="E1336" s="1" t="s">
        <v>1395</v>
      </c>
      <c r="F1336" s="1" t="s">
        <v>25</v>
      </c>
      <c r="G1336" s="1" t="s">
        <v>17</v>
      </c>
      <c r="H1336" s="1" t="str">
        <f t="shared" si="1069"/>
        <v>66</v>
      </c>
      <c r="I1336" s="1" t="str">
        <f>"157.62"</f>
        <v>157.62</v>
      </c>
      <c r="J1336" s="1" t="str">
        <f t="shared" ref="J1336:N1336" si="1071">"0"</f>
        <v>0</v>
      </c>
      <c r="K1336" s="1" t="str">
        <f t="shared" si="1054"/>
        <v>103</v>
      </c>
      <c r="L1336" s="1" t="str">
        <f t="shared" si="1055"/>
        <v>47</v>
      </c>
      <c r="M1336" s="1" t="str">
        <f t="shared" si="1071"/>
        <v>0</v>
      </c>
      <c r="N1336" s="1" t="str">
        <f t="shared" si="1071"/>
        <v>0</v>
      </c>
      <c r="O1336" s="1" t="str">
        <f>"7.62"</f>
        <v>7.62</v>
      </c>
    </row>
    <row r="1337" s="1" customFormat="1" spans="1:15">
      <c r="A1337" s="1" t="str">
        <f t="shared" si="1003"/>
        <v>202406</v>
      </c>
      <c r="B1337" s="1" t="str">
        <f t="shared" si="1004"/>
        <v>150525100</v>
      </c>
      <c r="C1337" s="1" t="str">
        <f>"1040681986"</f>
        <v>1040681986</v>
      </c>
      <c r="D1337" s="1" t="str">
        <f>"152326195806233813"</f>
        <v>152326195806233813</v>
      </c>
      <c r="E1337" s="1" t="s">
        <v>1396</v>
      </c>
      <c r="F1337" s="1" t="s">
        <v>25</v>
      </c>
      <c r="G1337" s="1" t="s">
        <v>17</v>
      </c>
      <c r="H1337" s="1" t="str">
        <f t="shared" si="1069"/>
        <v>66</v>
      </c>
      <c r="I1337" s="1" t="str">
        <f>"155.88"</f>
        <v>155.88</v>
      </c>
      <c r="J1337" s="1" t="str">
        <f t="shared" ref="J1337:N1337" si="1072">"0"</f>
        <v>0</v>
      </c>
      <c r="K1337" s="1" t="str">
        <f t="shared" si="1054"/>
        <v>103</v>
      </c>
      <c r="L1337" s="1" t="str">
        <f t="shared" si="1055"/>
        <v>47</v>
      </c>
      <c r="M1337" s="1" t="str">
        <f t="shared" si="1072"/>
        <v>0</v>
      </c>
      <c r="N1337" s="1" t="str">
        <f t="shared" si="1072"/>
        <v>0</v>
      </c>
      <c r="O1337" s="1" t="str">
        <f>"5.88"</f>
        <v>5.88</v>
      </c>
    </row>
    <row r="1338" s="1" customFormat="1" spans="1:15">
      <c r="A1338" s="1" t="str">
        <f t="shared" si="1003"/>
        <v>202406</v>
      </c>
      <c r="B1338" s="1" t="str">
        <f t="shared" si="1004"/>
        <v>150525100</v>
      </c>
      <c r="C1338" s="1" t="str">
        <f>"1040681994"</f>
        <v>1040681994</v>
      </c>
      <c r="D1338" s="1" t="str">
        <f>"152326195605193827"</f>
        <v>152326195605193827</v>
      </c>
      <c r="E1338" s="1" t="s">
        <v>1397</v>
      </c>
      <c r="F1338" s="1" t="s">
        <v>16</v>
      </c>
      <c r="G1338" s="1" t="s">
        <v>17</v>
      </c>
      <c r="H1338" s="1" t="str">
        <f>"68"</f>
        <v>68</v>
      </c>
      <c r="I1338" s="1" t="str">
        <f>"154.82"</f>
        <v>154.82</v>
      </c>
      <c r="J1338" s="1" t="str">
        <f t="shared" ref="J1338:N1338" si="1073">"0"</f>
        <v>0</v>
      </c>
      <c r="K1338" s="1" t="str">
        <f t="shared" si="1054"/>
        <v>103</v>
      </c>
      <c r="L1338" s="1" t="str">
        <f t="shared" si="1055"/>
        <v>47</v>
      </c>
      <c r="M1338" s="1" t="str">
        <f t="shared" si="1073"/>
        <v>0</v>
      </c>
      <c r="N1338" s="1" t="str">
        <f t="shared" si="1073"/>
        <v>0</v>
      </c>
      <c r="O1338" s="1" t="str">
        <f>"4.82"</f>
        <v>4.82</v>
      </c>
    </row>
    <row r="1339" s="1" customFormat="1" spans="1:15">
      <c r="A1339" s="1" t="str">
        <f t="shared" si="1003"/>
        <v>202406</v>
      </c>
      <c r="B1339" s="1" t="str">
        <f t="shared" si="1004"/>
        <v>150525100</v>
      </c>
      <c r="C1339" s="1" t="str">
        <f>"1040681995"</f>
        <v>1040681995</v>
      </c>
      <c r="D1339" s="1" t="s">
        <v>1398</v>
      </c>
      <c r="E1339" s="1" t="s">
        <v>1399</v>
      </c>
      <c r="F1339" s="1" t="s">
        <v>25</v>
      </c>
      <c r="G1339" s="1" t="s">
        <v>17</v>
      </c>
      <c r="H1339" s="1" t="str">
        <f>"67"</f>
        <v>67</v>
      </c>
      <c r="I1339" s="1" t="str">
        <f>"154.84"</f>
        <v>154.84</v>
      </c>
      <c r="J1339" s="1" t="str">
        <f t="shared" ref="J1339:N1339" si="1074">"0"</f>
        <v>0</v>
      </c>
      <c r="K1339" s="1" t="str">
        <f t="shared" si="1054"/>
        <v>103</v>
      </c>
      <c r="L1339" s="1" t="str">
        <f t="shared" si="1055"/>
        <v>47</v>
      </c>
      <c r="M1339" s="1" t="str">
        <f t="shared" si="1074"/>
        <v>0</v>
      </c>
      <c r="N1339" s="1" t="str">
        <f t="shared" si="1074"/>
        <v>0</v>
      </c>
      <c r="O1339" s="1" t="str">
        <f>"4.84"</f>
        <v>4.84</v>
      </c>
    </row>
    <row r="1340" s="1" customFormat="1" spans="1:15">
      <c r="A1340" s="1" t="str">
        <f t="shared" si="1003"/>
        <v>202406</v>
      </c>
      <c r="B1340" s="1" t="str">
        <f t="shared" si="1004"/>
        <v>150525100</v>
      </c>
      <c r="C1340" s="1" t="str">
        <f>"1040682001"</f>
        <v>1040682001</v>
      </c>
      <c r="D1340" s="1" t="str">
        <f>"152326195304283810"</f>
        <v>152326195304283810</v>
      </c>
      <c r="E1340" s="1" t="s">
        <v>1400</v>
      </c>
      <c r="F1340" s="1" t="s">
        <v>25</v>
      </c>
      <c r="G1340" s="1" t="s">
        <v>17</v>
      </c>
      <c r="H1340" s="1" t="str">
        <f>"71"</f>
        <v>71</v>
      </c>
      <c r="I1340" s="1" t="str">
        <f>"162.2"</f>
        <v>162.2</v>
      </c>
      <c r="J1340" s="1" t="str">
        <f t="shared" ref="J1340:N1340" si="1075">"0"</f>
        <v>0</v>
      </c>
      <c r="K1340" s="1" t="str">
        <f t="shared" si="1054"/>
        <v>103</v>
      </c>
      <c r="L1340" s="1" t="str">
        <f t="shared" si="1055"/>
        <v>47</v>
      </c>
      <c r="M1340" s="1" t="str">
        <f t="shared" si="1075"/>
        <v>0</v>
      </c>
      <c r="N1340" s="1" t="str">
        <f t="shared" si="1075"/>
        <v>0</v>
      </c>
      <c r="O1340" s="1" t="str">
        <f>"2.2"</f>
        <v>2.2</v>
      </c>
    </row>
    <row r="1341" s="1" customFormat="1" spans="1:15">
      <c r="A1341" s="1" t="str">
        <f t="shared" si="1003"/>
        <v>202406</v>
      </c>
      <c r="B1341" s="1" t="str">
        <f t="shared" si="1004"/>
        <v>150525100</v>
      </c>
      <c r="C1341" s="1" t="str">
        <f>"1040682002"</f>
        <v>1040682002</v>
      </c>
      <c r="D1341" s="1" t="str">
        <f>"152326196301283078"</f>
        <v>152326196301283078</v>
      </c>
      <c r="E1341" s="1" t="s">
        <v>1401</v>
      </c>
      <c r="F1341" s="1" t="s">
        <v>25</v>
      </c>
      <c r="G1341" s="1" t="s">
        <v>17</v>
      </c>
      <c r="H1341" s="1" t="str">
        <f>"61"</f>
        <v>61</v>
      </c>
      <c r="I1341" s="1" t="str">
        <f>"163.47"</f>
        <v>163.47</v>
      </c>
      <c r="J1341" s="1" t="str">
        <f t="shared" ref="J1341:N1341" si="1076">"0"</f>
        <v>0</v>
      </c>
      <c r="K1341" s="1" t="str">
        <f t="shared" si="1054"/>
        <v>103</v>
      </c>
      <c r="L1341" s="1" t="str">
        <f t="shared" si="1055"/>
        <v>47</v>
      </c>
      <c r="M1341" s="1" t="str">
        <f t="shared" si="1076"/>
        <v>0</v>
      </c>
      <c r="N1341" s="1" t="str">
        <f t="shared" si="1076"/>
        <v>0</v>
      </c>
      <c r="O1341" s="1" t="str">
        <f>"13.47"</f>
        <v>13.47</v>
      </c>
    </row>
    <row r="1342" s="1" customFormat="1" spans="1:15">
      <c r="A1342" s="1" t="str">
        <f t="shared" si="1003"/>
        <v>202406</v>
      </c>
      <c r="B1342" s="1" t="str">
        <f t="shared" si="1004"/>
        <v>150525100</v>
      </c>
      <c r="C1342" s="1" t="str">
        <f>"1040682049"</f>
        <v>1040682049</v>
      </c>
      <c r="D1342" s="1" t="str">
        <f>"152326195605020918"</f>
        <v>152326195605020918</v>
      </c>
      <c r="E1342" s="1" t="s">
        <v>1402</v>
      </c>
      <c r="F1342" s="1" t="s">
        <v>25</v>
      </c>
      <c r="G1342" s="1" t="s">
        <v>19</v>
      </c>
      <c r="H1342" s="1" t="str">
        <f>"68"</f>
        <v>68</v>
      </c>
      <c r="I1342" s="1" t="str">
        <f>"154.81"</f>
        <v>154.81</v>
      </c>
      <c r="J1342" s="1" t="str">
        <f t="shared" ref="J1342:N1342" si="1077">"0"</f>
        <v>0</v>
      </c>
      <c r="K1342" s="1" t="str">
        <f t="shared" si="1054"/>
        <v>103</v>
      </c>
      <c r="L1342" s="1" t="str">
        <f t="shared" si="1055"/>
        <v>47</v>
      </c>
      <c r="M1342" s="1" t="str">
        <f t="shared" si="1077"/>
        <v>0</v>
      </c>
      <c r="N1342" s="1" t="str">
        <f t="shared" si="1077"/>
        <v>0</v>
      </c>
      <c r="O1342" s="1" t="str">
        <f>"4.81"</f>
        <v>4.81</v>
      </c>
    </row>
    <row r="1343" s="1" customFormat="1" spans="1:15">
      <c r="A1343" s="1" t="str">
        <f t="shared" si="1003"/>
        <v>202406</v>
      </c>
      <c r="B1343" s="1" t="str">
        <f t="shared" si="1004"/>
        <v>150525100</v>
      </c>
      <c r="C1343" s="1" t="str">
        <f>"1040682056"</f>
        <v>1040682056</v>
      </c>
      <c r="D1343" s="1" t="str">
        <f>"152326195802010911"</f>
        <v>152326195802010911</v>
      </c>
      <c r="E1343" s="1" t="s">
        <v>1403</v>
      </c>
      <c r="F1343" s="1" t="s">
        <v>25</v>
      </c>
      <c r="G1343" s="1" t="s">
        <v>19</v>
      </c>
      <c r="H1343" s="1" t="str">
        <f>"66"</f>
        <v>66</v>
      </c>
      <c r="I1343" s="1" t="str">
        <f>"156.86"</f>
        <v>156.86</v>
      </c>
      <c r="J1343" s="1" t="str">
        <f t="shared" ref="J1343:N1343" si="1078">"0"</f>
        <v>0</v>
      </c>
      <c r="K1343" s="1" t="str">
        <f t="shared" si="1054"/>
        <v>103</v>
      </c>
      <c r="L1343" s="1" t="str">
        <f t="shared" si="1055"/>
        <v>47</v>
      </c>
      <c r="M1343" s="1" t="str">
        <f t="shared" si="1078"/>
        <v>0</v>
      </c>
      <c r="N1343" s="1" t="str">
        <f t="shared" si="1078"/>
        <v>0</v>
      </c>
      <c r="O1343" s="1" t="str">
        <f>"6.86"</f>
        <v>6.86</v>
      </c>
    </row>
    <row r="1344" s="1" customFormat="1" spans="1:15">
      <c r="A1344" s="1" t="str">
        <f t="shared" si="1003"/>
        <v>202406</v>
      </c>
      <c r="B1344" s="1" t="str">
        <f t="shared" si="1004"/>
        <v>150525100</v>
      </c>
      <c r="C1344" s="1" t="str">
        <f>"1040682192"</f>
        <v>1040682192</v>
      </c>
      <c r="D1344" s="1" t="str">
        <f>"152326195811250423"</f>
        <v>152326195811250423</v>
      </c>
      <c r="E1344" s="1" t="s">
        <v>1404</v>
      </c>
      <c r="F1344" s="1" t="s">
        <v>16</v>
      </c>
      <c r="G1344" s="1" t="s">
        <v>17</v>
      </c>
      <c r="H1344" s="1" t="str">
        <f>"66"</f>
        <v>66</v>
      </c>
      <c r="I1344" s="1" t="str">
        <f>"935.52"</f>
        <v>935.52</v>
      </c>
      <c r="J1344" s="1" t="str">
        <f>"779.6"</f>
        <v>779.6</v>
      </c>
      <c r="K1344" s="1" t="str">
        <f>"618"</f>
        <v>618</v>
      </c>
      <c r="L1344" s="1" t="str">
        <f>"282"</f>
        <v>282</v>
      </c>
      <c r="M1344" s="1" t="str">
        <f>"0"</f>
        <v>0</v>
      </c>
      <c r="N1344" s="1" t="str">
        <f>"0"</f>
        <v>0</v>
      </c>
      <c r="O1344" s="1" t="str">
        <f>"35.52"</f>
        <v>35.52</v>
      </c>
    </row>
    <row r="1345" s="1" customFormat="1" spans="1:15">
      <c r="A1345" s="1" t="str">
        <f t="shared" si="1003"/>
        <v>202406</v>
      </c>
      <c r="B1345" s="1" t="str">
        <f t="shared" si="1004"/>
        <v>150525100</v>
      </c>
      <c r="C1345" s="1" t="str">
        <f>"1040682210"</f>
        <v>1040682210</v>
      </c>
      <c r="D1345" s="1" t="str">
        <f>"152326195601010413"</f>
        <v>152326195601010413</v>
      </c>
      <c r="E1345" s="1" t="s">
        <v>1405</v>
      </c>
      <c r="F1345" s="1" t="s">
        <v>25</v>
      </c>
      <c r="G1345" s="1" t="s">
        <v>17</v>
      </c>
      <c r="H1345" s="1" t="str">
        <f>"69"</f>
        <v>69</v>
      </c>
      <c r="I1345" s="1" t="str">
        <f>"154.84"</f>
        <v>154.84</v>
      </c>
      <c r="J1345" s="1" t="str">
        <f t="shared" ref="J1345:N1345" si="1079">"0"</f>
        <v>0</v>
      </c>
      <c r="K1345" s="1" t="str">
        <f t="shared" ref="K1345:K1348" si="1080">"103"</f>
        <v>103</v>
      </c>
      <c r="L1345" s="1" t="str">
        <f t="shared" ref="L1345:L1348" si="1081">"47"</f>
        <v>47</v>
      </c>
      <c r="M1345" s="1" t="str">
        <f t="shared" si="1079"/>
        <v>0</v>
      </c>
      <c r="N1345" s="1" t="str">
        <f t="shared" si="1079"/>
        <v>0</v>
      </c>
      <c r="O1345" s="1" t="str">
        <f>"4.84"</f>
        <v>4.84</v>
      </c>
    </row>
    <row r="1346" s="1" customFormat="1" spans="1:15">
      <c r="A1346" s="1" t="str">
        <f t="shared" ref="A1346:A1409" si="1082">"202406"</f>
        <v>202406</v>
      </c>
      <c r="B1346" s="1" t="str">
        <f t="shared" ref="B1346:B1409" si="1083">"150525100"</f>
        <v>150525100</v>
      </c>
      <c r="C1346" s="1" t="str">
        <f>"1040682228"</f>
        <v>1040682228</v>
      </c>
      <c r="D1346" s="1" t="str">
        <f>"152326195401100422"</f>
        <v>152326195401100422</v>
      </c>
      <c r="E1346" s="1" t="s">
        <v>1406</v>
      </c>
      <c r="F1346" s="1" t="s">
        <v>16</v>
      </c>
      <c r="G1346" s="1" t="s">
        <v>17</v>
      </c>
      <c r="H1346" s="1" t="str">
        <f>"70"</f>
        <v>70</v>
      </c>
      <c r="I1346" s="1" t="str">
        <f>"162.96"</f>
        <v>162.96</v>
      </c>
      <c r="J1346" s="1" t="str">
        <f t="shared" ref="J1346:N1346" si="1084">"0"</f>
        <v>0</v>
      </c>
      <c r="K1346" s="1" t="str">
        <f t="shared" si="1080"/>
        <v>103</v>
      </c>
      <c r="L1346" s="1" t="str">
        <f t="shared" si="1081"/>
        <v>47</v>
      </c>
      <c r="M1346" s="1" t="str">
        <f t="shared" si="1084"/>
        <v>0</v>
      </c>
      <c r="N1346" s="1" t="str">
        <f t="shared" si="1084"/>
        <v>0</v>
      </c>
      <c r="O1346" s="1" t="str">
        <f>"2.96"</f>
        <v>2.96</v>
      </c>
    </row>
    <row r="1347" s="1" customFormat="1" spans="1:15">
      <c r="A1347" s="1" t="str">
        <f t="shared" si="1082"/>
        <v>202406</v>
      </c>
      <c r="B1347" s="1" t="str">
        <f t="shared" si="1083"/>
        <v>150525100</v>
      </c>
      <c r="C1347" s="1" t="str">
        <f>"1040682229"</f>
        <v>1040682229</v>
      </c>
      <c r="D1347" s="1" t="str">
        <f>"152326195609060423"</f>
        <v>152326195609060423</v>
      </c>
      <c r="E1347" s="1" t="s">
        <v>1407</v>
      </c>
      <c r="F1347" s="1" t="s">
        <v>16</v>
      </c>
      <c r="G1347" s="1" t="s">
        <v>96</v>
      </c>
      <c r="H1347" s="1" t="str">
        <f>"68"</f>
        <v>68</v>
      </c>
      <c r="I1347" s="1" t="str">
        <f>"154.84"</f>
        <v>154.84</v>
      </c>
      <c r="J1347" s="1" t="str">
        <f t="shared" ref="J1347:N1347" si="1085">"0"</f>
        <v>0</v>
      </c>
      <c r="K1347" s="1" t="str">
        <f t="shared" si="1080"/>
        <v>103</v>
      </c>
      <c r="L1347" s="1" t="str">
        <f t="shared" si="1081"/>
        <v>47</v>
      </c>
      <c r="M1347" s="1" t="str">
        <f t="shared" si="1085"/>
        <v>0</v>
      </c>
      <c r="N1347" s="1" t="str">
        <f t="shared" si="1085"/>
        <v>0</v>
      </c>
      <c r="O1347" s="1" t="str">
        <f>"4.84"</f>
        <v>4.84</v>
      </c>
    </row>
    <row r="1348" s="1" customFormat="1" spans="1:15">
      <c r="A1348" s="1" t="str">
        <f t="shared" si="1082"/>
        <v>202406</v>
      </c>
      <c r="B1348" s="1" t="str">
        <f t="shared" si="1083"/>
        <v>150525100</v>
      </c>
      <c r="C1348" s="1" t="str">
        <f>"1040682249"</f>
        <v>1040682249</v>
      </c>
      <c r="D1348" s="1" t="str">
        <f>"152326195801020421"</f>
        <v>152326195801020421</v>
      </c>
      <c r="E1348" s="1" t="s">
        <v>1167</v>
      </c>
      <c r="F1348" s="1" t="s">
        <v>16</v>
      </c>
      <c r="G1348" s="1" t="s">
        <v>17</v>
      </c>
      <c r="H1348" s="1" t="str">
        <f>"67"</f>
        <v>67</v>
      </c>
      <c r="I1348" s="1" t="str">
        <f>"203.98"</f>
        <v>203.98</v>
      </c>
      <c r="J1348" s="1" t="str">
        <f t="shared" ref="J1348:N1348" si="1086">"0"</f>
        <v>0</v>
      </c>
      <c r="K1348" s="1" t="str">
        <f t="shared" si="1080"/>
        <v>103</v>
      </c>
      <c r="L1348" s="1" t="str">
        <f t="shared" si="1081"/>
        <v>47</v>
      </c>
      <c r="M1348" s="1" t="str">
        <f t="shared" si="1086"/>
        <v>0</v>
      </c>
      <c r="N1348" s="1" t="str">
        <f t="shared" si="1086"/>
        <v>0</v>
      </c>
      <c r="O1348" s="1" t="str">
        <f>"53.98"</f>
        <v>53.98</v>
      </c>
    </row>
    <row r="1349" s="1" customFormat="1" spans="1:15">
      <c r="A1349" s="1" t="str">
        <f t="shared" si="1082"/>
        <v>202406</v>
      </c>
      <c r="B1349" s="1" t="str">
        <f t="shared" si="1083"/>
        <v>150525100</v>
      </c>
      <c r="C1349" s="1" t="str">
        <f>"1040682313"</f>
        <v>1040682313</v>
      </c>
      <c r="D1349" s="1" t="s">
        <v>1408</v>
      </c>
      <c r="E1349" s="1" t="s">
        <v>1327</v>
      </c>
      <c r="F1349" s="1" t="s">
        <v>25</v>
      </c>
      <c r="G1349" s="1" t="s">
        <v>19</v>
      </c>
      <c r="H1349" s="1" t="str">
        <f>"60"</f>
        <v>60</v>
      </c>
      <c r="I1349" s="1" t="str">
        <f>"661.8"</f>
        <v>661.8</v>
      </c>
      <c r="J1349" s="1" t="str">
        <f>"496.35"</f>
        <v>496.35</v>
      </c>
      <c r="K1349" s="1" t="str">
        <f>"412"</f>
        <v>412</v>
      </c>
      <c r="L1349" s="1" t="str">
        <f>"188"</f>
        <v>188</v>
      </c>
      <c r="M1349" s="1" t="str">
        <f>"0"</f>
        <v>0</v>
      </c>
      <c r="N1349" s="1" t="str">
        <f>"0"</f>
        <v>0</v>
      </c>
      <c r="O1349" s="1" t="str">
        <f>"61.8"</f>
        <v>61.8</v>
      </c>
    </row>
    <row r="1350" s="1" customFormat="1" spans="1:15">
      <c r="A1350" s="1" t="str">
        <f t="shared" si="1082"/>
        <v>202406</v>
      </c>
      <c r="B1350" s="1" t="str">
        <f t="shared" si="1083"/>
        <v>150525100</v>
      </c>
      <c r="C1350" s="1" t="str">
        <f>"1040682285"</f>
        <v>1040682285</v>
      </c>
      <c r="D1350" s="1" t="str">
        <f>"152326195503250667"</f>
        <v>152326195503250667</v>
      </c>
      <c r="E1350" s="1" t="s">
        <v>1409</v>
      </c>
      <c r="F1350" s="1" t="s">
        <v>16</v>
      </c>
      <c r="G1350" s="1" t="s">
        <v>17</v>
      </c>
      <c r="H1350" s="1" t="str">
        <f>"69"</f>
        <v>69</v>
      </c>
      <c r="I1350" s="1" t="str">
        <f>"153.92"</f>
        <v>153.92</v>
      </c>
      <c r="J1350" s="1" t="str">
        <f t="shared" ref="J1350:N1350" si="1087">"0"</f>
        <v>0</v>
      </c>
      <c r="K1350" s="1" t="str">
        <f t="shared" ref="K1350:K1392" si="1088">"103"</f>
        <v>103</v>
      </c>
      <c r="L1350" s="1" t="str">
        <f t="shared" ref="L1350:L1392" si="1089">"47"</f>
        <v>47</v>
      </c>
      <c r="M1350" s="1" t="str">
        <f t="shared" si="1087"/>
        <v>0</v>
      </c>
      <c r="N1350" s="1" t="str">
        <f t="shared" si="1087"/>
        <v>0</v>
      </c>
      <c r="O1350" s="1" t="str">
        <f>"3.92"</f>
        <v>3.92</v>
      </c>
    </row>
    <row r="1351" s="1" customFormat="1" spans="1:15">
      <c r="A1351" s="1" t="str">
        <f t="shared" si="1082"/>
        <v>202406</v>
      </c>
      <c r="B1351" s="1" t="str">
        <f t="shared" si="1083"/>
        <v>150525100</v>
      </c>
      <c r="C1351" s="1" t="str">
        <f>"1040682298"</f>
        <v>1040682298</v>
      </c>
      <c r="D1351" s="1" t="str">
        <f>"152326195608150670"</f>
        <v>152326195608150670</v>
      </c>
      <c r="E1351" s="1" t="s">
        <v>1410</v>
      </c>
      <c r="F1351" s="1" t="s">
        <v>25</v>
      </c>
      <c r="G1351" s="1" t="s">
        <v>19</v>
      </c>
      <c r="H1351" s="1" t="str">
        <f>"68"</f>
        <v>68</v>
      </c>
      <c r="I1351" s="1" t="str">
        <f>"159.33"</f>
        <v>159.33</v>
      </c>
      <c r="J1351" s="1" t="str">
        <f t="shared" ref="J1351:N1351" si="1090">"0"</f>
        <v>0</v>
      </c>
      <c r="K1351" s="1" t="str">
        <f t="shared" si="1088"/>
        <v>103</v>
      </c>
      <c r="L1351" s="1" t="str">
        <f t="shared" si="1089"/>
        <v>47</v>
      </c>
      <c r="M1351" s="1" t="str">
        <f t="shared" si="1090"/>
        <v>0</v>
      </c>
      <c r="N1351" s="1" t="str">
        <f t="shared" si="1090"/>
        <v>0</v>
      </c>
      <c r="O1351" s="1" t="str">
        <f>"9.33"</f>
        <v>9.33</v>
      </c>
    </row>
    <row r="1352" s="1" customFormat="1" spans="1:15">
      <c r="A1352" s="1" t="str">
        <f t="shared" si="1082"/>
        <v>202406</v>
      </c>
      <c r="B1352" s="1" t="str">
        <f t="shared" si="1083"/>
        <v>150525100</v>
      </c>
      <c r="C1352" s="1" t="str">
        <f>"1040682301"</f>
        <v>1040682301</v>
      </c>
      <c r="D1352" s="1" t="str">
        <f>"152326196001260675"</f>
        <v>152326196001260675</v>
      </c>
      <c r="E1352" s="1" t="s">
        <v>1411</v>
      </c>
      <c r="F1352" s="1" t="s">
        <v>25</v>
      </c>
      <c r="G1352" s="1" t="s">
        <v>19</v>
      </c>
      <c r="H1352" s="1" t="str">
        <f>"64"</f>
        <v>64</v>
      </c>
      <c r="I1352" s="1" t="str">
        <f>"164.94"</f>
        <v>164.94</v>
      </c>
      <c r="J1352" s="1" t="str">
        <f t="shared" ref="J1352:N1352" si="1091">"0"</f>
        <v>0</v>
      </c>
      <c r="K1352" s="1" t="str">
        <f t="shared" si="1088"/>
        <v>103</v>
      </c>
      <c r="L1352" s="1" t="str">
        <f t="shared" si="1089"/>
        <v>47</v>
      </c>
      <c r="M1352" s="1" t="str">
        <f t="shared" si="1091"/>
        <v>0</v>
      </c>
      <c r="N1352" s="1" t="str">
        <f t="shared" si="1091"/>
        <v>0</v>
      </c>
      <c r="O1352" s="1" t="str">
        <f>"14.94"</f>
        <v>14.94</v>
      </c>
    </row>
    <row r="1353" s="1" customFormat="1" spans="1:15">
      <c r="A1353" s="1" t="str">
        <f t="shared" si="1082"/>
        <v>202406</v>
      </c>
      <c r="B1353" s="1" t="str">
        <f t="shared" si="1083"/>
        <v>150525100</v>
      </c>
      <c r="C1353" s="1" t="str">
        <f>"1040682413"</f>
        <v>1040682413</v>
      </c>
      <c r="D1353" s="1" t="str">
        <f>"152326195808070421"</f>
        <v>152326195808070421</v>
      </c>
      <c r="E1353" s="1" t="s">
        <v>1412</v>
      </c>
      <c r="F1353" s="1" t="s">
        <v>16</v>
      </c>
      <c r="G1353" s="1" t="s">
        <v>17</v>
      </c>
      <c r="H1353" s="1" t="str">
        <f t="shared" ref="H1353:H1355" si="1092">"66"</f>
        <v>66</v>
      </c>
      <c r="I1353" s="1" t="str">
        <f>"155.89"</f>
        <v>155.89</v>
      </c>
      <c r="J1353" s="1" t="str">
        <f t="shared" ref="J1353:N1353" si="1093">"0"</f>
        <v>0</v>
      </c>
      <c r="K1353" s="1" t="str">
        <f t="shared" si="1088"/>
        <v>103</v>
      </c>
      <c r="L1353" s="1" t="str">
        <f t="shared" si="1089"/>
        <v>47</v>
      </c>
      <c r="M1353" s="1" t="str">
        <f t="shared" si="1093"/>
        <v>0</v>
      </c>
      <c r="N1353" s="1" t="str">
        <f t="shared" si="1093"/>
        <v>0</v>
      </c>
      <c r="O1353" s="1" t="str">
        <f>"5.89"</f>
        <v>5.89</v>
      </c>
    </row>
    <row r="1354" s="1" customFormat="1" spans="1:15">
      <c r="A1354" s="1" t="str">
        <f t="shared" si="1082"/>
        <v>202406</v>
      </c>
      <c r="B1354" s="1" t="str">
        <f t="shared" si="1083"/>
        <v>150525100</v>
      </c>
      <c r="C1354" s="1" t="str">
        <f>"1040682417"</f>
        <v>1040682417</v>
      </c>
      <c r="D1354" s="1" t="str">
        <f>"152326195806250410"</f>
        <v>152326195806250410</v>
      </c>
      <c r="E1354" s="1" t="s">
        <v>1413</v>
      </c>
      <c r="F1354" s="1" t="s">
        <v>25</v>
      </c>
      <c r="G1354" s="1" t="s">
        <v>17</v>
      </c>
      <c r="H1354" s="1" t="str">
        <f t="shared" si="1092"/>
        <v>66</v>
      </c>
      <c r="I1354" s="1" t="str">
        <f>"155.9"</f>
        <v>155.9</v>
      </c>
      <c r="J1354" s="1" t="str">
        <f t="shared" ref="J1354:N1354" si="1094">"0"</f>
        <v>0</v>
      </c>
      <c r="K1354" s="1" t="str">
        <f t="shared" si="1088"/>
        <v>103</v>
      </c>
      <c r="L1354" s="1" t="str">
        <f t="shared" si="1089"/>
        <v>47</v>
      </c>
      <c r="M1354" s="1" t="str">
        <f t="shared" si="1094"/>
        <v>0</v>
      </c>
      <c r="N1354" s="1" t="str">
        <f t="shared" si="1094"/>
        <v>0</v>
      </c>
      <c r="O1354" s="1" t="str">
        <f>"5.9"</f>
        <v>5.9</v>
      </c>
    </row>
    <row r="1355" s="1" customFormat="1" spans="1:15">
      <c r="A1355" s="1" t="str">
        <f t="shared" si="1082"/>
        <v>202406</v>
      </c>
      <c r="B1355" s="1" t="str">
        <f t="shared" si="1083"/>
        <v>150525100</v>
      </c>
      <c r="C1355" s="1" t="str">
        <f>"1040682382"</f>
        <v>1040682382</v>
      </c>
      <c r="D1355" s="1" t="str">
        <f>"152326195804290662"</f>
        <v>152326195804290662</v>
      </c>
      <c r="E1355" s="1" t="s">
        <v>1414</v>
      </c>
      <c r="F1355" s="1" t="s">
        <v>16</v>
      </c>
      <c r="G1355" s="1" t="s">
        <v>17</v>
      </c>
      <c r="H1355" s="1" t="str">
        <f t="shared" si="1092"/>
        <v>66</v>
      </c>
      <c r="I1355" s="1" t="str">
        <f>"155.85"</f>
        <v>155.85</v>
      </c>
      <c r="J1355" s="1" t="str">
        <f t="shared" ref="J1355:N1355" si="1095">"0"</f>
        <v>0</v>
      </c>
      <c r="K1355" s="1" t="str">
        <f t="shared" si="1088"/>
        <v>103</v>
      </c>
      <c r="L1355" s="1" t="str">
        <f t="shared" si="1089"/>
        <v>47</v>
      </c>
      <c r="M1355" s="1" t="str">
        <f t="shared" si="1095"/>
        <v>0</v>
      </c>
      <c r="N1355" s="1" t="str">
        <f t="shared" si="1095"/>
        <v>0</v>
      </c>
      <c r="O1355" s="1" t="str">
        <f>"5.85"</f>
        <v>5.85</v>
      </c>
    </row>
    <row r="1356" s="1" customFormat="1" spans="1:15">
      <c r="A1356" s="1" t="str">
        <f t="shared" si="1082"/>
        <v>202406</v>
      </c>
      <c r="B1356" s="1" t="str">
        <f t="shared" si="1083"/>
        <v>150525100</v>
      </c>
      <c r="C1356" s="1" t="str">
        <f>"1040682405"</f>
        <v>1040682405</v>
      </c>
      <c r="D1356" s="1" t="str">
        <f>"152326196012230412"</f>
        <v>152326196012230412</v>
      </c>
      <c r="E1356" s="1" t="s">
        <v>1415</v>
      </c>
      <c r="F1356" s="1" t="s">
        <v>25</v>
      </c>
      <c r="G1356" s="1" t="s">
        <v>17</v>
      </c>
      <c r="H1356" s="1" t="str">
        <f>"64"</f>
        <v>64</v>
      </c>
      <c r="I1356" s="1" t="str">
        <f>"158.02"</f>
        <v>158.02</v>
      </c>
      <c r="J1356" s="1" t="str">
        <f t="shared" ref="J1356:N1356" si="1096">"0"</f>
        <v>0</v>
      </c>
      <c r="K1356" s="1" t="str">
        <f t="shared" si="1088"/>
        <v>103</v>
      </c>
      <c r="L1356" s="1" t="str">
        <f t="shared" si="1089"/>
        <v>47</v>
      </c>
      <c r="M1356" s="1" t="str">
        <f t="shared" si="1096"/>
        <v>0</v>
      </c>
      <c r="N1356" s="1" t="str">
        <f t="shared" si="1096"/>
        <v>0</v>
      </c>
      <c r="O1356" s="1" t="str">
        <f>"8.02"</f>
        <v>8.02</v>
      </c>
    </row>
    <row r="1357" s="1" customFormat="1" spans="1:15">
      <c r="A1357" s="1" t="str">
        <f t="shared" si="1082"/>
        <v>202406</v>
      </c>
      <c r="B1357" s="1" t="str">
        <f t="shared" si="1083"/>
        <v>150525100</v>
      </c>
      <c r="C1357" s="1" t="str">
        <f>"1040689764"</f>
        <v>1040689764</v>
      </c>
      <c r="D1357" s="1" t="str">
        <f>"152326195510253073"</f>
        <v>152326195510253073</v>
      </c>
      <c r="E1357" s="1" t="s">
        <v>1416</v>
      </c>
      <c r="F1357" s="1" t="s">
        <v>25</v>
      </c>
      <c r="G1357" s="1" t="s">
        <v>17</v>
      </c>
      <c r="H1357" s="1" t="str">
        <f>"69"</f>
        <v>69</v>
      </c>
      <c r="I1357" s="1" t="str">
        <f>"158.03"</f>
        <v>158.03</v>
      </c>
      <c r="J1357" s="1" t="str">
        <f t="shared" ref="J1357:N1357" si="1097">"0"</f>
        <v>0</v>
      </c>
      <c r="K1357" s="1" t="str">
        <f t="shared" si="1088"/>
        <v>103</v>
      </c>
      <c r="L1357" s="1" t="str">
        <f t="shared" si="1089"/>
        <v>47</v>
      </c>
      <c r="M1357" s="1" t="str">
        <f t="shared" si="1097"/>
        <v>0</v>
      </c>
      <c r="N1357" s="1" t="str">
        <f t="shared" si="1097"/>
        <v>0</v>
      </c>
      <c r="O1357" s="1" t="str">
        <f>"8.03"</f>
        <v>8.03</v>
      </c>
    </row>
    <row r="1358" s="1" customFormat="1" spans="1:15">
      <c r="A1358" s="1" t="str">
        <f t="shared" si="1082"/>
        <v>202406</v>
      </c>
      <c r="B1358" s="1" t="str">
        <f t="shared" si="1083"/>
        <v>150525100</v>
      </c>
      <c r="C1358" s="1" t="str">
        <f>"1040681293"</f>
        <v>1040681293</v>
      </c>
      <c r="D1358" s="1" t="str">
        <f>"152326195502073080"</f>
        <v>152326195502073080</v>
      </c>
      <c r="E1358" s="1" t="s">
        <v>1417</v>
      </c>
      <c r="F1358" s="1" t="s">
        <v>16</v>
      </c>
      <c r="G1358" s="1" t="s">
        <v>19</v>
      </c>
      <c r="H1358" s="1" t="str">
        <f>"69"</f>
        <v>69</v>
      </c>
      <c r="I1358" s="1" t="str">
        <f>"153.89"</f>
        <v>153.89</v>
      </c>
      <c r="J1358" s="1" t="str">
        <f t="shared" ref="J1358:N1358" si="1098">"0"</f>
        <v>0</v>
      </c>
      <c r="K1358" s="1" t="str">
        <f t="shared" si="1088"/>
        <v>103</v>
      </c>
      <c r="L1358" s="1" t="str">
        <f t="shared" si="1089"/>
        <v>47</v>
      </c>
      <c r="M1358" s="1" t="str">
        <f t="shared" si="1098"/>
        <v>0</v>
      </c>
      <c r="N1358" s="1" t="str">
        <f t="shared" si="1098"/>
        <v>0</v>
      </c>
      <c r="O1358" s="1" t="str">
        <f>"3.89"</f>
        <v>3.89</v>
      </c>
    </row>
    <row r="1359" s="1" customFormat="1" spans="1:15">
      <c r="A1359" s="1" t="str">
        <f t="shared" si="1082"/>
        <v>202406</v>
      </c>
      <c r="B1359" s="1" t="str">
        <f t="shared" si="1083"/>
        <v>150525100</v>
      </c>
      <c r="C1359" s="1" t="str">
        <f>"1040681294"</f>
        <v>1040681294</v>
      </c>
      <c r="D1359" s="1" t="str">
        <f>"152326195701243070"</f>
        <v>152326195701243070</v>
      </c>
      <c r="E1359" s="1" t="s">
        <v>1418</v>
      </c>
      <c r="F1359" s="1" t="s">
        <v>25</v>
      </c>
      <c r="G1359" s="1" t="s">
        <v>17</v>
      </c>
      <c r="H1359" s="1" t="str">
        <f>"67"</f>
        <v>67</v>
      </c>
      <c r="I1359" s="1" t="str">
        <f>"154.83"</f>
        <v>154.83</v>
      </c>
      <c r="J1359" s="1" t="str">
        <f t="shared" ref="J1359:N1359" si="1099">"0"</f>
        <v>0</v>
      </c>
      <c r="K1359" s="1" t="str">
        <f t="shared" si="1088"/>
        <v>103</v>
      </c>
      <c r="L1359" s="1" t="str">
        <f t="shared" si="1089"/>
        <v>47</v>
      </c>
      <c r="M1359" s="1" t="str">
        <f t="shared" si="1099"/>
        <v>0</v>
      </c>
      <c r="N1359" s="1" t="str">
        <f t="shared" si="1099"/>
        <v>0</v>
      </c>
      <c r="O1359" s="1" t="str">
        <f>"4.83"</f>
        <v>4.83</v>
      </c>
    </row>
    <row r="1360" s="1" customFormat="1" spans="1:15">
      <c r="A1360" s="1" t="str">
        <f t="shared" si="1082"/>
        <v>202406</v>
      </c>
      <c r="B1360" s="1" t="str">
        <f t="shared" si="1083"/>
        <v>150525100</v>
      </c>
      <c r="C1360" s="1" t="str">
        <f>"1040681225"</f>
        <v>1040681225</v>
      </c>
      <c r="D1360" s="1" t="str">
        <f>"152326195808173084"</f>
        <v>152326195808173084</v>
      </c>
      <c r="E1360" s="1" t="s">
        <v>1419</v>
      </c>
      <c r="F1360" s="1" t="s">
        <v>16</v>
      </c>
      <c r="G1360" s="1" t="s">
        <v>17</v>
      </c>
      <c r="H1360" s="1" t="str">
        <f>"66"</f>
        <v>66</v>
      </c>
      <c r="I1360" s="1" t="str">
        <f>"155.65"</f>
        <v>155.65</v>
      </c>
      <c r="J1360" s="1" t="str">
        <f t="shared" ref="J1360:N1360" si="1100">"0"</f>
        <v>0</v>
      </c>
      <c r="K1360" s="1" t="str">
        <f t="shared" si="1088"/>
        <v>103</v>
      </c>
      <c r="L1360" s="1" t="str">
        <f t="shared" si="1089"/>
        <v>47</v>
      </c>
      <c r="M1360" s="1" t="str">
        <f t="shared" si="1100"/>
        <v>0</v>
      </c>
      <c r="N1360" s="1" t="str">
        <f t="shared" si="1100"/>
        <v>0</v>
      </c>
      <c r="O1360" s="1" t="str">
        <f>"5.65"</f>
        <v>5.65</v>
      </c>
    </row>
    <row r="1361" s="1" customFormat="1" spans="1:15">
      <c r="A1361" s="1" t="str">
        <f t="shared" si="1082"/>
        <v>202406</v>
      </c>
      <c r="B1361" s="1" t="str">
        <f t="shared" si="1083"/>
        <v>150525100</v>
      </c>
      <c r="C1361" s="1" t="str">
        <f>"1040681261"</f>
        <v>1040681261</v>
      </c>
      <c r="D1361" s="1" t="str">
        <f>"152326196303200926"</f>
        <v>152326196303200926</v>
      </c>
      <c r="E1361" s="1" t="s">
        <v>1420</v>
      </c>
      <c r="F1361" s="1" t="s">
        <v>16</v>
      </c>
      <c r="G1361" s="1" t="s">
        <v>19</v>
      </c>
      <c r="H1361" s="1" t="str">
        <f>"61"</f>
        <v>61</v>
      </c>
      <c r="I1361" s="1" t="str">
        <f>"163.62"</f>
        <v>163.62</v>
      </c>
      <c r="J1361" s="1" t="str">
        <f t="shared" ref="J1361:N1361" si="1101">"0"</f>
        <v>0</v>
      </c>
      <c r="K1361" s="1" t="str">
        <f t="shared" si="1088"/>
        <v>103</v>
      </c>
      <c r="L1361" s="1" t="str">
        <f t="shared" si="1089"/>
        <v>47</v>
      </c>
      <c r="M1361" s="1" t="str">
        <f t="shared" si="1101"/>
        <v>0</v>
      </c>
      <c r="N1361" s="1" t="str">
        <f t="shared" si="1101"/>
        <v>0</v>
      </c>
      <c r="O1361" s="1" t="str">
        <f>"13.62"</f>
        <v>13.62</v>
      </c>
    </row>
    <row r="1362" s="1" customFormat="1" spans="1:15">
      <c r="A1362" s="1" t="str">
        <f t="shared" si="1082"/>
        <v>202406</v>
      </c>
      <c r="B1362" s="1" t="str">
        <f t="shared" si="1083"/>
        <v>150525100</v>
      </c>
      <c r="C1362" s="1" t="str">
        <f>"1040681268"</f>
        <v>1040681268</v>
      </c>
      <c r="D1362" s="1" t="str">
        <f>"152326195912290918"</f>
        <v>152326195912290918</v>
      </c>
      <c r="E1362" s="1" t="s">
        <v>1421</v>
      </c>
      <c r="F1362" s="1" t="s">
        <v>25</v>
      </c>
      <c r="G1362" s="1" t="s">
        <v>19</v>
      </c>
      <c r="H1362" s="1" t="str">
        <f>"65"</f>
        <v>65</v>
      </c>
      <c r="I1362" s="1" t="str">
        <f>"156.95"</f>
        <v>156.95</v>
      </c>
      <c r="J1362" s="1" t="str">
        <f t="shared" ref="J1362:N1362" si="1102">"0"</f>
        <v>0</v>
      </c>
      <c r="K1362" s="1" t="str">
        <f t="shared" si="1088"/>
        <v>103</v>
      </c>
      <c r="L1362" s="1" t="str">
        <f t="shared" si="1089"/>
        <v>47</v>
      </c>
      <c r="M1362" s="1" t="str">
        <f t="shared" si="1102"/>
        <v>0</v>
      </c>
      <c r="N1362" s="1" t="str">
        <f t="shared" si="1102"/>
        <v>0</v>
      </c>
      <c r="O1362" s="1" t="str">
        <f>"6.95"</f>
        <v>6.95</v>
      </c>
    </row>
    <row r="1363" s="1" customFormat="1" spans="1:15">
      <c r="A1363" s="1" t="str">
        <f t="shared" si="1082"/>
        <v>202406</v>
      </c>
      <c r="B1363" s="1" t="str">
        <f t="shared" si="1083"/>
        <v>150525100</v>
      </c>
      <c r="C1363" s="1" t="str">
        <f>"1040681269"</f>
        <v>1040681269</v>
      </c>
      <c r="D1363" s="1" t="str">
        <f>"152326195512240911"</f>
        <v>152326195512240911</v>
      </c>
      <c r="E1363" s="1" t="s">
        <v>1422</v>
      </c>
      <c r="F1363" s="1" t="s">
        <v>25</v>
      </c>
      <c r="G1363" s="1" t="s">
        <v>19</v>
      </c>
      <c r="H1363" s="1" t="str">
        <f t="shared" ref="H1363:H1370" si="1103">"69"</f>
        <v>69</v>
      </c>
      <c r="I1363" s="1" t="str">
        <f>"153.88"</f>
        <v>153.88</v>
      </c>
      <c r="J1363" s="1" t="str">
        <f t="shared" ref="J1363:N1363" si="1104">"0"</f>
        <v>0</v>
      </c>
      <c r="K1363" s="1" t="str">
        <f t="shared" si="1088"/>
        <v>103</v>
      </c>
      <c r="L1363" s="1" t="str">
        <f t="shared" si="1089"/>
        <v>47</v>
      </c>
      <c r="M1363" s="1" t="str">
        <f t="shared" si="1104"/>
        <v>0</v>
      </c>
      <c r="N1363" s="1" t="str">
        <f t="shared" si="1104"/>
        <v>0</v>
      </c>
      <c r="O1363" s="1" t="str">
        <f>"3.88"</f>
        <v>3.88</v>
      </c>
    </row>
    <row r="1364" s="1" customFormat="1" spans="1:15">
      <c r="A1364" s="1" t="str">
        <f t="shared" si="1082"/>
        <v>202406</v>
      </c>
      <c r="B1364" s="1" t="str">
        <f t="shared" si="1083"/>
        <v>150525100</v>
      </c>
      <c r="C1364" s="1" t="str">
        <f>"1040681271"</f>
        <v>1040681271</v>
      </c>
      <c r="D1364" s="1" t="str">
        <f>"152326195501250962"</f>
        <v>152326195501250962</v>
      </c>
      <c r="E1364" s="1" t="s">
        <v>1423</v>
      </c>
      <c r="F1364" s="1" t="s">
        <v>16</v>
      </c>
      <c r="G1364" s="1" t="s">
        <v>19</v>
      </c>
      <c r="H1364" s="1" t="str">
        <f t="shared" si="1103"/>
        <v>69</v>
      </c>
      <c r="I1364" s="1" t="str">
        <f>"153.88"</f>
        <v>153.88</v>
      </c>
      <c r="J1364" s="1" t="str">
        <f t="shared" ref="J1364:N1364" si="1105">"0"</f>
        <v>0</v>
      </c>
      <c r="K1364" s="1" t="str">
        <f t="shared" si="1088"/>
        <v>103</v>
      </c>
      <c r="L1364" s="1" t="str">
        <f t="shared" si="1089"/>
        <v>47</v>
      </c>
      <c r="M1364" s="1" t="str">
        <f t="shared" si="1105"/>
        <v>0</v>
      </c>
      <c r="N1364" s="1" t="str">
        <f t="shared" si="1105"/>
        <v>0</v>
      </c>
      <c r="O1364" s="1" t="str">
        <f>"3.88"</f>
        <v>3.88</v>
      </c>
    </row>
    <row r="1365" s="1" customFormat="1" spans="1:15">
      <c r="A1365" s="1" t="str">
        <f t="shared" si="1082"/>
        <v>202406</v>
      </c>
      <c r="B1365" s="1" t="str">
        <f t="shared" si="1083"/>
        <v>150525100</v>
      </c>
      <c r="C1365" s="1" t="str">
        <f>"1040681247"</f>
        <v>1040681247</v>
      </c>
      <c r="D1365" s="1" t="str">
        <f>"152326196210093076"</f>
        <v>152326196210093076</v>
      </c>
      <c r="E1365" s="1" t="s">
        <v>1424</v>
      </c>
      <c r="F1365" s="1" t="s">
        <v>25</v>
      </c>
      <c r="G1365" s="1" t="s">
        <v>17</v>
      </c>
      <c r="H1365" s="1" t="str">
        <f>"62"</f>
        <v>62</v>
      </c>
      <c r="I1365" s="1" t="str">
        <f>"161.04"</f>
        <v>161.04</v>
      </c>
      <c r="J1365" s="1" t="str">
        <f t="shared" ref="J1365:N1365" si="1106">"0"</f>
        <v>0</v>
      </c>
      <c r="K1365" s="1" t="str">
        <f t="shared" si="1088"/>
        <v>103</v>
      </c>
      <c r="L1365" s="1" t="str">
        <f t="shared" si="1089"/>
        <v>47</v>
      </c>
      <c r="M1365" s="1" t="str">
        <f t="shared" si="1106"/>
        <v>0</v>
      </c>
      <c r="N1365" s="1" t="str">
        <f t="shared" si="1106"/>
        <v>0</v>
      </c>
      <c r="O1365" s="1" t="str">
        <f>"11.04"</f>
        <v>11.04</v>
      </c>
    </row>
    <row r="1366" s="1" customFormat="1" spans="1:15">
      <c r="A1366" s="1" t="str">
        <f t="shared" si="1082"/>
        <v>202406</v>
      </c>
      <c r="B1366" s="1" t="str">
        <f t="shared" si="1083"/>
        <v>150525100</v>
      </c>
      <c r="C1366" s="1" t="str">
        <f>"1040681234"</f>
        <v>1040681234</v>
      </c>
      <c r="D1366" s="1" t="str">
        <f>"152326196002163076"</f>
        <v>152326196002163076</v>
      </c>
      <c r="E1366" s="1" t="s">
        <v>1122</v>
      </c>
      <c r="F1366" s="1" t="s">
        <v>25</v>
      </c>
      <c r="G1366" s="1" t="s">
        <v>17</v>
      </c>
      <c r="H1366" s="1" t="str">
        <f>"64"</f>
        <v>64</v>
      </c>
      <c r="I1366" s="1" t="str">
        <f>"220.34"</f>
        <v>220.34</v>
      </c>
      <c r="J1366" s="1" t="str">
        <f t="shared" ref="J1366:N1366" si="1107">"0"</f>
        <v>0</v>
      </c>
      <c r="K1366" s="1" t="str">
        <f t="shared" si="1088"/>
        <v>103</v>
      </c>
      <c r="L1366" s="1" t="str">
        <f t="shared" si="1089"/>
        <v>47</v>
      </c>
      <c r="M1366" s="1" t="str">
        <f t="shared" si="1107"/>
        <v>0</v>
      </c>
      <c r="N1366" s="1" t="str">
        <f t="shared" si="1107"/>
        <v>0</v>
      </c>
      <c r="O1366" s="1" t="str">
        <f>"70.34"</f>
        <v>70.34</v>
      </c>
    </row>
    <row r="1367" s="1" customFormat="1" spans="1:15">
      <c r="A1367" s="1" t="str">
        <f t="shared" si="1082"/>
        <v>202406</v>
      </c>
      <c r="B1367" s="1" t="str">
        <f t="shared" si="1083"/>
        <v>150525100</v>
      </c>
      <c r="C1367" s="1" t="str">
        <f>"1040690813"</f>
        <v>1040690813</v>
      </c>
      <c r="D1367" s="1" t="str">
        <f>"152326195305090674"</f>
        <v>152326195305090674</v>
      </c>
      <c r="E1367" s="1" t="s">
        <v>1425</v>
      </c>
      <c r="F1367" s="1" t="s">
        <v>25</v>
      </c>
      <c r="G1367" s="1" t="s">
        <v>17</v>
      </c>
      <c r="H1367" s="1" t="str">
        <f>"71"</f>
        <v>71</v>
      </c>
      <c r="I1367" s="1" t="str">
        <f>"209.47"</f>
        <v>209.47</v>
      </c>
      <c r="J1367" s="1" t="str">
        <f t="shared" ref="J1367:N1367" si="1108">"0"</f>
        <v>0</v>
      </c>
      <c r="K1367" s="1" t="str">
        <f t="shared" si="1088"/>
        <v>103</v>
      </c>
      <c r="L1367" s="1" t="str">
        <f t="shared" si="1089"/>
        <v>47</v>
      </c>
      <c r="M1367" s="1" t="str">
        <f t="shared" si="1108"/>
        <v>0</v>
      </c>
      <c r="N1367" s="1" t="str">
        <f t="shared" si="1108"/>
        <v>0</v>
      </c>
      <c r="O1367" s="1" t="str">
        <f>"49.47"</f>
        <v>49.47</v>
      </c>
    </row>
    <row r="1368" s="1" customFormat="1" spans="1:15">
      <c r="A1368" s="1" t="str">
        <f t="shared" si="1082"/>
        <v>202406</v>
      </c>
      <c r="B1368" s="1" t="str">
        <f t="shared" si="1083"/>
        <v>150525100</v>
      </c>
      <c r="C1368" s="1" t="str">
        <f>"1040681308"</f>
        <v>1040681308</v>
      </c>
      <c r="D1368" s="1" t="str">
        <f>"152326195503263097"</f>
        <v>152326195503263097</v>
      </c>
      <c r="E1368" s="1" t="s">
        <v>1426</v>
      </c>
      <c r="F1368" s="1" t="s">
        <v>25</v>
      </c>
      <c r="G1368" s="1" t="s">
        <v>17</v>
      </c>
      <c r="H1368" s="1" t="str">
        <f t="shared" si="1103"/>
        <v>69</v>
      </c>
      <c r="I1368" s="1" t="str">
        <f>"153.89"</f>
        <v>153.89</v>
      </c>
      <c r="J1368" s="1" t="str">
        <f t="shared" ref="J1368:N1368" si="1109">"0"</f>
        <v>0</v>
      </c>
      <c r="K1368" s="1" t="str">
        <f t="shared" si="1088"/>
        <v>103</v>
      </c>
      <c r="L1368" s="1" t="str">
        <f t="shared" si="1089"/>
        <v>47</v>
      </c>
      <c r="M1368" s="1" t="str">
        <f t="shared" si="1109"/>
        <v>0</v>
      </c>
      <c r="N1368" s="1" t="str">
        <f t="shared" si="1109"/>
        <v>0</v>
      </c>
      <c r="O1368" s="1" t="str">
        <f>"3.89"</f>
        <v>3.89</v>
      </c>
    </row>
    <row r="1369" s="1" customFormat="1" spans="1:15">
      <c r="A1369" s="1" t="str">
        <f t="shared" si="1082"/>
        <v>202406</v>
      </c>
      <c r="B1369" s="1" t="str">
        <f t="shared" si="1083"/>
        <v>150525100</v>
      </c>
      <c r="C1369" s="1" t="str">
        <f>"1040681324"</f>
        <v>1040681324</v>
      </c>
      <c r="D1369" s="1" t="str">
        <f>"152326195505023070"</f>
        <v>152326195505023070</v>
      </c>
      <c r="E1369" s="1" t="s">
        <v>1427</v>
      </c>
      <c r="F1369" s="1" t="s">
        <v>25</v>
      </c>
      <c r="G1369" s="1" t="s">
        <v>17</v>
      </c>
      <c r="H1369" s="1" t="str">
        <f t="shared" si="1103"/>
        <v>69</v>
      </c>
      <c r="I1369" s="1" t="str">
        <f>"153.89"</f>
        <v>153.89</v>
      </c>
      <c r="J1369" s="1" t="str">
        <f t="shared" ref="J1369:N1369" si="1110">"0"</f>
        <v>0</v>
      </c>
      <c r="K1369" s="1" t="str">
        <f t="shared" si="1088"/>
        <v>103</v>
      </c>
      <c r="L1369" s="1" t="str">
        <f t="shared" si="1089"/>
        <v>47</v>
      </c>
      <c r="M1369" s="1" t="str">
        <f t="shared" si="1110"/>
        <v>0</v>
      </c>
      <c r="N1369" s="1" t="str">
        <f t="shared" si="1110"/>
        <v>0</v>
      </c>
      <c r="O1369" s="1" t="str">
        <f>"3.89"</f>
        <v>3.89</v>
      </c>
    </row>
    <row r="1370" s="1" customFormat="1" spans="1:15">
      <c r="A1370" s="1" t="str">
        <f t="shared" si="1082"/>
        <v>202406</v>
      </c>
      <c r="B1370" s="1" t="str">
        <f t="shared" si="1083"/>
        <v>150525100</v>
      </c>
      <c r="C1370" s="1" t="str">
        <f>"1040681379"</f>
        <v>1040681379</v>
      </c>
      <c r="D1370" s="1" t="s">
        <v>1428</v>
      </c>
      <c r="E1370" s="1" t="s">
        <v>1429</v>
      </c>
      <c r="F1370" s="1" t="s">
        <v>25</v>
      </c>
      <c r="G1370" s="1" t="s">
        <v>17</v>
      </c>
      <c r="H1370" s="1" t="str">
        <f t="shared" si="1103"/>
        <v>69</v>
      </c>
      <c r="I1370" s="1" t="str">
        <f>"153.88"</f>
        <v>153.88</v>
      </c>
      <c r="J1370" s="1" t="str">
        <f t="shared" ref="J1370:N1370" si="1111">"0"</f>
        <v>0</v>
      </c>
      <c r="K1370" s="1" t="str">
        <f t="shared" si="1088"/>
        <v>103</v>
      </c>
      <c r="L1370" s="1" t="str">
        <f t="shared" si="1089"/>
        <v>47</v>
      </c>
      <c r="M1370" s="1" t="str">
        <f t="shared" si="1111"/>
        <v>0</v>
      </c>
      <c r="N1370" s="1" t="str">
        <f t="shared" si="1111"/>
        <v>0</v>
      </c>
      <c r="O1370" s="1" t="str">
        <f>"3.88"</f>
        <v>3.88</v>
      </c>
    </row>
    <row r="1371" s="1" customFormat="1" spans="1:15">
      <c r="A1371" s="1" t="str">
        <f t="shared" si="1082"/>
        <v>202406</v>
      </c>
      <c r="B1371" s="1" t="str">
        <f t="shared" si="1083"/>
        <v>150525100</v>
      </c>
      <c r="C1371" s="1" t="str">
        <f>"1040681426"</f>
        <v>1040681426</v>
      </c>
      <c r="D1371" s="1" t="str">
        <f>"152326195708203821"</f>
        <v>152326195708203821</v>
      </c>
      <c r="E1371" s="1" t="s">
        <v>1430</v>
      </c>
      <c r="F1371" s="1" t="s">
        <v>16</v>
      </c>
      <c r="G1371" s="1" t="s">
        <v>17</v>
      </c>
      <c r="H1371" s="1" t="str">
        <f>"67"</f>
        <v>67</v>
      </c>
      <c r="I1371" s="1" t="str">
        <f>"154.91"</f>
        <v>154.91</v>
      </c>
      <c r="J1371" s="1" t="str">
        <f t="shared" ref="J1371:N1371" si="1112">"0"</f>
        <v>0</v>
      </c>
      <c r="K1371" s="1" t="str">
        <f t="shared" si="1088"/>
        <v>103</v>
      </c>
      <c r="L1371" s="1" t="str">
        <f t="shared" si="1089"/>
        <v>47</v>
      </c>
      <c r="M1371" s="1" t="str">
        <f t="shared" si="1112"/>
        <v>0</v>
      </c>
      <c r="N1371" s="1" t="str">
        <f t="shared" si="1112"/>
        <v>0</v>
      </c>
      <c r="O1371" s="1" t="str">
        <f>"4.91"</f>
        <v>4.91</v>
      </c>
    </row>
    <row r="1372" s="1" customFormat="1" spans="1:15">
      <c r="A1372" s="1" t="str">
        <f t="shared" si="1082"/>
        <v>202406</v>
      </c>
      <c r="B1372" s="1" t="str">
        <f t="shared" si="1083"/>
        <v>150525100</v>
      </c>
      <c r="C1372" s="1" t="str">
        <f>"1040681428"</f>
        <v>1040681428</v>
      </c>
      <c r="D1372" s="1" t="str">
        <f>"152326196210123810"</f>
        <v>152326196210123810</v>
      </c>
      <c r="E1372" s="1" t="s">
        <v>1431</v>
      </c>
      <c r="F1372" s="1" t="s">
        <v>25</v>
      </c>
      <c r="G1372" s="1" t="s">
        <v>17</v>
      </c>
      <c r="H1372" s="1" t="str">
        <f>"62"</f>
        <v>62</v>
      </c>
      <c r="I1372" s="1" t="str">
        <f>"161.88"</f>
        <v>161.88</v>
      </c>
      <c r="J1372" s="1" t="str">
        <f t="shared" ref="J1372:N1372" si="1113">"0"</f>
        <v>0</v>
      </c>
      <c r="K1372" s="1" t="str">
        <f t="shared" si="1088"/>
        <v>103</v>
      </c>
      <c r="L1372" s="1" t="str">
        <f t="shared" si="1089"/>
        <v>47</v>
      </c>
      <c r="M1372" s="1" t="str">
        <f t="shared" si="1113"/>
        <v>0</v>
      </c>
      <c r="N1372" s="1" t="str">
        <f t="shared" si="1113"/>
        <v>0</v>
      </c>
      <c r="O1372" s="1" t="str">
        <f>"11.88"</f>
        <v>11.88</v>
      </c>
    </row>
    <row r="1373" s="1" customFormat="1" spans="1:15">
      <c r="A1373" s="1" t="str">
        <f t="shared" si="1082"/>
        <v>202406</v>
      </c>
      <c r="B1373" s="1" t="str">
        <f t="shared" si="1083"/>
        <v>150525100</v>
      </c>
      <c r="C1373" s="1" t="str">
        <f>"1040682460"</f>
        <v>1040682460</v>
      </c>
      <c r="D1373" s="1" t="str">
        <f>"152326195406100413"</f>
        <v>152326195406100413</v>
      </c>
      <c r="E1373" s="1" t="s">
        <v>1432</v>
      </c>
      <c r="F1373" s="1" t="s">
        <v>25</v>
      </c>
      <c r="G1373" s="1" t="s">
        <v>17</v>
      </c>
      <c r="H1373" s="1" t="str">
        <f>"70"</f>
        <v>70</v>
      </c>
      <c r="I1373" s="1" t="str">
        <f>"153.88"</f>
        <v>153.88</v>
      </c>
      <c r="J1373" s="1" t="str">
        <f t="shared" ref="J1373:N1373" si="1114">"0"</f>
        <v>0</v>
      </c>
      <c r="K1373" s="1" t="str">
        <f t="shared" si="1088"/>
        <v>103</v>
      </c>
      <c r="L1373" s="1" t="str">
        <f t="shared" si="1089"/>
        <v>47</v>
      </c>
      <c r="M1373" s="1" t="str">
        <f t="shared" si="1114"/>
        <v>0</v>
      </c>
      <c r="N1373" s="1" t="str">
        <f t="shared" si="1114"/>
        <v>0</v>
      </c>
      <c r="O1373" s="1" t="str">
        <f>"3.88"</f>
        <v>3.88</v>
      </c>
    </row>
    <row r="1374" s="1" customFormat="1" spans="1:15">
      <c r="A1374" s="1" t="str">
        <f t="shared" si="1082"/>
        <v>202406</v>
      </c>
      <c r="B1374" s="1" t="str">
        <f t="shared" si="1083"/>
        <v>150525100</v>
      </c>
      <c r="C1374" s="1" t="str">
        <f>"1040682469"</f>
        <v>1040682469</v>
      </c>
      <c r="D1374" s="1" t="str">
        <f>"152326196110240411"</f>
        <v>152326196110240411</v>
      </c>
      <c r="E1374" s="1" t="s">
        <v>1433</v>
      </c>
      <c r="F1374" s="1" t="s">
        <v>25</v>
      </c>
      <c r="G1374" s="1" t="s">
        <v>17</v>
      </c>
      <c r="H1374" s="1" t="str">
        <f>"63"</f>
        <v>63</v>
      </c>
      <c r="I1374" s="1" t="str">
        <f>"159.82"</f>
        <v>159.82</v>
      </c>
      <c r="J1374" s="1" t="str">
        <f t="shared" ref="J1374:N1374" si="1115">"0"</f>
        <v>0</v>
      </c>
      <c r="K1374" s="1" t="str">
        <f t="shared" si="1088"/>
        <v>103</v>
      </c>
      <c r="L1374" s="1" t="str">
        <f t="shared" si="1089"/>
        <v>47</v>
      </c>
      <c r="M1374" s="1" t="str">
        <f t="shared" si="1115"/>
        <v>0</v>
      </c>
      <c r="N1374" s="1" t="str">
        <f t="shared" si="1115"/>
        <v>0</v>
      </c>
      <c r="O1374" s="1" t="str">
        <f>"9.82"</f>
        <v>9.82</v>
      </c>
    </row>
    <row r="1375" s="1" customFormat="1" spans="1:15">
      <c r="A1375" s="1" t="str">
        <f t="shared" si="1082"/>
        <v>202406</v>
      </c>
      <c r="B1375" s="1" t="str">
        <f t="shared" si="1083"/>
        <v>150525100</v>
      </c>
      <c r="C1375" s="1" t="str">
        <f>"1040682433"</f>
        <v>1040682433</v>
      </c>
      <c r="D1375" s="1" t="str">
        <f>"152326196101060427"</f>
        <v>152326196101060427</v>
      </c>
      <c r="E1375" s="1" t="s">
        <v>1434</v>
      </c>
      <c r="F1375" s="1" t="s">
        <v>16</v>
      </c>
      <c r="G1375" s="1" t="s">
        <v>19</v>
      </c>
      <c r="H1375" s="1" t="str">
        <f>"64"</f>
        <v>64</v>
      </c>
      <c r="I1375" s="1" t="str">
        <f>"160.49"</f>
        <v>160.49</v>
      </c>
      <c r="J1375" s="1" t="str">
        <f t="shared" ref="J1375:N1375" si="1116">"0"</f>
        <v>0</v>
      </c>
      <c r="K1375" s="1" t="str">
        <f t="shared" si="1088"/>
        <v>103</v>
      </c>
      <c r="L1375" s="1" t="str">
        <f t="shared" si="1089"/>
        <v>47</v>
      </c>
      <c r="M1375" s="1" t="str">
        <f t="shared" si="1116"/>
        <v>0</v>
      </c>
      <c r="N1375" s="1" t="str">
        <f t="shared" si="1116"/>
        <v>0</v>
      </c>
      <c r="O1375" s="1" t="str">
        <f>"10.49"</f>
        <v>10.49</v>
      </c>
    </row>
    <row r="1376" s="1" customFormat="1" spans="1:15">
      <c r="A1376" s="1" t="str">
        <f t="shared" si="1082"/>
        <v>202406</v>
      </c>
      <c r="B1376" s="1" t="str">
        <f t="shared" si="1083"/>
        <v>150525100</v>
      </c>
      <c r="C1376" s="1" t="str">
        <f>"1040682500"</f>
        <v>1040682500</v>
      </c>
      <c r="D1376" s="1" t="str">
        <f>"152326196302263810"</f>
        <v>152326196302263810</v>
      </c>
      <c r="E1376" s="1" t="s">
        <v>1435</v>
      </c>
      <c r="F1376" s="1" t="s">
        <v>25</v>
      </c>
      <c r="G1376" s="1" t="s">
        <v>19</v>
      </c>
      <c r="H1376" s="1" t="str">
        <f>"61"</f>
        <v>61</v>
      </c>
      <c r="I1376" s="1" t="str">
        <f>"163.58"</f>
        <v>163.58</v>
      </c>
      <c r="J1376" s="1" t="str">
        <f t="shared" ref="J1376:N1376" si="1117">"0"</f>
        <v>0</v>
      </c>
      <c r="K1376" s="1" t="str">
        <f t="shared" si="1088"/>
        <v>103</v>
      </c>
      <c r="L1376" s="1" t="str">
        <f t="shared" si="1089"/>
        <v>47</v>
      </c>
      <c r="M1376" s="1" t="str">
        <f t="shared" si="1117"/>
        <v>0</v>
      </c>
      <c r="N1376" s="1" t="str">
        <f t="shared" si="1117"/>
        <v>0</v>
      </c>
      <c r="O1376" s="1" t="str">
        <f>"13.58"</f>
        <v>13.58</v>
      </c>
    </row>
    <row r="1377" s="1" customFormat="1" spans="1:15">
      <c r="A1377" s="1" t="str">
        <f t="shared" si="1082"/>
        <v>202406</v>
      </c>
      <c r="B1377" s="1" t="str">
        <f t="shared" si="1083"/>
        <v>150525100</v>
      </c>
      <c r="C1377" s="1" t="str">
        <f>"1040682585"</f>
        <v>1040682585</v>
      </c>
      <c r="D1377" s="1" t="str">
        <f>"152326196304060443"</f>
        <v>152326196304060443</v>
      </c>
      <c r="E1377" s="1" t="s">
        <v>1436</v>
      </c>
      <c r="F1377" s="1" t="s">
        <v>16</v>
      </c>
      <c r="G1377" s="1" t="s">
        <v>19</v>
      </c>
      <c r="H1377" s="1" t="str">
        <f>"61"</f>
        <v>61</v>
      </c>
      <c r="I1377" s="1" t="str">
        <f>"165.15"</f>
        <v>165.15</v>
      </c>
      <c r="J1377" s="1" t="str">
        <f t="shared" ref="J1377:N1377" si="1118">"0"</f>
        <v>0</v>
      </c>
      <c r="K1377" s="1" t="str">
        <f t="shared" si="1088"/>
        <v>103</v>
      </c>
      <c r="L1377" s="1" t="str">
        <f t="shared" si="1089"/>
        <v>47</v>
      </c>
      <c r="M1377" s="1" t="str">
        <f t="shared" si="1118"/>
        <v>0</v>
      </c>
      <c r="N1377" s="1" t="str">
        <f t="shared" si="1118"/>
        <v>0</v>
      </c>
      <c r="O1377" s="1" t="str">
        <f>"15.15"</f>
        <v>15.15</v>
      </c>
    </row>
    <row r="1378" s="1" customFormat="1" spans="1:15">
      <c r="A1378" s="1" t="str">
        <f t="shared" si="1082"/>
        <v>202406</v>
      </c>
      <c r="B1378" s="1" t="str">
        <f t="shared" si="1083"/>
        <v>150525100</v>
      </c>
      <c r="C1378" s="1" t="str">
        <f>"1040682531"</f>
        <v>1040682531</v>
      </c>
      <c r="D1378" s="1" t="str">
        <f>"152326195611193313"</f>
        <v>152326195611193313</v>
      </c>
      <c r="E1378" s="1" t="s">
        <v>1437</v>
      </c>
      <c r="F1378" s="1" t="s">
        <v>25</v>
      </c>
      <c r="G1378" s="1" t="s">
        <v>17</v>
      </c>
      <c r="H1378" s="1" t="str">
        <f>"68"</f>
        <v>68</v>
      </c>
      <c r="I1378" s="1" t="str">
        <f>"154.83"</f>
        <v>154.83</v>
      </c>
      <c r="J1378" s="1" t="str">
        <f t="shared" ref="J1378:N1378" si="1119">"0"</f>
        <v>0</v>
      </c>
      <c r="K1378" s="1" t="str">
        <f t="shared" si="1088"/>
        <v>103</v>
      </c>
      <c r="L1378" s="1" t="str">
        <f t="shared" si="1089"/>
        <v>47</v>
      </c>
      <c r="M1378" s="1" t="str">
        <f t="shared" si="1119"/>
        <v>0</v>
      </c>
      <c r="N1378" s="1" t="str">
        <f t="shared" si="1119"/>
        <v>0</v>
      </c>
      <c r="O1378" s="1" t="str">
        <f>"4.83"</f>
        <v>4.83</v>
      </c>
    </row>
    <row r="1379" s="1" customFormat="1" spans="1:15">
      <c r="A1379" s="1" t="str">
        <f t="shared" si="1082"/>
        <v>202406</v>
      </c>
      <c r="B1379" s="1" t="str">
        <f t="shared" si="1083"/>
        <v>150525100</v>
      </c>
      <c r="C1379" s="1" t="str">
        <f>"1040682532"</f>
        <v>1040682532</v>
      </c>
      <c r="D1379" s="1" t="str">
        <f>"152326196401213325"</f>
        <v>152326196401213325</v>
      </c>
      <c r="E1379" s="1" t="s">
        <v>1285</v>
      </c>
      <c r="F1379" s="1" t="s">
        <v>16</v>
      </c>
      <c r="G1379" s="1" t="s">
        <v>17</v>
      </c>
      <c r="H1379" s="1" t="str">
        <f>"60"</f>
        <v>60</v>
      </c>
      <c r="I1379" s="1" t="str">
        <f>"165.45"</f>
        <v>165.45</v>
      </c>
      <c r="J1379" s="1" t="str">
        <f t="shared" ref="J1379:N1379" si="1120">"0"</f>
        <v>0</v>
      </c>
      <c r="K1379" s="1" t="str">
        <f t="shared" si="1088"/>
        <v>103</v>
      </c>
      <c r="L1379" s="1" t="str">
        <f t="shared" si="1089"/>
        <v>47</v>
      </c>
      <c r="M1379" s="1" t="str">
        <f t="shared" si="1120"/>
        <v>0</v>
      </c>
      <c r="N1379" s="1" t="str">
        <f t="shared" si="1120"/>
        <v>0</v>
      </c>
      <c r="O1379" s="1" t="str">
        <f>"15.45"</f>
        <v>15.45</v>
      </c>
    </row>
    <row r="1380" s="1" customFormat="1" spans="1:15">
      <c r="A1380" s="1" t="str">
        <f t="shared" si="1082"/>
        <v>202406</v>
      </c>
      <c r="B1380" s="1" t="str">
        <f t="shared" si="1083"/>
        <v>150525100</v>
      </c>
      <c r="C1380" s="1" t="str">
        <f>"1040682537"</f>
        <v>1040682537</v>
      </c>
      <c r="D1380" s="1" t="str">
        <f>"152326196402033318"</f>
        <v>152326196402033318</v>
      </c>
      <c r="E1380" s="1" t="s">
        <v>1438</v>
      </c>
      <c r="F1380" s="1" t="s">
        <v>25</v>
      </c>
      <c r="G1380" s="1" t="s">
        <v>17</v>
      </c>
      <c r="H1380" s="1" t="str">
        <f>"60"</f>
        <v>60</v>
      </c>
      <c r="I1380" s="1" t="str">
        <f>"165.45"</f>
        <v>165.45</v>
      </c>
      <c r="J1380" s="1" t="str">
        <f t="shared" ref="J1380:N1380" si="1121">"0"</f>
        <v>0</v>
      </c>
      <c r="K1380" s="1" t="str">
        <f t="shared" si="1088"/>
        <v>103</v>
      </c>
      <c r="L1380" s="1" t="str">
        <f t="shared" si="1089"/>
        <v>47</v>
      </c>
      <c r="M1380" s="1" t="str">
        <f t="shared" si="1121"/>
        <v>0</v>
      </c>
      <c r="N1380" s="1" t="str">
        <f t="shared" si="1121"/>
        <v>0</v>
      </c>
      <c r="O1380" s="1" t="str">
        <f>"15.45"</f>
        <v>15.45</v>
      </c>
    </row>
    <row r="1381" s="1" customFormat="1" spans="1:15">
      <c r="A1381" s="1" t="str">
        <f t="shared" si="1082"/>
        <v>202406</v>
      </c>
      <c r="B1381" s="1" t="str">
        <f t="shared" si="1083"/>
        <v>150525100</v>
      </c>
      <c r="C1381" s="1" t="str">
        <f>"1040682544"</f>
        <v>1040682544</v>
      </c>
      <c r="D1381" s="1" t="s">
        <v>1439</v>
      </c>
      <c r="E1381" s="1" t="s">
        <v>1440</v>
      </c>
      <c r="F1381" s="1" t="s">
        <v>25</v>
      </c>
      <c r="G1381" s="1" t="s">
        <v>17</v>
      </c>
      <c r="H1381" s="1" t="str">
        <f>"69"</f>
        <v>69</v>
      </c>
      <c r="I1381" s="1" t="str">
        <f>"153.89"</f>
        <v>153.89</v>
      </c>
      <c r="J1381" s="1" t="str">
        <f t="shared" ref="J1381:N1381" si="1122">"0"</f>
        <v>0</v>
      </c>
      <c r="K1381" s="1" t="str">
        <f t="shared" si="1088"/>
        <v>103</v>
      </c>
      <c r="L1381" s="1" t="str">
        <f t="shared" si="1089"/>
        <v>47</v>
      </c>
      <c r="M1381" s="1" t="str">
        <f t="shared" si="1122"/>
        <v>0</v>
      </c>
      <c r="N1381" s="1" t="str">
        <f t="shared" si="1122"/>
        <v>0</v>
      </c>
      <c r="O1381" s="1" t="str">
        <f>"3.89"</f>
        <v>3.89</v>
      </c>
    </row>
    <row r="1382" s="1" customFormat="1" spans="1:15">
      <c r="A1382" s="1" t="str">
        <f t="shared" si="1082"/>
        <v>202406</v>
      </c>
      <c r="B1382" s="1" t="str">
        <f t="shared" si="1083"/>
        <v>150525100</v>
      </c>
      <c r="C1382" s="1" t="str">
        <f>"1040689988"</f>
        <v>1040689988</v>
      </c>
      <c r="D1382" s="1" t="s">
        <v>1441</v>
      </c>
      <c r="E1382" s="1" t="s">
        <v>1442</v>
      </c>
      <c r="F1382" s="1" t="s">
        <v>25</v>
      </c>
      <c r="G1382" s="1" t="s">
        <v>19</v>
      </c>
      <c r="H1382" s="1" t="str">
        <f>"70"</f>
        <v>70</v>
      </c>
      <c r="I1382" s="1" t="str">
        <f>"163.25"</f>
        <v>163.25</v>
      </c>
      <c r="J1382" s="1" t="str">
        <f t="shared" ref="J1382:N1382" si="1123">"0"</f>
        <v>0</v>
      </c>
      <c r="K1382" s="1" t="str">
        <f t="shared" si="1088"/>
        <v>103</v>
      </c>
      <c r="L1382" s="1" t="str">
        <f t="shared" si="1089"/>
        <v>47</v>
      </c>
      <c r="M1382" s="1" t="str">
        <f t="shared" si="1123"/>
        <v>0</v>
      </c>
      <c r="N1382" s="1" t="str">
        <f t="shared" si="1123"/>
        <v>0</v>
      </c>
      <c r="O1382" s="1" t="str">
        <f>"3.25"</f>
        <v>3.25</v>
      </c>
    </row>
    <row r="1383" s="1" customFormat="1" spans="1:15">
      <c r="A1383" s="1" t="str">
        <f t="shared" si="1082"/>
        <v>202406</v>
      </c>
      <c r="B1383" s="1" t="str">
        <f t="shared" si="1083"/>
        <v>150525100</v>
      </c>
      <c r="C1383" s="1" t="str">
        <f>"1040690370"</f>
        <v>1040690370</v>
      </c>
      <c r="D1383" s="1" t="str">
        <f>"152326195610253089"</f>
        <v>152326195610253089</v>
      </c>
      <c r="E1383" s="1" t="s">
        <v>1443</v>
      </c>
      <c r="F1383" s="1" t="s">
        <v>16</v>
      </c>
      <c r="G1383" s="1" t="s">
        <v>19</v>
      </c>
      <c r="H1383" s="1" t="str">
        <f>"68"</f>
        <v>68</v>
      </c>
      <c r="I1383" s="1" t="str">
        <f>"154.88"</f>
        <v>154.88</v>
      </c>
      <c r="J1383" s="1" t="str">
        <f t="shared" ref="J1383:N1383" si="1124">"0"</f>
        <v>0</v>
      </c>
      <c r="K1383" s="1" t="str">
        <f t="shared" si="1088"/>
        <v>103</v>
      </c>
      <c r="L1383" s="1" t="str">
        <f t="shared" si="1089"/>
        <v>47</v>
      </c>
      <c r="M1383" s="1" t="str">
        <f t="shared" si="1124"/>
        <v>0</v>
      </c>
      <c r="N1383" s="1" t="str">
        <f t="shared" si="1124"/>
        <v>0</v>
      </c>
      <c r="O1383" s="1" t="str">
        <f>"4.88"</f>
        <v>4.88</v>
      </c>
    </row>
    <row r="1384" s="1" customFormat="1" spans="1:15">
      <c r="A1384" s="1" t="str">
        <f t="shared" si="1082"/>
        <v>202406</v>
      </c>
      <c r="B1384" s="1" t="str">
        <f t="shared" si="1083"/>
        <v>150525100</v>
      </c>
      <c r="C1384" s="1" t="str">
        <f>"1040690073"</f>
        <v>1040690073</v>
      </c>
      <c r="D1384" s="1" t="str">
        <f>"152326196307240669"</f>
        <v>152326196307240669</v>
      </c>
      <c r="E1384" s="1" t="s">
        <v>1444</v>
      </c>
      <c r="F1384" s="1" t="s">
        <v>16</v>
      </c>
      <c r="G1384" s="1" t="s">
        <v>17</v>
      </c>
      <c r="H1384" s="1" t="str">
        <f>"61"</f>
        <v>61</v>
      </c>
      <c r="I1384" s="1" t="str">
        <f>"164.06"</f>
        <v>164.06</v>
      </c>
      <c r="J1384" s="1" t="str">
        <f t="shared" ref="J1384:N1384" si="1125">"0"</f>
        <v>0</v>
      </c>
      <c r="K1384" s="1" t="str">
        <f t="shared" si="1088"/>
        <v>103</v>
      </c>
      <c r="L1384" s="1" t="str">
        <f t="shared" si="1089"/>
        <v>47</v>
      </c>
      <c r="M1384" s="1" t="str">
        <f t="shared" si="1125"/>
        <v>0</v>
      </c>
      <c r="N1384" s="1" t="str">
        <f t="shared" si="1125"/>
        <v>0</v>
      </c>
      <c r="O1384" s="1" t="str">
        <f>"14.06"</f>
        <v>14.06</v>
      </c>
    </row>
    <row r="1385" s="1" customFormat="1" spans="1:15">
      <c r="A1385" s="1" t="str">
        <f t="shared" si="1082"/>
        <v>202406</v>
      </c>
      <c r="B1385" s="1" t="str">
        <f t="shared" si="1083"/>
        <v>150525100</v>
      </c>
      <c r="C1385" s="1" t="str">
        <f>"1040690452"</f>
        <v>1040690452</v>
      </c>
      <c r="D1385" s="1" t="str">
        <f>"152326196304270416"</f>
        <v>152326196304270416</v>
      </c>
      <c r="E1385" s="1" t="s">
        <v>1445</v>
      </c>
      <c r="F1385" s="1" t="s">
        <v>25</v>
      </c>
      <c r="G1385" s="1" t="s">
        <v>17</v>
      </c>
      <c r="H1385" s="1" t="str">
        <f>"61"</f>
        <v>61</v>
      </c>
      <c r="I1385" s="1" t="str">
        <f>"163.71"</f>
        <v>163.71</v>
      </c>
      <c r="J1385" s="1" t="str">
        <f t="shared" ref="J1385:N1385" si="1126">"0"</f>
        <v>0</v>
      </c>
      <c r="K1385" s="1" t="str">
        <f t="shared" si="1088"/>
        <v>103</v>
      </c>
      <c r="L1385" s="1" t="str">
        <f t="shared" si="1089"/>
        <v>47</v>
      </c>
      <c r="M1385" s="1" t="str">
        <f t="shared" si="1126"/>
        <v>0</v>
      </c>
      <c r="N1385" s="1" t="str">
        <f t="shared" si="1126"/>
        <v>0</v>
      </c>
      <c r="O1385" s="1" t="str">
        <f>"13.71"</f>
        <v>13.71</v>
      </c>
    </row>
    <row r="1386" s="1" customFormat="1" spans="1:15">
      <c r="A1386" s="1" t="str">
        <f t="shared" si="1082"/>
        <v>202406</v>
      </c>
      <c r="B1386" s="1" t="str">
        <f t="shared" si="1083"/>
        <v>150525100</v>
      </c>
      <c r="C1386" s="1" t="str">
        <f>"1040690486"</f>
        <v>1040690486</v>
      </c>
      <c r="D1386" s="1" t="str">
        <f>"152326195810063079"</f>
        <v>152326195810063079</v>
      </c>
      <c r="E1386" s="1" t="s">
        <v>1446</v>
      </c>
      <c r="F1386" s="1" t="s">
        <v>25</v>
      </c>
      <c r="G1386" s="1" t="s">
        <v>19</v>
      </c>
      <c r="H1386" s="1" t="str">
        <f>"66"</f>
        <v>66</v>
      </c>
      <c r="I1386" s="1" t="str">
        <f>"155.98"</f>
        <v>155.98</v>
      </c>
      <c r="J1386" s="1" t="str">
        <f t="shared" ref="J1386:N1386" si="1127">"0"</f>
        <v>0</v>
      </c>
      <c r="K1386" s="1" t="str">
        <f t="shared" si="1088"/>
        <v>103</v>
      </c>
      <c r="L1386" s="1" t="str">
        <f t="shared" si="1089"/>
        <v>47</v>
      </c>
      <c r="M1386" s="1" t="str">
        <f t="shared" si="1127"/>
        <v>0</v>
      </c>
      <c r="N1386" s="1" t="str">
        <f t="shared" si="1127"/>
        <v>0</v>
      </c>
      <c r="O1386" s="1" t="str">
        <f>"5.98"</f>
        <v>5.98</v>
      </c>
    </row>
    <row r="1387" s="1" customFormat="1" spans="1:15">
      <c r="A1387" s="1" t="str">
        <f t="shared" si="1082"/>
        <v>202406</v>
      </c>
      <c r="B1387" s="1" t="str">
        <f t="shared" si="1083"/>
        <v>150525100</v>
      </c>
      <c r="C1387" s="1" t="str">
        <f>"1040690510"</f>
        <v>1040690510</v>
      </c>
      <c r="D1387" s="1" t="s">
        <v>1447</v>
      </c>
      <c r="E1387" s="1" t="s">
        <v>1448</v>
      </c>
      <c r="F1387" s="1" t="s">
        <v>25</v>
      </c>
      <c r="G1387" s="1" t="s">
        <v>19</v>
      </c>
      <c r="H1387" s="1" t="str">
        <f>"68"</f>
        <v>68</v>
      </c>
      <c r="I1387" s="1" t="str">
        <f>"159.4"</f>
        <v>159.4</v>
      </c>
      <c r="J1387" s="1" t="str">
        <f t="shared" ref="J1387:N1387" si="1128">"0"</f>
        <v>0</v>
      </c>
      <c r="K1387" s="1" t="str">
        <f t="shared" si="1088"/>
        <v>103</v>
      </c>
      <c r="L1387" s="1" t="str">
        <f t="shared" si="1089"/>
        <v>47</v>
      </c>
      <c r="M1387" s="1" t="str">
        <f t="shared" si="1128"/>
        <v>0</v>
      </c>
      <c r="N1387" s="1" t="str">
        <f t="shared" si="1128"/>
        <v>0</v>
      </c>
      <c r="O1387" s="1" t="str">
        <f>"9.4"</f>
        <v>9.4</v>
      </c>
    </row>
    <row r="1388" s="1" customFormat="1" spans="1:15">
      <c r="A1388" s="1" t="str">
        <f t="shared" si="1082"/>
        <v>202406</v>
      </c>
      <c r="B1388" s="1" t="str">
        <f t="shared" si="1083"/>
        <v>150525100</v>
      </c>
      <c r="C1388" s="1" t="str">
        <f>"1040690410"</f>
        <v>1040690410</v>
      </c>
      <c r="D1388" s="1" t="str">
        <f>"152326195808170422"</f>
        <v>152326195808170422</v>
      </c>
      <c r="E1388" s="1" t="s">
        <v>102</v>
      </c>
      <c r="F1388" s="1" t="s">
        <v>16</v>
      </c>
      <c r="G1388" s="1" t="s">
        <v>17</v>
      </c>
      <c r="H1388" s="1" t="str">
        <f>"66"</f>
        <v>66</v>
      </c>
      <c r="I1388" s="1" t="str">
        <f>"155.95"</f>
        <v>155.95</v>
      </c>
      <c r="J1388" s="1" t="str">
        <f t="shared" ref="J1388:N1388" si="1129">"0"</f>
        <v>0</v>
      </c>
      <c r="K1388" s="1" t="str">
        <f t="shared" si="1088"/>
        <v>103</v>
      </c>
      <c r="L1388" s="1" t="str">
        <f t="shared" si="1089"/>
        <v>47</v>
      </c>
      <c r="M1388" s="1" t="str">
        <f t="shared" si="1129"/>
        <v>0</v>
      </c>
      <c r="N1388" s="1" t="str">
        <f t="shared" si="1129"/>
        <v>0</v>
      </c>
      <c r="O1388" s="1" t="str">
        <f>"5.95"</f>
        <v>5.95</v>
      </c>
    </row>
    <row r="1389" s="1" customFormat="1" spans="1:15">
      <c r="A1389" s="1" t="str">
        <f t="shared" si="1082"/>
        <v>202406</v>
      </c>
      <c r="B1389" s="1" t="str">
        <f t="shared" si="1083"/>
        <v>150525100</v>
      </c>
      <c r="C1389" s="1" t="str">
        <f>"1014572715"</f>
        <v>1014572715</v>
      </c>
      <c r="D1389" s="1" t="str">
        <f>"152326195906100049"</f>
        <v>152326195906100049</v>
      </c>
      <c r="E1389" s="1" t="s">
        <v>1449</v>
      </c>
      <c r="F1389" s="1" t="s">
        <v>16</v>
      </c>
      <c r="G1389" s="1" t="s">
        <v>19</v>
      </c>
      <c r="H1389" s="1" t="str">
        <f>"65"</f>
        <v>65</v>
      </c>
      <c r="I1389" s="1" t="str">
        <f>"159.86"</f>
        <v>159.86</v>
      </c>
      <c r="J1389" s="1" t="str">
        <f t="shared" ref="J1389:N1389" si="1130">"0"</f>
        <v>0</v>
      </c>
      <c r="K1389" s="1" t="str">
        <f t="shared" si="1088"/>
        <v>103</v>
      </c>
      <c r="L1389" s="1" t="str">
        <f t="shared" si="1089"/>
        <v>47</v>
      </c>
      <c r="M1389" s="1" t="str">
        <f t="shared" si="1130"/>
        <v>0</v>
      </c>
      <c r="N1389" s="1" t="str">
        <f t="shared" si="1130"/>
        <v>0</v>
      </c>
      <c r="O1389" s="1" t="str">
        <f>"9.86"</f>
        <v>9.86</v>
      </c>
    </row>
    <row r="1390" s="1" customFormat="1" spans="1:15">
      <c r="A1390" s="1" t="str">
        <f t="shared" si="1082"/>
        <v>202406</v>
      </c>
      <c r="B1390" s="1" t="str">
        <f t="shared" si="1083"/>
        <v>150525100</v>
      </c>
      <c r="C1390" s="1" t="str">
        <f>"1014572722"</f>
        <v>1014572722</v>
      </c>
      <c r="D1390" s="1" t="str">
        <f>"152326196001160017"</f>
        <v>152326196001160017</v>
      </c>
      <c r="E1390" s="1" t="s">
        <v>1450</v>
      </c>
      <c r="F1390" s="1" t="s">
        <v>25</v>
      </c>
      <c r="G1390" s="1" t="s">
        <v>19</v>
      </c>
      <c r="H1390" s="1" t="str">
        <f>"64"</f>
        <v>64</v>
      </c>
      <c r="I1390" s="1" t="str">
        <f>"159.17"</f>
        <v>159.17</v>
      </c>
      <c r="J1390" s="1" t="str">
        <f t="shared" ref="J1390:N1390" si="1131">"0"</f>
        <v>0</v>
      </c>
      <c r="K1390" s="1" t="str">
        <f t="shared" si="1088"/>
        <v>103</v>
      </c>
      <c r="L1390" s="1" t="str">
        <f t="shared" si="1089"/>
        <v>47</v>
      </c>
      <c r="M1390" s="1" t="str">
        <f t="shared" si="1131"/>
        <v>0</v>
      </c>
      <c r="N1390" s="1" t="str">
        <f t="shared" si="1131"/>
        <v>0</v>
      </c>
      <c r="O1390" s="1" t="str">
        <f>"9.17"</f>
        <v>9.17</v>
      </c>
    </row>
    <row r="1391" s="1" customFormat="1" spans="1:15">
      <c r="A1391" s="1" t="str">
        <f t="shared" si="1082"/>
        <v>202406</v>
      </c>
      <c r="B1391" s="1" t="str">
        <f t="shared" si="1083"/>
        <v>150525100</v>
      </c>
      <c r="C1391" s="1" t="str">
        <f>"1014572746"</f>
        <v>1014572746</v>
      </c>
      <c r="D1391" s="1" t="str">
        <f>"152326196303210673"</f>
        <v>152326196303210673</v>
      </c>
      <c r="E1391" s="1" t="s">
        <v>1451</v>
      </c>
      <c r="F1391" s="1" t="s">
        <v>25</v>
      </c>
      <c r="G1391" s="1" t="s">
        <v>19</v>
      </c>
      <c r="H1391" s="1" t="str">
        <f>"61"</f>
        <v>61</v>
      </c>
      <c r="I1391" s="1" t="str">
        <f>"164.67"</f>
        <v>164.67</v>
      </c>
      <c r="J1391" s="1" t="str">
        <f t="shared" ref="J1391:N1391" si="1132">"0"</f>
        <v>0</v>
      </c>
      <c r="K1391" s="1" t="str">
        <f t="shared" si="1088"/>
        <v>103</v>
      </c>
      <c r="L1391" s="1" t="str">
        <f t="shared" si="1089"/>
        <v>47</v>
      </c>
      <c r="M1391" s="1" t="str">
        <f t="shared" si="1132"/>
        <v>0</v>
      </c>
      <c r="N1391" s="1" t="str">
        <f t="shared" si="1132"/>
        <v>0</v>
      </c>
      <c r="O1391" s="1" t="str">
        <f>"14.67"</f>
        <v>14.67</v>
      </c>
    </row>
    <row r="1392" s="1" customFormat="1" spans="1:15">
      <c r="A1392" s="1" t="str">
        <f t="shared" si="1082"/>
        <v>202406</v>
      </c>
      <c r="B1392" s="1" t="str">
        <f t="shared" si="1083"/>
        <v>150525100</v>
      </c>
      <c r="C1392" s="1" t="str">
        <f>"1014573440"</f>
        <v>1014573440</v>
      </c>
      <c r="D1392" s="1" t="s">
        <v>1452</v>
      </c>
      <c r="E1392" s="1" t="s">
        <v>1453</v>
      </c>
      <c r="F1392" s="1" t="s">
        <v>25</v>
      </c>
      <c r="G1392" s="1" t="s">
        <v>19</v>
      </c>
      <c r="H1392" s="1" t="str">
        <f>"69"</f>
        <v>69</v>
      </c>
      <c r="I1392" s="1" t="str">
        <f>"154.52"</f>
        <v>154.52</v>
      </c>
      <c r="J1392" s="1" t="str">
        <f t="shared" ref="J1392:N1392" si="1133">"0"</f>
        <v>0</v>
      </c>
      <c r="K1392" s="1" t="str">
        <f t="shared" si="1088"/>
        <v>103</v>
      </c>
      <c r="L1392" s="1" t="str">
        <f t="shared" si="1089"/>
        <v>47</v>
      </c>
      <c r="M1392" s="1" t="str">
        <f t="shared" si="1133"/>
        <v>0</v>
      </c>
      <c r="N1392" s="1" t="str">
        <f t="shared" si="1133"/>
        <v>0</v>
      </c>
      <c r="O1392" s="1" t="str">
        <f>"4.52"</f>
        <v>4.52</v>
      </c>
    </row>
    <row r="1393" s="1" customFormat="1" spans="1:15">
      <c r="A1393" s="1" t="str">
        <f t="shared" si="1082"/>
        <v>202406</v>
      </c>
      <c r="B1393" s="1" t="str">
        <f t="shared" si="1083"/>
        <v>150525100</v>
      </c>
      <c r="C1393" s="1" t="str">
        <f>"1014575563"</f>
        <v>1014575563</v>
      </c>
      <c r="D1393" s="1" t="str">
        <f>"152326196101070668"</f>
        <v>152326196101070668</v>
      </c>
      <c r="E1393" s="1" t="s">
        <v>1454</v>
      </c>
      <c r="F1393" s="1" t="s">
        <v>16</v>
      </c>
      <c r="G1393" s="1" t="s">
        <v>17</v>
      </c>
      <c r="H1393" s="1" t="str">
        <f>"64"</f>
        <v>64</v>
      </c>
      <c r="I1393" s="1" t="str">
        <f>"805"</f>
        <v>805</v>
      </c>
      <c r="J1393" s="1" t="str">
        <f>"644"</f>
        <v>644</v>
      </c>
      <c r="K1393" s="1" t="str">
        <f>"515"</f>
        <v>515</v>
      </c>
      <c r="L1393" s="1" t="str">
        <f>"235"</f>
        <v>235</v>
      </c>
      <c r="M1393" s="1" t="str">
        <f t="shared" ref="M1393:M1458" si="1134">"0"</f>
        <v>0</v>
      </c>
      <c r="N1393" s="1" t="str">
        <f t="shared" ref="N1393:N1458" si="1135">"0"</f>
        <v>0</v>
      </c>
      <c r="O1393" s="1" t="str">
        <f>"55"</f>
        <v>55</v>
      </c>
    </row>
    <row r="1394" s="1" customFormat="1" spans="1:15">
      <c r="A1394" s="1" t="str">
        <f t="shared" si="1082"/>
        <v>202406</v>
      </c>
      <c r="B1394" s="1" t="str">
        <f t="shared" si="1083"/>
        <v>150525100</v>
      </c>
      <c r="C1394" s="1" t="str">
        <f>"1014575572"</f>
        <v>1014575572</v>
      </c>
      <c r="D1394" s="1" t="str">
        <f>"152326196201180661"</f>
        <v>152326196201180661</v>
      </c>
      <c r="E1394" s="1" t="s">
        <v>1455</v>
      </c>
      <c r="F1394" s="1" t="s">
        <v>16</v>
      </c>
      <c r="G1394" s="1" t="s">
        <v>17</v>
      </c>
      <c r="H1394" s="1" t="str">
        <f t="shared" ref="H1394:H1396" si="1136">"62"</f>
        <v>62</v>
      </c>
      <c r="I1394" s="1" t="str">
        <f>"174.37"</f>
        <v>174.37</v>
      </c>
      <c r="J1394" s="1" t="str">
        <f t="shared" ref="J1394:N1394" si="1137">"0"</f>
        <v>0</v>
      </c>
      <c r="K1394" s="1" t="str">
        <f t="shared" ref="K1394:K1458" si="1138">"103"</f>
        <v>103</v>
      </c>
      <c r="L1394" s="1" t="str">
        <f t="shared" ref="L1394:L1458" si="1139">"47"</f>
        <v>47</v>
      </c>
      <c r="M1394" s="1" t="str">
        <f t="shared" si="1137"/>
        <v>0</v>
      </c>
      <c r="N1394" s="1" t="str">
        <f t="shared" si="1137"/>
        <v>0</v>
      </c>
      <c r="O1394" s="1" t="str">
        <f>"24.37"</f>
        <v>24.37</v>
      </c>
    </row>
    <row r="1395" s="1" customFormat="1" spans="1:15">
      <c r="A1395" s="1" t="str">
        <f t="shared" si="1082"/>
        <v>202406</v>
      </c>
      <c r="B1395" s="1" t="str">
        <f t="shared" si="1083"/>
        <v>150525100</v>
      </c>
      <c r="C1395" s="1" t="str">
        <f>"1014575574"</f>
        <v>1014575574</v>
      </c>
      <c r="D1395" s="1" t="str">
        <f>"152326196202020678"</f>
        <v>152326196202020678</v>
      </c>
      <c r="E1395" s="1" t="s">
        <v>1456</v>
      </c>
      <c r="F1395" s="1" t="s">
        <v>25</v>
      </c>
      <c r="G1395" s="1" t="s">
        <v>17</v>
      </c>
      <c r="H1395" s="1" t="str">
        <f t="shared" si="1136"/>
        <v>62</v>
      </c>
      <c r="I1395" s="1" t="str">
        <f>"165.26"</f>
        <v>165.26</v>
      </c>
      <c r="J1395" s="1" t="str">
        <f t="shared" ref="J1395:N1395" si="1140">"0"</f>
        <v>0</v>
      </c>
      <c r="K1395" s="1" t="str">
        <f t="shared" si="1138"/>
        <v>103</v>
      </c>
      <c r="L1395" s="1" t="str">
        <f t="shared" si="1139"/>
        <v>47</v>
      </c>
      <c r="M1395" s="1" t="str">
        <f t="shared" si="1140"/>
        <v>0</v>
      </c>
      <c r="N1395" s="1" t="str">
        <f t="shared" si="1140"/>
        <v>0</v>
      </c>
      <c r="O1395" s="1" t="str">
        <f>"15.26"</f>
        <v>15.26</v>
      </c>
    </row>
    <row r="1396" s="1" customFormat="1" spans="1:15">
      <c r="A1396" s="1" t="str">
        <f t="shared" si="1082"/>
        <v>202406</v>
      </c>
      <c r="B1396" s="1" t="str">
        <f t="shared" si="1083"/>
        <v>150525100</v>
      </c>
      <c r="C1396" s="1" t="str">
        <f>"1014575580"</f>
        <v>1014575580</v>
      </c>
      <c r="D1396" s="1" t="str">
        <f>"152326196206200668"</f>
        <v>152326196206200668</v>
      </c>
      <c r="E1396" s="1" t="s">
        <v>1457</v>
      </c>
      <c r="F1396" s="1" t="s">
        <v>16</v>
      </c>
      <c r="G1396" s="1" t="s">
        <v>17</v>
      </c>
      <c r="H1396" s="1" t="str">
        <f t="shared" si="1136"/>
        <v>62</v>
      </c>
      <c r="I1396" s="1" t="str">
        <f>"1489.86"</f>
        <v>1489.86</v>
      </c>
      <c r="J1396" s="1" t="str">
        <f>"1324.32"</f>
        <v>1324.32</v>
      </c>
      <c r="K1396" s="1" t="str">
        <f>"927"</f>
        <v>927</v>
      </c>
      <c r="L1396" s="1" t="str">
        <f>"423"</f>
        <v>423</v>
      </c>
      <c r="M1396" s="1" t="str">
        <f t="shared" si="1134"/>
        <v>0</v>
      </c>
      <c r="N1396" s="1" t="str">
        <f t="shared" si="1135"/>
        <v>0</v>
      </c>
      <c r="O1396" s="1" t="str">
        <f>"139.86"</f>
        <v>139.86</v>
      </c>
    </row>
    <row r="1397" s="1" customFormat="1" spans="1:15">
      <c r="A1397" s="1" t="str">
        <f t="shared" si="1082"/>
        <v>202406</v>
      </c>
      <c r="B1397" s="1" t="str">
        <f t="shared" si="1083"/>
        <v>150525100</v>
      </c>
      <c r="C1397" s="1" t="str">
        <f>"1014575782"</f>
        <v>1014575782</v>
      </c>
      <c r="D1397" s="1" t="str">
        <f>"152326195709300666"</f>
        <v>152326195709300666</v>
      </c>
      <c r="E1397" s="1" t="s">
        <v>1458</v>
      </c>
      <c r="F1397" s="1" t="s">
        <v>16</v>
      </c>
      <c r="G1397" s="1" t="s">
        <v>17</v>
      </c>
      <c r="H1397" s="1" t="str">
        <f>"67"</f>
        <v>67</v>
      </c>
      <c r="I1397" s="1" t="str">
        <f>"156.08"</f>
        <v>156.08</v>
      </c>
      <c r="J1397" s="1" t="str">
        <f t="shared" ref="J1397:J1460" si="1141">"0"</f>
        <v>0</v>
      </c>
      <c r="K1397" s="1" t="str">
        <f t="shared" si="1138"/>
        <v>103</v>
      </c>
      <c r="L1397" s="1" t="str">
        <f t="shared" si="1139"/>
        <v>47</v>
      </c>
      <c r="M1397" s="1" t="str">
        <f t="shared" si="1134"/>
        <v>0</v>
      </c>
      <c r="N1397" s="1" t="str">
        <f t="shared" si="1135"/>
        <v>0</v>
      </c>
      <c r="O1397" s="1" t="str">
        <f>"6.08"</f>
        <v>6.08</v>
      </c>
    </row>
    <row r="1398" s="1" customFormat="1" spans="1:15">
      <c r="A1398" s="1" t="str">
        <f t="shared" si="1082"/>
        <v>202406</v>
      </c>
      <c r="B1398" s="1" t="str">
        <f t="shared" si="1083"/>
        <v>150525100</v>
      </c>
      <c r="C1398" s="1" t="str">
        <f>"1014575794"</f>
        <v>1014575794</v>
      </c>
      <c r="D1398" s="1" t="str">
        <f>"152326195912180671"</f>
        <v>152326195912180671</v>
      </c>
      <c r="E1398" s="1" t="s">
        <v>1459</v>
      </c>
      <c r="F1398" s="1" t="s">
        <v>25</v>
      </c>
      <c r="G1398" s="1" t="s">
        <v>17</v>
      </c>
      <c r="H1398" s="1" t="str">
        <f>"65"</f>
        <v>65</v>
      </c>
      <c r="I1398" s="1" t="str">
        <f>"157.97"</f>
        <v>157.97</v>
      </c>
      <c r="J1398" s="1" t="str">
        <f t="shared" si="1141"/>
        <v>0</v>
      </c>
      <c r="K1398" s="1" t="str">
        <f t="shared" si="1138"/>
        <v>103</v>
      </c>
      <c r="L1398" s="1" t="str">
        <f t="shared" si="1139"/>
        <v>47</v>
      </c>
      <c r="M1398" s="1" t="str">
        <f t="shared" si="1134"/>
        <v>0</v>
      </c>
      <c r="N1398" s="1" t="str">
        <f t="shared" si="1135"/>
        <v>0</v>
      </c>
      <c r="O1398" s="1" t="str">
        <f>"7.97"</f>
        <v>7.97</v>
      </c>
    </row>
    <row r="1399" s="1" customFormat="1" spans="1:15">
      <c r="A1399" s="1" t="str">
        <f t="shared" si="1082"/>
        <v>202406</v>
      </c>
      <c r="B1399" s="1" t="str">
        <f t="shared" si="1083"/>
        <v>150525100</v>
      </c>
      <c r="C1399" s="1" t="str">
        <f>"1014575799"</f>
        <v>1014575799</v>
      </c>
      <c r="D1399" s="1" t="str">
        <f>"152326196009150665"</f>
        <v>152326196009150665</v>
      </c>
      <c r="E1399" s="1" t="s">
        <v>1460</v>
      </c>
      <c r="F1399" s="1" t="s">
        <v>16</v>
      </c>
      <c r="G1399" s="1" t="s">
        <v>17</v>
      </c>
      <c r="H1399" s="1" t="str">
        <f>"64"</f>
        <v>64</v>
      </c>
      <c r="I1399" s="1" t="str">
        <f>"160.06"</f>
        <v>160.06</v>
      </c>
      <c r="J1399" s="1" t="str">
        <f t="shared" si="1141"/>
        <v>0</v>
      </c>
      <c r="K1399" s="1" t="str">
        <f t="shared" si="1138"/>
        <v>103</v>
      </c>
      <c r="L1399" s="1" t="str">
        <f t="shared" si="1139"/>
        <v>47</v>
      </c>
      <c r="M1399" s="1" t="str">
        <f t="shared" si="1134"/>
        <v>0</v>
      </c>
      <c r="N1399" s="1" t="str">
        <f t="shared" si="1135"/>
        <v>0</v>
      </c>
      <c r="O1399" s="1" t="str">
        <f>"10.06"</f>
        <v>10.06</v>
      </c>
    </row>
    <row r="1400" s="1" customFormat="1" spans="1:15">
      <c r="A1400" s="1" t="str">
        <f t="shared" si="1082"/>
        <v>202406</v>
      </c>
      <c r="B1400" s="1" t="str">
        <f t="shared" si="1083"/>
        <v>150525100</v>
      </c>
      <c r="C1400" s="1" t="str">
        <f>"1014575800"</f>
        <v>1014575800</v>
      </c>
      <c r="D1400" s="1" t="s">
        <v>1461</v>
      </c>
      <c r="E1400" s="1" t="s">
        <v>1462</v>
      </c>
      <c r="F1400" s="1" t="s">
        <v>25</v>
      </c>
      <c r="G1400" s="1" t="s">
        <v>17</v>
      </c>
      <c r="H1400" s="1" t="str">
        <f>"64"</f>
        <v>64</v>
      </c>
      <c r="I1400" s="1" t="str">
        <f>"159.26"</f>
        <v>159.26</v>
      </c>
      <c r="J1400" s="1" t="str">
        <f t="shared" si="1141"/>
        <v>0</v>
      </c>
      <c r="K1400" s="1" t="str">
        <f t="shared" si="1138"/>
        <v>103</v>
      </c>
      <c r="L1400" s="1" t="str">
        <f t="shared" si="1139"/>
        <v>47</v>
      </c>
      <c r="M1400" s="1" t="str">
        <f t="shared" si="1134"/>
        <v>0</v>
      </c>
      <c r="N1400" s="1" t="str">
        <f t="shared" si="1135"/>
        <v>0</v>
      </c>
      <c r="O1400" s="1" t="str">
        <f>"9.26"</f>
        <v>9.26</v>
      </c>
    </row>
    <row r="1401" s="1" customFormat="1" spans="1:15">
      <c r="A1401" s="1" t="str">
        <f t="shared" si="1082"/>
        <v>202406</v>
      </c>
      <c r="B1401" s="1" t="str">
        <f t="shared" si="1083"/>
        <v>150525100</v>
      </c>
      <c r="C1401" s="1" t="str">
        <f>"1014576592"</f>
        <v>1014576592</v>
      </c>
      <c r="D1401" s="1" t="s">
        <v>1463</v>
      </c>
      <c r="E1401" s="1" t="s">
        <v>1464</v>
      </c>
      <c r="F1401" s="1" t="s">
        <v>16</v>
      </c>
      <c r="G1401" s="1" t="s">
        <v>17</v>
      </c>
      <c r="H1401" s="1" t="str">
        <f>"68"</f>
        <v>68</v>
      </c>
      <c r="I1401" s="1" t="str">
        <f>"156.01"</f>
        <v>156.01</v>
      </c>
      <c r="J1401" s="1" t="str">
        <f t="shared" si="1141"/>
        <v>0</v>
      </c>
      <c r="K1401" s="1" t="str">
        <f t="shared" si="1138"/>
        <v>103</v>
      </c>
      <c r="L1401" s="1" t="str">
        <f t="shared" si="1139"/>
        <v>47</v>
      </c>
      <c r="M1401" s="1" t="str">
        <f t="shared" si="1134"/>
        <v>0</v>
      </c>
      <c r="N1401" s="1" t="str">
        <f t="shared" si="1135"/>
        <v>0</v>
      </c>
      <c r="O1401" s="1" t="str">
        <f>"6.01"</f>
        <v>6.01</v>
      </c>
    </row>
    <row r="1402" s="1" customFormat="1" spans="1:15">
      <c r="A1402" s="1" t="str">
        <f t="shared" si="1082"/>
        <v>202406</v>
      </c>
      <c r="B1402" s="1" t="str">
        <f t="shared" si="1083"/>
        <v>150525100</v>
      </c>
      <c r="C1402" s="1" t="str">
        <f>"1014548353"</f>
        <v>1014548353</v>
      </c>
      <c r="D1402" s="1" t="str">
        <f>"152326195305190675"</f>
        <v>152326195305190675</v>
      </c>
      <c r="E1402" s="1" t="s">
        <v>1465</v>
      </c>
      <c r="F1402" s="1" t="s">
        <v>25</v>
      </c>
      <c r="G1402" s="1" t="s">
        <v>17</v>
      </c>
      <c r="H1402" s="1" t="str">
        <f>"71"</f>
        <v>71</v>
      </c>
      <c r="I1402" s="1" t="str">
        <f>"162.92"</f>
        <v>162.92</v>
      </c>
      <c r="J1402" s="1" t="str">
        <f t="shared" si="1141"/>
        <v>0</v>
      </c>
      <c r="K1402" s="1" t="str">
        <f t="shared" si="1138"/>
        <v>103</v>
      </c>
      <c r="L1402" s="1" t="str">
        <f t="shared" si="1139"/>
        <v>47</v>
      </c>
      <c r="M1402" s="1" t="str">
        <f t="shared" si="1134"/>
        <v>0</v>
      </c>
      <c r="N1402" s="1" t="str">
        <f t="shared" si="1135"/>
        <v>0</v>
      </c>
      <c r="O1402" s="1" t="str">
        <f>"2.92"</f>
        <v>2.92</v>
      </c>
    </row>
    <row r="1403" s="1" customFormat="1" spans="1:15">
      <c r="A1403" s="1" t="str">
        <f t="shared" si="1082"/>
        <v>202406</v>
      </c>
      <c r="B1403" s="1" t="str">
        <f t="shared" si="1083"/>
        <v>150525100</v>
      </c>
      <c r="C1403" s="1" t="str">
        <f>"1014572750"</f>
        <v>1014572750</v>
      </c>
      <c r="D1403" s="1" t="str">
        <f>"152326196308230921"</f>
        <v>152326196308230921</v>
      </c>
      <c r="E1403" s="1" t="s">
        <v>1466</v>
      </c>
      <c r="F1403" s="1" t="s">
        <v>16</v>
      </c>
      <c r="G1403" s="1" t="s">
        <v>19</v>
      </c>
      <c r="H1403" s="1" t="str">
        <f>"61"</f>
        <v>61</v>
      </c>
      <c r="I1403" s="1" t="str">
        <f>"164.77"</f>
        <v>164.77</v>
      </c>
      <c r="J1403" s="1" t="str">
        <f t="shared" si="1141"/>
        <v>0</v>
      </c>
      <c r="K1403" s="1" t="str">
        <f t="shared" si="1138"/>
        <v>103</v>
      </c>
      <c r="L1403" s="1" t="str">
        <f t="shared" si="1139"/>
        <v>47</v>
      </c>
      <c r="M1403" s="1" t="str">
        <f t="shared" si="1134"/>
        <v>0</v>
      </c>
      <c r="N1403" s="1" t="str">
        <f t="shared" si="1135"/>
        <v>0</v>
      </c>
      <c r="O1403" s="1" t="str">
        <f>"14.77"</f>
        <v>14.77</v>
      </c>
    </row>
    <row r="1404" s="1" customFormat="1" spans="1:15">
      <c r="A1404" s="1" t="str">
        <f t="shared" si="1082"/>
        <v>202406</v>
      </c>
      <c r="B1404" s="1" t="str">
        <f t="shared" si="1083"/>
        <v>150525100</v>
      </c>
      <c r="C1404" s="1" t="str">
        <f>"1014572759"</f>
        <v>1014572759</v>
      </c>
      <c r="D1404" s="1" t="str">
        <f>"152326195403120021"</f>
        <v>152326195403120021</v>
      </c>
      <c r="E1404" s="1" t="s">
        <v>1467</v>
      </c>
      <c r="F1404" s="1" t="s">
        <v>16</v>
      </c>
      <c r="G1404" s="1" t="s">
        <v>17</v>
      </c>
      <c r="H1404" s="1" t="str">
        <f t="shared" ref="H1404:H1407" si="1142">"70"</f>
        <v>70</v>
      </c>
      <c r="I1404" s="1" t="str">
        <f>"163.88"</f>
        <v>163.88</v>
      </c>
      <c r="J1404" s="1" t="str">
        <f t="shared" si="1141"/>
        <v>0</v>
      </c>
      <c r="K1404" s="1" t="str">
        <f t="shared" si="1138"/>
        <v>103</v>
      </c>
      <c r="L1404" s="1" t="str">
        <f t="shared" si="1139"/>
        <v>47</v>
      </c>
      <c r="M1404" s="1" t="str">
        <f t="shared" si="1134"/>
        <v>0</v>
      </c>
      <c r="N1404" s="1" t="str">
        <f t="shared" si="1135"/>
        <v>0</v>
      </c>
      <c r="O1404" s="1" t="str">
        <f>"3.88"</f>
        <v>3.88</v>
      </c>
    </row>
    <row r="1405" s="1" customFormat="1" spans="1:15">
      <c r="A1405" s="1" t="str">
        <f t="shared" si="1082"/>
        <v>202406</v>
      </c>
      <c r="B1405" s="1" t="str">
        <f t="shared" si="1083"/>
        <v>150525100</v>
      </c>
      <c r="C1405" s="1" t="str">
        <f>"1014572765"</f>
        <v>1014572765</v>
      </c>
      <c r="D1405" s="1" t="str">
        <f>"152326195406160029"</f>
        <v>152326195406160029</v>
      </c>
      <c r="E1405" s="1" t="s">
        <v>1468</v>
      </c>
      <c r="F1405" s="1" t="s">
        <v>16</v>
      </c>
      <c r="G1405" s="1" t="s">
        <v>17</v>
      </c>
      <c r="H1405" s="1" t="str">
        <f t="shared" si="1142"/>
        <v>70</v>
      </c>
      <c r="I1405" s="1" t="str">
        <f>"154.14"</f>
        <v>154.14</v>
      </c>
      <c r="J1405" s="1" t="str">
        <f t="shared" si="1141"/>
        <v>0</v>
      </c>
      <c r="K1405" s="1" t="str">
        <f t="shared" si="1138"/>
        <v>103</v>
      </c>
      <c r="L1405" s="1" t="str">
        <f t="shared" si="1139"/>
        <v>47</v>
      </c>
      <c r="M1405" s="1" t="str">
        <f t="shared" si="1134"/>
        <v>0</v>
      </c>
      <c r="N1405" s="1" t="str">
        <f t="shared" si="1135"/>
        <v>0</v>
      </c>
      <c r="O1405" s="1" t="str">
        <f>"4.14"</f>
        <v>4.14</v>
      </c>
    </row>
    <row r="1406" s="1" customFormat="1" spans="1:15">
      <c r="A1406" s="1" t="str">
        <f t="shared" si="1082"/>
        <v>202406</v>
      </c>
      <c r="B1406" s="1" t="str">
        <f t="shared" si="1083"/>
        <v>150525100</v>
      </c>
      <c r="C1406" s="1" t="str">
        <f>"1014575593"</f>
        <v>1014575593</v>
      </c>
      <c r="D1406" s="1" t="str">
        <f>"152326196306260668"</f>
        <v>152326196306260668</v>
      </c>
      <c r="E1406" s="1" t="s">
        <v>1469</v>
      </c>
      <c r="F1406" s="1" t="s">
        <v>16</v>
      </c>
      <c r="G1406" s="1" t="s">
        <v>17</v>
      </c>
      <c r="H1406" s="1" t="str">
        <f>"61"</f>
        <v>61</v>
      </c>
      <c r="I1406" s="1" t="str">
        <f>"165.04"</f>
        <v>165.04</v>
      </c>
      <c r="J1406" s="1" t="str">
        <f t="shared" si="1141"/>
        <v>0</v>
      </c>
      <c r="K1406" s="1" t="str">
        <f t="shared" si="1138"/>
        <v>103</v>
      </c>
      <c r="L1406" s="1" t="str">
        <f t="shared" si="1139"/>
        <v>47</v>
      </c>
      <c r="M1406" s="1" t="str">
        <f t="shared" si="1134"/>
        <v>0</v>
      </c>
      <c r="N1406" s="1" t="str">
        <f t="shared" si="1135"/>
        <v>0</v>
      </c>
      <c r="O1406" s="1" t="str">
        <f>"15.04"</f>
        <v>15.04</v>
      </c>
    </row>
    <row r="1407" s="1" customFormat="1" spans="1:15">
      <c r="A1407" s="1" t="str">
        <f t="shared" si="1082"/>
        <v>202406</v>
      </c>
      <c r="B1407" s="1" t="str">
        <f t="shared" si="1083"/>
        <v>150525100</v>
      </c>
      <c r="C1407" s="1" t="str">
        <f>"1014575603"</f>
        <v>1014575603</v>
      </c>
      <c r="D1407" s="1" t="s">
        <v>1470</v>
      </c>
      <c r="E1407" s="1" t="s">
        <v>1471</v>
      </c>
      <c r="F1407" s="1" t="s">
        <v>25</v>
      </c>
      <c r="G1407" s="1" t="s">
        <v>17</v>
      </c>
      <c r="H1407" s="1" t="str">
        <f t="shared" si="1142"/>
        <v>70</v>
      </c>
      <c r="I1407" s="1" t="str">
        <f>"210.04"</f>
        <v>210.04</v>
      </c>
      <c r="J1407" s="1" t="str">
        <f t="shared" si="1141"/>
        <v>0</v>
      </c>
      <c r="K1407" s="1" t="str">
        <f t="shared" si="1138"/>
        <v>103</v>
      </c>
      <c r="L1407" s="1" t="str">
        <f t="shared" si="1139"/>
        <v>47</v>
      </c>
      <c r="M1407" s="1" t="str">
        <f t="shared" si="1134"/>
        <v>0</v>
      </c>
      <c r="N1407" s="1" t="str">
        <f t="shared" si="1135"/>
        <v>0</v>
      </c>
      <c r="O1407" s="1" t="str">
        <f>"60.04"</f>
        <v>60.04</v>
      </c>
    </row>
    <row r="1408" s="1" customFormat="1" spans="1:15">
      <c r="A1408" s="1" t="str">
        <f t="shared" si="1082"/>
        <v>202406</v>
      </c>
      <c r="B1408" s="1" t="str">
        <f t="shared" si="1083"/>
        <v>150525100</v>
      </c>
      <c r="C1408" s="1" t="str">
        <f>"1014575610"</f>
        <v>1014575610</v>
      </c>
      <c r="D1408" s="1" t="str">
        <f>"152326196112220668"</f>
        <v>152326196112220668</v>
      </c>
      <c r="E1408" s="1" t="s">
        <v>1472</v>
      </c>
      <c r="F1408" s="1" t="s">
        <v>16</v>
      </c>
      <c r="G1408" s="1" t="s">
        <v>17</v>
      </c>
      <c r="H1408" s="1" t="str">
        <f>"63"</f>
        <v>63</v>
      </c>
      <c r="I1408" s="1" t="str">
        <f>"194.65"</f>
        <v>194.65</v>
      </c>
      <c r="J1408" s="1" t="str">
        <f t="shared" si="1141"/>
        <v>0</v>
      </c>
      <c r="K1408" s="1" t="str">
        <f t="shared" si="1138"/>
        <v>103</v>
      </c>
      <c r="L1408" s="1" t="str">
        <f t="shared" si="1139"/>
        <v>47</v>
      </c>
      <c r="M1408" s="1" t="str">
        <f t="shared" si="1134"/>
        <v>0</v>
      </c>
      <c r="N1408" s="1" t="str">
        <f t="shared" si="1135"/>
        <v>0</v>
      </c>
      <c r="O1408" s="1" t="str">
        <f>"44.65"</f>
        <v>44.65</v>
      </c>
    </row>
    <row r="1409" s="1" customFormat="1" spans="1:15">
      <c r="A1409" s="1" t="str">
        <f t="shared" si="1082"/>
        <v>202406</v>
      </c>
      <c r="B1409" s="1" t="str">
        <f t="shared" si="1083"/>
        <v>150525100</v>
      </c>
      <c r="C1409" s="1" t="str">
        <f>"1014576830"</f>
        <v>1014576830</v>
      </c>
      <c r="D1409" s="1" t="str">
        <f>"152326195610070661"</f>
        <v>152326195610070661</v>
      </c>
      <c r="E1409" s="1" t="s">
        <v>1473</v>
      </c>
      <c r="F1409" s="1" t="s">
        <v>16</v>
      </c>
      <c r="G1409" s="1" t="s">
        <v>17</v>
      </c>
      <c r="H1409" s="1" t="str">
        <f>"68"</f>
        <v>68</v>
      </c>
      <c r="I1409" s="1" t="str">
        <f>"156.02"</f>
        <v>156.02</v>
      </c>
      <c r="J1409" s="1" t="str">
        <f t="shared" si="1141"/>
        <v>0</v>
      </c>
      <c r="K1409" s="1" t="str">
        <f t="shared" si="1138"/>
        <v>103</v>
      </c>
      <c r="L1409" s="1" t="str">
        <f t="shared" si="1139"/>
        <v>47</v>
      </c>
      <c r="M1409" s="1" t="str">
        <f t="shared" si="1134"/>
        <v>0</v>
      </c>
      <c r="N1409" s="1" t="str">
        <f t="shared" si="1135"/>
        <v>0</v>
      </c>
      <c r="O1409" s="1" t="str">
        <f>"6.02"</f>
        <v>6.02</v>
      </c>
    </row>
    <row r="1410" s="1" customFormat="1" spans="1:15">
      <c r="A1410" s="1" t="str">
        <f t="shared" ref="A1410:A1473" si="1143">"202406"</f>
        <v>202406</v>
      </c>
      <c r="B1410" s="1" t="str">
        <f t="shared" ref="B1410:B1473" si="1144">"150525100"</f>
        <v>150525100</v>
      </c>
      <c r="C1410" s="1" t="str">
        <f>"1014576832"</f>
        <v>1014576832</v>
      </c>
      <c r="D1410" s="1" t="str">
        <f>"152326195701170676"</f>
        <v>152326195701170676</v>
      </c>
      <c r="E1410" s="1" t="s">
        <v>1474</v>
      </c>
      <c r="F1410" s="1" t="s">
        <v>25</v>
      </c>
      <c r="G1410" s="1" t="s">
        <v>17</v>
      </c>
      <c r="H1410" s="1" t="str">
        <f>"67"</f>
        <v>67</v>
      </c>
      <c r="I1410" s="1" t="str">
        <f>"156.03"</f>
        <v>156.03</v>
      </c>
      <c r="J1410" s="1" t="str">
        <f t="shared" si="1141"/>
        <v>0</v>
      </c>
      <c r="K1410" s="1" t="str">
        <f t="shared" si="1138"/>
        <v>103</v>
      </c>
      <c r="L1410" s="1" t="str">
        <f t="shared" si="1139"/>
        <v>47</v>
      </c>
      <c r="M1410" s="1" t="str">
        <f t="shared" si="1134"/>
        <v>0</v>
      </c>
      <c r="N1410" s="1" t="str">
        <f t="shared" si="1135"/>
        <v>0</v>
      </c>
      <c r="O1410" s="1" t="str">
        <f>"6.03"</f>
        <v>6.03</v>
      </c>
    </row>
    <row r="1411" s="1" customFormat="1" spans="1:15">
      <c r="A1411" s="1" t="str">
        <f t="shared" si="1143"/>
        <v>202406</v>
      </c>
      <c r="B1411" s="1" t="str">
        <f t="shared" si="1144"/>
        <v>150525100</v>
      </c>
      <c r="C1411" s="1" t="str">
        <f>"1014576841"</f>
        <v>1014576841</v>
      </c>
      <c r="D1411" s="1" t="str">
        <f>"152326195710080664"</f>
        <v>152326195710080664</v>
      </c>
      <c r="E1411" s="1" t="s">
        <v>1475</v>
      </c>
      <c r="F1411" s="1" t="s">
        <v>16</v>
      </c>
      <c r="G1411" s="1" t="s">
        <v>17</v>
      </c>
      <c r="H1411" s="1" t="str">
        <f>"67"</f>
        <v>67</v>
      </c>
      <c r="I1411" s="1" t="str">
        <f>"156.1"</f>
        <v>156.1</v>
      </c>
      <c r="J1411" s="1" t="str">
        <f t="shared" si="1141"/>
        <v>0</v>
      </c>
      <c r="K1411" s="1" t="str">
        <f t="shared" si="1138"/>
        <v>103</v>
      </c>
      <c r="L1411" s="1" t="str">
        <f t="shared" si="1139"/>
        <v>47</v>
      </c>
      <c r="M1411" s="1" t="str">
        <f t="shared" si="1134"/>
        <v>0</v>
      </c>
      <c r="N1411" s="1" t="str">
        <f t="shared" si="1135"/>
        <v>0</v>
      </c>
      <c r="O1411" s="1" t="str">
        <f>"6.1"</f>
        <v>6.1</v>
      </c>
    </row>
    <row r="1412" s="1" customFormat="1" spans="1:15">
      <c r="A1412" s="1" t="str">
        <f t="shared" si="1143"/>
        <v>202406</v>
      </c>
      <c r="B1412" s="1" t="str">
        <f t="shared" si="1144"/>
        <v>150525100</v>
      </c>
      <c r="C1412" s="1" t="str">
        <f>"1014548394"</f>
        <v>1014548394</v>
      </c>
      <c r="D1412" s="1" t="str">
        <f>"152326195410233083"</f>
        <v>152326195410233083</v>
      </c>
      <c r="E1412" s="1" t="s">
        <v>1476</v>
      </c>
      <c r="F1412" s="1" t="s">
        <v>16</v>
      </c>
      <c r="G1412" s="1" t="s">
        <v>17</v>
      </c>
      <c r="H1412" s="1" t="str">
        <f t="shared" ref="H1412:H1415" si="1145">"70"</f>
        <v>70</v>
      </c>
      <c r="I1412" s="1" t="str">
        <f>"157.49"</f>
        <v>157.49</v>
      </c>
      <c r="J1412" s="1" t="str">
        <f t="shared" si="1141"/>
        <v>0</v>
      </c>
      <c r="K1412" s="1" t="str">
        <f t="shared" si="1138"/>
        <v>103</v>
      </c>
      <c r="L1412" s="1" t="str">
        <f t="shared" si="1139"/>
        <v>47</v>
      </c>
      <c r="M1412" s="1" t="str">
        <f t="shared" si="1134"/>
        <v>0</v>
      </c>
      <c r="N1412" s="1" t="str">
        <f t="shared" si="1135"/>
        <v>0</v>
      </c>
      <c r="O1412" s="1" t="str">
        <f>"7.49"</f>
        <v>7.49</v>
      </c>
    </row>
    <row r="1413" s="1" customFormat="1" spans="1:15">
      <c r="A1413" s="1" t="str">
        <f t="shared" si="1143"/>
        <v>202406</v>
      </c>
      <c r="B1413" s="1" t="str">
        <f t="shared" si="1144"/>
        <v>150525100</v>
      </c>
      <c r="C1413" s="1" t="str">
        <f>"1014548397"</f>
        <v>1014548397</v>
      </c>
      <c r="D1413" s="1" t="str">
        <f>"152326195610033086"</f>
        <v>152326195610033086</v>
      </c>
      <c r="E1413" s="1" t="s">
        <v>1477</v>
      </c>
      <c r="F1413" s="1" t="s">
        <v>16</v>
      </c>
      <c r="G1413" s="1" t="s">
        <v>17</v>
      </c>
      <c r="H1413" s="1" t="str">
        <f>"68"</f>
        <v>68</v>
      </c>
      <c r="I1413" s="1" t="str">
        <f>"158.82"</f>
        <v>158.82</v>
      </c>
      <c r="J1413" s="1" t="str">
        <f t="shared" si="1141"/>
        <v>0</v>
      </c>
      <c r="K1413" s="1" t="str">
        <f t="shared" si="1138"/>
        <v>103</v>
      </c>
      <c r="L1413" s="1" t="str">
        <f t="shared" si="1139"/>
        <v>47</v>
      </c>
      <c r="M1413" s="1" t="str">
        <f t="shared" si="1134"/>
        <v>0</v>
      </c>
      <c r="N1413" s="1" t="str">
        <f t="shared" si="1135"/>
        <v>0</v>
      </c>
      <c r="O1413" s="1" t="str">
        <f>"8.82"</f>
        <v>8.82</v>
      </c>
    </row>
    <row r="1414" s="1" customFormat="1" spans="1:15">
      <c r="A1414" s="1" t="str">
        <f t="shared" si="1143"/>
        <v>202406</v>
      </c>
      <c r="B1414" s="1" t="str">
        <f t="shared" si="1144"/>
        <v>150525100</v>
      </c>
      <c r="C1414" s="1" t="str">
        <f>"1014572783"</f>
        <v>1014572783</v>
      </c>
      <c r="D1414" s="1" t="str">
        <f>"152326195411083080"</f>
        <v>152326195411083080</v>
      </c>
      <c r="E1414" s="1" t="s">
        <v>1478</v>
      </c>
      <c r="F1414" s="1" t="s">
        <v>16</v>
      </c>
      <c r="G1414" s="1" t="s">
        <v>17</v>
      </c>
      <c r="H1414" s="1" t="str">
        <f t="shared" si="1145"/>
        <v>70</v>
      </c>
      <c r="I1414" s="1" t="str">
        <f>"163.42"</f>
        <v>163.42</v>
      </c>
      <c r="J1414" s="1" t="str">
        <f t="shared" si="1141"/>
        <v>0</v>
      </c>
      <c r="K1414" s="1" t="str">
        <f t="shared" si="1138"/>
        <v>103</v>
      </c>
      <c r="L1414" s="1" t="str">
        <f t="shared" si="1139"/>
        <v>47</v>
      </c>
      <c r="M1414" s="1" t="str">
        <f t="shared" si="1134"/>
        <v>0</v>
      </c>
      <c r="N1414" s="1" t="str">
        <f t="shared" si="1135"/>
        <v>0</v>
      </c>
      <c r="O1414" s="1" t="str">
        <f>"13.42"</f>
        <v>13.42</v>
      </c>
    </row>
    <row r="1415" s="1" customFormat="1" spans="1:15">
      <c r="A1415" s="1" t="str">
        <f t="shared" si="1143"/>
        <v>202406</v>
      </c>
      <c r="B1415" s="1" t="str">
        <f t="shared" si="1144"/>
        <v>150525100</v>
      </c>
      <c r="C1415" s="1" t="str">
        <f>"1014572795"</f>
        <v>1014572795</v>
      </c>
      <c r="D1415" s="1" t="str">
        <f>"152326195412263075"</f>
        <v>152326195412263075</v>
      </c>
      <c r="E1415" s="1" t="s">
        <v>1479</v>
      </c>
      <c r="F1415" s="1" t="s">
        <v>25</v>
      </c>
      <c r="G1415" s="1" t="s">
        <v>17</v>
      </c>
      <c r="H1415" s="1" t="str">
        <f t="shared" si="1145"/>
        <v>70</v>
      </c>
      <c r="I1415" s="1" t="str">
        <f>"154.14"</f>
        <v>154.14</v>
      </c>
      <c r="J1415" s="1" t="str">
        <f t="shared" si="1141"/>
        <v>0</v>
      </c>
      <c r="K1415" s="1" t="str">
        <f t="shared" si="1138"/>
        <v>103</v>
      </c>
      <c r="L1415" s="1" t="str">
        <f t="shared" si="1139"/>
        <v>47</v>
      </c>
      <c r="M1415" s="1" t="str">
        <f t="shared" si="1134"/>
        <v>0</v>
      </c>
      <c r="N1415" s="1" t="str">
        <f t="shared" si="1135"/>
        <v>0</v>
      </c>
      <c r="O1415" s="1" t="str">
        <f>"4.14"</f>
        <v>4.14</v>
      </c>
    </row>
    <row r="1416" s="1" customFormat="1" spans="1:15">
      <c r="A1416" s="1" t="str">
        <f t="shared" si="1143"/>
        <v>202406</v>
      </c>
      <c r="B1416" s="1" t="str">
        <f t="shared" si="1144"/>
        <v>150525100</v>
      </c>
      <c r="C1416" s="1" t="str">
        <f>"1014572889"</f>
        <v>1014572889</v>
      </c>
      <c r="D1416" s="1" t="str">
        <f>"152326195501273080"</f>
        <v>152326195501273080</v>
      </c>
      <c r="E1416" s="1" t="s">
        <v>1480</v>
      </c>
      <c r="F1416" s="1" t="s">
        <v>16</v>
      </c>
      <c r="G1416" s="1" t="s">
        <v>17</v>
      </c>
      <c r="H1416" s="1" t="str">
        <f>"69"</f>
        <v>69</v>
      </c>
      <c r="I1416" s="1" t="str">
        <f>"165.66"</f>
        <v>165.66</v>
      </c>
      <c r="J1416" s="1" t="str">
        <f t="shared" si="1141"/>
        <v>0</v>
      </c>
      <c r="K1416" s="1" t="str">
        <f t="shared" si="1138"/>
        <v>103</v>
      </c>
      <c r="L1416" s="1" t="str">
        <f t="shared" si="1139"/>
        <v>47</v>
      </c>
      <c r="M1416" s="1" t="str">
        <f t="shared" si="1134"/>
        <v>0</v>
      </c>
      <c r="N1416" s="1" t="str">
        <f t="shared" si="1135"/>
        <v>0</v>
      </c>
      <c r="O1416" s="1" t="str">
        <f>"15.66"</f>
        <v>15.66</v>
      </c>
    </row>
    <row r="1417" s="1" customFormat="1" spans="1:15">
      <c r="A1417" s="1" t="str">
        <f t="shared" si="1143"/>
        <v>202406</v>
      </c>
      <c r="B1417" s="1" t="str">
        <f t="shared" si="1144"/>
        <v>150525100</v>
      </c>
      <c r="C1417" s="1" t="str">
        <f>"1014572902"</f>
        <v>1014572902</v>
      </c>
      <c r="D1417" s="1" t="str">
        <f>"152326195505293070"</f>
        <v>152326195505293070</v>
      </c>
      <c r="E1417" s="1" t="s">
        <v>1481</v>
      </c>
      <c r="F1417" s="1" t="s">
        <v>25</v>
      </c>
      <c r="G1417" s="1" t="s">
        <v>17</v>
      </c>
      <c r="H1417" s="1" t="str">
        <f>"69"</f>
        <v>69</v>
      </c>
      <c r="I1417" s="1" t="str">
        <f>"157.47"</f>
        <v>157.47</v>
      </c>
      <c r="J1417" s="1" t="str">
        <f t="shared" si="1141"/>
        <v>0</v>
      </c>
      <c r="K1417" s="1" t="str">
        <f t="shared" si="1138"/>
        <v>103</v>
      </c>
      <c r="L1417" s="1" t="str">
        <f t="shared" si="1139"/>
        <v>47</v>
      </c>
      <c r="M1417" s="1" t="str">
        <f t="shared" si="1134"/>
        <v>0</v>
      </c>
      <c r="N1417" s="1" t="str">
        <f t="shared" si="1135"/>
        <v>0</v>
      </c>
      <c r="O1417" s="1" t="str">
        <f>"7.47"</f>
        <v>7.47</v>
      </c>
    </row>
    <row r="1418" s="1" customFormat="1" spans="1:15">
      <c r="A1418" s="1" t="str">
        <f t="shared" si="1143"/>
        <v>202406</v>
      </c>
      <c r="B1418" s="1" t="str">
        <f t="shared" si="1144"/>
        <v>150525100</v>
      </c>
      <c r="C1418" s="1" t="str">
        <f>"1014573025"</f>
        <v>1014573025</v>
      </c>
      <c r="D1418" s="1" t="str">
        <f>"152326196310083086"</f>
        <v>152326196310083086</v>
      </c>
      <c r="E1418" s="1" t="s">
        <v>1482</v>
      </c>
      <c r="F1418" s="1" t="s">
        <v>16</v>
      </c>
      <c r="G1418" s="1" t="s">
        <v>17</v>
      </c>
      <c r="H1418" s="1" t="str">
        <f>"61"</f>
        <v>61</v>
      </c>
      <c r="I1418" s="1" t="str">
        <f>"249.34"</f>
        <v>249.34</v>
      </c>
      <c r="J1418" s="1" t="str">
        <f t="shared" si="1141"/>
        <v>0</v>
      </c>
      <c r="K1418" s="1" t="str">
        <f t="shared" si="1138"/>
        <v>103</v>
      </c>
      <c r="L1418" s="1" t="str">
        <f t="shared" si="1139"/>
        <v>47</v>
      </c>
      <c r="M1418" s="1" t="str">
        <f t="shared" si="1134"/>
        <v>0</v>
      </c>
      <c r="N1418" s="1" t="str">
        <f t="shared" si="1135"/>
        <v>0</v>
      </c>
      <c r="O1418" s="1" t="str">
        <f>"99.34"</f>
        <v>99.34</v>
      </c>
    </row>
    <row r="1419" s="1" customFormat="1" spans="1:15">
      <c r="A1419" s="1" t="str">
        <f t="shared" si="1143"/>
        <v>202406</v>
      </c>
      <c r="B1419" s="1" t="str">
        <f t="shared" si="1144"/>
        <v>150525100</v>
      </c>
      <c r="C1419" s="1" t="str">
        <f>"1014573313"</f>
        <v>1014573313</v>
      </c>
      <c r="D1419" s="1" t="str">
        <f>"152326195808060426"</f>
        <v>152326195808060426</v>
      </c>
      <c r="E1419" s="1" t="s">
        <v>260</v>
      </c>
      <c r="F1419" s="1" t="s">
        <v>16</v>
      </c>
      <c r="G1419" s="1" t="s">
        <v>17</v>
      </c>
      <c r="H1419" s="1" t="str">
        <f>"66"</f>
        <v>66</v>
      </c>
      <c r="I1419" s="1" t="str">
        <f>"157.86"</f>
        <v>157.86</v>
      </c>
      <c r="J1419" s="1" t="str">
        <f t="shared" si="1141"/>
        <v>0</v>
      </c>
      <c r="K1419" s="1" t="str">
        <f t="shared" si="1138"/>
        <v>103</v>
      </c>
      <c r="L1419" s="1" t="str">
        <f t="shared" si="1139"/>
        <v>47</v>
      </c>
      <c r="M1419" s="1" t="str">
        <f t="shared" si="1134"/>
        <v>0</v>
      </c>
      <c r="N1419" s="1" t="str">
        <f t="shared" si="1135"/>
        <v>0</v>
      </c>
      <c r="O1419" s="1" t="str">
        <f>"7.86"</f>
        <v>7.86</v>
      </c>
    </row>
    <row r="1420" s="1" customFormat="1" spans="1:15">
      <c r="A1420" s="1" t="str">
        <f t="shared" si="1143"/>
        <v>202406</v>
      </c>
      <c r="B1420" s="1" t="str">
        <f t="shared" si="1144"/>
        <v>150525100</v>
      </c>
      <c r="C1420" s="1" t="str">
        <f>"1014573324"</f>
        <v>1014573324</v>
      </c>
      <c r="D1420" s="1" t="str">
        <f>"152326195901143074"</f>
        <v>152326195901143074</v>
      </c>
      <c r="E1420" s="1" t="s">
        <v>1483</v>
      </c>
      <c r="F1420" s="1" t="s">
        <v>25</v>
      </c>
      <c r="G1420" s="1" t="s">
        <v>17</v>
      </c>
      <c r="H1420" s="1" t="str">
        <f>"65"</f>
        <v>65</v>
      </c>
      <c r="I1420" s="1" t="str">
        <f>"158.1"</f>
        <v>158.1</v>
      </c>
      <c r="J1420" s="1" t="str">
        <f t="shared" si="1141"/>
        <v>0</v>
      </c>
      <c r="K1420" s="1" t="str">
        <f t="shared" si="1138"/>
        <v>103</v>
      </c>
      <c r="L1420" s="1" t="str">
        <f t="shared" si="1139"/>
        <v>47</v>
      </c>
      <c r="M1420" s="1" t="str">
        <f t="shared" si="1134"/>
        <v>0</v>
      </c>
      <c r="N1420" s="1" t="str">
        <f t="shared" si="1135"/>
        <v>0</v>
      </c>
      <c r="O1420" s="1" t="str">
        <f>"8.1"</f>
        <v>8.1</v>
      </c>
    </row>
    <row r="1421" s="1" customFormat="1" spans="1:15">
      <c r="A1421" s="1" t="str">
        <f t="shared" si="1143"/>
        <v>202406</v>
      </c>
      <c r="B1421" s="1" t="str">
        <f t="shared" si="1144"/>
        <v>150525100</v>
      </c>
      <c r="C1421" s="1" t="str">
        <f>"1014573466"</f>
        <v>1014573466</v>
      </c>
      <c r="D1421" s="1" t="str">
        <f>"152326196110020443"</f>
        <v>152326196110020443</v>
      </c>
      <c r="E1421" s="1" t="s">
        <v>1484</v>
      </c>
      <c r="F1421" s="1" t="s">
        <v>16</v>
      </c>
      <c r="G1421" s="1" t="s">
        <v>17</v>
      </c>
      <c r="H1421" s="1" t="str">
        <f>"63"</f>
        <v>63</v>
      </c>
      <c r="I1421" s="1" t="str">
        <f>"164.7"</f>
        <v>164.7</v>
      </c>
      <c r="J1421" s="1" t="str">
        <f t="shared" si="1141"/>
        <v>0</v>
      </c>
      <c r="K1421" s="1" t="str">
        <f t="shared" si="1138"/>
        <v>103</v>
      </c>
      <c r="L1421" s="1" t="str">
        <f t="shared" si="1139"/>
        <v>47</v>
      </c>
      <c r="M1421" s="1" t="str">
        <f t="shared" si="1134"/>
        <v>0</v>
      </c>
      <c r="N1421" s="1" t="str">
        <f t="shared" si="1135"/>
        <v>0</v>
      </c>
      <c r="O1421" s="1" t="str">
        <f>"14.7"</f>
        <v>14.7</v>
      </c>
    </row>
    <row r="1422" s="1" customFormat="1" spans="1:15">
      <c r="A1422" s="1" t="str">
        <f t="shared" si="1143"/>
        <v>202406</v>
      </c>
      <c r="B1422" s="1" t="str">
        <f t="shared" si="1144"/>
        <v>150525100</v>
      </c>
      <c r="C1422" s="1" t="str">
        <f>"1014573473"</f>
        <v>1014573473</v>
      </c>
      <c r="D1422" s="1" t="str">
        <f>"152326196204103071"</f>
        <v>152326196204103071</v>
      </c>
      <c r="E1422" s="1" t="s">
        <v>1485</v>
      </c>
      <c r="F1422" s="1" t="s">
        <v>25</v>
      </c>
      <c r="G1422" s="1" t="s">
        <v>17</v>
      </c>
      <c r="H1422" s="1" t="str">
        <f t="shared" ref="H1422:H1426" si="1146">"62"</f>
        <v>62</v>
      </c>
      <c r="I1422" s="1" t="str">
        <f>"162.75"</f>
        <v>162.75</v>
      </c>
      <c r="J1422" s="1" t="str">
        <f t="shared" si="1141"/>
        <v>0</v>
      </c>
      <c r="K1422" s="1" t="str">
        <f t="shared" si="1138"/>
        <v>103</v>
      </c>
      <c r="L1422" s="1" t="str">
        <f t="shared" si="1139"/>
        <v>47</v>
      </c>
      <c r="M1422" s="1" t="str">
        <f t="shared" si="1134"/>
        <v>0</v>
      </c>
      <c r="N1422" s="1" t="str">
        <f t="shared" si="1135"/>
        <v>0</v>
      </c>
      <c r="O1422" s="1" t="str">
        <f>"12.75"</f>
        <v>12.75</v>
      </c>
    </row>
    <row r="1423" s="1" customFormat="1" spans="1:15">
      <c r="A1423" s="1" t="str">
        <f t="shared" si="1143"/>
        <v>202406</v>
      </c>
      <c r="B1423" s="1" t="str">
        <f t="shared" si="1144"/>
        <v>150525100</v>
      </c>
      <c r="C1423" s="1" t="str">
        <f>"1014573475"</f>
        <v>1014573475</v>
      </c>
      <c r="D1423" s="1" t="str">
        <f>"152326196204153087"</f>
        <v>152326196204153087</v>
      </c>
      <c r="E1423" s="1" t="s">
        <v>1486</v>
      </c>
      <c r="F1423" s="1" t="s">
        <v>16</v>
      </c>
      <c r="G1423" s="1" t="s">
        <v>17</v>
      </c>
      <c r="H1423" s="1" t="str">
        <f t="shared" si="1146"/>
        <v>62</v>
      </c>
      <c r="I1423" s="1" t="str">
        <f>"170.56"</f>
        <v>170.56</v>
      </c>
      <c r="J1423" s="1" t="str">
        <f t="shared" si="1141"/>
        <v>0</v>
      </c>
      <c r="K1423" s="1" t="str">
        <f t="shared" si="1138"/>
        <v>103</v>
      </c>
      <c r="L1423" s="1" t="str">
        <f t="shared" si="1139"/>
        <v>47</v>
      </c>
      <c r="M1423" s="1" t="str">
        <f t="shared" si="1134"/>
        <v>0</v>
      </c>
      <c r="N1423" s="1" t="str">
        <f t="shared" si="1135"/>
        <v>0</v>
      </c>
      <c r="O1423" s="1" t="str">
        <f>"20.56"</f>
        <v>20.56</v>
      </c>
    </row>
    <row r="1424" s="1" customFormat="1" spans="1:15">
      <c r="A1424" s="1" t="str">
        <f t="shared" si="1143"/>
        <v>202406</v>
      </c>
      <c r="B1424" s="1" t="str">
        <f t="shared" si="1144"/>
        <v>150525100</v>
      </c>
      <c r="C1424" s="1" t="str">
        <f>"1014573479"</f>
        <v>1014573479</v>
      </c>
      <c r="D1424" s="1" t="str">
        <f>"152326196207193076"</f>
        <v>152326196207193076</v>
      </c>
      <c r="E1424" s="1" t="s">
        <v>1487</v>
      </c>
      <c r="F1424" s="1" t="s">
        <v>25</v>
      </c>
      <c r="G1424" s="1" t="s">
        <v>17</v>
      </c>
      <c r="H1424" s="1" t="str">
        <f t="shared" si="1146"/>
        <v>62</v>
      </c>
      <c r="I1424" s="1" t="str">
        <f>"165.84"</f>
        <v>165.84</v>
      </c>
      <c r="J1424" s="1" t="str">
        <f t="shared" si="1141"/>
        <v>0</v>
      </c>
      <c r="K1424" s="1" t="str">
        <f t="shared" si="1138"/>
        <v>103</v>
      </c>
      <c r="L1424" s="1" t="str">
        <f t="shared" si="1139"/>
        <v>47</v>
      </c>
      <c r="M1424" s="1" t="str">
        <f t="shared" si="1134"/>
        <v>0</v>
      </c>
      <c r="N1424" s="1" t="str">
        <f t="shared" si="1135"/>
        <v>0</v>
      </c>
      <c r="O1424" s="1" t="str">
        <f>"15.84"</f>
        <v>15.84</v>
      </c>
    </row>
    <row r="1425" s="1" customFormat="1" spans="1:15">
      <c r="A1425" s="1" t="str">
        <f t="shared" si="1143"/>
        <v>202406</v>
      </c>
      <c r="B1425" s="1" t="str">
        <f t="shared" si="1144"/>
        <v>150525100</v>
      </c>
      <c r="C1425" s="1" t="str">
        <f>"1014573483"</f>
        <v>1014573483</v>
      </c>
      <c r="D1425" s="1" t="str">
        <f>"152326196208280024"</f>
        <v>152326196208280024</v>
      </c>
      <c r="E1425" s="1" t="s">
        <v>1488</v>
      </c>
      <c r="F1425" s="1" t="s">
        <v>16</v>
      </c>
      <c r="G1425" s="1" t="s">
        <v>17</v>
      </c>
      <c r="H1425" s="1" t="str">
        <f t="shared" si="1146"/>
        <v>62</v>
      </c>
      <c r="I1425" s="1" t="str">
        <f>"167.21"</f>
        <v>167.21</v>
      </c>
      <c r="J1425" s="1" t="str">
        <f t="shared" si="1141"/>
        <v>0</v>
      </c>
      <c r="K1425" s="1" t="str">
        <f t="shared" si="1138"/>
        <v>103</v>
      </c>
      <c r="L1425" s="1" t="str">
        <f t="shared" si="1139"/>
        <v>47</v>
      </c>
      <c r="M1425" s="1" t="str">
        <f t="shared" si="1134"/>
        <v>0</v>
      </c>
      <c r="N1425" s="1" t="str">
        <f t="shared" si="1135"/>
        <v>0</v>
      </c>
      <c r="O1425" s="1" t="str">
        <f>"17.21"</f>
        <v>17.21</v>
      </c>
    </row>
    <row r="1426" s="1" customFormat="1" spans="1:15">
      <c r="A1426" s="1" t="str">
        <f t="shared" si="1143"/>
        <v>202406</v>
      </c>
      <c r="B1426" s="1" t="str">
        <f t="shared" si="1144"/>
        <v>150525100</v>
      </c>
      <c r="C1426" s="1" t="str">
        <f>"1014575850"</f>
        <v>1014575850</v>
      </c>
      <c r="D1426" s="1" t="str">
        <f>"152326196203140663"</f>
        <v>152326196203140663</v>
      </c>
      <c r="E1426" s="1" t="s">
        <v>1489</v>
      </c>
      <c r="F1426" s="1" t="s">
        <v>16</v>
      </c>
      <c r="G1426" s="1" t="s">
        <v>17</v>
      </c>
      <c r="H1426" s="1" t="str">
        <f t="shared" si="1146"/>
        <v>62</v>
      </c>
      <c r="I1426" s="1" t="str">
        <f>"162.96"</f>
        <v>162.96</v>
      </c>
      <c r="J1426" s="1" t="str">
        <f t="shared" si="1141"/>
        <v>0</v>
      </c>
      <c r="K1426" s="1" t="str">
        <f t="shared" si="1138"/>
        <v>103</v>
      </c>
      <c r="L1426" s="1" t="str">
        <f t="shared" si="1139"/>
        <v>47</v>
      </c>
      <c r="M1426" s="1" t="str">
        <f t="shared" si="1134"/>
        <v>0</v>
      </c>
      <c r="N1426" s="1" t="str">
        <f t="shared" si="1135"/>
        <v>0</v>
      </c>
      <c r="O1426" s="1" t="str">
        <f>"12.96"</f>
        <v>12.96</v>
      </c>
    </row>
    <row r="1427" s="1" customFormat="1" spans="1:15">
      <c r="A1427" s="1" t="str">
        <f t="shared" si="1143"/>
        <v>202406</v>
      </c>
      <c r="B1427" s="1" t="str">
        <f t="shared" si="1144"/>
        <v>150525100</v>
      </c>
      <c r="C1427" s="1" t="str">
        <f>"1014575860"</f>
        <v>1014575860</v>
      </c>
      <c r="D1427" s="1" t="str">
        <f>"152326196301120690"</f>
        <v>152326196301120690</v>
      </c>
      <c r="E1427" s="1" t="s">
        <v>1490</v>
      </c>
      <c r="F1427" s="1" t="s">
        <v>25</v>
      </c>
      <c r="G1427" s="1" t="s">
        <v>17</v>
      </c>
      <c r="H1427" s="1" t="str">
        <f>"61"</f>
        <v>61</v>
      </c>
      <c r="I1427" s="1" t="str">
        <f>"164.91"</f>
        <v>164.91</v>
      </c>
      <c r="J1427" s="1" t="str">
        <f t="shared" si="1141"/>
        <v>0</v>
      </c>
      <c r="K1427" s="1" t="str">
        <f t="shared" si="1138"/>
        <v>103</v>
      </c>
      <c r="L1427" s="1" t="str">
        <f t="shared" si="1139"/>
        <v>47</v>
      </c>
      <c r="M1427" s="1" t="str">
        <f t="shared" si="1134"/>
        <v>0</v>
      </c>
      <c r="N1427" s="1" t="str">
        <f t="shared" si="1135"/>
        <v>0</v>
      </c>
      <c r="O1427" s="1" t="str">
        <f>"14.91"</f>
        <v>14.91</v>
      </c>
    </row>
    <row r="1428" s="1" customFormat="1" spans="1:15">
      <c r="A1428" s="1" t="str">
        <f t="shared" si="1143"/>
        <v>202406</v>
      </c>
      <c r="B1428" s="1" t="str">
        <f t="shared" si="1144"/>
        <v>150525100</v>
      </c>
      <c r="C1428" s="1" t="str">
        <f>"1014548436"</f>
        <v>1014548436</v>
      </c>
      <c r="D1428" s="1" t="str">
        <f>"152326195702100661"</f>
        <v>152326195702100661</v>
      </c>
      <c r="E1428" s="1" t="s">
        <v>1491</v>
      </c>
      <c r="F1428" s="1" t="s">
        <v>16</v>
      </c>
      <c r="G1428" s="1" t="s">
        <v>17</v>
      </c>
      <c r="H1428" s="1" t="str">
        <f t="shared" ref="H1428:H1433" si="1147">"67"</f>
        <v>67</v>
      </c>
      <c r="I1428" s="1" t="str">
        <f>"156.03"</f>
        <v>156.03</v>
      </c>
      <c r="J1428" s="1" t="str">
        <f t="shared" si="1141"/>
        <v>0</v>
      </c>
      <c r="K1428" s="1" t="str">
        <f t="shared" si="1138"/>
        <v>103</v>
      </c>
      <c r="L1428" s="1" t="str">
        <f t="shared" si="1139"/>
        <v>47</v>
      </c>
      <c r="M1428" s="1" t="str">
        <f t="shared" si="1134"/>
        <v>0</v>
      </c>
      <c r="N1428" s="1" t="str">
        <f t="shared" si="1135"/>
        <v>0</v>
      </c>
      <c r="O1428" s="1" t="str">
        <f>"6.03"</f>
        <v>6.03</v>
      </c>
    </row>
    <row r="1429" s="1" customFormat="1" spans="1:15">
      <c r="A1429" s="1" t="str">
        <f t="shared" si="1143"/>
        <v>202406</v>
      </c>
      <c r="B1429" s="1" t="str">
        <f t="shared" si="1144"/>
        <v>150525100</v>
      </c>
      <c r="C1429" s="1" t="str">
        <f>"1014548437"</f>
        <v>1014548437</v>
      </c>
      <c r="D1429" s="1" t="str">
        <f>"152326195702160664"</f>
        <v>152326195702160664</v>
      </c>
      <c r="E1429" s="1" t="s">
        <v>1492</v>
      </c>
      <c r="F1429" s="1" t="s">
        <v>16</v>
      </c>
      <c r="G1429" s="1" t="s">
        <v>17</v>
      </c>
      <c r="H1429" s="1" t="str">
        <f t="shared" si="1147"/>
        <v>67</v>
      </c>
      <c r="I1429" s="1" t="str">
        <f>"156.03"</f>
        <v>156.03</v>
      </c>
      <c r="J1429" s="1" t="str">
        <f t="shared" si="1141"/>
        <v>0</v>
      </c>
      <c r="K1429" s="1" t="str">
        <f t="shared" si="1138"/>
        <v>103</v>
      </c>
      <c r="L1429" s="1" t="str">
        <f t="shared" si="1139"/>
        <v>47</v>
      </c>
      <c r="M1429" s="1" t="str">
        <f t="shared" si="1134"/>
        <v>0</v>
      </c>
      <c r="N1429" s="1" t="str">
        <f t="shared" si="1135"/>
        <v>0</v>
      </c>
      <c r="O1429" s="1" t="str">
        <f>"6.03"</f>
        <v>6.03</v>
      </c>
    </row>
    <row r="1430" s="1" customFormat="1" spans="1:15">
      <c r="A1430" s="1" t="str">
        <f t="shared" si="1143"/>
        <v>202406</v>
      </c>
      <c r="B1430" s="1" t="str">
        <f t="shared" si="1144"/>
        <v>150525100</v>
      </c>
      <c r="C1430" s="1" t="str">
        <f>"1014572917"</f>
        <v>1014572917</v>
      </c>
      <c r="D1430" s="1" t="str">
        <f>"152326195511280030"</f>
        <v>152326195511280030</v>
      </c>
      <c r="E1430" s="1" t="s">
        <v>1493</v>
      </c>
      <c r="F1430" s="1" t="s">
        <v>25</v>
      </c>
      <c r="G1430" s="1" t="s">
        <v>17</v>
      </c>
      <c r="H1430" s="1" t="str">
        <f>"69"</f>
        <v>69</v>
      </c>
      <c r="I1430" s="1" t="str">
        <f>"155.09"</f>
        <v>155.09</v>
      </c>
      <c r="J1430" s="1" t="str">
        <f t="shared" si="1141"/>
        <v>0</v>
      </c>
      <c r="K1430" s="1" t="str">
        <f t="shared" si="1138"/>
        <v>103</v>
      </c>
      <c r="L1430" s="1" t="str">
        <f t="shared" si="1139"/>
        <v>47</v>
      </c>
      <c r="M1430" s="1" t="str">
        <f t="shared" si="1134"/>
        <v>0</v>
      </c>
      <c r="N1430" s="1" t="str">
        <f t="shared" si="1135"/>
        <v>0</v>
      </c>
      <c r="O1430" s="1" t="str">
        <f>"5.09"</f>
        <v>5.09</v>
      </c>
    </row>
    <row r="1431" s="1" customFormat="1" spans="1:15">
      <c r="A1431" s="1" t="str">
        <f t="shared" si="1143"/>
        <v>202406</v>
      </c>
      <c r="B1431" s="1" t="str">
        <f t="shared" si="1144"/>
        <v>150525100</v>
      </c>
      <c r="C1431" s="1" t="str">
        <f>"1014572918"</f>
        <v>1014572918</v>
      </c>
      <c r="D1431" s="1" t="str">
        <f>"152326195512240014"</f>
        <v>152326195512240014</v>
      </c>
      <c r="E1431" s="1" t="s">
        <v>1494</v>
      </c>
      <c r="F1431" s="1" t="s">
        <v>25</v>
      </c>
      <c r="G1431" s="1" t="s">
        <v>17</v>
      </c>
      <c r="H1431" s="1" t="str">
        <f>"69"</f>
        <v>69</v>
      </c>
      <c r="I1431" s="1" t="str">
        <f>"155.09"</f>
        <v>155.09</v>
      </c>
      <c r="J1431" s="1" t="str">
        <f t="shared" si="1141"/>
        <v>0</v>
      </c>
      <c r="K1431" s="1" t="str">
        <f t="shared" si="1138"/>
        <v>103</v>
      </c>
      <c r="L1431" s="1" t="str">
        <f t="shared" si="1139"/>
        <v>47</v>
      </c>
      <c r="M1431" s="1" t="str">
        <f t="shared" si="1134"/>
        <v>0</v>
      </c>
      <c r="N1431" s="1" t="str">
        <f t="shared" si="1135"/>
        <v>0</v>
      </c>
      <c r="O1431" s="1" t="str">
        <f>"5.09"</f>
        <v>5.09</v>
      </c>
    </row>
    <row r="1432" s="1" customFormat="1" spans="1:15">
      <c r="A1432" s="1" t="str">
        <f t="shared" si="1143"/>
        <v>202406</v>
      </c>
      <c r="B1432" s="1" t="str">
        <f t="shared" si="1144"/>
        <v>150525100</v>
      </c>
      <c r="C1432" s="1" t="str">
        <f>"1014573203"</f>
        <v>1014573203</v>
      </c>
      <c r="D1432" s="1" t="str">
        <f>"152326195607210029"</f>
        <v>152326195607210029</v>
      </c>
      <c r="E1432" s="1" t="s">
        <v>1495</v>
      </c>
      <c r="F1432" s="1" t="s">
        <v>16</v>
      </c>
      <c r="G1432" s="1" t="s">
        <v>17</v>
      </c>
      <c r="H1432" s="1" t="str">
        <f>"68"</f>
        <v>68</v>
      </c>
      <c r="I1432" s="1" t="str">
        <f>"156.01"</f>
        <v>156.01</v>
      </c>
      <c r="J1432" s="1" t="str">
        <f t="shared" si="1141"/>
        <v>0</v>
      </c>
      <c r="K1432" s="1" t="str">
        <f t="shared" si="1138"/>
        <v>103</v>
      </c>
      <c r="L1432" s="1" t="str">
        <f t="shared" si="1139"/>
        <v>47</v>
      </c>
      <c r="M1432" s="1" t="str">
        <f t="shared" si="1134"/>
        <v>0</v>
      </c>
      <c r="N1432" s="1" t="str">
        <f t="shared" si="1135"/>
        <v>0</v>
      </c>
      <c r="O1432" s="1" t="str">
        <f>"6.01"</f>
        <v>6.01</v>
      </c>
    </row>
    <row r="1433" s="1" customFormat="1" spans="1:15">
      <c r="A1433" s="1" t="str">
        <f t="shared" si="1143"/>
        <v>202406</v>
      </c>
      <c r="B1433" s="1" t="str">
        <f t="shared" si="1144"/>
        <v>150525100</v>
      </c>
      <c r="C1433" s="1" t="str">
        <f>"1014573229"</f>
        <v>1014573229</v>
      </c>
      <c r="D1433" s="1" t="str">
        <f>"152326195705043105"</f>
        <v>152326195705043105</v>
      </c>
      <c r="E1433" s="1" t="s">
        <v>1163</v>
      </c>
      <c r="F1433" s="1" t="s">
        <v>16</v>
      </c>
      <c r="G1433" s="1" t="s">
        <v>17</v>
      </c>
      <c r="H1433" s="1" t="str">
        <f t="shared" si="1147"/>
        <v>67</v>
      </c>
      <c r="I1433" s="1" t="str">
        <f>"164.77"</f>
        <v>164.77</v>
      </c>
      <c r="J1433" s="1" t="str">
        <f t="shared" si="1141"/>
        <v>0</v>
      </c>
      <c r="K1433" s="1" t="str">
        <f t="shared" si="1138"/>
        <v>103</v>
      </c>
      <c r="L1433" s="1" t="str">
        <f t="shared" si="1139"/>
        <v>47</v>
      </c>
      <c r="M1433" s="1" t="str">
        <f t="shared" si="1134"/>
        <v>0</v>
      </c>
      <c r="N1433" s="1" t="str">
        <f t="shared" si="1135"/>
        <v>0</v>
      </c>
      <c r="O1433" s="1" t="str">
        <f>"14.77"</f>
        <v>14.77</v>
      </c>
    </row>
    <row r="1434" s="1" customFormat="1" spans="1:15">
      <c r="A1434" s="1" t="str">
        <f t="shared" si="1143"/>
        <v>202406</v>
      </c>
      <c r="B1434" s="1" t="str">
        <f t="shared" si="1144"/>
        <v>150525100</v>
      </c>
      <c r="C1434" s="1" t="str">
        <f>"1014573332"</f>
        <v>1014573332</v>
      </c>
      <c r="D1434" s="1" t="str">
        <f>"152326195905230423"</f>
        <v>152326195905230423</v>
      </c>
      <c r="E1434" s="1" t="s">
        <v>1496</v>
      </c>
      <c r="F1434" s="1" t="s">
        <v>16</v>
      </c>
      <c r="G1434" s="1" t="s">
        <v>17</v>
      </c>
      <c r="H1434" s="1" t="str">
        <f>"65"</f>
        <v>65</v>
      </c>
      <c r="I1434" s="1" t="str">
        <f>"158.14"</f>
        <v>158.14</v>
      </c>
      <c r="J1434" s="1" t="str">
        <f t="shared" si="1141"/>
        <v>0</v>
      </c>
      <c r="K1434" s="1" t="str">
        <f t="shared" si="1138"/>
        <v>103</v>
      </c>
      <c r="L1434" s="1" t="str">
        <f t="shared" si="1139"/>
        <v>47</v>
      </c>
      <c r="M1434" s="1" t="str">
        <f t="shared" si="1134"/>
        <v>0</v>
      </c>
      <c r="N1434" s="1" t="str">
        <f t="shared" si="1135"/>
        <v>0</v>
      </c>
      <c r="O1434" s="1" t="str">
        <f>"8.14"</f>
        <v>8.14</v>
      </c>
    </row>
    <row r="1435" s="1" customFormat="1" spans="1:15">
      <c r="A1435" s="1" t="str">
        <f t="shared" si="1143"/>
        <v>202406</v>
      </c>
      <c r="B1435" s="1" t="str">
        <f t="shared" si="1144"/>
        <v>150525100</v>
      </c>
      <c r="C1435" s="1" t="str">
        <f>"1014573507"</f>
        <v>1014573507</v>
      </c>
      <c r="D1435" s="1" t="str">
        <f>"152326196303270086"</f>
        <v>152326196303270086</v>
      </c>
      <c r="E1435" s="1" t="s">
        <v>1497</v>
      </c>
      <c r="F1435" s="1" t="s">
        <v>16</v>
      </c>
      <c r="G1435" s="1" t="s">
        <v>17</v>
      </c>
      <c r="H1435" s="1" t="str">
        <f>"61"</f>
        <v>61</v>
      </c>
      <c r="I1435" s="1" t="str">
        <f>"165.87"</f>
        <v>165.87</v>
      </c>
      <c r="J1435" s="1" t="str">
        <f t="shared" si="1141"/>
        <v>0</v>
      </c>
      <c r="K1435" s="1" t="str">
        <f t="shared" si="1138"/>
        <v>103</v>
      </c>
      <c r="L1435" s="1" t="str">
        <f t="shared" si="1139"/>
        <v>47</v>
      </c>
      <c r="M1435" s="1" t="str">
        <f t="shared" si="1134"/>
        <v>0</v>
      </c>
      <c r="N1435" s="1" t="str">
        <f t="shared" si="1135"/>
        <v>0</v>
      </c>
      <c r="O1435" s="1" t="str">
        <f>"15.87"</f>
        <v>15.87</v>
      </c>
    </row>
    <row r="1436" s="1" customFormat="1" spans="1:15">
      <c r="A1436" s="1" t="str">
        <f t="shared" si="1143"/>
        <v>202406</v>
      </c>
      <c r="B1436" s="1" t="str">
        <f t="shared" si="1144"/>
        <v>150525100</v>
      </c>
      <c r="C1436" s="1" t="str">
        <f>"1014573526"</f>
        <v>1014573526</v>
      </c>
      <c r="D1436" s="1" t="str">
        <f>"152326195306283080"</f>
        <v>152326195306283080</v>
      </c>
      <c r="E1436" s="1" t="s">
        <v>1498</v>
      </c>
      <c r="F1436" s="1" t="s">
        <v>16</v>
      </c>
      <c r="G1436" s="1" t="s">
        <v>17</v>
      </c>
      <c r="H1436" s="1" t="str">
        <f>"71"</f>
        <v>71</v>
      </c>
      <c r="I1436" s="1" t="str">
        <f>"165.22"</f>
        <v>165.22</v>
      </c>
      <c r="J1436" s="1" t="str">
        <f t="shared" si="1141"/>
        <v>0</v>
      </c>
      <c r="K1436" s="1" t="str">
        <f t="shared" si="1138"/>
        <v>103</v>
      </c>
      <c r="L1436" s="1" t="str">
        <f t="shared" si="1139"/>
        <v>47</v>
      </c>
      <c r="M1436" s="1" t="str">
        <f t="shared" si="1134"/>
        <v>0</v>
      </c>
      <c r="N1436" s="1" t="str">
        <f t="shared" si="1135"/>
        <v>0</v>
      </c>
      <c r="O1436" s="1" t="str">
        <f>"5.22"</f>
        <v>5.22</v>
      </c>
    </row>
    <row r="1437" s="1" customFormat="1" spans="1:15">
      <c r="A1437" s="1" t="str">
        <f t="shared" si="1143"/>
        <v>202406</v>
      </c>
      <c r="B1437" s="1" t="str">
        <f t="shared" si="1144"/>
        <v>150525100</v>
      </c>
      <c r="C1437" s="1" t="str">
        <f>"1014575649"</f>
        <v>1014575649</v>
      </c>
      <c r="D1437" s="1" t="str">
        <f>"152326195809093078"</f>
        <v>152326195809093078</v>
      </c>
      <c r="E1437" s="1" t="s">
        <v>1499</v>
      </c>
      <c r="F1437" s="1" t="s">
        <v>25</v>
      </c>
      <c r="G1437" s="1" t="s">
        <v>17</v>
      </c>
      <c r="H1437" s="1" t="str">
        <f>"66"</f>
        <v>66</v>
      </c>
      <c r="I1437" s="1" t="str">
        <f>"157.12"</f>
        <v>157.12</v>
      </c>
      <c r="J1437" s="1" t="str">
        <f t="shared" si="1141"/>
        <v>0</v>
      </c>
      <c r="K1437" s="1" t="str">
        <f t="shared" si="1138"/>
        <v>103</v>
      </c>
      <c r="L1437" s="1" t="str">
        <f t="shared" si="1139"/>
        <v>47</v>
      </c>
      <c r="M1437" s="1" t="str">
        <f t="shared" si="1134"/>
        <v>0</v>
      </c>
      <c r="N1437" s="1" t="str">
        <f t="shared" si="1135"/>
        <v>0</v>
      </c>
      <c r="O1437" s="1" t="str">
        <f>"7.12"</f>
        <v>7.12</v>
      </c>
    </row>
    <row r="1438" s="1" customFormat="1" spans="1:15">
      <c r="A1438" s="1" t="str">
        <f t="shared" si="1143"/>
        <v>202406</v>
      </c>
      <c r="B1438" s="1" t="str">
        <f t="shared" si="1144"/>
        <v>150525100</v>
      </c>
      <c r="C1438" s="1" t="str">
        <f>"1014576197"</f>
        <v>1014576197</v>
      </c>
      <c r="D1438" s="1" t="s">
        <v>1500</v>
      </c>
      <c r="E1438" s="1" t="s">
        <v>1501</v>
      </c>
      <c r="F1438" s="1" t="s">
        <v>25</v>
      </c>
      <c r="G1438" s="1" t="s">
        <v>19</v>
      </c>
      <c r="H1438" s="1" t="str">
        <f>"63"</f>
        <v>63</v>
      </c>
      <c r="I1438" s="1" t="str">
        <f>"160.8"</f>
        <v>160.8</v>
      </c>
      <c r="J1438" s="1" t="str">
        <f t="shared" si="1141"/>
        <v>0</v>
      </c>
      <c r="K1438" s="1" t="str">
        <f t="shared" si="1138"/>
        <v>103</v>
      </c>
      <c r="L1438" s="1" t="str">
        <f t="shared" si="1139"/>
        <v>47</v>
      </c>
      <c r="M1438" s="1" t="str">
        <f t="shared" si="1134"/>
        <v>0</v>
      </c>
      <c r="N1438" s="1" t="str">
        <f t="shared" si="1135"/>
        <v>0</v>
      </c>
      <c r="O1438" s="1" t="str">
        <f>"10.8"</f>
        <v>10.8</v>
      </c>
    </row>
    <row r="1439" s="1" customFormat="1" spans="1:15">
      <c r="A1439" s="1" t="str">
        <f t="shared" si="1143"/>
        <v>202406</v>
      </c>
      <c r="B1439" s="1" t="str">
        <f t="shared" si="1144"/>
        <v>150525100</v>
      </c>
      <c r="C1439" s="1" t="str">
        <f>"1014576598"</f>
        <v>1014576598</v>
      </c>
      <c r="D1439" s="1" t="str">
        <f>"130634195202130910"</f>
        <v>130634195202130910</v>
      </c>
      <c r="E1439" s="1" t="s">
        <v>1502</v>
      </c>
      <c r="F1439" s="1" t="s">
        <v>25</v>
      </c>
      <c r="G1439" s="1" t="s">
        <v>17</v>
      </c>
      <c r="H1439" s="1" t="str">
        <f>"72"</f>
        <v>72</v>
      </c>
      <c r="I1439" s="1" t="str">
        <f>"161.88"</f>
        <v>161.88</v>
      </c>
      <c r="J1439" s="1" t="str">
        <f t="shared" si="1141"/>
        <v>0</v>
      </c>
      <c r="K1439" s="1" t="str">
        <f t="shared" si="1138"/>
        <v>103</v>
      </c>
      <c r="L1439" s="1" t="str">
        <f t="shared" si="1139"/>
        <v>47</v>
      </c>
      <c r="M1439" s="1" t="str">
        <f t="shared" si="1134"/>
        <v>0</v>
      </c>
      <c r="N1439" s="1" t="str">
        <f t="shared" si="1135"/>
        <v>0</v>
      </c>
      <c r="O1439" s="1" t="str">
        <f>"1.88"</f>
        <v>1.88</v>
      </c>
    </row>
    <row r="1440" s="1" customFormat="1" spans="1:15">
      <c r="A1440" s="1" t="str">
        <f t="shared" si="1143"/>
        <v>202406</v>
      </c>
      <c r="B1440" s="1" t="str">
        <f t="shared" si="1144"/>
        <v>150525100</v>
      </c>
      <c r="C1440" s="1" t="str">
        <f>"1014573074"</f>
        <v>1014573074</v>
      </c>
      <c r="D1440" s="1" t="str">
        <f>"152326195501240027"</f>
        <v>152326195501240027</v>
      </c>
      <c r="E1440" s="1" t="s">
        <v>1503</v>
      </c>
      <c r="F1440" s="1" t="s">
        <v>16</v>
      </c>
      <c r="G1440" s="1" t="s">
        <v>17</v>
      </c>
      <c r="H1440" s="1" t="str">
        <f>"69"</f>
        <v>69</v>
      </c>
      <c r="I1440" s="1" t="str">
        <f>"159.56"</f>
        <v>159.56</v>
      </c>
      <c r="J1440" s="1" t="str">
        <f t="shared" si="1141"/>
        <v>0</v>
      </c>
      <c r="K1440" s="1" t="str">
        <f t="shared" si="1138"/>
        <v>103</v>
      </c>
      <c r="L1440" s="1" t="str">
        <f t="shared" si="1139"/>
        <v>47</v>
      </c>
      <c r="M1440" s="1" t="str">
        <f t="shared" si="1134"/>
        <v>0</v>
      </c>
      <c r="N1440" s="1" t="str">
        <f t="shared" si="1135"/>
        <v>0</v>
      </c>
      <c r="O1440" s="1" t="str">
        <f>"9.56"</f>
        <v>9.56</v>
      </c>
    </row>
    <row r="1441" s="1" customFormat="1" spans="1:15">
      <c r="A1441" s="1" t="str">
        <f t="shared" si="1143"/>
        <v>202406</v>
      </c>
      <c r="B1441" s="1" t="str">
        <f t="shared" si="1144"/>
        <v>150525100</v>
      </c>
      <c r="C1441" s="1" t="str">
        <f>"1014573076"</f>
        <v>1014573076</v>
      </c>
      <c r="D1441" s="1" t="str">
        <f>"152326195606230036"</f>
        <v>152326195606230036</v>
      </c>
      <c r="E1441" s="1" t="s">
        <v>1504</v>
      </c>
      <c r="F1441" s="1" t="s">
        <v>25</v>
      </c>
      <c r="G1441" s="1" t="s">
        <v>17</v>
      </c>
      <c r="H1441" s="1" t="str">
        <f>"68"</f>
        <v>68</v>
      </c>
      <c r="I1441" s="1" t="str">
        <f>"160.87"</f>
        <v>160.87</v>
      </c>
      <c r="J1441" s="1" t="str">
        <f t="shared" si="1141"/>
        <v>0</v>
      </c>
      <c r="K1441" s="1" t="str">
        <f t="shared" si="1138"/>
        <v>103</v>
      </c>
      <c r="L1441" s="1" t="str">
        <f t="shared" si="1139"/>
        <v>47</v>
      </c>
      <c r="M1441" s="1" t="str">
        <f t="shared" si="1134"/>
        <v>0</v>
      </c>
      <c r="N1441" s="1" t="str">
        <f t="shared" si="1135"/>
        <v>0</v>
      </c>
      <c r="O1441" s="1" t="str">
        <f>"10.87"</f>
        <v>10.87</v>
      </c>
    </row>
    <row r="1442" s="1" customFormat="1" spans="1:15">
      <c r="A1442" s="1" t="str">
        <f t="shared" si="1143"/>
        <v>202406</v>
      </c>
      <c r="B1442" s="1" t="str">
        <f t="shared" si="1144"/>
        <v>150525100</v>
      </c>
      <c r="C1442" s="1" t="str">
        <f>"1014573083"</f>
        <v>1014573083</v>
      </c>
      <c r="D1442" s="1" t="str">
        <f>"152326196312260066"</f>
        <v>152326196312260066</v>
      </c>
      <c r="E1442" s="1" t="s">
        <v>1407</v>
      </c>
      <c r="F1442" s="1" t="s">
        <v>16</v>
      </c>
      <c r="G1442" s="1" t="s">
        <v>17</v>
      </c>
      <c r="H1442" s="1" t="str">
        <f>"61"</f>
        <v>61</v>
      </c>
      <c r="I1442" s="1" t="str">
        <f>"173.46"</f>
        <v>173.46</v>
      </c>
      <c r="J1442" s="1" t="str">
        <f t="shared" si="1141"/>
        <v>0</v>
      </c>
      <c r="K1442" s="1" t="str">
        <f t="shared" si="1138"/>
        <v>103</v>
      </c>
      <c r="L1442" s="1" t="str">
        <f t="shared" si="1139"/>
        <v>47</v>
      </c>
      <c r="M1442" s="1" t="str">
        <f t="shared" si="1134"/>
        <v>0</v>
      </c>
      <c r="N1442" s="1" t="str">
        <f t="shared" si="1135"/>
        <v>0</v>
      </c>
      <c r="O1442" s="1" t="str">
        <f>"23.46"</f>
        <v>23.46</v>
      </c>
    </row>
    <row r="1443" s="1" customFormat="1" spans="1:15">
      <c r="A1443" s="1" t="str">
        <f t="shared" si="1143"/>
        <v>202406</v>
      </c>
      <c r="B1443" s="1" t="str">
        <f t="shared" si="1144"/>
        <v>150525100</v>
      </c>
      <c r="C1443" s="1" t="str">
        <f>"1014573390"</f>
        <v>1014573390</v>
      </c>
      <c r="D1443" s="1" t="str">
        <f>"152326196001253096"</f>
        <v>152326196001253096</v>
      </c>
      <c r="E1443" s="1" t="s">
        <v>1505</v>
      </c>
      <c r="F1443" s="1" t="s">
        <v>25</v>
      </c>
      <c r="G1443" s="1" t="s">
        <v>17</v>
      </c>
      <c r="H1443" s="1" t="str">
        <f>"64"</f>
        <v>64</v>
      </c>
      <c r="I1443" s="1" t="str">
        <f>"158.93"</f>
        <v>158.93</v>
      </c>
      <c r="J1443" s="1" t="str">
        <f t="shared" si="1141"/>
        <v>0</v>
      </c>
      <c r="K1443" s="1" t="str">
        <f t="shared" si="1138"/>
        <v>103</v>
      </c>
      <c r="L1443" s="1" t="str">
        <f t="shared" si="1139"/>
        <v>47</v>
      </c>
      <c r="M1443" s="1" t="str">
        <f t="shared" si="1134"/>
        <v>0</v>
      </c>
      <c r="N1443" s="1" t="str">
        <f t="shared" si="1135"/>
        <v>0</v>
      </c>
      <c r="O1443" s="1" t="str">
        <f>"8.93"</f>
        <v>8.93</v>
      </c>
    </row>
    <row r="1444" s="1" customFormat="1" spans="1:15">
      <c r="A1444" s="1" t="str">
        <f t="shared" si="1143"/>
        <v>202406</v>
      </c>
      <c r="B1444" s="1" t="str">
        <f t="shared" si="1144"/>
        <v>150525100</v>
      </c>
      <c r="C1444" s="1" t="str">
        <f>"1014576239"</f>
        <v>1014576239</v>
      </c>
      <c r="D1444" s="1" t="str">
        <f>"152326195501236116"</f>
        <v>152326195501236116</v>
      </c>
      <c r="E1444" s="1" t="s">
        <v>1506</v>
      </c>
      <c r="F1444" s="1" t="s">
        <v>25</v>
      </c>
      <c r="G1444" s="1" t="s">
        <v>17</v>
      </c>
      <c r="H1444" s="1" t="str">
        <f>"69"</f>
        <v>69</v>
      </c>
      <c r="I1444" s="1" t="str">
        <f>"155.09"</f>
        <v>155.09</v>
      </c>
      <c r="J1444" s="1" t="str">
        <f t="shared" si="1141"/>
        <v>0</v>
      </c>
      <c r="K1444" s="1" t="str">
        <f t="shared" si="1138"/>
        <v>103</v>
      </c>
      <c r="L1444" s="1" t="str">
        <f t="shared" si="1139"/>
        <v>47</v>
      </c>
      <c r="M1444" s="1" t="str">
        <f t="shared" si="1134"/>
        <v>0</v>
      </c>
      <c r="N1444" s="1" t="str">
        <f t="shared" si="1135"/>
        <v>0</v>
      </c>
      <c r="O1444" s="1" t="str">
        <f>"5.09"</f>
        <v>5.09</v>
      </c>
    </row>
    <row r="1445" s="1" customFormat="1" spans="1:15">
      <c r="A1445" s="1" t="str">
        <f t="shared" si="1143"/>
        <v>202406</v>
      </c>
      <c r="B1445" s="1" t="str">
        <f t="shared" si="1144"/>
        <v>150525100</v>
      </c>
      <c r="C1445" s="1" t="str">
        <f>"1014576410"</f>
        <v>1014576410</v>
      </c>
      <c r="D1445" s="1" t="s">
        <v>1507</v>
      </c>
      <c r="E1445" s="1" t="s">
        <v>1508</v>
      </c>
      <c r="F1445" s="1" t="s">
        <v>25</v>
      </c>
      <c r="G1445" s="1" t="s">
        <v>17</v>
      </c>
      <c r="H1445" s="1" t="str">
        <f>"72"</f>
        <v>72</v>
      </c>
      <c r="I1445" s="1" t="str">
        <f>"162.14"</f>
        <v>162.14</v>
      </c>
      <c r="J1445" s="1" t="str">
        <f t="shared" si="1141"/>
        <v>0</v>
      </c>
      <c r="K1445" s="1" t="str">
        <f t="shared" si="1138"/>
        <v>103</v>
      </c>
      <c r="L1445" s="1" t="str">
        <f t="shared" si="1139"/>
        <v>47</v>
      </c>
      <c r="M1445" s="1" t="str">
        <f t="shared" si="1134"/>
        <v>0</v>
      </c>
      <c r="N1445" s="1" t="str">
        <f t="shared" si="1135"/>
        <v>0</v>
      </c>
      <c r="O1445" s="1" t="str">
        <f>"2.14"</f>
        <v>2.14</v>
      </c>
    </row>
    <row r="1446" s="1" customFormat="1" spans="1:15">
      <c r="A1446" s="1" t="str">
        <f t="shared" si="1143"/>
        <v>202406</v>
      </c>
      <c r="B1446" s="1" t="str">
        <f t="shared" si="1144"/>
        <v>150525100</v>
      </c>
      <c r="C1446" s="1" t="str">
        <f>"1014576882"</f>
        <v>1014576882</v>
      </c>
      <c r="D1446" s="1" t="str">
        <f>"152326196211300663"</f>
        <v>152326196211300663</v>
      </c>
      <c r="E1446" s="1" t="s">
        <v>1509</v>
      </c>
      <c r="F1446" s="1" t="s">
        <v>16</v>
      </c>
      <c r="G1446" s="1" t="s">
        <v>17</v>
      </c>
      <c r="H1446" s="1" t="str">
        <f>"62"</f>
        <v>62</v>
      </c>
      <c r="I1446" s="1" t="str">
        <f>"180.64"</f>
        <v>180.64</v>
      </c>
      <c r="J1446" s="1" t="str">
        <f t="shared" si="1141"/>
        <v>0</v>
      </c>
      <c r="K1446" s="1" t="str">
        <f t="shared" si="1138"/>
        <v>103</v>
      </c>
      <c r="L1446" s="1" t="str">
        <f t="shared" si="1139"/>
        <v>47</v>
      </c>
      <c r="M1446" s="1" t="str">
        <f t="shared" si="1134"/>
        <v>0</v>
      </c>
      <c r="N1446" s="1" t="str">
        <f t="shared" si="1135"/>
        <v>0</v>
      </c>
      <c r="O1446" s="1" t="str">
        <f>"30.64"</f>
        <v>30.64</v>
      </c>
    </row>
    <row r="1447" s="1" customFormat="1" spans="1:15">
      <c r="A1447" s="1" t="str">
        <f t="shared" si="1143"/>
        <v>202406</v>
      </c>
      <c r="B1447" s="1" t="str">
        <f t="shared" si="1144"/>
        <v>150525100</v>
      </c>
      <c r="C1447" s="1" t="str">
        <f>"1014547888"</f>
        <v>1014547888</v>
      </c>
      <c r="D1447" s="1" t="str">
        <f>"152326195202150670"</f>
        <v>152326195202150670</v>
      </c>
      <c r="E1447" s="1" t="s">
        <v>1510</v>
      </c>
      <c r="F1447" s="1" t="s">
        <v>25</v>
      </c>
      <c r="G1447" s="1" t="s">
        <v>17</v>
      </c>
      <c r="H1447" s="1" t="str">
        <f>"72"</f>
        <v>72</v>
      </c>
      <c r="I1447" s="1" t="str">
        <f>"162.15"</f>
        <v>162.15</v>
      </c>
      <c r="J1447" s="1" t="str">
        <f t="shared" si="1141"/>
        <v>0</v>
      </c>
      <c r="K1447" s="1" t="str">
        <f t="shared" si="1138"/>
        <v>103</v>
      </c>
      <c r="L1447" s="1" t="str">
        <f t="shared" si="1139"/>
        <v>47</v>
      </c>
      <c r="M1447" s="1" t="str">
        <f t="shared" si="1134"/>
        <v>0</v>
      </c>
      <c r="N1447" s="1" t="str">
        <f t="shared" si="1135"/>
        <v>0</v>
      </c>
      <c r="O1447" s="1" t="str">
        <f>"2.15"</f>
        <v>2.15</v>
      </c>
    </row>
    <row r="1448" s="1" customFormat="1" spans="1:15">
      <c r="A1448" s="1" t="str">
        <f t="shared" si="1143"/>
        <v>202406</v>
      </c>
      <c r="B1448" s="1" t="str">
        <f t="shared" si="1144"/>
        <v>150525100</v>
      </c>
      <c r="C1448" s="1" t="str">
        <f>"1014552209"</f>
        <v>1014552209</v>
      </c>
      <c r="D1448" s="1" t="str">
        <f>"152326195810223829"</f>
        <v>152326195810223829</v>
      </c>
      <c r="E1448" s="1" t="s">
        <v>1511</v>
      </c>
      <c r="F1448" s="1" t="s">
        <v>16</v>
      </c>
      <c r="G1448" s="1" t="s">
        <v>17</v>
      </c>
      <c r="H1448" s="1" t="str">
        <f>"66"</f>
        <v>66</v>
      </c>
      <c r="I1448" s="1" t="str">
        <f>"156.9"</f>
        <v>156.9</v>
      </c>
      <c r="J1448" s="1" t="str">
        <f t="shared" si="1141"/>
        <v>0</v>
      </c>
      <c r="K1448" s="1" t="str">
        <f t="shared" si="1138"/>
        <v>103</v>
      </c>
      <c r="L1448" s="1" t="str">
        <f t="shared" si="1139"/>
        <v>47</v>
      </c>
      <c r="M1448" s="1" t="str">
        <f t="shared" si="1134"/>
        <v>0</v>
      </c>
      <c r="N1448" s="1" t="str">
        <f t="shared" si="1135"/>
        <v>0</v>
      </c>
      <c r="O1448" s="1" t="str">
        <f>"6.9"</f>
        <v>6.9</v>
      </c>
    </row>
    <row r="1449" s="1" customFormat="1" spans="1:15">
      <c r="A1449" s="1" t="str">
        <f t="shared" si="1143"/>
        <v>202406</v>
      </c>
      <c r="B1449" s="1" t="str">
        <f t="shared" si="1144"/>
        <v>150525100</v>
      </c>
      <c r="C1449" s="1" t="str">
        <f>"1014552210"</f>
        <v>1014552210</v>
      </c>
      <c r="D1449" s="1" t="str">
        <f>"152326196001243816"</f>
        <v>152326196001243816</v>
      </c>
      <c r="E1449" s="1" t="s">
        <v>1512</v>
      </c>
      <c r="F1449" s="1" t="s">
        <v>25</v>
      </c>
      <c r="G1449" s="1" t="s">
        <v>17</v>
      </c>
      <c r="H1449" s="1" t="str">
        <f t="shared" ref="H1449:H1452" si="1148">"64"</f>
        <v>64</v>
      </c>
      <c r="I1449" s="1" t="str">
        <f>"154.25"</f>
        <v>154.25</v>
      </c>
      <c r="J1449" s="1" t="str">
        <f t="shared" si="1141"/>
        <v>0</v>
      </c>
      <c r="K1449" s="1" t="str">
        <f t="shared" si="1138"/>
        <v>103</v>
      </c>
      <c r="L1449" s="1" t="str">
        <f t="shared" si="1139"/>
        <v>47</v>
      </c>
      <c r="M1449" s="1" t="str">
        <f t="shared" si="1134"/>
        <v>0</v>
      </c>
      <c r="N1449" s="1" t="str">
        <f t="shared" si="1135"/>
        <v>0</v>
      </c>
      <c r="O1449" s="1" t="str">
        <f>"4.25"</f>
        <v>4.25</v>
      </c>
    </row>
    <row r="1450" s="1" customFormat="1" spans="1:15">
      <c r="A1450" s="1" t="str">
        <f t="shared" si="1143"/>
        <v>202406</v>
      </c>
      <c r="B1450" s="1" t="str">
        <f t="shared" si="1144"/>
        <v>150525100</v>
      </c>
      <c r="C1450" s="1" t="str">
        <f>"1014552223"</f>
        <v>1014552223</v>
      </c>
      <c r="D1450" s="1" t="str">
        <f>"152326196308173832"</f>
        <v>152326196308173832</v>
      </c>
      <c r="E1450" s="1" t="s">
        <v>1513</v>
      </c>
      <c r="F1450" s="1" t="s">
        <v>25</v>
      </c>
      <c r="G1450" s="1" t="s">
        <v>17</v>
      </c>
      <c r="H1450" s="1" t="str">
        <f>"61"</f>
        <v>61</v>
      </c>
      <c r="I1450" s="1" t="str">
        <f>"164.78"</f>
        <v>164.78</v>
      </c>
      <c r="J1450" s="1" t="str">
        <f t="shared" si="1141"/>
        <v>0</v>
      </c>
      <c r="K1450" s="1" t="str">
        <f t="shared" si="1138"/>
        <v>103</v>
      </c>
      <c r="L1450" s="1" t="str">
        <f t="shared" si="1139"/>
        <v>47</v>
      </c>
      <c r="M1450" s="1" t="str">
        <f t="shared" si="1134"/>
        <v>0</v>
      </c>
      <c r="N1450" s="1" t="str">
        <f t="shared" si="1135"/>
        <v>0</v>
      </c>
      <c r="O1450" s="1" t="str">
        <f>"14.78"</f>
        <v>14.78</v>
      </c>
    </row>
    <row r="1451" s="1" customFormat="1" spans="1:15">
      <c r="A1451" s="1" t="str">
        <f t="shared" si="1143"/>
        <v>202406</v>
      </c>
      <c r="B1451" s="1" t="str">
        <f t="shared" si="1144"/>
        <v>150525100</v>
      </c>
      <c r="C1451" s="1" t="str">
        <f>"1014573397"</f>
        <v>1014573397</v>
      </c>
      <c r="D1451" s="1" t="str">
        <f>"152326196006143080"</f>
        <v>152326196006143080</v>
      </c>
      <c r="E1451" s="1" t="s">
        <v>1514</v>
      </c>
      <c r="F1451" s="1" t="s">
        <v>16</v>
      </c>
      <c r="G1451" s="1" t="s">
        <v>17</v>
      </c>
      <c r="H1451" s="1" t="str">
        <f t="shared" si="1148"/>
        <v>64</v>
      </c>
      <c r="I1451" s="1" t="str">
        <f>"159.22"</f>
        <v>159.22</v>
      </c>
      <c r="J1451" s="1" t="str">
        <f t="shared" si="1141"/>
        <v>0</v>
      </c>
      <c r="K1451" s="1" t="str">
        <f t="shared" si="1138"/>
        <v>103</v>
      </c>
      <c r="L1451" s="1" t="str">
        <f t="shared" si="1139"/>
        <v>47</v>
      </c>
      <c r="M1451" s="1" t="str">
        <f t="shared" si="1134"/>
        <v>0</v>
      </c>
      <c r="N1451" s="1" t="str">
        <f t="shared" si="1135"/>
        <v>0</v>
      </c>
      <c r="O1451" s="1" t="str">
        <f>"9.22"</f>
        <v>9.22</v>
      </c>
    </row>
    <row r="1452" s="1" customFormat="1" spans="1:15">
      <c r="A1452" s="1" t="str">
        <f t="shared" si="1143"/>
        <v>202406</v>
      </c>
      <c r="B1452" s="1" t="str">
        <f t="shared" si="1144"/>
        <v>150525100</v>
      </c>
      <c r="C1452" s="1" t="str">
        <f>"1014573399"</f>
        <v>1014573399</v>
      </c>
      <c r="D1452" s="1" t="str">
        <f>"152326196006293070"</f>
        <v>152326196006293070</v>
      </c>
      <c r="E1452" s="1" t="s">
        <v>1515</v>
      </c>
      <c r="F1452" s="1" t="s">
        <v>25</v>
      </c>
      <c r="G1452" s="1" t="s">
        <v>17</v>
      </c>
      <c r="H1452" s="1" t="str">
        <f t="shared" si="1148"/>
        <v>64</v>
      </c>
      <c r="I1452" s="1" t="str">
        <f>"159.22"</f>
        <v>159.22</v>
      </c>
      <c r="J1452" s="1" t="str">
        <f t="shared" si="1141"/>
        <v>0</v>
      </c>
      <c r="K1452" s="1" t="str">
        <f t="shared" si="1138"/>
        <v>103</v>
      </c>
      <c r="L1452" s="1" t="str">
        <f t="shared" si="1139"/>
        <v>47</v>
      </c>
      <c r="M1452" s="1" t="str">
        <f t="shared" si="1134"/>
        <v>0</v>
      </c>
      <c r="N1452" s="1" t="str">
        <f t="shared" si="1135"/>
        <v>0</v>
      </c>
      <c r="O1452" s="1" t="str">
        <f>"9.22"</f>
        <v>9.22</v>
      </c>
    </row>
    <row r="1453" s="1" customFormat="1" spans="1:15">
      <c r="A1453" s="1" t="str">
        <f t="shared" si="1143"/>
        <v>202406</v>
      </c>
      <c r="B1453" s="1" t="str">
        <f t="shared" si="1144"/>
        <v>150525100</v>
      </c>
      <c r="C1453" s="1" t="str">
        <f>"1014573418"</f>
        <v>1014573418</v>
      </c>
      <c r="D1453" s="1" t="str">
        <f>"152326196106233083"</f>
        <v>152326196106233083</v>
      </c>
      <c r="E1453" s="1" t="s">
        <v>1516</v>
      </c>
      <c r="F1453" s="1" t="s">
        <v>16</v>
      </c>
      <c r="G1453" s="1" t="s">
        <v>17</v>
      </c>
      <c r="H1453" s="1" t="str">
        <f>"63"</f>
        <v>63</v>
      </c>
      <c r="I1453" s="1" t="str">
        <f>"164.94"</f>
        <v>164.94</v>
      </c>
      <c r="J1453" s="1" t="str">
        <f t="shared" si="1141"/>
        <v>0</v>
      </c>
      <c r="K1453" s="1" t="str">
        <f t="shared" si="1138"/>
        <v>103</v>
      </c>
      <c r="L1453" s="1" t="str">
        <f t="shared" si="1139"/>
        <v>47</v>
      </c>
      <c r="M1453" s="1" t="str">
        <f t="shared" si="1134"/>
        <v>0</v>
      </c>
      <c r="N1453" s="1" t="str">
        <f t="shared" si="1135"/>
        <v>0</v>
      </c>
      <c r="O1453" s="1" t="str">
        <f>"14.94"</f>
        <v>14.94</v>
      </c>
    </row>
    <row r="1454" s="1" customFormat="1" spans="1:15">
      <c r="A1454" s="1" t="str">
        <f t="shared" si="1143"/>
        <v>202406</v>
      </c>
      <c r="B1454" s="1" t="str">
        <f t="shared" si="1144"/>
        <v>150525100</v>
      </c>
      <c r="C1454" s="1" t="str">
        <f>"1014575906"</f>
        <v>1014575906</v>
      </c>
      <c r="D1454" s="1" t="str">
        <f>"152326196211090678"</f>
        <v>152326196211090678</v>
      </c>
      <c r="E1454" s="1" t="s">
        <v>1517</v>
      </c>
      <c r="F1454" s="1" t="s">
        <v>25</v>
      </c>
      <c r="G1454" s="1" t="s">
        <v>96</v>
      </c>
      <c r="H1454" s="1" t="str">
        <f>"62"</f>
        <v>62</v>
      </c>
      <c r="I1454" s="1" t="str">
        <f>"163.18"</f>
        <v>163.18</v>
      </c>
      <c r="J1454" s="1" t="str">
        <f t="shared" si="1141"/>
        <v>0</v>
      </c>
      <c r="K1454" s="1" t="str">
        <f t="shared" si="1138"/>
        <v>103</v>
      </c>
      <c r="L1454" s="1" t="str">
        <f t="shared" si="1139"/>
        <v>47</v>
      </c>
      <c r="M1454" s="1" t="str">
        <f t="shared" si="1134"/>
        <v>0</v>
      </c>
      <c r="N1454" s="1" t="str">
        <f t="shared" si="1135"/>
        <v>0</v>
      </c>
      <c r="O1454" s="1" t="str">
        <f>"13.18"</f>
        <v>13.18</v>
      </c>
    </row>
    <row r="1455" s="1" customFormat="1" spans="1:15">
      <c r="A1455" s="1" t="str">
        <f t="shared" si="1143"/>
        <v>202406</v>
      </c>
      <c r="B1455" s="1" t="str">
        <f t="shared" si="1144"/>
        <v>150525100</v>
      </c>
      <c r="C1455" s="1" t="str">
        <f>"1014571638"</f>
        <v>1014571638</v>
      </c>
      <c r="D1455" s="1" t="str">
        <f>"152326196312050026"</f>
        <v>152326196312050026</v>
      </c>
      <c r="E1455" s="1" t="s">
        <v>1518</v>
      </c>
      <c r="F1455" s="1" t="s">
        <v>16</v>
      </c>
      <c r="G1455" s="1" t="s">
        <v>17</v>
      </c>
      <c r="H1455" s="1" t="str">
        <f>"61"</f>
        <v>61</v>
      </c>
      <c r="I1455" s="1" t="str">
        <f>"203.37"</f>
        <v>203.37</v>
      </c>
      <c r="J1455" s="1" t="str">
        <f t="shared" si="1141"/>
        <v>0</v>
      </c>
      <c r="K1455" s="1" t="str">
        <f t="shared" si="1138"/>
        <v>103</v>
      </c>
      <c r="L1455" s="1" t="str">
        <f t="shared" si="1139"/>
        <v>47</v>
      </c>
      <c r="M1455" s="1" t="str">
        <f t="shared" si="1134"/>
        <v>0</v>
      </c>
      <c r="N1455" s="1" t="str">
        <f t="shared" si="1135"/>
        <v>0</v>
      </c>
      <c r="O1455" s="1" t="str">
        <f>"53.37"</f>
        <v>53.37</v>
      </c>
    </row>
    <row r="1456" s="1" customFormat="1" spans="1:15">
      <c r="A1456" s="1" t="str">
        <f t="shared" si="1143"/>
        <v>202406</v>
      </c>
      <c r="B1456" s="1" t="str">
        <f t="shared" si="1144"/>
        <v>150525100</v>
      </c>
      <c r="C1456" s="1" t="str">
        <f>"1014571776"</f>
        <v>1014571776</v>
      </c>
      <c r="D1456" s="1" t="str">
        <f>"211319195808206124"</f>
        <v>211319195808206124</v>
      </c>
      <c r="E1456" s="1" t="s">
        <v>1519</v>
      </c>
      <c r="F1456" s="1" t="s">
        <v>16</v>
      </c>
      <c r="G1456" s="1" t="s">
        <v>17</v>
      </c>
      <c r="H1456" s="1" t="str">
        <f>"66"</f>
        <v>66</v>
      </c>
      <c r="I1456" s="1" t="str">
        <f>"181.49"</f>
        <v>181.49</v>
      </c>
      <c r="J1456" s="1" t="str">
        <f t="shared" si="1141"/>
        <v>0</v>
      </c>
      <c r="K1456" s="1" t="str">
        <f t="shared" si="1138"/>
        <v>103</v>
      </c>
      <c r="L1456" s="1" t="str">
        <f t="shared" si="1139"/>
        <v>47</v>
      </c>
      <c r="M1456" s="1" t="str">
        <f t="shared" si="1134"/>
        <v>0</v>
      </c>
      <c r="N1456" s="1" t="str">
        <f t="shared" si="1135"/>
        <v>0</v>
      </c>
      <c r="O1456" s="1" t="str">
        <f>"31.49"</f>
        <v>31.49</v>
      </c>
    </row>
    <row r="1457" s="1" customFormat="1" spans="1:15">
      <c r="A1457" s="1" t="str">
        <f t="shared" si="1143"/>
        <v>202406</v>
      </c>
      <c r="B1457" s="1" t="str">
        <f t="shared" si="1144"/>
        <v>150525100</v>
      </c>
      <c r="C1457" s="1" t="str">
        <f>"1014571777"</f>
        <v>1014571777</v>
      </c>
      <c r="D1457" s="1" t="s">
        <v>1520</v>
      </c>
      <c r="E1457" s="1" t="s">
        <v>1521</v>
      </c>
      <c r="F1457" s="1" t="s">
        <v>16</v>
      </c>
      <c r="G1457" s="1" t="s">
        <v>17</v>
      </c>
      <c r="H1457" s="1" t="str">
        <f>"65"</f>
        <v>65</v>
      </c>
      <c r="I1457" s="1" t="str">
        <f>"184.97"</f>
        <v>184.97</v>
      </c>
      <c r="J1457" s="1" t="str">
        <f t="shared" si="1141"/>
        <v>0</v>
      </c>
      <c r="K1457" s="1" t="str">
        <f t="shared" si="1138"/>
        <v>103</v>
      </c>
      <c r="L1457" s="1" t="str">
        <f t="shared" si="1139"/>
        <v>47</v>
      </c>
      <c r="M1457" s="1" t="str">
        <f t="shared" si="1134"/>
        <v>0</v>
      </c>
      <c r="N1457" s="1" t="str">
        <f t="shared" si="1135"/>
        <v>0</v>
      </c>
      <c r="O1457" s="1" t="str">
        <f>"34.97"</f>
        <v>34.97</v>
      </c>
    </row>
    <row r="1458" s="1" customFormat="1" spans="1:15">
      <c r="A1458" s="1" t="str">
        <f t="shared" si="1143"/>
        <v>202406</v>
      </c>
      <c r="B1458" s="1" t="str">
        <f t="shared" si="1144"/>
        <v>150525100</v>
      </c>
      <c r="C1458" s="1" t="str">
        <f>"1014571794"</f>
        <v>1014571794</v>
      </c>
      <c r="D1458" s="1" t="str">
        <f>"152326195505260025"</f>
        <v>152326195505260025</v>
      </c>
      <c r="E1458" s="1" t="s">
        <v>1522</v>
      </c>
      <c r="F1458" s="1" t="s">
        <v>16</v>
      </c>
      <c r="G1458" s="1" t="s">
        <v>19</v>
      </c>
      <c r="H1458" s="1" t="str">
        <f t="shared" ref="H1458:H1462" si="1149">"69"</f>
        <v>69</v>
      </c>
      <c r="I1458" s="1" t="str">
        <f>"168.44"</f>
        <v>168.44</v>
      </c>
      <c r="J1458" s="1" t="str">
        <f t="shared" si="1141"/>
        <v>0</v>
      </c>
      <c r="K1458" s="1" t="str">
        <f t="shared" si="1138"/>
        <v>103</v>
      </c>
      <c r="L1458" s="1" t="str">
        <f t="shared" si="1139"/>
        <v>47</v>
      </c>
      <c r="M1458" s="1" t="str">
        <f t="shared" si="1134"/>
        <v>0</v>
      </c>
      <c r="N1458" s="1" t="str">
        <f t="shared" si="1135"/>
        <v>0</v>
      </c>
      <c r="O1458" s="1" t="str">
        <f>"18.44"</f>
        <v>18.44</v>
      </c>
    </row>
    <row r="1459" s="1" customFormat="1" spans="1:15">
      <c r="A1459" s="1" t="str">
        <f t="shared" si="1143"/>
        <v>202406</v>
      </c>
      <c r="B1459" s="1" t="str">
        <f t="shared" si="1144"/>
        <v>150525100</v>
      </c>
      <c r="C1459" s="1" t="str">
        <f>"1014571798"</f>
        <v>1014571798</v>
      </c>
      <c r="D1459" s="1" t="str">
        <f>"152326195609060036"</f>
        <v>152326195609060036</v>
      </c>
      <c r="E1459" s="1" t="s">
        <v>1523</v>
      </c>
      <c r="F1459" s="1" t="s">
        <v>25</v>
      </c>
      <c r="G1459" s="1" t="s">
        <v>19</v>
      </c>
      <c r="H1459" s="1" t="str">
        <f>"68"</f>
        <v>68</v>
      </c>
      <c r="I1459" s="1" t="str">
        <f>"175.59"</f>
        <v>175.59</v>
      </c>
      <c r="J1459" s="1" t="str">
        <f t="shared" si="1141"/>
        <v>0</v>
      </c>
      <c r="K1459" s="1" t="str">
        <f t="shared" ref="K1459:K1499" si="1150">"103"</f>
        <v>103</v>
      </c>
      <c r="L1459" s="1" t="str">
        <f t="shared" ref="L1459:L1499" si="1151">"47"</f>
        <v>47</v>
      </c>
      <c r="M1459" s="1" t="str">
        <f t="shared" ref="M1459:M1522" si="1152">"0"</f>
        <v>0</v>
      </c>
      <c r="N1459" s="1" t="str">
        <f t="shared" ref="N1459:N1522" si="1153">"0"</f>
        <v>0</v>
      </c>
      <c r="O1459" s="1" t="str">
        <f>"25.59"</f>
        <v>25.59</v>
      </c>
    </row>
    <row r="1460" s="1" customFormat="1" spans="1:15">
      <c r="A1460" s="1" t="str">
        <f t="shared" si="1143"/>
        <v>202406</v>
      </c>
      <c r="B1460" s="1" t="str">
        <f t="shared" si="1144"/>
        <v>150525100</v>
      </c>
      <c r="C1460" s="1" t="str">
        <f>"1014552272"</f>
        <v>1014552272</v>
      </c>
      <c r="D1460" s="1" t="s">
        <v>1524</v>
      </c>
      <c r="E1460" s="1" t="s">
        <v>1525</v>
      </c>
      <c r="F1460" s="1" t="s">
        <v>25</v>
      </c>
      <c r="G1460" s="1" t="s">
        <v>96</v>
      </c>
      <c r="H1460" s="1" t="str">
        <f t="shared" si="1149"/>
        <v>69</v>
      </c>
      <c r="I1460" s="1" t="str">
        <f>"158.19"</f>
        <v>158.19</v>
      </c>
      <c r="J1460" s="1" t="str">
        <f t="shared" si="1141"/>
        <v>0</v>
      </c>
      <c r="K1460" s="1" t="str">
        <f t="shared" si="1150"/>
        <v>103</v>
      </c>
      <c r="L1460" s="1" t="str">
        <f t="shared" si="1151"/>
        <v>47</v>
      </c>
      <c r="M1460" s="1" t="str">
        <f t="shared" si="1152"/>
        <v>0</v>
      </c>
      <c r="N1460" s="1" t="str">
        <f t="shared" si="1153"/>
        <v>0</v>
      </c>
      <c r="O1460" s="1" t="str">
        <f>"8.19"</f>
        <v>8.19</v>
      </c>
    </row>
    <row r="1461" s="1" customFormat="1" spans="1:15">
      <c r="A1461" s="1" t="str">
        <f t="shared" si="1143"/>
        <v>202406</v>
      </c>
      <c r="B1461" s="1" t="str">
        <f t="shared" si="1144"/>
        <v>150525100</v>
      </c>
      <c r="C1461" s="1" t="str">
        <f>"1014575535"</f>
        <v>1014575535</v>
      </c>
      <c r="D1461" s="1" t="str">
        <f>"152326195302183074"</f>
        <v>152326195302183074</v>
      </c>
      <c r="E1461" s="1" t="s">
        <v>1526</v>
      </c>
      <c r="F1461" s="1" t="s">
        <v>25</v>
      </c>
      <c r="G1461" s="1" t="s">
        <v>17</v>
      </c>
      <c r="H1461" s="1" t="str">
        <f>"71"</f>
        <v>71</v>
      </c>
      <c r="I1461" s="1" t="str">
        <f>"163.16"</f>
        <v>163.16</v>
      </c>
      <c r="J1461" s="1" t="str">
        <f t="shared" ref="J1461:J1499" si="1154">"0"</f>
        <v>0</v>
      </c>
      <c r="K1461" s="1" t="str">
        <f t="shared" si="1150"/>
        <v>103</v>
      </c>
      <c r="L1461" s="1" t="str">
        <f t="shared" si="1151"/>
        <v>47</v>
      </c>
      <c r="M1461" s="1" t="str">
        <f t="shared" si="1152"/>
        <v>0</v>
      </c>
      <c r="N1461" s="1" t="str">
        <f t="shared" si="1153"/>
        <v>0</v>
      </c>
      <c r="O1461" s="1" t="str">
        <f>"3.16"</f>
        <v>3.16</v>
      </c>
    </row>
    <row r="1462" s="1" customFormat="1" spans="1:15">
      <c r="A1462" s="1" t="str">
        <f t="shared" si="1143"/>
        <v>202406</v>
      </c>
      <c r="B1462" s="1" t="str">
        <f t="shared" si="1144"/>
        <v>150525100</v>
      </c>
      <c r="C1462" s="1" t="str">
        <f>"1014575547"</f>
        <v>1014575547</v>
      </c>
      <c r="D1462" s="1" t="str">
        <f>"152326195512063089"</f>
        <v>152326195512063089</v>
      </c>
      <c r="E1462" s="1" t="s">
        <v>1527</v>
      </c>
      <c r="F1462" s="1" t="s">
        <v>16</v>
      </c>
      <c r="G1462" s="1" t="s">
        <v>17</v>
      </c>
      <c r="H1462" s="1" t="str">
        <f t="shared" si="1149"/>
        <v>69</v>
      </c>
      <c r="I1462" s="1" t="str">
        <f>"154.84"</f>
        <v>154.84</v>
      </c>
      <c r="J1462" s="1" t="str">
        <f t="shared" si="1154"/>
        <v>0</v>
      </c>
      <c r="K1462" s="1" t="str">
        <f t="shared" si="1150"/>
        <v>103</v>
      </c>
      <c r="L1462" s="1" t="str">
        <f t="shared" si="1151"/>
        <v>47</v>
      </c>
      <c r="M1462" s="1" t="str">
        <f t="shared" si="1152"/>
        <v>0</v>
      </c>
      <c r="N1462" s="1" t="str">
        <f t="shared" si="1153"/>
        <v>0</v>
      </c>
      <c r="O1462" s="1" t="str">
        <f>"4.84"</f>
        <v>4.84</v>
      </c>
    </row>
    <row r="1463" s="1" customFormat="1" spans="1:15">
      <c r="A1463" s="1" t="str">
        <f t="shared" si="1143"/>
        <v>202406</v>
      </c>
      <c r="B1463" s="1" t="str">
        <f t="shared" si="1144"/>
        <v>150525100</v>
      </c>
      <c r="C1463" s="1" t="str">
        <f>"1014576617"</f>
        <v>1014576617</v>
      </c>
      <c r="D1463" s="1" t="str">
        <f>"152326195203050671"</f>
        <v>152326195203050671</v>
      </c>
      <c r="E1463" s="1" t="s">
        <v>1528</v>
      </c>
      <c r="F1463" s="1" t="s">
        <v>25</v>
      </c>
      <c r="G1463" s="1" t="s">
        <v>19</v>
      </c>
      <c r="H1463" s="1" t="str">
        <f>"72"</f>
        <v>72</v>
      </c>
      <c r="I1463" s="1" t="str">
        <f>"162.14"</f>
        <v>162.14</v>
      </c>
      <c r="J1463" s="1" t="str">
        <f t="shared" si="1154"/>
        <v>0</v>
      </c>
      <c r="K1463" s="1" t="str">
        <f t="shared" si="1150"/>
        <v>103</v>
      </c>
      <c r="L1463" s="1" t="str">
        <f t="shared" si="1151"/>
        <v>47</v>
      </c>
      <c r="M1463" s="1" t="str">
        <f t="shared" si="1152"/>
        <v>0</v>
      </c>
      <c r="N1463" s="1" t="str">
        <f t="shared" si="1153"/>
        <v>0</v>
      </c>
      <c r="O1463" s="1" t="str">
        <f>"2.14"</f>
        <v>2.14</v>
      </c>
    </row>
    <row r="1464" s="1" customFormat="1" spans="1:15">
      <c r="A1464" s="1" t="str">
        <f t="shared" si="1143"/>
        <v>202406</v>
      </c>
      <c r="B1464" s="1" t="str">
        <f t="shared" si="1144"/>
        <v>150525100</v>
      </c>
      <c r="C1464" s="1" t="str">
        <f>"1014576622"</f>
        <v>1014576622</v>
      </c>
      <c r="D1464" s="1" t="str">
        <f>"152326195408150668"</f>
        <v>152326195408150668</v>
      </c>
      <c r="E1464" s="1" t="s">
        <v>1529</v>
      </c>
      <c r="F1464" s="1" t="s">
        <v>16</v>
      </c>
      <c r="G1464" s="1" t="s">
        <v>19</v>
      </c>
      <c r="H1464" s="1" t="str">
        <f>"70"</f>
        <v>70</v>
      </c>
      <c r="I1464" s="1" t="str">
        <f>"165.21"</f>
        <v>165.21</v>
      </c>
      <c r="J1464" s="1" t="str">
        <f t="shared" si="1154"/>
        <v>0</v>
      </c>
      <c r="K1464" s="1" t="str">
        <f t="shared" si="1150"/>
        <v>103</v>
      </c>
      <c r="L1464" s="1" t="str">
        <f t="shared" si="1151"/>
        <v>47</v>
      </c>
      <c r="M1464" s="1" t="str">
        <f t="shared" si="1152"/>
        <v>0</v>
      </c>
      <c r="N1464" s="1" t="str">
        <f t="shared" si="1153"/>
        <v>0</v>
      </c>
      <c r="O1464" s="1" t="str">
        <f>"15.21"</f>
        <v>15.21</v>
      </c>
    </row>
    <row r="1465" s="1" customFormat="1" spans="1:15">
      <c r="A1465" s="1" t="str">
        <f t="shared" si="1143"/>
        <v>202406</v>
      </c>
      <c r="B1465" s="1" t="str">
        <f t="shared" si="1144"/>
        <v>150525100</v>
      </c>
      <c r="C1465" s="1" t="str">
        <f>"1014576626"</f>
        <v>1014576626</v>
      </c>
      <c r="D1465" s="1" t="str">
        <f>"152326195509220688"</f>
        <v>152326195509220688</v>
      </c>
      <c r="E1465" s="1" t="s">
        <v>1530</v>
      </c>
      <c r="F1465" s="1" t="s">
        <v>16</v>
      </c>
      <c r="G1465" s="1" t="s">
        <v>19</v>
      </c>
      <c r="H1465" s="1" t="str">
        <f>"69"</f>
        <v>69</v>
      </c>
      <c r="I1465" s="1" t="str">
        <f>"155.1"</f>
        <v>155.1</v>
      </c>
      <c r="J1465" s="1" t="str">
        <f t="shared" si="1154"/>
        <v>0</v>
      </c>
      <c r="K1465" s="1" t="str">
        <f t="shared" si="1150"/>
        <v>103</v>
      </c>
      <c r="L1465" s="1" t="str">
        <f t="shared" si="1151"/>
        <v>47</v>
      </c>
      <c r="M1465" s="1" t="str">
        <f t="shared" si="1152"/>
        <v>0</v>
      </c>
      <c r="N1465" s="1" t="str">
        <f t="shared" si="1153"/>
        <v>0</v>
      </c>
      <c r="O1465" s="1" t="str">
        <f>"5.1"</f>
        <v>5.1</v>
      </c>
    </row>
    <row r="1466" s="1" customFormat="1" spans="1:15">
      <c r="A1466" s="1" t="str">
        <f t="shared" si="1143"/>
        <v>202406</v>
      </c>
      <c r="B1466" s="1" t="str">
        <f t="shared" si="1144"/>
        <v>150525100</v>
      </c>
      <c r="C1466" s="1" t="str">
        <f>"1014576635"</f>
        <v>1014576635</v>
      </c>
      <c r="D1466" s="1" t="str">
        <f>"152326195703030677"</f>
        <v>152326195703030677</v>
      </c>
      <c r="E1466" s="1" t="s">
        <v>1531</v>
      </c>
      <c r="F1466" s="1" t="s">
        <v>25</v>
      </c>
      <c r="G1466" s="1" t="s">
        <v>19</v>
      </c>
      <c r="H1466" s="1" t="str">
        <f>"67"</f>
        <v>67</v>
      </c>
      <c r="I1466" s="1" t="str">
        <f>"156.05"</f>
        <v>156.05</v>
      </c>
      <c r="J1466" s="1" t="str">
        <f t="shared" si="1154"/>
        <v>0</v>
      </c>
      <c r="K1466" s="1" t="str">
        <f t="shared" si="1150"/>
        <v>103</v>
      </c>
      <c r="L1466" s="1" t="str">
        <f t="shared" si="1151"/>
        <v>47</v>
      </c>
      <c r="M1466" s="1" t="str">
        <f t="shared" si="1152"/>
        <v>0</v>
      </c>
      <c r="N1466" s="1" t="str">
        <f t="shared" si="1153"/>
        <v>0</v>
      </c>
      <c r="O1466" s="1" t="str">
        <f>"6.05"</f>
        <v>6.05</v>
      </c>
    </row>
    <row r="1467" s="1" customFormat="1" spans="1:15">
      <c r="A1467" s="1" t="str">
        <f t="shared" si="1143"/>
        <v>202406</v>
      </c>
      <c r="B1467" s="1" t="str">
        <f t="shared" si="1144"/>
        <v>150525100</v>
      </c>
      <c r="C1467" s="1" t="str">
        <f>"1040690099"</f>
        <v>1040690099</v>
      </c>
      <c r="D1467" s="1" t="str">
        <f>"152326195411203070"</f>
        <v>152326195411203070</v>
      </c>
      <c r="E1467" s="1" t="s">
        <v>82</v>
      </c>
      <c r="F1467" s="1" t="s">
        <v>25</v>
      </c>
      <c r="G1467" s="1" t="s">
        <v>17</v>
      </c>
      <c r="H1467" s="1" t="str">
        <f>"70"</f>
        <v>70</v>
      </c>
      <c r="I1467" s="1" t="str">
        <f>"153.22"</f>
        <v>153.22</v>
      </c>
      <c r="J1467" s="1" t="str">
        <f t="shared" si="1154"/>
        <v>0</v>
      </c>
      <c r="K1467" s="1" t="str">
        <f t="shared" si="1150"/>
        <v>103</v>
      </c>
      <c r="L1467" s="1" t="str">
        <f t="shared" si="1151"/>
        <v>47</v>
      </c>
      <c r="M1467" s="1" t="str">
        <f t="shared" si="1152"/>
        <v>0</v>
      </c>
      <c r="N1467" s="1" t="str">
        <f t="shared" si="1153"/>
        <v>0</v>
      </c>
      <c r="O1467" s="1" t="str">
        <f>"3.22"</f>
        <v>3.22</v>
      </c>
    </row>
    <row r="1468" s="1" customFormat="1" spans="1:15">
      <c r="A1468" s="1" t="str">
        <f t="shared" si="1143"/>
        <v>202406</v>
      </c>
      <c r="B1468" s="1" t="str">
        <f t="shared" si="1144"/>
        <v>150525100</v>
      </c>
      <c r="C1468" s="1" t="str">
        <f>"1014547960"</f>
        <v>1014547960</v>
      </c>
      <c r="D1468" s="1" t="str">
        <f>"152326196101066378"</f>
        <v>152326196101066378</v>
      </c>
      <c r="E1468" s="1" t="s">
        <v>1532</v>
      </c>
      <c r="F1468" s="1" t="s">
        <v>25</v>
      </c>
      <c r="G1468" s="1" t="s">
        <v>17</v>
      </c>
      <c r="H1468" s="1" t="str">
        <f t="shared" ref="H1468:H1472" si="1155">"64"</f>
        <v>64</v>
      </c>
      <c r="I1468" s="1" t="str">
        <f>"160.27"</f>
        <v>160.27</v>
      </c>
      <c r="J1468" s="1" t="str">
        <f t="shared" si="1154"/>
        <v>0</v>
      </c>
      <c r="K1468" s="1" t="str">
        <f t="shared" si="1150"/>
        <v>103</v>
      </c>
      <c r="L1468" s="1" t="str">
        <f t="shared" si="1151"/>
        <v>47</v>
      </c>
      <c r="M1468" s="1" t="str">
        <f t="shared" si="1152"/>
        <v>0</v>
      </c>
      <c r="N1468" s="1" t="str">
        <f t="shared" si="1153"/>
        <v>0</v>
      </c>
      <c r="O1468" s="1" t="str">
        <f>"10.27"</f>
        <v>10.27</v>
      </c>
    </row>
    <row r="1469" s="1" customFormat="1" spans="1:15">
      <c r="A1469" s="1" t="str">
        <f t="shared" si="1143"/>
        <v>202406</v>
      </c>
      <c r="B1469" s="1" t="str">
        <f t="shared" si="1144"/>
        <v>150525100</v>
      </c>
      <c r="C1469" s="1" t="str">
        <f>"1014571806"</f>
        <v>1014571806</v>
      </c>
      <c r="D1469" s="1" t="str">
        <f>"152326196007220017"</f>
        <v>152326196007220017</v>
      </c>
      <c r="E1469" s="1" t="s">
        <v>1533</v>
      </c>
      <c r="F1469" s="1" t="s">
        <v>25</v>
      </c>
      <c r="G1469" s="1" t="s">
        <v>19</v>
      </c>
      <c r="H1469" s="1" t="str">
        <f t="shared" si="1155"/>
        <v>64</v>
      </c>
      <c r="I1469" s="1" t="str">
        <f>"187.44"</f>
        <v>187.44</v>
      </c>
      <c r="J1469" s="1" t="str">
        <f t="shared" si="1154"/>
        <v>0</v>
      </c>
      <c r="K1469" s="1" t="str">
        <f t="shared" si="1150"/>
        <v>103</v>
      </c>
      <c r="L1469" s="1" t="str">
        <f t="shared" si="1151"/>
        <v>47</v>
      </c>
      <c r="M1469" s="1" t="str">
        <f t="shared" si="1152"/>
        <v>0</v>
      </c>
      <c r="N1469" s="1" t="str">
        <f t="shared" si="1153"/>
        <v>0</v>
      </c>
      <c r="O1469" s="1" t="str">
        <f>"37.44"</f>
        <v>37.44</v>
      </c>
    </row>
    <row r="1470" s="1" customFormat="1" spans="1:15">
      <c r="A1470" s="1" t="str">
        <f t="shared" si="1143"/>
        <v>202406</v>
      </c>
      <c r="B1470" s="1" t="str">
        <f t="shared" si="1144"/>
        <v>150525100</v>
      </c>
      <c r="C1470" s="1" t="str">
        <f>"1014571812"</f>
        <v>1014571812</v>
      </c>
      <c r="D1470" s="1" t="str">
        <f>"152326196311120010"</f>
        <v>152326196311120010</v>
      </c>
      <c r="E1470" s="1" t="s">
        <v>1534</v>
      </c>
      <c r="F1470" s="1" t="s">
        <v>25</v>
      </c>
      <c r="G1470" s="1" t="s">
        <v>19</v>
      </c>
      <c r="H1470" s="1" t="str">
        <f>"61"</f>
        <v>61</v>
      </c>
      <c r="I1470" s="1" t="str">
        <f>"194.05"</f>
        <v>194.05</v>
      </c>
      <c r="J1470" s="1" t="str">
        <f t="shared" si="1154"/>
        <v>0</v>
      </c>
      <c r="K1470" s="1" t="str">
        <f t="shared" si="1150"/>
        <v>103</v>
      </c>
      <c r="L1470" s="1" t="str">
        <f t="shared" si="1151"/>
        <v>47</v>
      </c>
      <c r="M1470" s="1" t="str">
        <f t="shared" si="1152"/>
        <v>0</v>
      </c>
      <c r="N1470" s="1" t="str">
        <f t="shared" si="1153"/>
        <v>0</v>
      </c>
      <c r="O1470" s="1" t="str">
        <f>"44.05"</f>
        <v>44.05</v>
      </c>
    </row>
    <row r="1471" s="1" customFormat="1" spans="1:15">
      <c r="A1471" s="1" t="str">
        <f t="shared" si="1143"/>
        <v>202406</v>
      </c>
      <c r="B1471" s="1" t="str">
        <f t="shared" si="1144"/>
        <v>150525100</v>
      </c>
      <c r="C1471" s="1" t="str">
        <f>"1014571822"</f>
        <v>1014571822</v>
      </c>
      <c r="D1471" s="1" t="str">
        <f>"152326195505160411"</f>
        <v>152326195505160411</v>
      </c>
      <c r="E1471" s="1" t="s">
        <v>1535</v>
      </c>
      <c r="F1471" s="1" t="s">
        <v>25</v>
      </c>
      <c r="G1471" s="1" t="s">
        <v>17</v>
      </c>
      <c r="H1471" s="1" t="str">
        <f>"69"</f>
        <v>69</v>
      </c>
      <c r="I1471" s="1" t="str">
        <f>"155.09"</f>
        <v>155.09</v>
      </c>
      <c r="J1471" s="1" t="str">
        <f t="shared" si="1154"/>
        <v>0</v>
      </c>
      <c r="K1471" s="1" t="str">
        <f t="shared" si="1150"/>
        <v>103</v>
      </c>
      <c r="L1471" s="1" t="str">
        <f t="shared" si="1151"/>
        <v>47</v>
      </c>
      <c r="M1471" s="1" t="str">
        <f t="shared" si="1152"/>
        <v>0</v>
      </c>
      <c r="N1471" s="1" t="str">
        <f t="shared" si="1153"/>
        <v>0</v>
      </c>
      <c r="O1471" s="1" t="str">
        <f>"5.09"</f>
        <v>5.09</v>
      </c>
    </row>
    <row r="1472" s="1" customFormat="1" spans="1:15">
      <c r="A1472" s="1" t="str">
        <f t="shared" si="1143"/>
        <v>202406</v>
      </c>
      <c r="B1472" s="1" t="str">
        <f t="shared" si="1144"/>
        <v>150525100</v>
      </c>
      <c r="C1472" s="1" t="str">
        <f>"1014571824"</f>
        <v>1014571824</v>
      </c>
      <c r="D1472" s="1" t="str">
        <f>"152326196005273086"</f>
        <v>152326196005273086</v>
      </c>
      <c r="E1472" s="1" t="s">
        <v>1536</v>
      </c>
      <c r="F1472" s="1" t="s">
        <v>16</v>
      </c>
      <c r="G1472" s="1" t="s">
        <v>17</v>
      </c>
      <c r="H1472" s="1" t="str">
        <f t="shared" si="1155"/>
        <v>64</v>
      </c>
      <c r="I1472" s="1" t="str">
        <f>"159.27"</f>
        <v>159.27</v>
      </c>
      <c r="J1472" s="1" t="str">
        <f t="shared" si="1154"/>
        <v>0</v>
      </c>
      <c r="K1472" s="1" t="str">
        <f t="shared" si="1150"/>
        <v>103</v>
      </c>
      <c r="L1472" s="1" t="str">
        <f t="shared" si="1151"/>
        <v>47</v>
      </c>
      <c r="M1472" s="1" t="str">
        <f t="shared" si="1152"/>
        <v>0</v>
      </c>
      <c r="N1472" s="1" t="str">
        <f t="shared" si="1153"/>
        <v>0</v>
      </c>
      <c r="O1472" s="1" t="str">
        <f>"9.27"</f>
        <v>9.27</v>
      </c>
    </row>
    <row r="1473" s="1" customFormat="1" spans="1:15">
      <c r="A1473" s="1" t="str">
        <f t="shared" si="1143"/>
        <v>202406</v>
      </c>
      <c r="B1473" s="1" t="str">
        <f t="shared" si="1144"/>
        <v>150525100</v>
      </c>
      <c r="C1473" s="1" t="str">
        <f>"1014571947"</f>
        <v>1014571947</v>
      </c>
      <c r="D1473" s="1" t="s">
        <v>1537</v>
      </c>
      <c r="E1473" s="1" t="s">
        <v>1538</v>
      </c>
      <c r="F1473" s="1" t="s">
        <v>16</v>
      </c>
      <c r="G1473" s="1" t="s">
        <v>17</v>
      </c>
      <c r="H1473" s="1" t="str">
        <f>"67"</f>
        <v>67</v>
      </c>
      <c r="I1473" s="1" t="str">
        <f>"156.03"</f>
        <v>156.03</v>
      </c>
      <c r="J1473" s="1" t="str">
        <f t="shared" si="1154"/>
        <v>0</v>
      </c>
      <c r="K1473" s="1" t="str">
        <f t="shared" si="1150"/>
        <v>103</v>
      </c>
      <c r="L1473" s="1" t="str">
        <f t="shared" si="1151"/>
        <v>47</v>
      </c>
      <c r="M1473" s="1" t="str">
        <f t="shared" si="1152"/>
        <v>0</v>
      </c>
      <c r="N1473" s="1" t="str">
        <f t="shared" si="1153"/>
        <v>0</v>
      </c>
      <c r="O1473" s="1" t="str">
        <f>"6.03"</f>
        <v>6.03</v>
      </c>
    </row>
    <row r="1474" s="1" customFormat="1" spans="1:15">
      <c r="A1474" s="1" t="str">
        <f t="shared" ref="A1474:A1537" si="1156">"202406"</f>
        <v>202406</v>
      </c>
      <c r="B1474" s="1" t="str">
        <f t="shared" ref="B1474:B1537" si="1157">"150525100"</f>
        <v>150525100</v>
      </c>
      <c r="C1474" s="1" t="str">
        <f>"1014571963"</f>
        <v>1014571963</v>
      </c>
      <c r="D1474" s="1" t="str">
        <f>"152326195702130035"</f>
        <v>152326195702130035</v>
      </c>
      <c r="E1474" s="1" t="s">
        <v>1539</v>
      </c>
      <c r="F1474" s="1" t="s">
        <v>25</v>
      </c>
      <c r="G1474" s="1" t="s">
        <v>17</v>
      </c>
      <c r="H1474" s="1" t="str">
        <f>"67"</f>
        <v>67</v>
      </c>
      <c r="I1474" s="1" t="str">
        <f>"200.01"</f>
        <v>200.01</v>
      </c>
      <c r="J1474" s="1" t="str">
        <f t="shared" si="1154"/>
        <v>0</v>
      </c>
      <c r="K1474" s="1" t="str">
        <f t="shared" si="1150"/>
        <v>103</v>
      </c>
      <c r="L1474" s="1" t="str">
        <f t="shared" si="1151"/>
        <v>47</v>
      </c>
      <c r="M1474" s="1" t="str">
        <f t="shared" si="1152"/>
        <v>0</v>
      </c>
      <c r="N1474" s="1" t="str">
        <f t="shared" si="1153"/>
        <v>0</v>
      </c>
      <c r="O1474" s="1" t="str">
        <f>"50.01"</f>
        <v>50.01</v>
      </c>
    </row>
    <row r="1475" s="1" customFormat="1" spans="1:15">
      <c r="A1475" s="1" t="str">
        <f t="shared" si="1156"/>
        <v>202406</v>
      </c>
      <c r="B1475" s="1" t="str">
        <f t="shared" si="1157"/>
        <v>150525100</v>
      </c>
      <c r="C1475" s="1" t="str">
        <f>"1014552293"</f>
        <v>1014552293</v>
      </c>
      <c r="D1475" s="1" t="str">
        <f>"152326195603273823"</f>
        <v>152326195603273823</v>
      </c>
      <c r="E1475" s="1" t="s">
        <v>1540</v>
      </c>
      <c r="F1475" s="1" t="s">
        <v>16</v>
      </c>
      <c r="G1475" s="1" t="s">
        <v>17</v>
      </c>
      <c r="H1475" s="1" t="str">
        <f>"68"</f>
        <v>68</v>
      </c>
      <c r="I1475" s="1" t="str">
        <f>"198.82"</f>
        <v>198.82</v>
      </c>
      <c r="J1475" s="1" t="str">
        <f t="shared" si="1154"/>
        <v>0</v>
      </c>
      <c r="K1475" s="1" t="str">
        <f t="shared" si="1150"/>
        <v>103</v>
      </c>
      <c r="L1475" s="1" t="str">
        <f t="shared" si="1151"/>
        <v>47</v>
      </c>
      <c r="M1475" s="1" t="str">
        <f t="shared" si="1152"/>
        <v>0</v>
      </c>
      <c r="N1475" s="1" t="str">
        <f t="shared" si="1153"/>
        <v>0</v>
      </c>
      <c r="O1475" s="1" t="str">
        <f>"48.82"</f>
        <v>48.82</v>
      </c>
    </row>
    <row r="1476" s="1" customFormat="1" spans="1:15">
      <c r="A1476" s="1" t="str">
        <f t="shared" si="1156"/>
        <v>202406</v>
      </c>
      <c r="B1476" s="1" t="str">
        <f t="shared" si="1157"/>
        <v>150525100</v>
      </c>
      <c r="C1476" s="1" t="str">
        <f>"1014575736"</f>
        <v>1014575736</v>
      </c>
      <c r="D1476" s="1" t="str">
        <f>"152326196010080676"</f>
        <v>152326196010080676</v>
      </c>
      <c r="E1476" s="1" t="s">
        <v>1541</v>
      </c>
      <c r="F1476" s="1" t="s">
        <v>25</v>
      </c>
      <c r="G1476" s="1" t="s">
        <v>19</v>
      </c>
      <c r="H1476" s="1" t="str">
        <f>"64"</f>
        <v>64</v>
      </c>
      <c r="I1476" s="1" t="str">
        <f>"189.67"</f>
        <v>189.67</v>
      </c>
      <c r="J1476" s="1" t="str">
        <f t="shared" si="1154"/>
        <v>0</v>
      </c>
      <c r="K1476" s="1" t="str">
        <f t="shared" si="1150"/>
        <v>103</v>
      </c>
      <c r="L1476" s="1" t="str">
        <f t="shared" si="1151"/>
        <v>47</v>
      </c>
      <c r="M1476" s="1" t="str">
        <f t="shared" si="1152"/>
        <v>0</v>
      </c>
      <c r="N1476" s="1" t="str">
        <f t="shared" si="1153"/>
        <v>0</v>
      </c>
      <c r="O1476" s="1" t="str">
        <f>"39.67"</f>
        <v>39.67</v>
      </c>
    </row>
    <row r="1477" s="1" customFormat="1" spans="1:15">
      <c r="A1477" s="1" t="str">
        <f t="shared" si="1156"/>
        <v>202406</v>
      </c>
      <c r="B1477" s="1" t="str">
        <f t="shared" si="1157"/>
        <v>150525100</v>
      </c>
      <c r="C1477" s="1" t="str">
        <f>"1014547988"</f>
        <v>1014547988</v>
      </c>
      <c r="D1477" s="1" t="str">
        <f>"152326196209080681"</f>
        <v>152326196209080681</v>
      </c>
      <c r="E1477" s="1" t="s">
        <v>1542</v>
      </c>
      <c r="F1477" s="1" t="s">
        <v>16</v>
      </c>
      <c r="G1477" s="1" t="s">
        <v>17</v>
      </c>
      <c r="H1477" s="1" t="str">
        <f>"62"</f>
        <v>62</v>
      </c>
      <c r="I1477" s="1" t="str">
        <f>"163.12"</f>
        <v>163.12</v>
      </c>
      <c r="J1477" s="1" t="str">
        <f t="shared" si="1154"/>
        <v>0</v>
      </c>
      <c r="K1477" s="1" t="str">
        <f t="shared" si="1150"/>
        <v>103</v>
      </c>
      <c r="L1477" s="1" t="str">
        <f t="shared" si="1151"/>
        <v>47</v>
      </c>
      <c r="M1477" s="1" t="str">
        <f t="shared" si="1152"/>
        <v>0</v>
      </c>
      <c r="N1477" s="1" t="str">
        <f t="shared" si="1153"/>
        <v>0</v>
      </c>
      <c r="O1477" s="1" t="str">
        <f>"13.12"</f>
        <v>13.12</v>
      </c>
    </row>
    <row r="1478" s="1" customFormat="1" spans="1:15">
      <c r="A1478" s="1" t="str">
        <f t="shared" si="1156"/>
        <v>202406</v>
      </c>
      <c r="B1478" s="1" t="str">
        <f t="shared" si="1157"/>
        <v>150525100</v>
      </c>
      <c r="C1478" s="1" t="str">
        <f>"1014571968"</f>
        <v>1014571968</v>
      </c>
      <c r="D1478" s="1" t="str">
        <f>"152326196001030044"</f>
        <v>152326196001030044</v>
      </c>
      <c r="E1478" s="1" t="s">
        <v>1543</v>
      </c>
      <c r="F1478" s="1" t="s">
        <v>16</v>
      </c>
      <c r="G1478" s="1" t="s">
        <v>17</v>
      </c>
      <c r="H1478" s="1" t="str">
        <f>"65"</f>
        <v>65</v>
      </c>
      <c r="I1478" s="1" t="str">
        <f>"226.05"</f>
        <v>226.05</v>
      </c>
      <c r="J1478" s="1" t="str">
        <f t="shared" si="1154"/>
        <v>0</v>
      </c>
      <c r="K1478" s="1" t="str">
        <f t="shared" si="1150"/>
        <v>103</v>
      </c>
      <c r="L1478" s="1" t="str">
        <f t="shared" si="1151"/>
        <v>47</v>
      </c>
      <c r="M1478" s="1" t="str">
        <f t="shared" si="1152"/>
        <v>0</v>
      </c>
      <c r="N1478" s="1" t="str">
        <f t="shared" si="1153"/>
        <v>0</v>
      </c>
      <c r="O1478" s="1" t="str">
        <f>"76.05"</f>
        <v>76.05</v>
      </c>
    </row>
    <row r="1479" s="1" customFormat="1" spans="1:15">
      <c r="A1479" s="1" t="str">
        <f t="shared" si="1156"/>
        <v>202406</v>
      </c>
      <c r="B1479" s="1" t="str">
        <f t="shared" si="1157"/>
        <v>150525100</v>
      </c>
      <c r="C1479" s="1" t="str">
        <f>"1014571982"</f>
        <v>1014571982</v>
      </c>
      <c r="D1479" s="1" t="str">
        <f>"152326196309290010"</f>
        <v>152326196309290010</v>
      </c>
      <c r="E1479" s="1" t="s">
        <v>1544</v>
      </c>
      <c r="F1479" s="1" t="s">
        <v>25</v>
      </c>
      <c r="G1479" s="1" t="s">
        <v>17</v>
      </c>
      <c r="H1479" s="1" t="str">
        <f>"61"</f>
        <v>61</v>
      </c>
      <c r="I1479" s="1" t="str">
        <f>"255.87"</f>
        <v>255.87</v>
      </c>
      <c r="J1479" s="1" t="str">
        <f t="shared" si="1154"/>
        <v>0</v>
      </c>
      <c r="K1479" s="1" t="str">
        <f t="shared" si="1150"/>
        <v>103</v>
      </c>
      <c r="L1479" s="1" t="str">
        <f t="shared" si="1151"/>
        <v>47</v>
      </c>
      <c r="M1479" s="1" t="str">
        <f t="shared" si="1152"/>
        <v>0</v>
      </c>
      <c r="N1479" s="1" t="str">
        <f t="shared" si="1153"/>
        <v>0</v>
      </c>
      <c r="O1479" s="1" t="str">
        <f>"105.87"</f>
        <v>105.87</v>
      </c>
    </row>
    <row r="1480" s="1" customFormat="1" spans="1:15">
      <c r="A1480" s="1" t="str">
        <f t="shared" si="1156"/>
        <v>202406</v>
      </c>
      <c r="B1480" s="1" t="str">
        <f t="shared" si="1157"/>
        <v>150525100</v>
      </c>
      <c r="C1480" s="1" t="str">
        <f>"1040690467"</f>
        <v>1040690467</v>
      </c>
      <c r="D1480" s="1" t="str">
        <f>"152326195407140126"</f>
        <v>152326195407140126</v>
      </c>
      <c r="E1480" s="1" t="s">
        <v>1545</v>
      </c>
      <c r="F1480" s="1" t="s">
        <v>16</v>
      </c>
      <c r="G1480" s="1" t="s">
        <v>19</v>
      </c>
      <c r="H1480" s="1" t="str">
        <f>"70"</f>
        <v>70</v>
      </c>
      <c r="I1480" s="1" t="str">
        <f>"153.01"</f>
        <v>153.01</v>
      </c>
      <c r="J1480" s="1" t="str">
        <f t="shared" si="1154"/>
        <v>0</v>
      </c>
      <c r="K1480" s="1" t="str">
        <f t="shared" si="1150"/>
        <v>103</v>
      </c>
      <c r="L1480" s="1" t="str">
        <f t="shared" si="1151"/>
        <v>47</v>
      </c>
      <c r="M1480" s="1" t="str">
        <f t="shared" si="1152"/>
        <v>0</v>
      </c>
      <c r="N1480" s="1" t="str">
        <f t="shared" si="1153"/>
        <v>0</v>
      </c>
      <c r="O1480" s="1" t="str">
        <f>"3.01"</f>
        <v>3.01</v>
      </c>
    </row>
    <row r="1481" s="1" customFormat="1" spans="1:15">
      <c r="A1481" s="1" t="str">
        <f t="shared" si="1156"/>
        <v>202406</v>
      </c>
      <c r="B1481" s="1" t="str">
        <f t="shared" si="1157"/>
        <v>150525100</v>
      </c>
      <c r="C1481" s="1" t="str">
        <f>"1040689413"</f>
        <v>1040689413</v>
      </c>
      <c r="D1481" s="1" t="str">
        <f>"152326196304160428"</f>
        <v>152326196304160428</v>
      </c>
      <c r="E1481" s="1" t="s">
        <v>1546</v>
      </c>
      <c r="F1481" s="1" t="s">
        <v>16</v>
      </c>
      <c r="G1481" s="1" t="s">
        <v>17</v>
      </c>
      <c r="H1481" s="1" t="str">
        <f>"61"</f>
        <v>61</v>
      </c>
      <c r="I1481" s="1" t="str">
        <f>"164.33"</f>
        <v>164.33</v>
      </c>
      <c r="J1481" s="1" t="str">
        <f t="shared" si="1154"/>
        <v>0</v>
      </c>
      <c r="K1481" s="1" t="str">
        <f t="shared" si="1150"/>
        <v>103</v>
      </c>
      <c r="L1481" s="1" t="str">
        <f t="shared" si="1151"/>
        <v>47</v>
      </c>
      <c r="M1481" s="1" t="str">
        <f t="shared" si="1152"/>
        <v>0</v>
      </c>
      <c r="N1481" s="1" t="str">
        <f t="shared" si="1153"/>
        <v>0</v>
      </c>
      <c r="O1481" s="1" t="str">
        <f>"14.33"</f>
        <v>14.33</v>
      </c>
    </row>
    <row r="1482" s="1" customFormat="1" spans="1:15">
      <c r="A1482" s="1" t="str">
        <f t="shared" si="1156"/>
        <v>202406</v>
      </c>
      <c r="B1482" s="1" t="str">
        <f t="shared" si="1157"/>
        <v>150525100</v>
      </c>
      <c r="C1482" s="1" t="str">
        <f>"1040689552"</f>
        <v>1040689552</v>
      </c>
      <c r="D1482" s="1" t="s">
        <v>1547</v>
      </c>
      <c r="E1482" s="1" t="s">
        <v>1548</v>
      </c>
      <c r="F1482" s="1" t="s">
        <v>25</v>
      </c>
      <c r="G1482" s="1" t="s">
        <v>19</v>
      </c>
      <c r="H1482" s="1" t="str">
        <f>"67"</f>
        <v>67</v>
      </c>
      <c r="I1482" s="1" t="str">
        <f>"155.98"</f>
        <v>155.98</v>
      </c>
      <c r="J1482" s="1" t="str">
        <f t="shared" si="1154"/>
        <v>0</v>
      </c>
      <c r="K1482" s="1" t="str">
        <f t="shared" si="1150"/>
        <v>103</v>
      </c>
      <c r="L1482" s="1" t="str">
        <f t="shared" si="1151"/>
        <v>47</v>
      </c>
      <c r="M1482" s="1" t="str">
        <f t="shared" si="1152"/>
        <v>0</v>
      </c>
      <c r="N1482" s="1" t="str">
        <f t="shared" si="1153"/>
        <v>0</v>
      </c>
      <c r="O1482" s="1" t="str">
        <f>"5.98"</f>
        <v>5.98</v>
      </c>
    </row>
    <row r="1483" s="1" customFormat="1" spans="1:15">
      <c r="A1483" s="1" t="str">
        <f t="shared" si="1156"/>
        <v>202406</v>
      </c>
      <c r="B1483" s="1" t="str">
        <f t="shared" si="1157"/>
        <v>150525100</v>
      </c>
      <c r="C1483" s="1" t="str">
        <f>"1040689650"</f>
        <v>1040689650</v>
      </c>
      <c r="D1483" s="1" t="str">
        <f>"152326195601283075"</f>
        <v>152326195601283075</v>
      </c>
      <c r="E1483" s="1" t="s">
        <v>1549</v>
      </c>
      <c r="F1483" s="1" t="s">
        <v>25</v>
      </c>
      <c r="G1483" s="1" t="s">
        <v>17</v>
      </c>
      <c r="H1483" s="1" t="str">
        <f>"68"</f>
        <v>68</v>
      </c>
      <c r="I1483" s="1" t="str">
        <f>"155.12"</f>
        <v>155.12</v>
      </c>
      <c r="J1483" s="1" t="str">
        <f t="shared" si="1154"/>
        <v>0</v>
      </c>
      <c r="K1483" s="1" t="str">
        <f t="shared" si="1150"/>
        <v>103</v>
      </c>
      <c r="L1483" s="1" t="str">
        <f t="shared" si="1151"/>
        <v>47</v>
      </c>
      <c r="M1483" s="1" t="str">
        <f t="shared" si="1152"/>
        <v>0</v>
      </c>
      <c r="N1483" s="1" t="str">
        <f t="shared" si="1153"/>
        <v>0</v>
      </c>
      <c r="O1483" s="1" t="str">
        <f>"5.12"</f>
        <v>5.12</v>
      </c>
    </row>
    <row r="1484" s="1" customFormat="1" spans="1:15">
      <c r="A1484" s="1" t="str">
        <f t="shared" si="1156"/>
        <v>202406</v>
      </c>
      <c r="B1484" s="1" t="str">
        <f t="shared" si="1157"/>
        <v>150525100</v>
      </c>
      <c r="C1484" s="1" t="str">
        <f>"1040689779"</f>
        <v>1040689779</v>
      </c>
      <c r="D1484" s="1" t="str">
        <f>"152326195510193824"</f>
        <v>152326195510193824</v>
      </c>
      <c r="E1484" s="1" t="s">
        <v>1550</v>
      </c>
      <c r="F1484" s="1" t="s">
        <v>16</v>
      </c>
      <c r="G1484" s="1" t="s">
        <v>17</v>
      </c>
      <c r="H1484" s="1" t="str">
        <f>"69"</f>
        <v>69</v>
      </c>
      <c r="I1484" s="1" t="str">
        <f>"154.2"</f>
        <v>154.2</v>
      </c>
      <c r="J1484" s="1" t="str">
        <f t="shared" si="1154"/>
        <v>0</v>
      </c>
      <c r="K1484" s="1" t="str">
        <f t="shared" si="1150"/>
        <v>103</v>
      </c>
      <c r="L1484" s="1" t="str">
        <f t="shared" si="1151"/>
        <v>47</v>
      </c>
      <c r="M1484" s="1" t="str">
        <f t="shared" si="1152"/>
        <v>0</v>
      </c>
      <c r="N1484" s="1" t="str">
        <f t="shared" si="1153"/>
        <v>0</v>
      </c>
      <c r="O1484" s="1" t="str">
        <f>"4.2"</f>
        <v>4.2</v>
      </c>
    </row>
    <row r="1485" s="1" customFormat="1" spans="1:15">
      <c r="A1485" s="1" t="str">
        <f t="shared" si="1156"/>
        <v>202406</v>
      </c>
      <c r="B1485" s="1" t="str">
        <f t="shared" si="1157"/>
        <v>150525100</v>
      </c>
      <c r="C1485" s="1" t="str">
        <f>"1040689804"</f>
        <v>1040689804</v>
      </c>
      <c r="D1485" s="1" t="str">
        <f>"152326196001103813"</f>
        <v>152326196001103813</v>
      </c>
      <c r="E1485" s="1" t="s">
        <v>1551</v>
      </c>
      <c r="F1485" s="1" t="s">
        <v>25</v>
      </c>
      <c r="G1485" s="1" t="s">
        <v>96</v>
      </c>
      <c r="H1485" s="1" t="str">
        <f>"64"</f>
        <v>64</v>
      </c>
      <c r="I1485" s="1" t="str">
        <f>"158.25"</f>
        <v>158.25</v>
      </c>
      <c r="J1485" s="1" t="str">
        <f t="shared" si="1154"/>
        <v>0</v>
      </c>
      <c r="K1485" s="1" t="str">
        <f t="shared" si="1150"/>
        <v>103</v>
      </c>
      <c r="L1485" s="1" t="str">
        <f t="shared" si="1151"/>
        <v>47</v>
      </c>
      <c r="M1485" s="1" t="str">
        <f t="shared" si="1152"/>
        <v>0</v>
      </c>
      <c r="N1485" s="1" t="str">
        <f t="shared" si="1153"/>
        <v>0</v>
      </c>
      <c r="O1485" s="1" t="str">
        <f>"8.25"</f>
        <v>8.25</v>
      </c>
    </row>
    <row r="1486" s="1" customFormat="1" spans="1:15">
      <c r="A1486" s="1" t="str">
        <f t="shared" si="1156"/>
        <v>202406</v>
      </c>
      <c r="B1486" s="1" t="str">
        <f t="shared" si="1157"/>
        <v>150525100</v>
      </c>
      <c r="C1486" s="1" t="str">
        <f>"1040689518"</f>
        <v>1040689518</v>
      </c>
      <c r="D1486" s="1" t="str">
        <f>"152326196312230449"</f>
        <v>152326196312230449</v>
      </c>
      <c r="E1486" s="1" t="s">
        <v>1552</v>
      </c>
      <c r="F1486" s="1" t="s">
        <v>16</v>
      </c>
      <c r="G1486" s="1" t="s">
        <v>17</v>
      </c>
      <c r="H1486" s="1" t="str">
        <f t="shared" ref="H1486:H1489" si="1158">"61"</f>
        <v>61</v>
      </c>
      <c r="I1486" s="1" t="str">
        <f>"164.15"</f>
        <v>164.15</v>
      </c>
      <c r="J1486" s="1" t="str">
        <f t="shared" si="1154"/>
        <v>0</v>
      </c>
      <c r="K1486" s="1" t="str">
        <f t="shared" si="1150"/>
        <v>103</v>
      </c>
      <c r="L1486" s="1" t="str">
        <f t="shared" si="1151"/>
        <v>47</v>
      </c>
      <c r="M1486" s="1" t="str">
        <f t="shared" si="1152"/>
        <v>0</v>
      </c>
      <c r="N1486" s="1" t="str">
        <f t="shared" si="1153"/>
        <v>0</v>
      </c>
      <c r="O1486" s="1" t="str">
        <f>"14.15"</f>
        <v>14.15</v>
      </c>
    </row>
    <row r="1487" s="1" customFormat="1" spans="1:15">
      <c r="A1487" s="1" t="str">
        <f t="shared" si="1156"/>
        <v>202406</v>
      </c>
      <c r="B1487" s="1" t="str">
        <f t="shared" si="1157"/>
        <v>150525100</v>
      </c>
      <c r="C1487" s="1" t="str">
        <f>"1040689379"</f>
        <v>1040689379</v>
      </c>
      <c r="D1487" s="1" t="str">
        <f>"152326196402210425"</f>
        <v>152326196402210425</v>
      </c>
      <c r="E1487" s="1" t="s">
        <v>1553</v>
      </c>
      <c r="F1487" s="1" t="s">
        <v>16</v>
      </c>
      <c r="G1487" s="1" t="s">
        <v>17</v>
      </c>
      <c r="H1487" s="1" t="str">
        <f>"60"</f>
        <v>60</v>
      </c>
      <c r="I1487" s="1" t="str">
        <f>"166.15"</f>
        <v>166.15</v>
      </c>
      <c r="J1487" s="1" t="str">
        <f t="shared" si="1154"/>
        <v>0</v>
      </c>
      <c r="K1487" s="1" t="str">
        <f t="shared" si="1150"/>
        <v>103</v>
      </c>
      <c r="L1487" s="1" t="str">
        <f t="shared" si="1151"/>
        <v>47</v>
      </c>
      <c r="M1487" s="1" t="str">
        <f t="shared" si="1152"/>
        <v>0</v>
      </c>
      <c r="N1487" s="1" t="str">
        <f t="shared" si="1153"/>
        <v>0</v>
      </c>
      <c r="O1487" s="1" t="str">
        <f>"16.15"</f>
        <v>16.15</v>
      </c>
    </row>
    <row r="1488" s="1" customFormat="1" spans="1:15">
      <c r="A1488" s="1" t="str">
        <f t="shared" si="1156"/>
        <v>202406</v>
      </c>
      <c r="B1488" s="1" t="str">
        <f t="shared" si="1157"/>
        <v>150525100</v>
      </c>
      <c r="C1488" s="1" t="str">
        <f>"1040689394"</f>
        <v>1040689394</v>
      </c>
      <c r="D1488" s="1" t="str">
        <f>"152326196310050671"</f>
        <v>152326196310050671</v>
      </c>
      <c r="E1488" s="1" t="s">
        <v>1554</v>
      </c>
      <c r="F1488" s="1" t="s">
        <v>25</v>
      </c>
      <c r="G1488" s="1" t="s">
        <v>17</v>
      </c>
      <c r="H1488" s="1" t="str">
        <f t="shared" si="1158"/>
        <v>61</v>
      </c>
      <c r="I1488" s="1" t="str">
        <f>"164.44"</f>
        <v>164.44</v>
      </c>
      <c r="J1488" s="1" t="str">
        <f t="shared" si="1154"/>
        <v>0</v>
      </c>
      <c r="K1488" s="1" t="str">
        <f t="shared" si="1150"/>
        <v>103</v>
      </c>
      <c r="L1488" s="1" t="str">
        <f t="shared" si="1151"/>
        <v>47</v>
      </c>
      <c r="M1488" s="1" t="str">
        <f t="shared" si="1152"/>
        <v>0</v>
      </c>
      <c r="N1488" s="1" t="str">
        <f t="shared" si="1153"/>
        <v>0</v>
      </c>
      <c r="O1488" s="1" t="str">
        <f>"14.44"</f>
        <v>14.44</v>
      </c>
    </row>
    <row r="1489" s="1" customFormat="1" spans="1:15">
      <c r="A1489" s="1" t="str">
        <f t="shared" si="1156"/>
        <v>202406</v>
      </c>
      <c r="B1489" s="1" t="str">
        <f t="shared" si="1157"/>
        <v>150525100</v>
      </c>
      <c r="C1489" s="1" t="str">
        <f>"1040689541"</f>
        <v>1040689541</v>
      </c>
      <c r="D1489" s="1" t="str">
        <f>"152326196312110674"</f>
        <v>152326196312110674</v>
      </c>
      <c r="E1489" s="1" t="s">
        <v>1555</v>
      </c>
      <c r="F1489" s="1" t="s">
        <v>25</v>
      </c>
      <c r="G1489" s="1" t="s">
        <v>17</v>
      </c>
      <c r="H1489" s="1" t="str">
        <f t="shared" si="1158"/>
        <v>61</v>
      </c>
      <c r="I1489" s="1" t="str">
        <f>"164.18"</f>
        <v>164.18</v>
      </c>
      <c r="J1489" s="1" t="str">
        <f t="shared" si="1154"/>
        <v>0</v>
      </c>
      <c r="K1489" s="1" t="str">
        <f t="shared" si="1150"/>
        <v>103</v>
      </c>
      <c r="L1489" s="1" t="str">
        <f t="shared" si="1151"/>
        <v>47</v>
      </c>
      <c r="M1489" s="1" t="str">
        <f t="shared" si="1152"/>
        <v>0</v>
      </c>
      <c r="N1489" s="1" t="str">
        <f t="shared" si="1153"/>
        <v>0</v>
      </c>
      <c r="O1489" s="1" t="str">
        <f>"14.18"</f>
        <v>14.18</v>
      </c>
    </row>
    <row r="1490" s="1" customFormat="1" spans="1:15">
      <c r="A1490" s="1" t="str">
        <f t="shared" si="1156"/>
        <v>202406</v>
      </c>
      <c r="B1490" s="1" t="str">
        <f t="shared" si="1157"/>
        <v>150525100</v>
      </c>
      <c r="C1490" s="1" t="str">
        <f>"1040689542"</f>
        <v>1040689542</v>
      </c>
      <c r="D1490" s="1" t="str">
        <f>"152326195702010666"</f>
        <v>152326195702010666</v>
      </c>
      <c r="E1490" s="1" t="s">
        <v>1556</v>
      </c>
      <c r="F1490" s="1" t="s">
        <v>16</v>
      </c>
      <c r="G1490" s="1" t="s">
        <v>17</v>
      </c>
      <c r="H1490" s="1" t="str">
        <f>"67"</f>
        <v>67</v>
      </c>
      <c r="I1490" s="1" t="str">
        <f>"173.7"</f>
        <v>173.7</v>
      </c>
      <c r="J1490" s="1" t="str">
        <f t="shared" si="1154"/>
        <v>0</v>
      </c>
      <c r="K1490" s="1" t="str">
        <f t="shared" si="1150"/>
        <v>103</v>
      </c>
      <c r="L1490" s="1" t="str">
        <f t="shared" si="1151"/>
        <v>47</v>
      </c>
      <c r="M1490" s="1" t="str">
        <f t="shared" si="1152"/>
        <v>0</v>
      </c>
      <c r="N1490" s="1" t="str">
        <f t="shared" si="1153"/>
        <v>0</v>
      </c>
      <c r="O1490" s="1" t="str">
        <f>"23.7"</f>
        <v>23.7</v>
      </c>
    </row>
    <row r="1491" s="1" customFormat="1" spans="1:15">
      <c r="A1491" s="1" t="str">
        <f t="shared" si="1156"/>
        <v>202406</v>
      </c>
      <c r="B1491" s="1" t="str">
        <f t="shared" si="1157"/>
        <v>150525100</v>
      </c>
      <c r="C1491" s="1" t="str">
        <f>"1040689673"</f>
        <v>1040689673</v>
      </c>
      <c r="D1491" s="1" t="str">
        <f>"152326195603160669"</f>
        <v>152326195603160669</v>
      </c>
      <c r="E1491" s="1" t="s">
        <v>1557</v>
      </c>
      <c r="F1491" s="1" t="s">
        <v>16</v>
      </c>
      <c r="G1491" s="1" t="s">
        <v>96</v>
      </c>
      <c r="H1491" s="1" t="str">
        <f>"68"</f>
        <v>68</v>
      </c>
      <c r="I1491" s="1" t="str">
        <f>"155.13"</f>
        <v>155.13</v>
      </c>
      <c r="J1491" s="1" t="str">
        <f t="shared" si="1154"/>
        <v>0</v>
      </c>
      <c r="K1491" s="1" t="str">
        <f t="shared" si="1150"/>
        <v>103</v>
      </c>
      <c r="L1491" s="1" t="str">
        <f t="shared" si="1151"/>
        <v>47</v>
      </c>
      <c r="M1491" s="1" t="str">
        <f t="shared" si="1152"/>
        <v>0</v>
      </c>
      <c r="N1491" s="1" t="str">
        <f t="shared" si="1153"/>
        <v>0</v>
      </c>
      <c r="O1491" s="1" t="str">
        <f>"5.13"</f>
        <v>5.13</v>
      </c>
    </row>
    <row r="1492" s="1" customFormat="1" spans="1:15">
      <c r="A1492" s="1" t="str">
        <f t="shared" si="1156"/>
        <v>202406</v>
      </c>
      <c r="B1492" s="1" t="str">
        <f t="shared" si="1157"/>
        <v>150525100</v>
      </c>
      <c r="C1492" s="1" t="str">
        <f>"1014624997"</f>
        <v>1014624997</v>
      </c>
      <c r="D1492" s="1" t="str">
        <f>"152326194911100671"</f>
        <v>152326194911100671</v>
      </c>
      <c r="E1492" s="1" t="s">
        <v>1558</v>
      </c>
      <c r="F1492" s="1" t="s">
        <v>25</v>
      </c>
      <c r="G1492" s="1" t="s">
        <v>17</v>
      </c>
      <c r="H1492" s="1" t="str">
        <f>"75"</f>
        <v>75</v>
      </c>
      <c r="I1492" s="1" t="str">
        <f t="shared" ref="I1492:I1494" si="1159">"160"</f>
        <v>160</v>
      </c>
      <c r="J1492" s="1" t="str">
        <f t="shared" si="1154"/>
        <v>0</v>
      </c>
      <c r="K1492" s="1" t="str">
        <f t="shared" si="1150"/>
        <v>103</v>
      </c>
      <c r="L1492" s="1" t="str">
        <f t="shared" si="1151"/>
        <v>47</v>
      </c>
      <c r="M1492" s="1" t="str">
        <f t="shared" si="1152"/>
        <v>0</v>
      </c>
      <c r="N1492" s="1" t="str">
        <f t="shared" si="1153"/>
        <v>0</v>
      </c>
      <c r="O1492" s="1" t="str">
        <f t="shared" ref="O1492:O1500" si="1160">"0"</f>
        <v>0</v>
      </c>
    </row>
    <row r="1493" s="1" customFormat="1" spans="1:15">
      <c r="A1493" s="1" t="str">
        <f t="shared" si="1156"/>
        <v>202406</v>
      </c>
      <c r="B1493" s="1" t="str">
        <f t="shared" si="1157"/>
        <v>150525100</v>
      </c>
      <c r="C1493" s="1" t="str">
        <f>"1014625004"</f>
        <v>1014625004</v>
      </c>
      <c r="D1493" s="1" t="str">
        <f>"152326194704020679"</f>
        <v>152326194704020679</v>
      </c>
      <c r="E1493" s="1" t="s">
        <v>1559</v>
      </c>
      <c r="F1493" s="1" t="s">
        <v>25</v>
      </c>
      <c r="G1493" s="1" t="s">
        <v>19</v>
      </c>
      <c r="H1493" s="1" t="str">
        <f>"77"</f>
        <v>77</v>
      </c>
      <c r="I1493" s="1" t="str">
        <f t="shared" si="1159"/>
        <v>160</v>
      </c>
      <c r="J1493" s="1" t="str">
        <f t="shared" si="1154"/>
        <v>0</v>
      </c>
      <c r="K1493" s="1" t="str">
        <f t="shared" si="1150"/>
        <v>103</v>
      </c>
      <c r="L1493" s="1" t="str">
        <f t="shared" si="1151"/>
        <v>47</v>
      </c>
      <c r="M1493" s="1" t="str">
        <f t="shared" si="1152"/>
        <v>0</v>
      </c>
      <c r="N1493" s="1" t="str">
        <f t="shared" si="1153"/>
        <v>0</v>
      </c>
      <c r="O1493" s="1" t="str">
        <f t="shared" si="1160"/>
        <v>0</v>
      </c>
    </row>
    <row r="1494" s="1" customFormat="1" spans="1:15">
      <c r="A1494" s="1" t="str">
        <f t="shared" si="1156"/>
        <v>202406</v>
      </c>
      <c r="B1494" s="1" t="str">
        <f t="shared" si="1157"/>
        <v>150525100</v>
      </c>
      <c r="C1494" s="1" t="str">
        <f>"1014625008"</f>
        <v>1014625008</v>
      </c>
      <c r="D1494" s="1" t="str">
        <f>"152326194703260670"</f>
        <v>152326194703260670</v>
      </c>
      <c r="E1494" s="1" t="s">
        <v>1560</v>
      </c>
      <c r="F1494" s="1" t="s">
        <v>25</v>
      </c>
      <c r="G1494" s="1" t="s">
        <v>19</v>
      </c>
      <c r="H1494" s="1" t="str">
        <f>"77"</f>
        <v>77</v>
      </c>
      <c r="I1494" s="1" t="str">
        <f t="shared" si="1159"/>
        <v>160</v>
      </c>
      <c r="J1494" s="1" t="str">
        <f t="shared" si="1154"/>
        <v>0</v>
      </c>
      <c r="K1494" s="1" t="str">
        <f t="shared" si="1150"/>
        <v>103</v>
      </c>
      <c r="L1494" s="1" t="str">
        <f t="shared" si="1151"/>
        <v>47</v>
      </c>
      <c r="M1494" s="1" t="str">
        <f t="shared" si="1152"/>
        <v>0</v>
      </c>
      <c r="N1494" s="1" t="str">
        <f t="shared" si="1153"/>
        <v>0</v>
      </c>
      <c r="O1494" s="1" t="str">
        <f t="shared" si="1160"/>
        <v>0</v>
      </c>
    </row>
    <row r="1495" s="1" customFormat="1" spans="1:15">
      <c r="A1495" s="1" t="str">
        <f t="shared" si="1156"/>
        <v>202406</v>
      </c>
      <c r="B1495" s="1" t="str">
        <f t="shared" si="1157"/>
        <v>150525100</v>
      </c>
      <c r="C1495" s="1" t="str">
        <f>"1014625016"</f>
        <v>1014625016</v>
      </c>
      <c r="D1495" s="1" t="str">
        <f>"152326194210133825"</f>
        <v>152326194210133825</v>
      </c>
      <c r="E1495" s="1" t="s">
        <v>1561</v>
      </c>
      <c r="F1495" s="1" t="s">
        <v>16</v>
      </c>
      <c r="G1495" s="1" t="s">
        <v>17</v>
      </c>
      <c r="H1495" s="1" t="str">
        <f>"82"</f>
        <v>82</v>
      </c>
      <c r="I1495" s="1" t="str">
        <f>"170"</f>
        <v>170</v>
      </c>
      <c r="J1495" s="1" t="str">
        <f t="shared" si="1154"/>
        <v>0</v>
      </c>
      <c r="K1495" s="1" t="str">
        <f t="shared" si="1150"/>
        <v>103</v>
      </c>
      <c r="L1495" s="1" t="str">
        <f t="shared" si="1151"/>
        <v>47</v>
      </c>
      <c r="M1495" s="1" t="str">
        <f t="shared" si="1152"/>
        <v>0</v>
      </c>
      <c r="N1495" s="1" t="str">
        <f t="shared" si="1153"/>
        <v>0</v>
      </c>
      <c r="O1495" s="1" t="str">
        <f t="shared" si="1160"/>
        <v>0</v>
      </c>
    </row>
    <row r="1496" s="1" customFormat="1" spans="1:15">
      <c r="A1496" s="1" t="str">
        <f t="shared" si="1156"/>
        <v>202406</v>
      </c>
      <c r="B1496" s="1" t="str">
        <f t="shared" si="1157"/>
        <v>150525100</v>
      </c>
      <c r="C1496" s="1" t="str">
        <f>"1014625023"</f>
        <v>1014625023</v>
      </c>
      <c r="D1496" s="1" t="str">
        <f>"152326194812073823"</f>
        <v>152326194812073823</v>
      </c>
      <c r="E1496" s="1" t="s">
        <v>1562</v>
      </c>
      <c r="F1496" s="1" t="s">
        <v>16</v>
      </c>
      <c r="G1496" s="1" t="s">
        <v>17</v>
      </c>
      <c r="H1496" s="1" t="str">
        <f>"76"</f>
        <v>76</v>
      </c>
      <c r="I1496" s="1" t="str">
        <f t="shared" ref="I1496:I1499" si="1161">"160"</f>
        <v>160</v>
      </c>
      <c r="J1496" s="1" t="str">
        <f t="shared" si="1154"/>
        <v>0</v>
      </c>
      <c r="K1496" s="1" t="str">
        <f t="shared" si="1150"/>
        <v>103</v>
      </c>
      <c r="L1496" s="1" t="str">
        <f t="shared" si="1151"/>
        <v>47</v>
      </c>
      <c r="M1496" s="1" t="str">
        <f t="shared" si="1152"/>
        <v>0</v>
      </c>
      <c r="N1496" s="1" t="str">
        <f t="shared" si="1153"/>
        <v>0</v>
      </c>
      <c r="O1496" s="1" t="str">
        <f t="shared" si="1160"/>
        <v>0</v>
      </c>
    </row>
    <row r="1497" s="1" customFormat="1" spans="1:15">
      <c r="A1497" s="1" t="str">
        <f t="shared" si="1156"/>
        <v>202406</v>
      </c>
      <c r="B1497" s="1" t="str">
        <f t="shared" si="1157"/>
        <v>150525100</v>
      </c>
      <c r="C1497" s="1" t="str">
        <f>"1014625024"</f>
        <v>1014625024</v>
      </c>
      <c r="D1497" s="1" t="str">
        <f>"152326194902033841"</f>
        <v>152326194902033841</v>
      </c>
      <c r="E1497" s="1" t="s">
        <v>1563</v>
      </c>
      <c r="F1497" s="1" t="s">
        <v>16</v>
      </c>
      <c r="G1497" s="1" t="s">
        <v>17</v>
      </c>
      <c r="H1497" s="1" t="str">
        <f>"75"</f>
        <v>75</v>
      </c>
      <c r="I1497" s="1" t="str">
        <f t="shared" si="1161"/>
        <v>160</v>
      </c>
      <c r="J1497" s="1" t="str">
        <f t="shared" si="1154"/>
        <v>0</v>
      </c>
      <c r="K1497" s="1" t="str">
        <f t="shared" si="1150"/>
        <v>103</v>
      </c>
      <c r="L1497" s="1" t="str">
        <f t="shared" si="1151"/>
        <v>47</v>
      </c>
      <c r="M1497" s="1" t="str">
        <f t="shared" si="1152"/>
        <v>0</v>
      </c>
      <c r="N1497" s="1" t="str">
        <f t="shared" si="1153"/>
        <v>0</v>
      </c>
      <c r="O1497" s="1" t="str">
        <f t="shared" si="1160"/>
        <v>0</v>
      </c>
    </row>
    <row r="1498" s="1" customFormat="1" spans="1:15">
      <c r="A1498" s="1" t="str">
        <f t="shared" si="1156"/>
        <v>202406</v>
      </c>
      <c r="B1498" s="1" t="str">
        <f t="shared" si="1157"/>
        <v>150525100</v>
      </c>
      <c r="C1498" s="1" t="str">
        <f>"1014625507"</f>
        <v>1014625507</v>
      </c>
      <c r="D1498" s="1" t="str">
        <f>"152326195012290672"</f>
        <v>152326195012290672</v>
      </c>
      <c r="E1498" s="1" t="s">
        <v>1564</v>
      </c>
      <c r="F1498" s="1" t="s">
        <v>25</v>
      </c>
      <c r="G1498" s="1" t="s">
        <v>17</v>
      </c>
      <c r="H1498" s="1" t="str">
        <f>"74"</f>
        <v>74</v>
      </c>
      <c r="I1498" s="1" t="str">
        <f t="shared" si="1161"/>
        <v>160</v>
      </c>
      <c r="J1498" s="1" t="str">
        <f t="shared" si="1154"/>
        <v>0</v>
      </c>
      <c r="K1498" s="1" t="str">
        <f t="shared" si="1150"/>
        <v>103</v>
      </c>
      <c r="L1498" s="1" t="str">
        <f t="shared" si="1151"/>
        <v>47</v>
      </c>
      <c r="M1498" s="1" t="str">
        <f t="shared" si="1152"/>
        <v>0</v>
      </c>
      <c r="N1498" s="1" t="str">
        <f t="shared" si="1153"/>
        <v>0</v>
      </c>
      <c r="O1498" s="1" t="str">
        <f t="shared" si="1160"/>
        <v>0</v>
      </c>
    </row>
    <row r="1499" s="1" customFormat="1" spans="1:15">
      <c r="A1499" s="1" t="str">
        <f t="shared" si="1156"/>
        <v>202406</v>
      </c>
      <c r="B1499" s="1" t="str">
        <f t="shared" si="1157"/>
        <v>150525100</v>
      </c>
      <c r="C1499" s="1" t="str">
        <f>"1014625518"</f>
        <v>1014625518</v>
      </c>
      <c r="D1499" s="1" t="str">
        <f>"152326194908260412"</f>
        <v>152326194908260412</v>
      </c>
      <c r="E1499" s="1" t="s">
        <v>1565</v>
      </c>
      <c r="F1499" s="1" t="s">
        <v>25</v>
      </c>
      <c r="G1499" s="1" t="s">
        <v>17</v>
      </c>
      <c r="H1499" s="1" t="str">
        <f>"75"</f>
        <v>75</v>
      </c>
      <c r="I1499" s="1" t="str">
        <f t="shared" si="1161"/>
        <v>160</v>
      </c>
      <c r="J1499" s="1" t="str">
        <f t="shared" si="1154"/>
        <v>0</v>
      </c>
      <c r="K1499" s="1" t="str">
        <f t="shared" si="1150"/>
        <v>103</v>
      </c>
      <c r="L1499" s="1" t="str">
        <f t="shared" si="1151"/>
        <v>47</v>
      </c>
      <c r="M1499" s="1" t="str">
        <f t="shared" si="1152"/>
        <v>0</v>
      </c>
      <c r="N1499" s="1" t="str">
        <f t="shared" si="1153"/>
        <v>0</v>
      </c>
      <c r="O1499" s="1" t="str">
        <f t="shared" si="1160"/>
        <v>0</v>
      </c>
    </row>
    <row r="1500" s="1" customFormat="1" spans="1:15">
      <c r="A1500" s="1" t="str">
        <f t="shared" si="1156"/>
        <v>202406</v>
      </c>
      <c r="B1500" s="1" t="str">
        <f t="shared" si="1157"/>
        <v>150525100</v>
      </c>
      <c r="C1500" s="1" t="str">
        <f>"1014630226"</f>
        <v>1014630226</v>
      </c>
      <c r="D1500" s="1" t="str">
        <f>"152326195010193828"</f>
        <v>152326195010193828</v>
      </c>
      <c r="E1500" s="1" t="s">
        <v>235</v>
      </c>
      <c r="F1500" s="1" t="s">
        <v>16</v>
      </c>
      <c r="G1500" s="1" t="s">
        <v>17</v>
      </c>
      <c r="H1500" s="1" t="str">
        <f>"74"</f>
        <v>74</v>
      </c>
      <c r="I1500" s="1" t="str">
        <f>"640"</f>
        <v>640</v>
      </c>
      <c r="J1500" s="1" t="str">
        <f>"480"</f>
        <v>480</v>
      </c>
      <c r="K1500" s="1" t="str">
        <f>"412"</f>
        <v>412</v>
      </c>
      <c r="L1500" s="1" t="str">
        <f>"188"</f>
        <v>188</v>
      </c>
      <c r="M1500" s="1" t="str">
        <f t="shared" si="1152"/>
        <v>0</v>
      </c>
      <c r="N1500" s="1" t="str">
        <f t="shared" si="1153"/>
        <v>0</v>
      </c>
      <c r="O1500" s="1" t="str">
        <f t="shared" si="1160"/>
        <v>0</v>
      </c>
    </row>
    <row r="1501" s="1" customFormat="1" spans="1:15">
      <c r="A1501" s="1" t="str">
        <f t="shared" si="1156"/>
        <v>202406</v>
      </c>
      <c r="B1501" s="1" t="str">
        <f t="shared" si="1157"/>
        <v>150525100</v>
      </c>
      <c r="C1501" s="1" t="str">
        <f>"1042692977"</f>
        <v>1042692977</v>
      </c>
      <c r="D1501" s="1" t="str">
        <f>"152326196110250687"</f>
        <v>152326196110250687</v>
      </c>
      <c r="E1501" s="1" t="s">
        <v>1566</v>
      </c>
      <c r="F1501" s="1" t="s">
        <v>16</v>
      </c>
      <c r="G1501" s="1" t="s">
        <v>17</v>
      </c>
      <c r="H1501" s="1" t="str">
        <f>"63"</f>
        <v>63</v>
      </c>
      <c r="I1501" s="1" t="str">
        <f>"158.63"</f>
        <v>158.63</v>
      </c>
      <c r="J1501" s="1" t="str">
        <f t="shared" ref="J1501:J1558" si="1162">"0"</f>
        <v>0</v>
      </c>
      <c r="K1501" s="1" t="str">
        <f t="shared" ref="K1501:K1537" si="1163">"103"</f>
        <v>103</v>
      </c>
      <c r="L1501" s="1" t="str">
        <f t="shared" ref="L1501:L1537" si="1164">"47"</f>
        <v>47</v>
      </c>
      <c r="M1501" s="1" t="str">
        <f t="shared" si="1152"/>
        <v>0</v>
      </c>
      <c r="N1501" s="1" t="str">
        <f t="shared" si="1153"/>
        <v>0</v>
      </c>
      <c r="O1501" s="1" t="str">
        <f>"8.63"</f>
        <v>8.63</v>
      </c>
    </row>
    <row r="1502" s="1" customFormat="1" spans="1:15">
      <c r="A1502" s="1" t="str">
        <f t="shared" si="1156"/>
        <v>202406</v>
      </c>
      <c r="B1502" s="1" t="str">
        <f t="shared" si="1157"/>
        <v>150525100</v>
      </c>
      <c r="C1502" s="1" t="str">
        <f>"1014625038"</f>
        <v>1014625038</v>
      </c>
      <c r="D1502" s="1" t="str">
        <f>"152326194701010029"</f>
        <v>152326194701010029</v>
      </c>
      <c r="E1502" s="1" t="s">
        <v>1567</v>
      </c>
      <c r="F1502" s="1" t="s">
        <v>16</v>
      </c>
      <c r="G1502" s="1" t="s">
        <v>17</v>
      </c>
      <c r="H1502" s="1" t="str">
        <f>"78"</f>
        <v>78</v>
      </c>
      <c r="I1502" s="1" t="str">
        <f t="shared" ref="I1502:I1507" si="1165">"160"</f>
        <v>160</v>
      </c>
      <c r="J1502" s="1" t="str">
        <f t="shared" si="1162"/>
        <v>0</v>
      </c>
      <c r="K1502" s="1" t="str">
        <f t="shared" si="1163"/>
        <v>103</v>
      </c>
      <c r="L1502" s="1" t="str">
        <f t="shared" si="1164"/>
        <v>47</v>
      </c>
      <c r="M1502" s="1" t="str">
        <f t="shared" si="1152"/>
        <v>0</v>
      </c>
      <c r="N1502" s="1" t="str">
        <f t="shared" si="1153"/>
        <v>0</v>
      </c>
      <c r="O1502" s="1" t="str">
        <f t="shared" ref="O1502:O1507" si="1166">"0"</f>
        <v>0</v>
      </c>
    </row>
    <row r="1503" s="1" customFormat="1" spans="1:15">
      <c r="A1503" s="1" t="str">
        <f t="shared" si="1156"/>
        <v>202406</v>
      </c>
      <c r="B1503" s="1" t="str">
        <f t="shared" si="1157"/>
        <v>150525100</v>
      </c>
      <c r="C1503" s="1" t="str">
        <f>"1014625040"</f>
        <v>1014625040</v>
      </c>
      <c r="D1503" s="1" t="str">
        <f>"152326194205200026"</f>
        <v>152326194205200026</v>
      </c>
      <c r="E1503" s="1" t="s">
        <v>1568</v>
      </c>
      <c r="F1503" s="1" t="s">
        <v>16</v>
      </c>
      <c r="G1503" s="1" t="s">
        <v>17</v>
      </c>
      <c r="H1503" s="1" t="str">
        <f>"82"</f>
        <v>82</v>
      </c>
      <c r="I1503" s="1" t="str">
        <f>"170"</f>
        <v>170</v>
      </c>
      <c r="J1503" s="1" t="str">
        <f t="shared" si="1162"/>
        <v>0</v>
      </c>
      <c r="K1503" s="1" t="str">
        <f t="shared" si="1163"/>
        <v>103</v>
      </c>
      <c r="L1503" s="1" t="str">
        <f t="shared" si="1164"/>
        <v>47</v>
      </c>
      <c r="M1503" s="1" t="str">
        <f t="shared" si="1152"/>
        <v>0</v>
      </c>
      <c r="N1503" s="1" t="str">
        <f t="shared" si="1153"/>
        <v>0</v>
      </c>
      <c r="O1503" s="1" t="str">
        <f t="shared" si="1166"/>
        <v>0</v>
      </c>
    </row>
    <row r="1504" s="1" customFormat="1" spans="1:15">
      <c r="A1504" s="1" t="str">
        <f t="shared" si="1156"/>
        <v>202406</v>
      </c>
      <c r="B1504" s="1" t="str">
        <f t="shared" si="1157"/>
        <v>150525100</v>
      </c>
      <c r="C1504" s="1" t="str">
        <f>"1014630254"</f>
        <v>1014630254</v>
      </c>
      <c r="D1504" s="1" t="str">
        <f>"152326194809093823"</f>
        <v>152326194809093823</v>
      </c>
      <c r="E1504" s="1" t="s">
        <v>1569</v>
      </c>
      <c r="F1504" s="1" t="s">
        <v>16</v>
      </c>
      <c r="G1504" s="1" t="s">
        <v>17</v>
      </c>
      <c r="H1504" s="1" t="str">
        <f>"76"</f>
        <v>76</v>
      </c>
      <c r="I1504" s="1" t="str">
        <f t="shared" si="1165"/>
        <v>160</v>
      </c>
      <c r="J1504" s="1" t="str">
        <f t="shared" si="1162"/>
        <v>0</v>
      </c>
      <c r="K1504" s="1" t="str">
        <f t="shared" si="1163"/>
        <v>103</v>
      </c>
      <c r="L1504" s="1" t="str">
        <f t="shared" si="1164"/>
        <v>47</v>
      </c>
      <c r="M1504" s="1" t="str">
        <f t="shared" si="1152"/>
        <v>0</v>
      </c>
      <c r="N1504" s="1" t="str">
        <f t="shared" si="1153"/>
        <v>0</v>
      </c>
      <c r="O1504" s="1" t="str">
        <f t="shared" si="1166"/>
        <v>0</v>
      </c>
    </row>
    <row r="1505" s="1" customFormat="1" spans="1:15">
      <c r="A1505" s="1" t="str">
        <f t="shared" si="1156"/>
        <v>202406</v>
      </c>
      <c r="B1505" s="1" t="str">
        <f t="shared" si="1157"/>
        <v>150525100</v>
      </c>
      <c r="C1505" s="1" t="str">
        <f>"1014625116"</f>
        <v>1014625116</v>
      </c>
      <c r="D1505" s="1" t="str">
        <f>"152326194907140443"</f>
        <v>152326194907140443</v>
      </c>
      <c r="E1505" s="1" t="s">
        <v>1570</v>
      </c>
      <c r="F1505" s="1" t="s">
        <v>16</v>
      </c>
      <c r="G1505" s="1" t="s">
        <v>19</v>
      </c>
      <c r="H1505" s="1" t="str">
        <f>"75"</f>
        <v>75</v>
      </c>
      <c r="I1505" s="1" t="str">
        <f t="shared" si="1165"/>
        <v>160</v>
      </c>
      <c r="J1505" s="1" t="str">
        <f t="shared" si="1162"/>
        <v>0</v>
      </c>
      <c r="K1505" s="1" t="str">
        <f t="shared" si="1163"/>
        <v>103</v>
      </c>
      <c r="L1505" s="1" t="str">
        <f t="shared" si="1164"/>
        <v>47</v>
      </c>
      <c r="M1505" s="1" t="str">
        <f t="shared" si="1152"/>
        <v>0</v>
      </c>
      <c r="N1505" s="1" t="str">
        <f t="shared" si="1153"/>
        <v>0</v>
      </c>
      <c r="O1505" s="1" t="str">
        <f t="shared" si="1166"/>
        <v>0</v>
      </c>
    </row>
    <row r="1506" s="1" customFormat="1" spans="1:15">
      <c r="A1506" s="1" t="str">
        <f t="shared" si="1156"/>
        <v>202406</v>
      </c>
      <c r="B1506" s="1" t="str">
        <f t="shared" si="1157"/>
        <v>150525100</v>
      </c>
      <c r="C1506" s="1" t="str">
        <f>"1014625125"</f>
        <v>1014625125</v>
      </c>
      <c r="D1506" s="1" t="str">
        <f>"152326195111190423"</f>
        <v>152326195111190423</v>
      </c>
      <c r="E1506" s="1" t="s">
        <v>1571</v>
      </c>
      <c r="F1506" s="1" t="s">
        <v>16</v>
      </c>
      <c r="G1506" s="1" t="s">
        <v>17</v>
      </c>
      <c r="H1506" s="1" t="str">
        <f>"73"</f>
        <v>73</v>
      </c>
      <c r="I1506" s="1" t="str">
        <f t="shared" si="1165"/>
        <v>160</v>
      </c>
      <c r="J1506" s="1" t="str">
        <f t="shared" si="1162"/>
        <v>0</v>
      </c>
      <c r="K1506" s="1" t="str">
        <f t="shared" si="1163"/>
        <v>103</v>
      </c>
      <c r="L1506" s="1" t="str">
        <f t="shared" si="1164"/>
        <v>47</v>
      </c>
      <c r="M1506" s="1" t="str">
        <f t="shared" si="1152"/>
        <v>0</v>
      </c>
      <c r="N1506" s="1" t="str">
        <f t="shared" si="1153"/>
        <v>0</v>
      </c>
      <c r="O1506" s="1" t="str">
        <f t="shared" si="1166"/>
        <v>0</v>
      </c>
    </row>
    <row r="1507" s="1" customFormat="1" spans="1:15">
      <c r="A1507" s="1" t="str">
        <f t="shared" si="1156"/>
        <v>202406</v>
      </c>
      <c r="B1507" s="1" t="str">
        <f t="shared" si="1157"/>
        <v>150525100</v>
      </c>
      <c r="C1507" s="1" t="str">
        <f>"1014625153"</f>
        <v>1014625153</v>
      </c>
      <c r="D1507" s="1" t="str">
        <f>"152326194610140426"</f>
        <v>152326194610140426</v>
      </c>
      <c r="E1507" s="1" t="s">
        <v>1572</v>
      </c>
      <c r="F1507" s="1" t="s">
        <v>16</v>
      </c>
      <c r="G1507" s="1" t="s">
        <v>17</v>
      </c>
      <c r="H1507" s="1" t="str">
        <f>"78"</f>
        <v>78</v>
      </c>
      <c r="I1507" s="1" t="str">
        <f t="shared" si="1165"/>
        <v>160</v>
      </c>
      <c r="J1507" s="1" t="str">
        <f t="shared" si="1162"/>
        <v>0</v>
      </c>
      <c r="K1507" s="1" t="str">
        <f t="shared" si="1163"/>
        <v>103</v>
      </c>
      <c r="L1507" s="1" t="str">
        <f t="shared" si="1164"/>
        <v>47</v>
      </c>
      <c r="M1507" s="1" t="str">
        <f t="shared" si="1152"/>
        <v>0</v>
      </c>
      <c r="N1507" s="1" t="str">
        <f t="shared" si="1153"/>
        <v>0</v>
      </c>
      <c r="O1507" s="1" t="str">
        <f t="shared" si="1166"/>
        <v>0</v>
      </c>
    </row>
    <row r="1508" s="1" customFormat="1" spans="1:15">
      <c r="A1508" s="1" t="str">
        <f t="shared" si="1156"/>
        <v>202406</v>
      </c>
      <c r="B1508" s="1" t="str">
        <f t="shared" si="1157"/>
        <v>150525100</v>
      </c>
      <c r="C1508" s="1" t="str">
        <f>"1014641102"</f>
        <v>1014641102</v>
      </c>
      <c r="D1508" s="1" t="str">
        <f>"152326196207160426"</f>
        <v>152326196207160426</v>
      </c>
      <c r="E1508" s="1" t="s">
        <v>1573</v>
      </c>
      <c r="F1508" s="1" t="s">
        <v>16</v>
      </c>
      <c r="G1508" s="1" t="s">
        <v>17</v>
      </c>
      <c r="H1508" s="1" t="str">
        <f>"62"</f>
        <v>62</v>
      </c>
      <c r="I1508" s="1" t="str">
        <f>"162.83"</f>
        <v>162.83</v>
      </c>
      <c r="J1508" s="1" t="str">
        <f t="shared" si="1162"/>
        <v>0</v>
      </c>
      <c r="K1508" s="1" t="str">
        <f t="shared" si="1163"/>
        <v>103</v>
      </c>
      <c r="L1508" s="1" t="str">
        <f t="shared" si="1164"/>
        <v>47</v>
      </c>
      <c r="M1508" s="1" t="str">
        <f t="shared" si="1152"/>
        <v>0</v>
      </c>
      <c r="N1508" s="1" t="str">
        <f t="shared" si="1153"/>
        <v>0</v>
      </c>
      <c r="O1508" s="1" t="str">
        <f>"12.83"</f>
        <v>12.83</v>
      </c>
    </row>
    <row r="1509" s="1" customFormat="1" spans="1:15">
      <c r="A1509" s="1" t="str">
        <f t="shared" si="1156"/>
        <v>202406</v>
      </c>
      <c r="B1509" s="1" t="str">
        <f t="shared" si="1157"/>
        <v>150525100</v>
      </c>
      <c r="C1509" s="1" t="str">
        <f>"1014625191"</f>
        <v>1014625191</v>
      </c>
      <c r="D1509" s="1" t="str">
        <f>"152326194310100668"</f>
        <v>152326194310100668</v>
      </c>
      <c r="E1509" s="1" t="s">
        <v>1574</v>
      </c>
      <c r="F1509" s="1" t="s">
        <v>16</v>
      </c>
      <c r="G1509" s="1" t="s">
        <v>17</v>
      </c>
      <c r="H1509" s="1" t="str">
        <f>"81"</f>
        <v>81</v>
      </c>
      <c r="I1509" s="1" t="str">
        <f>"170"</f>
        <v>170</v>
      </c>
      <c r="J1509" s="1" t="str">
        <f t="shared" si="1162"/>
        <v>0</v>
      </c>
      <c r="K1509" s="1" t="str">
        <f t="shared" si="1163"/>
        <v>103</v>
      </c>
      <c r="L1509" s="1" t="str">
        <f t="shared" si="1164"/>
        <v>47</v>
      </c>
      <c r="M1509" s="1" t="str">
        <f t="shared" si="1152"/>
        <v>0</v>
      </c>
      <c r="N1509" s="1" t="str">
        <f t="shared" si="1153"/>
        <v>0</v>
      </c>
      <c r="O1509" s="1" t="str">
        <f t="shared" ref="O1509:O1529" si="1167">"0"</f>
        <v>0</v>
      </c>
    </row>
    <row r="1510" s="1" customFormat="1" spans="1:15">
      <c r="A1510" s="1" t="str">
        <f t="shared" si="1156"/>
        <v>202406</v>
      </c>
      <c r="B1510" s="1" t="str">
        <f t="shared" si="1157"/>
        <v>150525100</v>
      </c>
      <c r="C1510" s="1" t="str">
        <f>"1014625199"</f>
        <v>1014625199</v>
      </c>
      <c r="D1510" s="1" t="str">
        <f>"152326195106170663"</f>
        <v>152326195106170663</v>
      </c>
      <c r="E1510" s="1" t="s">
        <v>1575</v>
      </c>
      <c r="F1510" s="1" t="s">
        <v>16</v>
      </c>
      <c r="G1510" s="1" t="s">
        <v>17</v>
      </c>
      <c r="H1510" s="1" t="str">
        <f>"73"</f>
        <v>73</v>
      </c>
      <c r="I1510" s="1" t="str">
        <f t="shared" ref="I1510:I1513" si="1168">"160"</f>
        <v>160</v>
      </c>
      <c r="J1510" s="1" t="str">
        <f t="shared" si="1162"/>
        <v>0</v>
      </c>
      <c r="K1510" s="1" t="str">
        <f t="shared" si="1163"/>
        <v>103</v>
      </c>
      <c r="L1510" s="1" t="str">
        <f t="shared" si="1164"/>
        <v>47</v>
      </c>
      <c r="M1510" s="1" t="str">
        <f t="shared" si="1152"/>
        <v>0</v>
      </c>
      <c r="N1510" s="1" t="str">
        <f t="shared" si="1153"/>
        <v>0</v>
      </c>
      <c r="O1510" s="1" t="str">
        <f t="shared" si="1167"/>
        <v>0</v>
      </c>
    </row>
    <row r="1511" s="1" customFormat="1" spans="1:15">
      <c r="A1511" s="1" t="str">
        <f t="shared" si="1156"/>
        <v>202406</v>
      </c>
      <c r="B1511" s="1" t="str">
        <f t="shared" si="1157"/>
        <v>150525100</v>
      </c>
      <c r="C1511" s="1" t="str">
        <f>"1042690919"</f>
        <v>1042690919</v>
      </c>
      <c r="D1511" s="1" t="str">
        <f>"152326196311200440"</f>
        <v>152326196311200440</v>
      </c>
      <c r="E1511" s="1" t="s">
        <v>1576</v>
      </c>
      <c r="F1511" s="1" t="s">
        <v>16</v>
      </c>
      <c r="G1511" s="1" t="s">
        <v>19</v>
      </c>
      <c r="H1511" s="1" t="str">
        <f>"61"</f>
        <v>61</v>
      </c>
      <c r="I1511" s="1" t="str">
        <f>"170.98"</f>
        <v>170.98</v>
      </c>
      <c r="J1511" s="1" t="str">
        <f t="shared" si="1162"/>
        <v>0</v>
      </c>
      <c r="K1511" s="1" t="str">
        <f t="shared" si="1163"/>
        <v>103</v>
      </c>
      <c r="L1511" s="1" t="str">
        <f t="shared" si="1164"/>
        <v>47</v>
      </c>
      <c r="M1511" s="1" t="str">
        <f t="shared" si="1152"/>
        <v>0</v>
      </c>
      <c r="N1511" s="1" t="str">
        <f t="shared" si="1153"/>
        <v>0</v>
      </c>
      <c r="O1511" s="1" t="str">
        <f>"20.98"</f>
        <v>20.98</v>
      </c>
    </row>
    <row r="1512" s="1" customFormat="1" spans="1:15">
      <c r="A1512" s="1" t="str">
        <f t="shared" si="1156"/>
        <v>202406</v>
      </c>
      <c r="B1512" s="1" t="str">
        <f t="shared" si="1157"/>
        <v>150525100</v>
      </c>
      <c r="C1512" s="1" t="str">
        <f>"1015307327"</f>
        <v>1015307327</v>
      </c>
      <c r="D1512" s="1" t="str">
        <f>"152326194607210913"</f>
        <v>152326194607210913</v>
      </c>
      <c r="E1512" s="1" t="s">
        <v>1577</v>
      </c>
      <c r="F1512" s="1" t="s">
        <v>25</v>
      </c>
      <c r="G1512" s="1" t="s">
        <v>19</v>
      </c>
      <c r="H1512" s="1" t="str">
        <f>"78"</f>
        <v>78</v>
      </c>
      <c r="I1512" s="1" t="str">
        <f t="shared" si="1168"/>
        <v>160</v>
      </c>
      <c r="J1512" s="1" t="str">
        <f t="shared" si="1162"/>
        <v>0</v>
      </c>
      <c r="K1512" s="1" t="str">
        <f t="shared" si="1163"/>
        <v>103</v>
      </c>
      <c r="L1512" s="1" t="str">
        <f t="shared" si="1164"/>
        <v>47</v>
      </c>
      <c r="M1512" s="1" t="str">
        <f t="shared" si="1152"/>
        <v>0</v>
      </c>
      <c r="N1512" s="1" t="str">
        <f t="shared" si="1153"/>
        <v>0</v>
      </c>
      <c r="O1512" s="1" t="str">
        <f t="shared" si="1167"/>
        <v>0</v>
      </c>
    </row>
    <row r="1513" s="1" customFormat="1" spans="1:15">
      <c r="A1513" s="1" t="str">
        <f t="shared" si="1156"/>
        <v>202406</v>
      </c>
      <c r="B1513" s="1" t="str">
        <f t="shared" si="1157"/>
        <v>150525100</v>
      </c>
      <c r="C1513" s="1" t="str">
        <f>"1015307342"</f>
        <v>1015307342</v>
      </c>
      <c r="D1513" s="1" t="str">
        <f>"152326194804173824"</f>
        <v>152326194804173824</v>
      </c>
      <c r="E1513" s="1" t="s">
        <v>899</v>
      </c>
      <c r="F1513" s="1" t="s">
        <v>16</v>
      </c>
      <c r="G1513" s="1" t="s">
        <v>19</v>
      </c>
      <c r="H1513" s="1" t="str">
        <f>"76"</f>
        <v>76</v>
      </c>
      <c r="I1513" s="1" t="str">
        <f t="shared" si="1168"/>
        <v>160</v>
      </c>
      <c r="J1513" s="1" t="str">
        <f t="shared" si="1162"/>
        <v>0</v>
      </c>
      <c r="K1513" s="1" t="str">
        <f t="shared" si="1163"/>
        <v>103</v>
      </c>
      <c r="L1513" s="1" t="str">
        <f t="shared" si="1164"/>
        <v>47</v>
      </c>
      <c r="M1513" s="1" t="str">
        <f t="shared" si="1152"/>
        <v>0</v>
      </c>
      <c r="N1513" s="1" t="str">
        <f t="shared" si="1153"/>
        <v>0</v>
      </c>
      <c r="O1513" s="1" t="str">
        <f t="shared" si="1167"/>
        <v>0</v>
      </c>
    </row>
    <row r="1514" s="1" customFormat="1" spans="1:15">
      <c r="A1514" s="1" t="str">
        <f t="shared" si="1156"/>
        <v>202406</v>
      </c>
      <c r="B1514" s="1" t="str">
        <f t="shared" si="1157"/>
        <v>150525100</v>
      </c>
      <c r="C1514" s="1" t="str">
        <f>"1014613391"</f>
        <v>1014613391</v>
      </c>
      <c r="D1514" s="1" t="str">
        <f>"152326192808270411"</f>
        <v>152326192808270411</v>
      </c>
      <c r="E1514" s="1" t="s">
        <v>1578</v>
      </c>
      <c r="F1514" s="1" t="s">
        <v>25</v>
      </c>
      <c r="G1514" s="1" t="s">
        <v>17</v>
      </c>
      <c r="H1514" s="1" t="str">
        <f>"96"</f>
        <v>96</v>
      </c>
      <c r="I1514" s="1" t="str">
        <f t="shared" ref="I1514:I1517" si="1169">"170"</f>
        <v>170</v>
      </c>
      <c r="J1514" s="1" t="str">
        <f t="shared" si="1162"/>
        <v>0</v>
      </c>
      <c r="K1514" s="1" t="str">
        <f t="shared" si="1163"/>
        <v>103</v>
      </c>
      <c r="L1514" s="1" t="str">
        <f t="shared" si="1164"/>
        <v>47</v>
      </c>
      <c r="M1514" s="1" t="str">
        <f t="shared" si="1152"/>
        <v>0</v>
      </c>
      <c r="N1514" s="1" t="str">
        <f t="shared" si="1153"/>
        <v>0</v>
      </c>
      <c r="O1514" s="1" t="str">
        <f t="shared" si="1167"/>
        <v>0</v>
      </c>
    </row>
    <row r="1515" s="1" customFormat="1" spans="1:15">
      <c r="A1515" s="1" t="str">
        <f t="shared" si="1156"/>
        <v>202406</v>
      </c>
      <c r="B1515" s="1" t="str">
        <f t="shared" si="1157"/>
        <v>150525100</v>
      </c>
      <c r="C1515" s="1" t="str">
        <f>"1014624194"</f>
        <v>1014624194</v>
      </c>
      <c r="D1515" s="1" t="str">
        <f>"152326194607150682"</f>
        <v>152326194607150682</v>
      </c>
      <c r="E1515" s="1" t="s">
        <v>1579</v>
      </c>
      <c r="F1515" s="1" t="s">
        <v>16</v>
      </c>
      <c r="G1515" s="1" t="s">
        <v>17</v>
      </c>
      <c r="H1515" s="1" t="str">
        <f>"78"</f>
        <v>78</v>
      </c>
      <c r="I1515" s="1" t="str">
        <f t="shared" ref="I1515:I1520" si="1170">"160"</f>
        <v>160</v>
      </c>
      <c r="J1515" s="1" t="str">
        <f t="shared" si="1162"/>
        <v>0</v>
      </c>
      <c r="K1515" s="1" t="str">
        <f t="shared" si="1163"/>
        <v>103</v>
      </c>
      <c r="L1515" s="1" t="str">
        <f t="shared" si="1164"/>
        <v>47</v>
      </c>
      <c r="M1515" s="1" t="str">
        <f t="shared" si="1152"/>
        <v>0</v>
      </c>
      <c r="N1515" s="1" t="str">
        <f t="shared" si="1153"/>
        <v>0</v>
      </c>
      <c r="O1515" s="1" t="str">
        <f t="shared" si="1167"/>
        <v>0</v>
      </c>
    </row>
    <row r="1516" s="1" customFormat="1" spans="1:15">
      <c r="A1516" s="1" t="str">
        <f t="shared" si="1156"/>
        <v>202406</v>
      </c>
      <c r="B1516" s="1" t="str">
        <f t="shared" si="1157"/>
        <v>150525100</v>
      </c>
      <c r="C1516" s="1" t="str">
        <f>"1014624206"</f>
        <v>1014624206</v>
      </c>
      <c r="D1516" s="1" t="str">
        <f>"152326194401230660"</f>
        <v>152326194401230660</v>
      </c>
      <c r="E1516" s="1" t="s">
        <v>602</v>
      </c>
      <c r="F1516" s="1" t="s">
        <v>16</v>
      </c>
      <c r="G1516" s="1" t="s">
        <v>17</v>
      </c>
      <c r="H1516" s="1" t="str">
        <f>"80"</f>
        <v>80</v>
      </c>
      <c r="I1516" s="1" t="str">
        <f t="shared" si="1169"/>
        <v>170</v>
      </c>
      <c r="J1516" s="1" t="str">
        <f t="shared" si="1162"/>
        <v>0</v>
      </c>
      <c r="K1516" s="1" t="str">
        <f t="shared" si="1163"/>
        <v>103</v>
      </c>
      <c r="L1516" s="1" t="str">
        <f t="shared" si="1164"/>
        <v>47</v>
      </c>
      <c r="M1516" s="1" t="str">
        <f t="shared" si="1152"/>
        <v>0</v>
      </c>
      <c r="N1516" s="1" t="str">
        <f t="shared" si="1153"/>
        <v>0</v>
      </c>
      <c r="O1516" s="1" t="str">
        <f t="shared" si="1167"/>
        <v>0</v>
      </c>
    </row>
    <row r="1517" s="1" customFormat="1" spans="1:15">
      <c r="A1517" s="1" t="str">
        <f t="shared" si="1156"/>
        <v>202406</v>
      </c>
      <c r="B1517" s="1" t="str">
        <f t="shared" si="1157"/>
        <v>150525100</v>
      </c>
      <c r="C1517" s="1" t="str">
        <f>"1014624207"</f>
        <v>1014624207</v>
      </c>
      <c r="D1517" s="1" t="str">
        <f>"152326194003127625"</f>
        <v>152326194003127625</v>
      </c>
      <c r="E1517" s="1" t="s">
        <v>1580</v>
      </c>
      <c r="F1517" s="1" t="s">
        <v>16</v>
      </c>
      <c r="G1517" s="1" t="s">
        <v>17</v>
      </c>
      <c r="H1517" s="1" t="str">
        <f>"84"</f>
        <v>84</v>
      </c>
      <c r="I1517" s="1" t="str">
        <f t="shared" si="1169"/>
        <v>170</v>
      </c>
      <c r="J1517" s="1" t="str">
        <f t="shared" si="1162"/>
        <v>0</v>
      </c>
      <c r="K1517" s="1" t="str">
        <f t="shared" si="1163"/>
        <v>103</v>
      </c>
      <c r="L1517" s="1" t="str">
        <f t="shared" si="1164"/>
        <v>47</v>
      </c>
      <c r="M1517" s="1" t="str">
        <f t="shared" si="1152"/>
        <v>0</v>
      </c>
      <c r="N1517" s="1" t="str">
        <f t="shared" si="1153"/>
        <v>0</v>
      </c>
      <c r="O1517" s="1" t="str">
        <f t="shared" si="1167"/>
        <v>0</v>
      </c>
    </row>
    <row r="1518" s="1" customFormat="1" spans="1:15">
      <c r="A1518" s="1" t="str">
        <f t="shared" si="1156"/>
        <v>202406</v>
      </c>
      <c r="B1518" s="1" t="str">
        <f t="shared" si="1157"/>
        <v>150525100</v>
      </c>
      <c r="C1518" s="1" t="str">
        <f>"1014624217"</f>
        <v>1014624217</v>
      </c>
      <c r="D1518" s="1" t="str">
        <f>"152326194908220672"</f>
        <v>152326194908220672</v>
      </c>
      <c r="E1518" s="1" t="s">
        <v>1581</v>
      </c>
      <c r="F1518" s="1" t="s">
        <v>25</v>
      </c>
      <c r="G1518" s="1" t="s">
        <v>17</v>
      </c>
      <c r="H1518" s="1" t="str">
        <f>"75"</f>
        <v>75</v>
      </c>
      <c r="I1518" s="1" t="str">
        <f t="shared" si="1170"/>
        <v>160</v>
      </c>
      <c r="J1518" s="1" t="str">
        <f t="shared" si="1162"/>
        <v>0</v>
      </c>
      <c r="K1518" s="1" t="str">
        <f t="shared" si="1163"/>
        <v>103</v>
      </c>
      <c r="L1518" s="1" t="str">
        <f t="shared" si="1164"/>
        <v>47</v>
      </c>
      <c r="M1518" s="1" t="str">
        <f t="shared" si="1152"/>
        <v>0</v>
      </c>
      <c r="N1518" s="1" t="str">
        <f t="shared" si="1153"/>
        <v>0</v>
      </c>
      <c r="O1518" s="1" t="str">
        <f t="shared" si="1167"/>
        <v>0</v>
      </c>
    </row>
    <row r="1519" s="1" customFormat="1" spans="1:15">
      <c r="A1519" s="1" t="str">
        <f t="shared" si="1156"/>
        <v>202406</v>
      </c>
      <c r="B1519" s="1" t="str">
        <f t="shared" si="1157"/>
        <v>150525100</v>
      </c>
      <c r="C1519" s="1" t="str">
        <f>"1014624220"</f>
        <v>1014624220</v>
      </c>
      <c r="D1519" s="1" t="str">
        <f>"152326194308110672"</f>
        <v>152326194308110672</v>
      </c>
      <c r="E1519" s="1" t="s">
        <v>1582</v>
      </c>
      <c r="F1519" s="1" t="s">
        <v>25</v>
      </c>
      <c r="G1519" s="1" t="s">
        <v>17</v>
      </c>
      <c r="H1519" s="1" t="str">
        <f>"81"</f>
        <v>81</v>
      </c>
      <c r="I1519" s="1" t="str">
        <f t="shared" ref="I1519:I1523" si="1171">"170"</f>
        <v>170</v>
      </c>
      <c r="J1519" s="1" t="str">
        <f t="shared" si="1162"/>
        <v>0</v>
      </c>
      <c r="K1519" s="1" t="str">
        <f t="shared" si="1163"/>
        <v>103</v>
      </c>
      <c r="L1519" s="1" t="str">
        <f t="shared" si="1164"/>
        <v>47</v>
      </c>
      <c r="M1519" s="1" t="str">
        <f t="shared" si="1152"/>
        <v>0</v>
      </c>
      <c r="N1519" s="1" t="str">
        <f t="shared" si="1153"/>
        <v>0</v>
      </c>
      <c r="O1519" s="1" t="str">
        <f t="shared" si="1167"/>
        <v>0</v>
      </c>
    </row>
    <row r="1520" s="1" customFormat="1" spans="1:15">
      <c r="A1520" s="1" t="str">
        <f t="shared" si="1156"/>
        <v>202406</v>
      </c>
      <c r="B1520" s="1" t="str">
        <f t="shared" si="1157"/>
        <v>150525100</v>
      </c>
      <c r="C1520" s="1" t="str">
        <f>"1014613053"</f>
        <v>1014613053</v>
      </c>
      <c r="D1520" s="1" t="str">
        <f>"152326195103050922"</f>
        <v>152326195103050922</v>
      </c>
      <c r="E1520" s="1" t="s">
        <v>1583</v>
      </c>
      <c r="F1520" s="1" t="s">
        <v>16</v>
      </c>
      <c r="G1520" s="1" t="s">
        <v>19</v>
      </c>
      <c r="H1520" s="1" t="str">
        <f>"73"</f>
        <v>73</v>
      </c>
      <c r="I1520" s="1" t="str">
        <f t="shared" si="1170"/>
        <v>160</v>
      </c>
      <c r="J1520" s="1" t="str">
        <f t="shared" si="1162"/>
        <v>0</v>
      </c>
      <c r="K1520" s="1" t="str">
        <f t="shared" si="1163"/>
        <v>103</v>
      </c>
      <c r="L1520" s="1" t="str">
        <f t="shared" si="1164"/>
        <v>47</v>
      </c>
      <c r="M1520" s="1" t="str">
        <f t="shared" si="1152"/>
        <v>0</v>
      </c>
      <c r="N1520" s="1" t="str">
        <f t="shared" si="1153"/>
        <v>0</v>
      </c>
      <c r="O1520" s="1" t="str">
        <f t="shared" si="1167"/>
        <v>0</v>
      </c>
    </row>
    <row r="1521" s="1" customFormat="1" spans="1:15">
      <c r="A1521" s="1" t="str">
        <f t="shared" si="1156"/>
        <v>202406</v>
      </c>
      <c r="B1521" s="1" t="str">
        <f t="shared" si="1157"/>
        <v>150525100</v>
      </c>
      <c r="C1521" s="1" t="str">
        <f>"1014613065"</f>
        <v>1014613065</v>
      </c>
      <c r="D1521" s="1" t="str">
        <f>"152326194404023827"</f>
        <v>152326194404023827</v>
      </c>
      <c r="E1521" s="1" t="s">
        <v>1584</v>
      </c>
      <c r="F1521" s="1" t="s">
        <v>16</v>
      </c>
      <c r="G1521" s="1" t="s">
        <v>19</v>
      </c>
      <c r="H1521" s="1" t="str">
        <f>"80"</f>
        <v>80</v>
      </c>
      <c r="I1521" s="1" t="str">
        <f t="shared" si="1171"/>
        <v>170</v>
      </c>
      <c r="J1521" s="1" t="str">
        <f t="shared" si="1162"/>
        <v>0</v>
      </c>
      <c r="K1521" s="1" t="str">
        <f t="shared" si="1163"/>
        <v>103</v>
      </c>
      <c r="L1521" s="1" t="str">
        <f t="shared" si="1164"/>
        <v>47</v>
      </c>
      <c r="M1521" s="1" t="str">
        <f t="shared" si="1152"/>
        <v>0</v>
      </c>
      <c r="N1521" s="1" t="str">
        <f t="shared" si="1153"/>
        <v>0</v>
      </c>
      <c r="O1521" s="1" t="str">
        <f t="shared" si="1167"/>
        <v>0</v>
      </c>
    </row>
    <row r="1522" s="1" customFormat="1" spans="1:15">
      <c r="A1522" s="1" t="str">
        <f t="shared" si="1156"/>
        <v>202406</v>
      </c>
      <c r="B1522" s="1" t="str">
        <f t="shared" si="1157"/>
        <v>150525100</v>
      </c>
      <c r="C1522" s="1" t="str">
        <f>"1014613324"</f>
        <v>1014613324</v>
      </c>
      <c r="D1522" s="1" t="str">
        <f>"152326194610130412"</f>
        <v>152326194610130412</v>
      </c>
      <c r="E1522" s="1" t="s">
        <v>1585</v>
      </c>
      <c r="F1522" s="1" t="s">
        <v>25</v>
      </c>
      <c r="G1522" s="1" t="s">
        <v>17</v>
      </c>
      <c r="H1522" s="1" t="str">
        <f>"78"</f>
        <v>78</v>
      </c>
      <c r="I1522" s="1" t="str">
        <f t="shared" ref="I1522:I1525" si="1172">"160"</f>
        <v>160</v>
      </c>
      <c r="J1522" s="1" t="str">
        <f t="shared" si="1162"/>
        <v>0</v>
      </c>
      <c r="K1522" s="1" t="str">
        <f t="shared" si="1163"/>
        <v>103</v>
      </c>
      <c r="L1522" s="1" t="str">
        <f t="shared" si="1164"/>
        <v>47</v>
      </c>
      <c r="M1522" s="1" t="str">
        <f t="shared" si="1152"/>
        <v>0</v>
      </c>
      <c r="N1522" s="1" t="str">
        <f t="shared" si="1153"/>
        <v>0</v>
      </c>
      <c r="O1522" s="1" t="str">
        <f t="shared" si="1167"/>
        <v>0</v>
      </c>
    </row>
    <row r="1523" s="1" customFormat="1" spans="1:15">
      <c r="A1523" s="1" t="str">
        <f t="shared" si="1156"/>
        <v>202406</v>
      </c>
      <c r="B1523" s="1" t="str">
        <f t="shared" si="1157"/>
        <v>150525100</v>
      </c>
      <c r="C1523" s="1" t="str">
        <f>"1014613335"</f>
        <v>1014613335</v>
      </c>
      <c r="D1523" s="1" t="str">
        <f>"152326194305220411"</f>
        <v>152326194305220411</v>
      </c>
      <c r="E1523" s="1" t="s">
        <v>1586</v>
      </c>
      <c r="F1523" s="1" t="s">
        <v>25</v>
      </c>
      <c r="G1523" s="1" t="s">
        <v>17</v>
      </c>
      <c r="H1523" s="1" t="str">
        <f>"81"</f>
        <v>81</v>
      </c>
      <c r="I1523" s="1" t="str">
        <f t="shared" si="1171"/>
        <v>170</v>
      </c>
      <c r="J1523" s="1" t="str">
        <f t="shared" si="1162"/>
        <v>0</v>
      </c>
      <c r="K1523" s="1" t="str">
        <f t="shared" si="1163"/>
        <v>103</v>
      </c>
      <c r="L1523" s="1" t="str">
        <f t="shared" si="1164"/>
        <v>47</v>
      </c>
      <c r="M1523" s="1" t="str">
        <f t="shared" ref="M1523:M1586" si="1173">"0"</f>
        <v>0</v>
      </c>
      <c r="N1523" s="1" t="str">
        <f t="shared" ref="N1523:N1586" si="1174">"0"</f>
        <v>0</v>
      </c>
      <c r="O1523" s="1" t="str">
        <f t="shared" si="1167"/>
        <v>0</v>
      </c>
    </row>
    <row r="1524" s="1" customFormat="1" spans="1:15">
      <c r="A1524" s="1" t="str">
        <f t="shared" si="1156"/>
        <v>202406</v>
      </c>
      <c r="B1524" s="1" t="str">
        <f t="shared" si="1157"/>
        <v>150525100</v>
      </c>
      <c r="C1524" s="1" t="str">
        <f>"1014621992"</f>
        <v>1014621992</v>
      </c>
      <c r="D1524" s="1" t="str">
        <f>"152326194709190669"</f>
        <v>152326194709190669</v>
      </c>
      <c r="E1524" s="1" t="s">
        <v>1587</v>
      </c>
      <c r="F1524" s="1" t="s">
        <v>16</v>
      </c>
      <c r="G1524" s="1" t="s">
        <v>17</v>
      </c>
      <c r="H1524" s="1" t="str">
        <f>"77"</f>
        <v>77</v>
      </c>
      <c r="I1524" s="1" t="str">
        <f t="shared" si="1172"/>
        <v>160</v>
      </c>
      <c r="J1524" s="1" t="str">
        <f t="shared" si="1162"/>
        <v>0</v>
      </c>
      <c r="K1524" s="1" t="str">
        <f t="shared" si="1163"/>
        <v>103</v>
      </c>
      <c r="L1524" s="1" t="str">
        <f t="shared" si="1164"/>
        <v>47</v>
      </c>
      <c r="M1524" s="1" t="str">
        <f t="shared" si="1173"/>
        <v>0</v>
      </c>
      <c r="N1524" s="1" t="str">
        <f t="shared" si="1174"/>
        <v>0</v>
      </c>
      <c r="O1524" s="1" t="str">
        <f t="shared" si="1167"/>
        <v>0</v>
      </c>
    </row>
    <row r="1525" s="1" customFormat="1" spans="1:15">
      <c r="A1525" s="1" t="str">
        <f t="shared" si="1156"/>
        <v>202406</v>
      </c>
      <c r="B1525" s="1" t="str">
        <f t="shared" si="1157"/>
        <v>150525100</v>
      </c>
      <c r="C1525" s="1" t="str">
        <f>"1014622366"</f>
        <v>1014622366</v>
      </c>
      <c r="D1525" s="1" t="str">
        <f>"152326194911130424"</f>
        <v>152326194911130424</v>
      </c>
      <c r="E1525" s="1" t="s">
        <v>1588</v>
      </c>
      <c r="F1525" s="1" t="s">
        <v>16</v>
      </c>
      <c r="G1525" s="1" t="s">
        <v>17</v>
      </c>
      <c r="H1525" s="1" t="str">
        <f>"75"</f>
        <v>75</v>
      </c>
      <c r="I1525" s="1" t="str">
        <f t="shared" si="1172"/>
        <v>160</v>
      </c>
      <c r="J1525" s="1" t="str">
        <f t="shared" si="1162"/>
        <v>0</v>
      </c>
      <c r="K1525" s="1" t="str">
        <f t="shared" si="1163"/>
        <v>103</v>
      </c>
      <c r="L1525" s="1" t="str">
        <f t="shared" si="1164"/>
        <v>47</v>
      </c>
      <c r="M1525" s="1" t="str">
        <f t="shared" si="1173"/>
        <v>0</v>
      </c>
      <c r="N1525" s="1" t="str">
        <f t="shared" si="1174"/>
        <v>0</v>
      </c>
      <c r="O1525" s="1" t="str">
        <f t="shared" si="1167"/>
        <v>0</v>
      </c>
    </row>
    <row r="1526" s="1" customFormat="1" spans="1:15">
      <c r="A1526" s="1" t="str">
        <f t="shared" si="1156"/>
        <v>202406</v>
      </c>
      <c r="B1526" s="1" t="str">
        <f t="shared" si="1157"/>
        <v>150525100</v>
      </c>
      <c r="C1526" s="1" t="str">
        <f>"1014624131"</f>
        <v>1014624131</v>
      </c>
      <c r="D1526" s="1" t="str">
        <f>"152326194101143071"</f>
        <v>152326194101143071</v>
      </c>
      <c r="E1526" s="1" t="s">
        <v>1589</v>
      </c>
      <c r="F1526" s="1" t="s">
        <v>25</v>
      </c>
      <c r="G1526" s="1" t="s">
        <v>17</v>
      </c>
      <c r="H1526" s="1" t="str">
        <f>"83"</f>
        <v>83</v>
      </c>
      <c r="I1526" s="1" t="str">
        <f>"170"</f>
        <v>170</v>
      </c>
      <c r="J1526" s="1" t="str">
        <f t="shared" si="1162"/>
        <v>0</v>
      </c>
      <c r="K1526" s="1" t="str">
        <f t="shared" si="1163"/>
        <v>103</v>
      </c>
      <c r="L1526" s="1" t="str">
        <f t="shared" si="1164"/>
        <v>47</v>
      </c>
      <c r="M1526" s="1" t="str">
        <f t="shared" si="1173"/>
        <v>0</v>
      </c>
      <c r="N1526" s="1" t="str">
        <f t="shared" si="1174"/>
        <v>0</v>
      </c>
      <c r="O1526" s="1" t="str">
        <f t="shared" si="1167"/>
        <v>0</v>
      </c>
    </row>
    <row r="1527" s="1" customFormat="1" spans="1:15">
      <c r="A1527" s="1" t="str">
        <f t="shared" si="1156"/>
        <v>202406</v>
      </c>
      <c r="B1527" s="1" t="str">
        <f t="shared" si="1157"/>
        <v>150525100</v>
      </c>
      <c r="C1527" s="1" t="str">
        <f>"1014624147"</f>
        <v>1014624147</v>
      </c>
      <c r="D1527" s="1" t="str">
        <f>"152326194803193081"</f>
        <v>152326194803193081</v>
      </c>
      <c r="E1527" s="1" t="s">
        <v>1590</v>
      </c>
      <c r="F1527" s="1" t="s">
        <v>16</v>
      </c>
      <c r="G1527" s="1" t="s">
        <v>17</v>
      </c>
      <c r="H1527" s="1" t="str">
        <f>"76"</f>
        <v>76</v>
      </c>
      <c r="I1527" s="1" t="str">
        <f t="shared" ref="I1527:I1536" si="1175">"160"</f>
        <v>160</v>
      </c>
      <c r="J1527" s="1" t="str">
        <f t="shared" si="1162"/>
        <v>0</v>
      </c>
      <c r="K1527" s="1" t="str">
        <f t="shared" si="1163"/>
        <v>103</v>
      </c>
      <c r="L1527" s="1" t="str">
        <f t="shared" si="1164"/>
        <v>47</v>
      </c>
      <c r="M1527" s="1" t="str">
        <f t="shared" si="1173"/>
        <v>0</v>
      </c>
      <c r="N1527" s="1" t="str">
        <f t="shared" si="1174"/>
        <v>0</v>
      </c>
      <c r="O1527" s="1" t="str">
        <f t="shared" si="1167"/>
        <v>0</v>
      </c>
    </row>
    <row r="1528" s="1" customFormat="1" spans="1:15">
      <c r="A1528" s="1" t="str">
        <f t="shared" si="1156"/>
        <v>202406</v>
      </c>
      <c r="B1528" s="1" t="str">
        <f t="shared" si="1157"/>
        <v>150525100</v>
      </c>
      <c r="C1528" s="1" t="str">
        <f>"1014619629"</f>
        <v>1014619629</v>
      </c>
      <c r="D1528" s="1" t="str">
        <f>"152326194912303083"</f>
        <v>152326194912303083</v>
      </c>
      <c r="E1528" s="1" t="s">
        <v>1591</v>
      </c>
      <c r="F1528" s="1" t="s">
        <v>16</v>
      </c>
      <c r="G1528" s="1" t="s">
        <v>17</v>
      </c>
      <c r="H1528" s="1" t="str">
        <f>"75"</f>
        <v>75</v>
      </c>
      <c r="I1528" s="1" t="str">
        <f t="shared" si="1175"/>
        <v>160</v>
      </c>
      <c r="J1528" s="1" t="str">
        <f t="shared" si="1162"/>
        <v>0</v>
      </c>
      <c r="K1528" s="1" t="str">
        <f t="shared" si="1163"/>
        <v>103</v>
      </c>
      <c r="L1528" s="1" t="str">
        <f t="shared" si="1164"/>
        <v>47</v>
      </c>
      <c r="M1528" s="1" t="str">
        <f t="shared" si="1173"/>
        <v>0</v>
      </c>
      <c r="N1528" s="1" t="str">
        <f t="shared" si="1174"/>
        <v>0</v>
      </c>
      <c r="O1528" s="1" t="str">
        <f t="shared" si="1167"/>
        <v>0</v>
      </c>
    </row>
    <row r="1529" s="1" customFormat="1" spans="1:15">
      <c r="A1529" s="1" t="str">
        <f t="shared" si="1156"/>
        <v>202406</v>
      </c>
      <c r="B1529" s="1" t="str">
        <f t="shared" si="1157"/>
        <v>150525100</v>
      </c>
      <c r="C1529" s="1" t="str">
        <f>"1014623148"</f>
        <v>1014623148</v>
      </c>
      <c r="D1529" s="1" t="str">
        <f>"152326194210050413"</f>
        <v>152326194210050413</v>
      </c>
      <c r="E1529" s="1" t="s">
        <v>1592</v>
      </c>
      <c r="F1529" s="1" t="s">
        <v>25</v>
      </c>
      <c r="G1529" s="1" t="s">
        <v>17</v>
      </c>
      <c r="H1529" s="1" t="str">
        <f>"82"</f>
        <v>82</v>
      </c>
      <c r="I1529" s="1" t="str">
        <f>"170"</f>
        <v>170</v>
      </c>
      <c r="J1529" s="1" t="str">
        <f t="shared" si="1162"/>
        <v>0</v>
      </c>
      <c r="K1529" s="1" t="str">
        <f t="shared" si="1163"/>
        <v>103</v>
      </c>
      <c r="L1529" s="1" t="str">
        <f t="shared" si="1164"/>
        <v>47</v>
      </c>
      <c r="M1529" s="1" t="str">
        <f t="shared" si="1173"/>
        <v>0</v>
      </c>
      <c r="N1529" s="1" t="str">
        <f t="shared" si="1174"/>
        <v>0</v>
      </c>
      <c r="O1529" s="1" t="str">
        <f t="shared" si="1167"/>
        <v>0</v>
      </c>
    </row>
    <row r="1530" s="1" customFormat="1" spans="1:15">
      <c r="A1530" s="1" t="str">
        <f t="shared" si="1156"/>
        <v>202406</v>
      </c>
      <c r="B1530" s="1" t="str">
        <f t="shared" si="1157"/>
        <v>150525100</v>
      </c>
      <c r="C1530" s="1" t="str">
        <f>"1014589221"</f>
        <v>1014589221</v>
      </c>
      <c r="D1530" s="1" t="str">
        <f>"152326195303240413"</f>
        <v>152326195303240413</v>
      </c>
      <c r="E1530" s="1" t="s">
        <v>1593</v>
      </c>
      <c r="F1530" s="1" t="s">
        <v>25</v>
      </c>
      <c r="G1530" s="1" t="s">
        <v>17</v>
      </c>
      <c r="H1530" s="1" t="str">
        <f>"71"</f>
        <v>71</v>
      </c>
      <c r="I1530" s="1" t="str">
        <f>"163.16"</f>
        <v>163.16</v>
      </c>
      <c r="J1530" s="1" t="str">
        <f t="shared" si="1162"/>
        <v>0</v>
      </c>
      <c r="K1530" s="1" t="str">
        <f t="shared" si="1163"/>
        <v>103</v>
      </c>
      <c r="L1530" s="1" t="str">
        <f t="shared" si="1164"/>
        <v>47</v>
      </c>
      <c r="M1530" s="1" t="str">
        <f t="shared" si="1173"/>
        <v>0</v>
      </c>
      <c r="N1530" s="1" t="str">
        <f t="shared" si="1174"/>
        <v>0</v>
      </c>
      <c r="O1530" s="1" t="str">
        <f>"3.16"</f>
        <v>3.16</v>
      </c>
    </row>
    <row r="1531" s="1" customFormat="1" spans="1:15">
      <c r="A1531" s="1" t="str">
        <f t="shared" si="1156"/>
        <v>202406</v>
      </c>
      <c r="B1531" s="1" t="str">
        <f t="shared" si="1157"/>
        <v>150525100</v>
      </c>
      <c r="C1531" s="1" t="str">
        <f>"1014589223"</f>
        <v>1014589223</v>
      </c>
      <c r="D1531" s="1" t="str">
        <f>"152326195710110421"</f>
        <v>152326195710110421</v>
      </c>
      <c r="E1531" s="1" t="s">
        <v>1594</v>
      </c>
      <c r="F1531" s="1" t="s">
        <v>16</v>
      </c>
      <c r="G1531" s="1" t="s">
        <v>17</v>
      </c>
      <c r="H1531" s="1" t="str">
        <f>"67"</f>
        <v>67</v>
      </c>
      <c r="I1531" s="1" t="str">
        <f>"156.1"</f>
        <v>156.1</v>
      </c>
      <c r="J1531" s="1" t="str">
        <f t="shared" si="1162"/>
        <v>0</v>
      </c>
      <c r="K1531" s="1" t="str">
        <f t="shared" si="1163"/>
        <v>103</v>
      </c>
      <c r="L1531" s="1" t="str">
        <f t="shared" si="1164"/>
        <v>47</v>
      </c>
      <c r="M1531" s="1" t="str">
        <f t="shared" si="1173"/>
        <v>0</v>
      </c>
      <c r="N1531" s="1" t="str">
        <f t="shared" si="1174"/>
        <v>0</v>
      </c>
      <c r="O1531" s="1" t="str">
        <f>"6.1"</f>
        <v>6.1</v>
      </c>
    </row>
    <row r="1532" s="1" customFormat="1" spans="1:15">
      <c r="A1532" s="1" t="str">
        <f t="shared" si="1156"/>
        <v>202406</v>
      </c>
      <c r="B1532" s="1" t="str">
        <f t="shared" si="1157"/>
        <v>150525100</v>
      </c>
      <c r="C1532" s="1" t="str">
        <f>"1014613358"</f>
        <v>1014613358</v>
      </c>
      <c r="D1532" s="1" t="str">
        <f>"152326194705243831"</f>
        <v>152326194705243831</v>
      </c>
      <c r="E1532" s="1" t="s">
        <v>1595</v>
      </c>
      <c r="F1532" s="1" t="s">
        <v>25</v>
      </c>
      <c r="G1532" s="1" t="s">
        <v>17</v>
      </c>
      <c r="H1532" s="1" t="str">
        <f>"77"</f>
        <v>77</v>
      </c>
      <c r="I1532" s="1" t="str">
        <f t="shared" si="1175"/>
        <v>160</v>
      </c>
      <c r="J1532" s="1" t="str">
        <f t="shared" si="1162"/>
        <v>0</v>
      </c>
      <c r="K1532" s="1" t="str">
        <f t="shared" si="1163"/>
        <v>103</v>
      </c>
      <c r="L1532" s="1" t="str">
        <f t="shared" si="1164"/>
        <v>47</v>
      </c>
      <c r="M1532" s="1" t="str">
        <f t="shared" si="1173"/>
        <v>0</v>
      </c>
      <c r="N1532" s="1" t="str">
        <f t="shared" si="1174"/>
        <v>0</v>
      </c>
      <c r="O1532" s="1" t="str">
        <f t="shared" ref="O1532:O1538" si="1176">"0"</f>
        <v>0</v>
      </c>
    </row>
    <row r="1533" s="1" customFormat="1" spans="1:15">
      <c r="A1533" s="1" t="str">
        <f t="shared" si="1156"/>
        <v>202406</v>
      </c>
      <c r="B1533" s="1" t="str">
        <f t="shared" si="1157"/>
        <v>150525100</v>
      </c>
      <c r="C1533" s="1" t="str">
        <f>"1014613359"</f>
        <v>1014613359</v>
      </c>
      <c r="D1533" s="1" t="s">
        <v>1596</v>
      </c>
      <c r="E1533" s="1" t="s">
        <v>1597</v>
      </c>
      <c r="F1533" s="1" t="s">
        <v>25</v>
      </c>
      <c r="G1533" s="1" t="s">
        <v>17</v>
      </c>
      <c r="H1533" s="1" t="str">
        <f>"75"</f>
        <v>75</v>
      </c>
      <c r="I1533" s="1" t="str">
        <f t="shared" si="1175"/>
        <v>160</v>
      </c>
      <c r="J1533" s="1" t="str">
        <f t="shared" si="1162"/>
        <v>0</v>
      </c>
      <c r="K1533" s="1" t="str">
        <f t="shared" si="1163"/>
        <v>103</v>
      </c>
      <c r="L1533" s="1" t="str">
        <f t="shared" si="1164"/>
        <v>47</v>
      </c>
      <c r="M1533" s="1" t="str">
        <f t="shared" si="1173"/>
        <v>0</v>
      </c>
      <c r="N1533" s="1" t="str">
        <f t="shared" si="1174"/>
        <v>0</v>
      </c>
      <c r="O1533" s="1" t="str">
        <f t="shared" si="1176"/>
        <v>0</v>
      </c>
    </row>
    <row r="1534" s="1" customFormat="1" spans="1:15">
      <c r="A1534" s="1" t="str">
        <f t="shared" si="1156"/>
        <v>202406</v>
      </c>
      <c r="B1534" s="1" t="str">
        <f t="shared" si="1157"/>
        <v>150525100</v>
      </c>
      <c r="C1534" s="1" t="str">
        <f>"1014622406"</f>
        <v>1014622406</v>
      </c>
      <c r="D1534" s="1" t="s">
        <v>1598</v>
      </c>
      <c r="E1534" s="1" t="s">
        <v>1599</v>
      </c>
      <c r="F1534" s="1" t="s">
        <v>16</v>
      </c>
      <c r="G1534" s="1" t="s">
        <v>19</v>
      </c>
      <c r="H1534" s="1" t="str">
        <f>"73"</f>
        <v>73</v>
      </c>
      <c r="I1534" s="1" t="str">
        <f t="shared" si="1175"/>
        <v>160</v>
      </c>
      <c r="J1534" s="1" t="str">
        <f t="shared" si="1162"/>
        <v>0</v>
      </c>
      <c r="K1534" s="1" t="str">
        <f t="shared" si="1163"/>
        <v>103</v>
      </c>
      <c r="L1534" s="1" t="str">
        <f t="shared" si="1164"/>
        <v>47</v>
      </c>
      <c r="M1534" s="1" t="str">
        <f t="shared" si="1173"/>
        <v>0</v>
      </c>
      <c r="N1534" s="1" t="str">
        <f t="shared" si="1174"/>
        <v>0</v>
      </c>
      <c r="O1534" s="1" t="str">
        <f t="shared" si="1176"/>
        <v>0</v>
      </c>
    </row>
    <row r="1535" s="1" customFormat="1" spans="1:15">
      <c r="A1535" s="1" t="str">
        <f t="shared" si="1156"/>
        <v>202406</v>
      </c>
      <c r="B1535" s="1" t="str">
        <f t="shared" si="1157"/>
        <v>150525100</v>
      </c>
      <c r="C1535" s="1" t="str">
        <f>"1014624169"</f>
        <v>1014624169</v>
      </c>
      <c r="D1535" s="1" t="str">
        <f>"152326195003163081"</f>
        <v>152326195003163081</v>
      </c>
      <c r="E1535" s="1" t="s">
        <v>1225</v>
      </c>
      <c r="F1535" s="1" t="s">
        <v>16</v>
      </c>
      <c r="G1535" s="1" t="s">
        <v>17</v>
      </c>
      <c r="H1535" s="1" t="str">
        <f>"74"</f>
        <v>74</v>
      </c>
      <c r="I1535" s="1" t="str">
        <f t="shared" si="1175"/>
        <v>160</v>
      </c>
      <c r="J1535" s="1" t="str">
        <f t="shared" si="1162"/>
        <v>0</v>
      </c>
      <c r="K1535" s="1" t="str">
        <f t="shared" si="1163"/>
        <v>103</v>
      </c>
      <c r="L1535" s="1" t="str">
        <f t="shared" si="1164"/>
        <v>47</v>
      </c>
      <c r="M1535" s="1" t="str">
        <f t="shared" si="1173"/>
        <v>0</v>
      </c>
      <c r="N1535" s="1" t="str">
        <f t="shared" si="1174"/>
        <v>0</v>
      </c>
      <c r="O1535" s="1" t="str">
        <f t="shared" si="1176"/>
        <v>0</v>
      </c>
    </row>
    <row r="1536" s="1" customFormat="1" spans="1:15">
      <c r="A1536" s="1" t="str">
        <f t="shared" si="1156"/>
        <v>202406</v>
      </c>
      <c r="B1536" s="1" t="str">
        <f t="shared" si="1157"/>
        <v>150525100</v>
      </c>
      <c r="C1536" s="1" t="str">
        <f>"1014623168"</f>
        <v>1014623168</v>
      </c>
      <c r="D1536" s="1" t="str">
        <f>"152326194505220416"</f>
        <v>152326194505220416</v>
      </c>
      <c r="E1536" s="1" t="s">
        <v>1600</v>
      </c>
      <c r="F1536" s="1" t="s">
        <v>25</v>
      </c>
      <c r="G1536" s="1" t="s">
        <v>17</v>
      </c>
      <c r="H1536" s="1" t="str">
        <f>"79"</f>
        <v>79</v>
      </c>
      <c r="I1536" s="1" t="str">
        <f t="shared" si="1175"/>
        <v>160</v>
      </c>
      <c r="J1536" s="1" t="str">
        <f t="shared" si="1162"/>
        <v>0</v>
      </c>
      <c r="K1536" s="1" t="str">
        <f t="shared" si="1163"/>
        <v>103</v>
      </c>
      <c r="L1536" s="1" t="str">
        <f t="shared" si="1164"/>
        <v>47</v>
      </c>
      <c r="M1536" s="1" t="str">
        <f t="shared" si="1173"/>
        <v>0</v>
      </c>
      <c r="N1536" s="1" t="str">
        <f t="shared" si="1174"/>
        <v>0</v>
      </c>
      <c r="O1536" s="1" t="str">
        <f t="shared" si="1176"/>
        <v>0</v>
      </c>
    </row>
    <row r="1537" s="1" customFormat="1" spans="1:15">
      <c r="A1537" s="1" t="str">
        <f t="shared" si="1156"/>
        <v>202406</v>
      </c>
      <c r="B1537" s="1" t="str">
        <f t="shared" si="1157"/>
        <v>150525100</v>
      </c>
      <c r="C1537" s="1" t="str">
        <f>"1014619194"</f>
        <v>1014619194</v>
      </c>
      <c r="D1537" s="1" t="str">
        <f>"152326193811200662"</f>
        <v>152326193811200662</v>
      </c>
      <c r="E1537" s="1" t="s">
        <v>980</v>
      </c>
      <c r="F1537" s="1" t="s">
        <v>16</v>
      </c>
      <c r="G1537" s="1" t="s">
        <v>17</v>
      </c>
      <c r="H1537" s="1" t="str">
        <f>"86"</f>
        <v>86</v>
      </c>
      <c r="I1537" s="1" t="str">
        <f>"170"</f>
        <v>170</v>
      </c>
      <c r="J1537" s="1" t="str">
        <f t="shared" si="1162"/>
        <v>0</v>
      </c>
      <c r="K1537" s="1" t="str">
        <f t="shared" si="1163"/>
        <v>103</v>
      </c>
      <c r="L1537" s="1" t="str">
        <f t="shared" si="1164"/>
        <v>47</v>
      </c>
      <c r="M1537" s="1" t="str">
        <f t="shared" si="1173"/>
        <v>0</v>
      </c>
      <c r="N1537" s="1" t="str">
        <f t="shared" si="1174"/>
        <v>0</v>
      </c>
      <c r="O1537" s="1" t="str">
        <f t="shared" si="1176"/>
        <v>0</v>
      </c>
    </row>
    <row r="1538" s="1" customFormat="1" spans="1:15">
      <c r="A1538" s="1" t="str">
        <f t="shared" ref="A1538:A1601" si="1177">"202406"</f>
        <v>202406</v>
      </c>
      <c r="B1538" s="1" t="str">
        <f t="shared" ref="B1538:B1601" si="1178">"150525100"</f>
        <v>150525100</v>
      </c>
      <c r="C1538" s="1" t="str">
        <f>"1014619195"</f>
        <v>1014619195</v>
      </c>
      <c r="D1538" s="1" t="str">
        <f>"152326193512050668"</f>
        <v>152326193512050668</v>
      </c>
      <c r="E1538" s="1" t="s">
        <v>1601</v>
      </c>
      <c r="F1538" s="1" t="s">
        <v>16</v>
      </c>
      <c r="G1538" s="1" t="s">
        <v>17</v>
      </c>
      <c r="H1538" s="1" t="str">
        <f>"89"</f>
        <v>89</v>
      </c>
      <c r="I1538" s="1" t="str">
        <f>"1596"</f>
        <v>1596</v>
      </c>
      <c r="J1538" s="1" t="str">
        <f t="shared" si="1162"/>
        <v>0</v>
      </c>
      <c r="K1538" s="1" t="str">
        <f>"0"</f>
        <v>0</v>
      </c>
      <c r="L1538" s="1" t="str">
        <f>"0"</f>
        <v>0</v>
      </c>
      <c r="M1538" s="1" t="str">
        <f t="shared" si="1173"/>
        <v>0</v>
      </c>
      <c r="N1538" s="1" t="str">
        <f t="shared" si="1174"/>
        <v>0</v>
      </c>
      <c r="O1538" s="1" t="str">
        <f t="shared" si="1176"/>
        <v>0</v>
      </c>
    </row>
    <row r="1539" s="1" customFormat="1" spans="1:15">
      <c r="A1539" s="1" t="str">
        <f t="shared" si="1177"/>
        <v>202406</v>
      </c>
      <c r="B1539" s="1" t="str">
        <f t="shared" si="1178"/>
        <v>150525100</v>
      </c>
      <c r="C1539" s="1" t="str">
        <f>"1015088021"</f>
        <v>1015088021</v>
      </c>
      <c r="D1539" s="1" t="str">
        <f>"152326195308256115"</f>
        <v>152326195308256115</v>
      </c>
      <c r="E1539" s="1" t="s">
        <v>1602</v>
      </c>
      <c r="F1539" s="1" t="s">
        <v>25</v>
      </c>
      <c r="G1539" s="1" t="s">
        <v>17</v>
      </c>
      <c r="H1539" s="1" t="str">
        <f>"71"</f>
        <v>71</v>
      </c>
      <c r="I1539" s="1" t="str">
        <f>"173.18"</f>
        <v>173.18</v>
      </c>
      <c r="J1539" s="1" t="str">
        <f t="shared" si="1162"/>
        <v>0</v>
      </c>
      <c r="K1539" s="1" t="str">
        <f t="shared" ref="K1539:K1558" si="1179">"103"</f>
        <v>103</v>
      </c>
      <c r="L1539" s="1" t="str">
        <f t="shared" ref="L1539:L1558" si="1180">"47"</f>
        <v>47</v>
      </c>
      <c r="M1539" s="1" t="str">
        <f t="shared" si="1173"/>
        <v>0</v>
      </c>
      <c r="N1539" s="1" t="str">
        <f t="shared" si="1174"/>
        <v>0</v>
      </c>
      <c r="O1539" s="1" t="str">
        <f>"13.18"</f>
        <v>13.18</v>
      </c>
    </row>
    <row r="1540" s="1" customFormat="1" spans="1:15">
      <c r="A1540" s="1" t="str">
        <f t="shared" si="1177"/>
        <v>202406</v>
      </c>
      <c r="B1540" s="1" t="str">
        <f t="shared" si="1178"/>
        <v>150525100</v>
      </c>
      <c r="C1540" s="1" t="str">
        <f>"1014622866"</f>
        <v>1014622866</v>
      </c>
      <c r="D1540" s="1" t="str">
        <f>"152326194806240429"</f>
        <v>152326194806240429</v>
      </c>
      <c r="E1540" s="1" t="s">
        <v>1603</v>
      </c>
      <c r="F1540" s="1" t="s">
        <v>16</v>
      </c>
      <c r="G1540" s="1" t="s">
        <v>17</v>
      </c>
      <c r="H1540" s="1" t="str">
        <f>"76"</f>
        <v>76</v>
      </c>
      <c r="I1540" s="1" t="str">
        <f t="shared" ref="I1540:I1548" si="1181">"160"</f>
        <v>160</v>
      </c>
      <c r="J1540" s="1" t="str">
        <f t="shared" si="1162"/>
        <v>0</v>
      </c>
      <c r="K1540" s="1" t="str">
        <f t="shared" si="1179"/>
        <v>103</v>
      </c>
      <c r="L1540" s="1" t="str">
        <f t="shared" si="1180"/>
        <v>47</v>
      </c>
      <c r="M1540" s="1" t="str">
        <f t="shared" si="1173"/>
        <v>0</v>
      </c>
      <c r="N1540" s="1" t="str">
        <f t="shared" si="1174"/>
        <v>0</v>
      </c>
      <c r="O1540" s="1" t="str">
        <f t="shared" ref="O1540:O1542" si="1182">"0"</f>
        <v>0</v>
      </c>
    </row>
    <row r="1541" s="1" customFormat="1" spans="1:15">
      <c r="A1541" s="1" t="str">
        <f t="shared" si="1177"/>
        <v>202406</v>
      </c>
      <c r="B1541" s="1" t="str">
        <f t="shared" si="1178"/>
        <v>150525100</v>
      </c>
      <c r="C1541" s="1" t="str">
        <f>"1014622867"</f>
        <v>1014622867</v>
      </c>
      <c r="D1541" s="1" t="str">
        <f>"152326194401080420"</f>
        <v>152326194401080420</v>
      </c>
      <c r="E1541" s="1" t="s">
        <v>980</v>
      </c>
      <c r="F1541" s="1" t="s">
        <v>16</v>
      </c>
      <c r="G1541" s="1" t="s">
        <v>17</v>
      </c>
      <c r="H1541" s="1" t="str">
        <f>"80"</f>
        <v>80</v>
      </c>
      <c r="I1541" s="1" t="str">
        <f>"170"</f>
        <v>170</v>
      </c>
      <c r="J1541" s="1" t="str">
        <f t="shared" si="1162"/>
        <v>0</v>
      </c>
      <c r="K1541" s="1" t="str">
        <f t="shared" si="1179"/>
        <v>103</v>
      </c>
      <c r="L1541" s="1" t="str">
        <f t="shared" si="1180"/>
        <v>47</v>
      </c>
      <c r="M1541" s="1" t="str">
        <f t="shared" si="1173"/>
        <v>0</v>
      </c>
      <c r="N1541" s="1" t="str">
        <f t="shared" si="1174"/>
        <v>0</v>
      </c>
      <c r="O1541" s="1" t="str">
        <f t="shared" si="1182"/>
        <v>0</v>
      </c>
    </row>
    <row r="1542" s="1" customFormat="1" spans="1:15">
      <c r="A1542" s="1" t="str">
        <f t="shared" si="1177"/>
        <v>202406</v>
      </c>
      <c r="B1542" s="1" t="str">
        <f t="shared" si="1178"/>
        <v>150525100</v>
      </c>
      <c r="C1542" s="1" t="str">
        <f>"1014623223"</f>
        <v>1014623223</v>
      </c>
      <c r="D1542" s="1" t="str">
        <f>"152326194710023817"</f>
        <v>152326194710023817</v>
      </c>
      <c r="E1542" s="1" t="s">
        <v>1604</v>
      </c>
      <c r="F1542" s="1" t="s">
        <v>25</v>
      </c>
      <c r="G1542" s="1" t="s">
        <v>17</v>
      </c>
      <c r="H1542" s="1" t="str">
        <f>"77"</f>
        <v>77</v>
      </c>
      <c r="I1542" s="1" t="str">
        <f t="shared" si="1181"/>
        <v>160</v>
      </c>
      <c r="J1542" s="1" t="str">
        <f t="shared" si="1162"/>
        <v>0</v>
      </c>
      <c r="K1542" s="1" t="str">
        <f t="shared" si="1179"/>
        <v>103</v>
      </c>
      <c r="L1542" s="1" t="str">
        <f t="shared" si="1180"/>
        <v>47</v>
      </c>
      <c r="M1542" s="1" t="str">
        <f t="shared" si="1173"/>
        <v>0</v>
      </c>
      <c r="N1542" s="1" t="str">
        <f t="shared" si="1174"/>
        <v>0</v>
      </c>
      <c r="O1542" s="1" t="str">
        <f t="shared" si="1182"/>
        <v>0</v>
      </c>
    </row>
    <row r="1543" s="1" customFormat="1" spans="1:15">
      <c r="A1543" s="1" t="str">
        <f t="shared" si="1177"/>
        <v>202406</v>
      </c>
      <c r="B1543" s="1" t="str">
        <f t="shared" si="1178"/>
        <v>150525100</v>
      </c>
      <c r="C1543" s="1" t="str">
        <f>"1014589289"</f>
        <v>1014589289</v>
      </c>
      <c r="D1543" s="1" t="str">
        <f>"152326196008100412"</f>
        <v>152326196008100412</v>
      </c>
      <c r="E1543" s="1" t="s">
        <v>1605</v>
      </c>
      <c r="F1543" s="1" t="s">
        <v>25</v>
      </c>
      <c r="G1543" s="1" t="s">
        <v>17</v>
      </c>
      <c r="H1543" s="1" t="str">
        <f>"64"</f>
        <v>64</v>
      </c>
      <c r="I1543" s="1" t="str">
        <f>"159.24"</f>
        <v>159.24</v>
      </c>
      <c r="J1543" s="1" t="str">
        <f t="shared" si="1162"/>
        <v>0</v>
      </c>
      <c r="K1543" s="1" t="str">
        <f t="shared" si="1179"/>
        <v>103</v>
      </c>
      <c r="L1543" s="1" t="str">
        <f t="shared" si="1180"/>
        <v>47</v>
      </c>
      <c r="M1543" s="1" t="str">
        <f t="shared" si="1173"/>
        <v>0</v>
      </c>
      <c r="N1543" s="1" t="str">
        <f t="shared" si="1174"/>
        <v>0</v>
      </c>
      <c r="O1543" s="1" t="str">
        <f>"9.24"</f>
        <v>9.24</v>
      </c>
    </row>
    <row r="1544" s="1" customFormat="1" spans="1:15">
      <c r="A1544" s="1" t="str">
        <f t="shared" si="1177"/>
        <v>202406</v>
      </c>
      <c r="B1544" s="1" t="str">
        <f t="shared" si="1178"/>
        <v>150525100</v>
      </c>
      <c r="C1544" s="1" t="str">
        <f>"1014589294"</f>
        <v>1014589294</v>
      </c>
      <c r="D1544" s="1" t="str">
        <f>"152326196012170421"</f>
        <v>152326196012170421</v>
      </c>
      <c r="E1544" s="1" t="s">
        <v>1606</v>
      </c>
      <c r="F1544" s="1" t="s">
        <v>16</v>
      </c>
      <c r="G1544" s="1" t="s">
        <v>17</v>
      </c>
      <c r="H1544" s="1" t="str">
        <f>"64"</f>
        <v>64</v>
      </c>
      <c r="I1544" s="1" t="str">
        <f>"159.29"</f>
        <v>159.29</v>
      </c>
      <c r="J1544" s="1" t="str">
        <f t="shared" si="1162"/>
        <v>0</v>
      </c>
      <c r="K1544" s="1" t="str">
        <f t="shared" si="1179"/>
        <v>103</v>
      </c>
      <c r="L1544" s="1" t="str">
        <f t="shared" si="1180"/>
        <v>47</v>
      </c>
      <c r="M1544" s="1" t="str">
        <f t="shared" si="1173"/>
        <v>0</v>
      </c>
      <c r="N1544" s="1" t="str">
        <f t="shared" si="1174"/>
        <v>0</v>
      </c>
      <c r="O1544" s="1" t="str">
        <f>"9.29"</f>
        <v>9.29</v>
      </c>
    </row>
    <row r="1545" s="1" customFormat="1" spans="1:15">
      <c r="A1545" s="1" t="str">
        <f t="shared" si="1177"/>
        <v>202406</v>
      </c>
      <c r="B1545" s="1" t="str">
        <f t="shared" si="1178"/>
        <v>150525100</v>
      </c>
      <c r="C1545" s="1" t="str">
        <f>"1014613437"</f>
        <v>1014613437</v>
      </c>
      <c r="D1545" s="1" t="str">
        <f>"152326195107253321"</f>
        <v>152326195107253321</v>
      </c>
      <c r="E1545" s="1" t="s">
        <v>1228</v>
      </c>
      <c r="F1545" s="1" t="s">
        <v>16</v>
      </c>
      <c r="G1545" s="1" t="s">
        <v>17</v>
      </c>
      <c r="H1545" s="1" t="str">
        <f>"73"</f>
        <v>73</v>
      </c>
      <c r="I1545" s="1" t="str">
        <f t="shared" si="1181"/>
        <v>160</v>
      </c>
      <c r="J1545" s="1" t="str">
        <f t="shared" si="1162"/>
        <v>0</v>
      </c>
      <c r="K1545" s="1" t="str">
        <f t="shared" si="1179"/>
        <v>103</v>
      </c>
      <c r="L1545" s="1" t="str">
        <f t="shared" si="1180"/>
        <v>47</v>
      </c>
      <c r="M1545" s="1" t="str">
        <f t="shared" si="1173"/>
        <v>0</v>
      </c>
      <c r="N1545" s="1" t="str">
        <f t="shared" si="1174"/>
        <v>0</v>
      </c>
      <c r="O1545" s="1" t="str">
        <f t="shared" ref="O1545:O1553" si="1183">"0"</f>
        <v>0</v>
      </c>
    </row>
    <row r="1546" s="1" customFormat="1" spans="1:15">
      <c r="A1546" s="1" t="str">
        <f t="shared" si="1177"/>
        <v>202406</v>
      </c>
      <c r="B1546" s="1" t="str">
        <f t="shared" si="1178"/>
        <v>150525100</v>
      </c>
      <c r="C1546" s="1" t="str">
        <f>"1014622039"</f>
        <v>1014622039</v>
      </c>
      <c r="D1546" s="1" t="s">
        <v>1607</v>
      </c>
      <c r="E1546" s="1" t="s">
        <v>1608</v>
      </c>
      <c r="F1546" s="1" t="s">
        <v>16</v>
      </c>
      <c r="G1546" s="1" t="s">
        <v>17</v>
      </c>
      <c r="H1546" s="1" t="str">
        <f t="shared" ref="H1546:H1550" si="1184">"76"</f>
        <v>76</v>
      </c>
      <c r="I1546" s="1" t="str">
        <f t="shared" si="1181"/>
        <v>160</v>
      </c>
      <c r="J1546" s="1" t="str">
        <f t="shared" si="1162"/>
        <v>0</v>
      </c>
      <c r="K1546" s="1" t="str">
        <f t="shared" si="1179"/>
        <v>103</v>
      </c>
      <c r="L1546" s="1" t="str">
        <f t="shared" si="1180"/>
        <v>47</v>
      </c>
      <c r="M1546" s="1" t="str">
        <f t="shared" si="1173"/>
        <v>0</v>
      </c>
      <c r="N1546" s="1" t="str">
        <f t="shared" si="1174"/>
        <v>0</v>
      </c>
      <c r="O1546" s="1" t="str">
        <f t="shared" si="1183"/>
        <v>0</v>
      </c>
    </row>
    <row r="1547" s="1" customFormat="1" spans="1:15">
      <c r="A1547" s="1" t="str">
        <f t="shared" si="1177"/>
        <v>202406</v>
      </c>
      <c r="B1547" s="1" t="str">
        <f t="shared" si="1178"/>
        <v>150525100</v>
      </c>
      <c r="C1547" s="1" t="str">
        <f>"1014622050"</f>
        <v>1014622050</v>
      </c>
      <c r="D1547" s="1" t="str">
        <f>"152326194809020413"</f>
        <v>152326194809020413</v>
      </c>
      <c r="E1547" s="1" t="s">
        <v>1487</v>
      </c>
      <c r="F1547" s="1" t="s">
        <v>25</v>
      </c>
      <c r="G1547" s="1" t="s">
        <v>17</v>
      </c>
      <c r="H1547" s="1" t="str">
        <f t="shared" si="1184"/>
        <v>76</v>
      </c>
      <c r="I1547" s="1" t="str">
        <f t="shared" si="1181"/>
        <v>160</v>
      </c>
      <c r="J1547" s="1" t="str">
        <f t="shared" si="1162"/>
        <v>0</v>
      </c>
      <c r="K1547" s="1" t="str">
        <f t="shared" si="1179"/>
        <v>103</v>
      </c>
      <c r="L1547" s="1" t="str">
        <f t="shared" si="1180"/>
        <v>47</v>
      </c>
      <c r="M1547" s="1" t="str">
        <f t="shared" si="1173"/>
        <v>0</v>
      </c>
      <c r="N1547" s="1" t="str">
        <f t="shared" si="1174"/>
        <v>0</v>
      </c>
      <c r="O1547" s="1" t="str">
        <f t="shared" si="1183"/>
        <v>0</v>
      </c>
    </row>
    <row r="1548" s="1" customFormat="1" spans="1:15">
      <c r="A1548" s="1" t="str">
        <f t="shared" si="1177"/>
        <v>202406</v>
      </c>
      <c r="B1548" s="1" t="str">
        <f t="shared" si="1178"/>
        <v>150525100</v>
      </c>
      <c r="C1548" s="1" t="str">
        <f>"1014624221"</f>
        <v>1014624221</v>
      </c>
      <c r="D1548" s="1" t="str">
        <f>"152326194707210670"</f>
        <v>152326194707210670</v>
      </c>
      <c r="E1548" s="1" t="s">
        <v>1609</v>
      </c>
      <c r="F1548" s="1" t="s">
        <v>25</v>
      </c>
      <c r="G1548" s="1" t="s">
        <v>17</v>
      </c>
      <c r="H1548" s="1" t="str">
        <f>"77"</f>
        <v>77</v>
      </c>
      <c r="I1548" s="1" t="str">
        <f t="shared" si="1181"/>
        <v>160</v>
      </c>
      <c r="J1548" s="1" t="str">
        <f t="shared" si="1162"/>
        <v>0</v>
      </c>
      <c r="K1548" s="1" t="str">
        <f t="shared" si="1179"/>
        <v>103</v>
      </c>
      <c r="L1548" s="1" t="str">
        <f t="shared" si="1180"/>
        <v>47</v>
      </c>
      <c r="M1548" s="1" t="str">
        <f t="shared" si="1173"/>
        <v>0</v>
      </c>
      <c r="N1548" s="1" t="str">
        <f t="shared" si="1174"/>
        <v>0</v>
      </c>
      <c r="O1548" s="1" t="str">
        <f t="shared" si="1183"/>
        <v>0</v>
      </c>
    </row>
    <row r="1549" s="1" customFormat="1" spans="1:15">
      <c r="A1549" s="1" t="str">
        <f t="shared" si="1177"/>
        <v>202406</v>
      </c>
      <c r="B1549" s="1" t="str">
        <f t="shared" si="1178"/>
        <v>150525100</v>
      </c>
      <c r="C1549" s="1" t="str">
        <f>"1014624248"</f>
        <v>1014624248</v>
      </c>
      <c r="D1549" s="1" t="str">
        <f>"152326194209080674"</f>
        <v>152326194209080674</v>
      </c>
      <c r="E1549" s="1" t="s">
        <v>1610</v>
      </c>
      <c r="F1549" s="1" t="s">
        <v>25</v>
      </c>
      <c r="G1549" s="1" t="s">
        <v>17</v>
      </c>
      <c r="H1549" s="1" t="str">
        <f>"82"</f>
        <v>82</v>
      </c>
      <c r="I1549" s="1" t="str">
        <f t="shared" ref="I1549:I1552" si="1185">"170"</f>
        <v>170</v>
      </c>
      <c r="J1549" s="1" t="str">
        <f t="shared" si="1162"/>
        <v>0</v>
      </c>
      <c r="K1549" s="1" t="str">
        <f t="shared" si="1179"/>
        <v>103</v>
      </c>
      <c r="L1549" s="1" t="str">
        <f t="shared" si="1180"/>
        <v>47</v>
      </c>
      <c r="M1549" s="1" t="str">
        <f t="shared" si="1173"/>
        <v>0</v>
      </c>
      <c r="N1549" s="1" t="str">
        <f t="shared" si="1174"/>
        <v>0</v>
      </c>
      <c r="O1549" s="1" t="str">
        <f t="shared" si="1183"/>
        <v>0</v>
      </c>
    </row>
    <row r="1550" s="1" customFormat="1" spans="1:15">
      <c r="A1550" s="1" t="str">
        <f t="shared" si="1177"/>
        <v>202406</v>
      </c>
      <c r="B1550" s="1" t="str">
        <f t="shared" si="1178"/>
        <v>150525100</v>
      </c>
      <c r="C1550" s="1" t="str">
        <f>"1014624249"</f>
        <v>1014624249</v>
      </c>
      <c r="D1550" s="1" t="s">
        <v>1611</v>
      </c>
      <c r="E1550" s="1" t="s">
        <v>1612</v>
      </c>
      <c r="F1550" s="1" t="s">
        <v>16</v>
      </c>
      <c r="G1550" s="1" t="s">
        <v>17</v>
      </c>
      <c r="H1550" s="1" t="str">
        <f t="shared" si="1184"/>
        <v>76</v>
      </c>
      <c r="I1550" s="1" t="str">
        <f>"160"</f>
        <v>160</v>
      </c>
      <c r="J1550" s="1" t="str">
        <f t="shared" si="1162"/>
        <v>0</v>
      </c>
      <c r="K1550" s="1" t="str">
        <f t="shared" si="1179"/>
        <v>103</v>
      </c>
      <c r="L1550" s="1" t="str">
        <f t="shared" si="1180"/>
        <v>47</v>
      </c>
      <c r="M1550" s="1" t="str">
        <f t="shared" si="1173"/>
        <v>0</v>
      </c>
      <c r="N1550" s="1" t="str">
        <f t="shared" si="1174"/>
        <v>0</v>
      </c>
      <c r="O1550" s="1" t="str">
        <f t="shared" si="1183"/>
        <v>0</v>
      </c>
    </row>
    <row r="1551" s="1" customFormat="1" spans="1:15">
      <c r="A1551" s="1" t="str">
        <f t="shared" si="1177"/>
        <v>202406</v>
      </c>
      <c r="B1551" s="1" t="str">
        <f t="shared" si="1178"/>
        <v>150525100</v>
      </c>
      <c r="C1551" s="1" t="str">
        <f>"1014619227"</f>
        <v>1014619227</v>
      </c>
      <c r="D1551" s="1" t="str">
        <f>"152326193901143825"</f>
        <v>152326193901143825</v>
      </c>
      <c r="E1551" s="1" t="s">
        <v>1613</v>
      </c>
      <c r="F1551" s="1" t="s">
        <v>16</v>
      </c>
      <c r="G1551" s="1" t="s">
        <v>17</v>
      </c>
      <c r="H1551" s="1" t="str">
        <f>"85"</f>
        <v>85</v>
      </c>
      <c r="I1551" s="1" t="str">
        <f t="shared" si="1185"/>
        <v>170</v>
      </c>
      <c r="J1551" s="1" t="str">
        <f t="shared" si="1162"/>
        <v>0</v>
      </c>
      <c r="K1551" s="1" t="str">
        <f t="shared" si="1179"/>
        <v>103</v>
      </c>
      <c r="L1551" s="1" t="str">
        <f t="shared" si="1180"/>
        <v>47</v>
      </c>
      <c r="M1551" s="1" t="str">
        <f t="shared" si="1173"/>
        <v>0</v>
      </c>
      <c r="N1551" s="1" t="str">
        <f t="shared" si="1174"/>
        <v>0</v>
      </c>
      <c r="O1551" s="1" t="str">
        <f t="shared" si="1183"/>
        <v>0</v>
      </c>
    </row>
    <row r="1552" s="1" customFormat="1" spans="1:15">
      <c r="A1552" s="1" t="str">
        <f t="shared" si="1177"/>
        <v>202406</v>
      </c>
      <c r="B1552" s="1" t="str">
        <f t="shared" si="1178"/>
        <v>150525100</v>
      </c>
      <c r="C1552" s="1" t="str">
        <f>"1014623235"</f>
        <v>1014623235</v>
      </c>
      <c r="D1552" s="1" t="str">
        <f>"152326194402153812"</f>
        <v>152326194402153812</v>
      </c>
      <c r="E1552" s="1" t="s">
        <v>1614</v>
      </c>
      <c r="F1552" s="1" t="s">
        <v>25</v>
      </c>
      <c r="G1552" s="1" t="s">
        <v>17</v>
      </c>
      <c r="H1552" s="1" t="str">
        <f>"80"</f>
        <v>80</v>
      </c>
      <c r="I1552" s="1" t="str">
        <f t="shared" si="1185"/>
        <v>170</v>
      </c>
      <c r="J1552" s="1" t="str">
        <f t="shared" si="1162"/>
        <v>0</v>
      </c>
      <c r="K1552" s="1" t="str">
        <f t="shared" si="1179"/>
        <v>103</v>
      </c>
      <c r="L1552" s="1" t="str">
        <f t="shared" si="1180"/>
        <v>47</v>
      </c>
      <c r="M1552" s="1" t="str">
        <f t="shared" si="1173"/>
        <v>0</v>
      </c>
      <c r="N1552" s="1" t="str">
        <f t="shared" si="1174"/>
        <v>0</v>
      </c>
      <c r="O1552" s="1" t="str">
        <f t="shared" si="1183"/>
        <v>0</v>
      </c>
    </row>
    <row r="1553" s="1" customFormat="1" spans="1:15">
      <c r="A1553" s="1" t="str">
        <f t="shared" si="1177"/>
        <v>202406</v>
      </c>
      <c r="B1553" s="1" t="str">
        <f t="shared" si="1178"/>
        <v>150525100</v>
      </c>
      <c r="C1553" s="1" t="str">
        <f>"1014623244"</f>
        <v>1014623244</v>
      </c>
      <c r="D1553" s="1" t="s">
        <v>1615</v>
      </c>
      <c r="E1553" s="1" t="s">
        <v>1616</v>
      </c>
      <c r="F1553" s="1" t="s">
        <v>25</v>
      </c>
      <c r="G1553" s="1" t="s">
        <v>17</v>
      </c>
      <c r="H1553" s="1" t="str">
        <f>"77"</f>
        <v>77</v>
      </c>
      <c r="I1553" s="1" t="str">
        <f>"160"</f>
        <v>160</v>
      </c>
      <c r="J1553" s="1" t="str">
        <f t="shared" si="1162"/>
        <v>0</v>
      </c>
      <c r="K1553" s="1" t="str">
        <f t="shared" si="1179"/>
        <v>103</v>
      </c>
      <c r="L1553" s="1" t="str">
        <f t="shared" si="1180"/>
        <v>47</v>
      </c>
      <c r="M1553" s="1" t="str">
        <f t="shared" si="1173"/>
        <v>0</v>
      </c>
      <c r="N1553" s="1" t="str">
        <f t="shared" si="1174"/>
        <v>0</v>
      </c>
      <c r="O1553" s="1" t="str">
        <f t="shared" si="1183"/>
        <v>0</v>
      </c>
    </row>
    <row r="1554" s="1" customFormat="1" spans="1:15">
      <c r="A1554" s="1" t="str">
        <f t="shared" si="1177"/>
        <v>202406</v>
      </c>
      <c r="B1554" s="1" t="str">
        <f t="shared" si="1178"/>
        <v>150525100</v>
      </c>
      <c r="C1554" s="1" t="str">
        <f>"1014589307"</f>
        <v>1014589307</v>
      </c>
      <c r="D1554" s="1" t="str">
        <f>"152326196307200413"</f>
        <v>152326196307200413</v>
      </c>
      <c r="E1554" s="1" t="s">
        <v>1617</v>
      </c>
      <c r="F1554" s="1" t="s">
        <v>25</v>
      </c>
      <c r="G1554" s="1" t="s">
        <v>19</v>
      </c>
      <c r="H1554" s="1" t="str">
        <f>"61"</f>
        <v>61</v>
      </c>
      <c r="I1554" s="1" t="str">
        <f>"165.06"</f>
        <v>165.06</v>
      </c>
      <c r="J1554" s="1" t="str">
        <f t="shared" si="1162"/>
        <v>0</v>
      </c>
      <c r="K1554" s="1" t="str">
        <f t="shared" si="1179"/>
        <v>103</v>
      </c>
      <c r="L1554" s="1" t="str">
        <f t="shared" si="1180"/>
        <v>47</v>
      </c>
      <c r="M1554" s="1" t="str">
        <f t="shared" si="1173"/>
        <v>0</v>
      </c>
      <c r="N1554" s="1" t="str">
        <f t="shared" si="1174"/>
        <v>0</v>
      </c>
      <c r="O1554" s="1" t="str">
        <f>"15.06"</f>
        <v>15.06</v>
      </c>
    </row>
    <row r="1555" s="1" customFormat="1" spans="1:15">
      <c r="A1555" s="1" t="str">
        <f t="shared" si="1177"/>
        <v>202406</v>
      </c>
      <c r="B1555" s="1" t="str">
        <f t="shared" si="1178"/>
        <v>150525100</v>
      </c>
      <c r="C1555" s="1" t="str">
        <f>"1014589321"</f>
        <v>1014589321</v>
      </c>
      <c r="D1555" s="1" t="str">
        <f>"152326195906160420"</f>
        <v>152326195906160420</v>
      </c>
      <c r="E1555" s="1" t="s">
        <v>1618</v>
      </c>
      <c r="F1555" s="1" t="s">
        <v>16</v>
      </c>
      <c r="G1555" s="1" t="s">
        <v>17</v>
      </c>
      <c r="H1555" s="1" t="str">
        <f>"65"</f>
        <v>65</v>
      </c>
      <c r="I1555" s="1" t="str">
        <f>"163.19"</f>
        <v>163.19</v>
      </c>
      <c r="J1555" s="1" t="str">
        <f t="shared" si="1162"/>
        <v>0</v>
      </c>
      <c r="K1555" s="1" t="str">
        <f t="shared" si="1179"/>
        <v>103</v>
      </c>
      <c r="L1555" s="1" t="str">
        <f t="shared" si="1180"/>
        <v>47</v>
      </c>
      <c r="M1555" s="1" t="str">
        <f t="shared" si="1173"/>
        <v>0</v>
      </c>
      <c r="N1555" s="1" t="str">
        <f t="shared" si="1174"/>
        <v>0</v>
      </c>
      <c r="O1555" s="1" t="str">
        <f>"13.19"</f>
        <v>13.19</v>
      </c>
    </row>
    <row r="1556" s="1" customFormat="1" spans="1:15">
      <c r="A1556" s="1" t="str">
        <f t="shared" si="1177"/>
        <v>202406</v>
      </c>
      <c r="B1556" s="1" t="str">
        <f t="shared" si="1178"/>
        <v>150525100</v>
      </c>
      <c r="C1556" s="1" t="str">
        <f>"1014589325"</f>
        <v>1014589325</v>
      </c>
      <c r="D1556" s="1" t="str">
        <f>"152326196009070411"</f>
        <v>152326196009070411</v>
      </c>
      <c r="E1556" s="1" t="s">
        <v>1619</v>
      </c>
      <c r="F1556" s="1" t="s">
        <v>25</v>
      </c>
      <c r="G1556" s="1" t="s">
        <v>19</v>
      </c>
      <c r="H1556" s="1" t="str">
        <f>"64"</f>
        <v>64</v>
      </c>
      <c r="I1556" s="1" t="str">
        <f>"166.74"</f>
        <v>166.74</v>
      </c>
      <c r="J1556" s="1" t="str">
        <f t="shared" si="1162"/>
        <v>0</v>
      </c>
      <c r="K1556" s="1" t="str">
        <f t="shared" si="1179"/>
        <v>103</v>
      </c>
      <c r="L1556" s="1" t="str">
        <f t="shared" si="1180"/>
        <v>47</v>
      </c>
      <c r="M1556" s="1" t="str">
        <f t="shared" si="1173"/>
        <v>0</v>
      </c>
      <c r="N1556" s="1" t="str">
        <f t="shared" si="1174"/>
        <v>0</v>
      </c>
      <c r="O1556" s="1" t="str">
        <f>"16.74"</f>
        <v>16.74</v>
      </c>
    </row>
    <row r="1557" s="1" customFormat="1" spans="1:15">
      <c r="A1557" s="1" t="str">
        <f t="shared" si="1177"/>
        <v>202406</v>
      </c>
      <c r="B1557" s="1" t="str">
        <f t="shared" si="1178"/>
        <v>150525100</v>
      </c>
      <c r="C1557" s="1" t="str">
        <f>"1014589330"</f>
        <v>1014589330</v>
      </c>
      <c r="D1557" s="1" t="s">
        <v>1620</v>
      </c>
      <c r="E1557" s="1" t="s">
        <v>1621</v>
      </c>
      <c r="F1557" s="1" t="s">
        <v>25</v>
      </c>
      <c r="G1557" s="1" t="s">
        <v>17</v>
      </c>
      <c r="H1557" s="1" t="str">
        <f>"61"</f>
        <v>61</v>
      </c>
      <c r="I1557" s="1" t="str">
        <f>"255.34"</f>
        <v>255.34</v>
      </c>
      <c r="J1557" s="1" t="str">
        <f t="shared" si="1162"/>
        <v>0</v>
      </c>
      <c r="K1557" s="1" t="str">
        <f t="shared" si="1179"/>
        <v>103</v>
      </c>
      <c r="L1557" s="1" t="str">
        <f t="shared" si="1180"/>
        <v>47</v>
      </c>
      <c r="M1557" s="1" t="str">
        <f t="shared" si="1173"/>
        <v>0</v>
      </c>
      <c r="N1557" s="1" t="str">
        <f t="shared" si="1174"/>
        <v>0</v>
      </c>
      <c r="O1557" s="1" t="str">
        <f>"105.34"</f>
        <v>105.34</v>
      </c>
    </row>
    <row r="1558" s="1" customFormat="1" spans="1:15">
      <c r="A1558" s="1" t="str">
        <f t="shared" si="1177"/>
        <v>202406</v>
      </c>
      <c r="B1558" s="1" t="str">
        <f t="shared" si="1178"/>
        <v>150525100</v>
      </c>
      <c r="C1558" s="1" t="str">
        <f>"1014613523"</f>
        <v>1014613523</v>
      </c>
      <c r="D1558" s="1" t="str">
        <f>"152326194912190445"</f>
        <v>152326194912190445</v>
      </c>
      <c r="E1558" s="1" t="s">
        <v>1622</v>
      </c>
      <c r="F1558" s="1" t="s">
        <v>16</v>
      </c>
      <c r="G1558" s="1" t="s">
        <v>19</v>
      </c>
      <c r="H1558" s="1" t="str">
        <f>"75"</f>
        <v>75</v>
      </c>
      <c r="I1558" s="1" t="str">
        <f t="shared" ref="I1558:I1564" si="1186">"160"</f>
        <v>160</v>
      </c>
      <c r="J1558" s="1" t="str">
        <f t="shared" si="1162"/>
        <v>0</v>
      </c>
      <c r="K1558" s="1" t="str">
        <f t="shared" si="1179"/>
        <v>103</v>
      </c>
      <c r="L1558" s="1" t="str">
        <f t="shared" si="1180"/>
        <v>47</v>
      </c>
      <c r="M1558" s="1" t="str">
        <f t="shared" si="1173"/>
        <v>0</v>
      </c>
      <c r="N1558" s="1" t="str">
        <f t="shared" si="1174"/>
        <v>0</v>
      </c>
      <c r="O1558" s="1" t="str">
        <f t="shared" ref="O1558:O1571" si="1187">"0"</f>
        <v>0</v>
      </c>
    </row>
    <row r="1559" s="1" customFormat="1" spans="1:15">
      <c r="A1559" s="1" t="str">
        <f t="shared" si="1177"/>
        <v>202406</v>
      </c>
      <c r="B1559" s="1" t="str">
        <f t="shared" si="1178"/>
        <v>150525100</v>
      </c>
      <c r="C1559" s="1" t="str">
        <f>"1014613528"</f>
        <v>1014613528</v>
      </c>
      <c r="D1559" s="1" t="str">
        <f>"152326194209183825"</f>
        <v>152326194209183825</v>
      </c>
      <c r="E1559" s="1" t="s">
        <v>1623</v>
      </c>
      <c r="F1559" s="1" t="s">
        <v>16</v>
      </c>
      <c r="G1559" s="1" t="s">
        <v>19</v>
      </c>
      <c r="H1559" s="1" t="str">
        <f>"82"</f>
        <v>82</v>
      </c>
      <c r="I1559" s="1" t="str">
        <f>"1020"</f>
        <v>1020</v>
      </c>
      <c r="J1559" s="1" t="str">
        <f>"850"</f>
        <v>850</v>
      </c>
      <c r="K1559" s="1" t="str">
        <f>"618"</f>
        <v>618</v>
      </c>
      <c r="L1559" s="1" t="str">
        <f>"282"</f>
        <v>282</v>
      </c>
      <c r="M1559" s="1" t="str">
        <f t="shared" si="1173"/>
        <v>0</v>
      </c>
      <c r="N1559" s="1" t="str">
        <f t="shared" si="1174"/>
        <v>0</v>
      </c>
      <c r="O1559" s="1" t="str">
        <f t="shared" si="1187"/>
        <v>0</v>
      </c>
    </row>
    <row r="1560" s="1" customFormat="1" spans="1:15">
      <c r="A1560" s="1" t="str">
        <f t="shared" si="1177"/>
        <v>202406</v>
      </c>
      <c r="B1560" s="1" t="str">
        <f t="shared" si="1178"/>
        <v>150525100</v>
      </c>
      <c r="C1560" s="1" t="str">
        <f>"1014623850"</f>
        <v>1014623850</v>
      </c>
      <c r="D1560" s="1" t="str">
        <f>"152326194806110675"</f>
        <v>152326194806110675</v>
      </c>
      <c r="E1560" s="1" t="s">
        <v>1624</v>
      </c>
      <c r="F1560" s="1" t="s">
        <v>25</v>
      </c>
      <c r="G1560" s="1" t="s">
        <v>17</v>
      </c>
      <c r="H1560" s="1" t="str">
        <f>"76"</f>
        <v>76</v>
      </c>
      <c r="I1560" s="1" t="str">
        <f t="shared" si="1186"/>
        <v>160</v>
      </c>
      <c r="J1560" s="1" t="str">
        <f t="shared" ref="J1560:J1571" si="1188">"0"</f>
        <v>0</v>
      </c>
      <c r="K1560" s="1" t="str">
        <f t="shared" ref="K1560:K1571" si="1189">"103"</f>
        <v>103</v>
      </c>
      <c r="L1560" s="1" t="str">
        <f t="shared" ref="L1560:L1571" si="1190">"47"</f>
        <v>47</v>
      </c>
      <c r="M1560" s="1" t="str">
        <f t="shared" si="1173"/>
        <v>0</v>
      </c>
      <c r="N1560" s="1" t="str">
        <f t="shared" si="1174"/>
        <v>0</v>
      </c>
      <c r="O1560" s="1" t="str">
        <f t="shared" si="1187"/>
        <v>0</v>
      </c>
    </row>
    <row r="1561" s="1" customFormat="1" spans="1:15">
      <c r="A1561" s="1" t="str">
        <f t="shared" si="1177"/>
        <v>202406</v>
      </c>
      <c r="B1561" s="1" t="str">
        <f t="shared" si="1178"/>
        <v>150525100</v>
      </c>
      <c r="C1561" s="1" t="str">
        <f>"1014623851"</f>
        <v>1014623851</v>
      </c>
      <c r="D1561" s="1" t="str">
        <f>"152326194806110667"</f>
        <v>152326194806110667</v>
      </c>
      <c r="E1561" s="1" t="s">
        <v>1625</v>
      </c>
      <c r="F1561" s="1" t="s">
        <v>16</v>
      </c>
      <c r="G1561" s="1" t="s">
        <v>17</v>
      </c>
      <c r="H1561" s="1" t="str">
        <f>"76"</f>
        <v>76</v>
      </c>
      <c r="I1561" s="1" t="str">
        <f t="shared" si="1186"/>
        <v>160</v>
      </c>
      <c r="J1561" s="1" t="str">
        <f t="shared" si="1188"/>
        <v>0</v>
      </c>
      <c r="K1561" s="1" t="str">
        <f t="shared" si="1189"/>
        <v>103</v>
      </c>
      <c r="L1561" s="1" t="str">
        <f t="shared" si="1190"/>
        <v>47</v>
      </c>
      <c r="M1561" s="1" t="str">
        <f t="shared" si="1173"/>
        <v>0</v>
      </c>
      <c r="N1561" s="1" t="str">
        <f t="shared" si="1174"/>
        <v>0</v>
      </c>
      <c r="O1561" s="1" t="str">
        <f t="shared" si="1187"/>
        <v>0</v>
      </c>
    </row>
    <row r="1562" s="1" customFormat="1" spans="1:15">
      <c r="A1562" s="1" t="str">
        <f t="shared" si="1177"/>
        <v>202406</v>
      </c>
      <c r="B1562" s="1" t="str">
        <f t="shared" si="1178"/>
        <v>150525100</v>
      </c>
      <c r="C1562" s="1" t="str">
        <f>"1014623852"</f>
        <v>1014623852</v>
      </c>
      <c r="D1562" s="1" t="str">
        <f>"152326195007050682"</f>
        <v>152326195007050682</v>
      </c>
      <c r="E1562" s="1" t="s">
        <v>1626</v>
      </c>
      <c r="F1562" s="1" t="s">
        <v>16</v>
      </c>
      <c r="G1562" s="1" t="s">
        <v>17</v>
      </c>
      <c r="H1562" s="1" t="str">
        <f>"74"</f>
        <v>74</v>
      </c>
      <c r="I1562" s="1" t="str">
        <f t="shared" si="1186"/>
        <v>160</v>
      </c>
      <c r="J1562" s="1" t="str">
        <f t="shared" si="1188"/>
        <v>0</v>
      </c>
      <c r="K1562" s="1" t="str">
        <f t="shared" si="1189"/>
        <v>103</v>
      </c>
      <c r="L1562" s="1" t="str">
        <f t="shared" si="1190"/>
        <v>47</v>
      </c>
      <c r="M1562" s="1" t="str">
        <f t="shared" si="1173"/>
        <v>0</v>
      </c>
      <c r="N1562" s="1" t="str">
        <f t="shared" si="1174"/>
        <v>0</v>
      </c>
      <c r="O1562" s="1" t="str">
        <f t="shared" si="1187"/>
        <v>0</v>
      </c>
    </row>
    <row r="1563" s="1" customFormat="1" spans="1:15">
      <c r="A1563" s="1" t="str">
        <f t="shared" si="1177"/>
        <v>202406</v>
      </c>
      <c r="B1563" s="1" t="str">
        <f t="shared" si="1178"/>
        <v>150525100</v>
      </c>
      <c r="C1563" s="1" t="str">
        <f>"1014623855"</f>
        <v>1014623855</v>
      </c>
      <c r="D1563" s="1" t="s">
        <v>1627</v>
      </c>
      <c r="E1563" s="1" t="s">
        <v>820</v>
      </c>
      <c r="F1563" s="1" t="s">
        <v>16</v>
      </c>
      <c r="G1563" s="1" t="s">
        <v>17</v>
      </c>
      <c r="H1563" s="1" t="str">
        <f>"79"</f>
        <v>79</v>
      </c>
      <c r="I1563" s="1" t="str">
        <f t="shared" si="1186"/>
        <v>160</v>
      </c>
      <c r="J1563" s="1" t="str">
        <f t="shared" si="1188"/>
        <v>0</v>
      </c>
      <c r="K1563" s="1" t="str">
        <f t="shared" si="1189"/>
        <v>103</v>
      </c>
      <c r="L1563" s="1" t="str">
        <f t="shared" si="1190"/>
        <v>47</v>
      </c>
      <c r="M1563" s="1" t="str">
        <f t="shared" si="1173"/>
        <v>0</v>
      </c>
      <c r="N1563" s="1" t="str">
        <f t="shared" si="1174"/>
        <v>0</v>
      </c>
      <c r="O1563" s="1" t="str">
        <f t="shared" si="1187"/>
        <v>0</v>
      </c>
    </row>
    <row r="1564" s="1" customFormat="1" spans="1:15">
      <c r="A1564" s="1" t="str">
        <f t="shared" si="1177"/>
        <v>202406</v>
      </c>
      <c r="B1564" s="1" t="str">
        <f t="shared" si="1178"/>
        <v>150525100</v>
      </c>
      <c r="C1564" s="1" t="str">
        <f>"1014624330"</f>
        <v>1014624330</v>
      </c>
      <c r="D1564" s="1" t="str">
        <f>"152326194911130918"</f>
        <v>152326194911130918</v>
      </c>
      <c r="E1564" s="1" t="s">
        <v>1628</v>
      </c>
      <c r="F1564" s="1" t="s">
        <v>25</v>
      </c>
      <c r="G1564" s="1" t="s">
        <v>19</v>
      </c>
      <c r="H1564" s="1" t="str">
        <f>"75"</f>
        <v>75</v>
      </c>
      <c r="I1564" s="1" t="str">
        <f t="shared" si="1186"/>
        <v>160</v>
      </c>
      <c r="J1564" s="1" t="str">
        <f t="shared" si="1188"/>
        <v>0</v>
      </c>
      <c r="K1564" s="1" t="str">
        <f t="shared" si="1189"/>
        <v>103</v>
      </c>
      <c r="L1564" s="1" t="str">
        <f t="shared" si="1190"/>
        <v>47</v>
      </c>
      <c r="M1564" s="1" t="str">
        <f t="shared" si="1173"/>
        <v>0</v>
      </c>
      <c r="N1564" s="1" t="str">
        <f t="shared" si="1174"/>
        <v>0</v>
      </c>
      <c r="O1564" s="1" t="str">
        <f t="shared" si="1187"/>
        <v>0</v>
      </c>
    </row>
    <row r="1565" s="1" customFormat="1" spans="1:15">
      <c r="A1565" s="1" t="str">
        <f t="shared" si="1177"/>
        <v>202406</v>
      </c>
      <c r="B1565" s="1" t="str">
        <f t="shared" si="1178"/>
        <v>150525100</v>
      </c>
      <c r="C1565" s="1" t="str">
        <f>"1014619321"</f>
        <v>1014619321</v>
      </c>
      <c r="D1565" s="1" t="str">
        <f>"152326194008040668"</f>
        <v>152326194008040668</v>
      </c>
      <c r="E1565" s="1" t="s">
        <v>1629</v>
      </c>
      <c r="F1565" s="1" t="s">
        <v>16</v>
      </c>
      <c r="G1565" s="1" t="s">
        <v>19</v>
      </c>
      <c r="H1565" s="1" t="str">
        <f>"84"</f>
        <v>84</v>
      </c>
      <c r="I1565" s="1" t="str">
        <f>"170"</f>
        <v>170</v>
      </c>
      <c r="J1565" s="1" t="str">
        <f t="shared" si="1188"/>
        <v>0</v>
      </c>
      <c r="K1565" s="1" t="str">
        <f t="shared" si="1189"/>
        <v>103</v>
      </c>
      <c r="L1565" s="1" t="str">
        <f t="shared" si="1190"/>
        <v>47</v>
      </c>
      <c r="M1565" s="1" t="str">
        <f t="shared" si="1173"/>
        <v>0</v>
      </c>
      <c r="N1565" s="1" t="str">
        <f t="shared" si="1174"/>
        <v>0</v>
      </c>
      <c r="O1565" s="1" t="str">
        <f t="shared" si="1187"/>
        <v>0</v>
      </c>
    </row>
    <row r="1566" s="1" customFormat="1" spans="1:15">
      <c r="A1566" s="1" t="str">
        <f t="shared" si="1177"/>
        <v>202406</v>
      </c>
      <c r="B1566" s="1" t="str">
        <f t="shared" si="1178"/>
        <v>150525100</v>
      </c>
      <c r="C1566" s="1" t="str">
        <f>"1014619861"</f>
        <v>1014619861</v>
      </c>
      <c r="D1566" s="1" t="str">
        <f>"152326194909110686"</f>
        <v>152326194909110686</v>
      </c>
      <c r="E1566" s="1" t="s">
        <v>1630</v>
      </c>
      <c r="F1566" s="1" t="s">
        <v>16</v>
      </c>
      <c r="G1566" s="1" t="s">
        <v>17</v>
      </c>
      <c r="H1566" s="1" t="str">
        <f>"75"</f>
        <v>75</v>
      </c>
      <c r="I1566" s="1" t="str">
        <f t="shared" ref="I1566:I1571" si="1191">"160"</f>
        <v>160</v>
      </c>
      <c r="J1566" s="1" t="str">
        <f t="shared" si="1188"/>
        <v>0</v>
      </c>
      <c r="K1566" s="1" t="str">
        <f t="shared" si="1189"/>
        <v>103</v>
      </c>
      <c r="L1566" s="1" t="str">
        <f t="shared" si="1190"/>
        <v>47</v>
      </c>
      <c r="M1566" s="1" t="str">
        <f t="shared" si="1173"/>
        <v>0</v>
      </c>
      <c r="N1566" s="1" t="str">
        <f t="shared" si="1174"/>
        <v>0</v>
      </c>
      <c r="O1566" s="1" t="str">
        <f t="shared" si="1187"/>
        <v>0</v>
      </c>
    </row>
    <row r="1567" s="1" customFormat="1" spans="1:15">
      <c r="A1567" s="1" t="str">
        <f t="shared" si="1177"/>
        <v>202406</v>
      </c>
      <c r="B1567" s="1" t="str">
        <f t="shared" si="1178"/>
        <v>150525100</v>
      </c>
      <c r="C1567" s="1" t="str">
        <f>"1014619874"</f>
        <v>1014619874</v>
      </c>
      <c r="D1567" s="1" t="s">
        <v>1631</v>
      </c>
      <c r="E1567" s="1" t="s">
        <v>1632</v>
      </c>
      <c r="F1567" s="1" t="s">
        <v>16</v>
      </c>
      <c r="G1567" s="1" t="s">
        <v>17</v>
      </c>
      <c r="H1567" s="1" t="str">
        <f>"90"</f>
        <v>90</v>
      </c>
      <c r="I1567" s="1" t="str">
        <f>"170"</f>
        <v>170</v>
      </c>
      <c r="J1567" s="1" t="str">
        <f t="shared" si="1188"/>
        <v>0</v>
      </c>
      <c r="K1567" s="1" t="str">
        <f t="shared" si="1189"/>
        <v>103</v>
      </c>
      <c r="L1567" s="1" t="str">
        <f t="shared" si="1190"/>
        <v>47</v>
      </c>
      <c r="M1567" s="1" t="str">
        <f t="shared" si="1173"/>
        <v>0</v>
      </c>
      <c r="N1567" s="1" t="str">
        <f t="shared" si="1174"/>
        <v>0</v>
      </c>
      <c r="O1567" s="1" t="str">
        <f t="shared" si="1187"/>
        <v>0</v>
      </c>
    </row>
    <row r="1568" s="1" customFormat="1" spans="1:15">
      <c r="A1568" s="1" t="str">
        <f t="shared" si="1177"/>
        <v>202406</v>
      </c>
      <c r="B1568" s="1" t="str">
        <f t="shared" si="1178"/>
        <v>150525100</v>
      </c>
      <c r="C1568" s="1" t="str">
        <f>"1014619879"</f>
        <v>1014619879</v>
      </c>
      <c r="D1568" s="1" t="str">
        <f>"152326195105040664"</f>
        <v>152326195105040664</v>
      </c>
      <c r="E1568" s="1" t="s">
        <v>1633</v>
      </c>
      <c r="F1568" s="1" t="s">
        <v>16</v>
      </c>
      <c r="G1568" s="1" t="s">
        <v>17</v>
      </c>
      <c r="H1568" s="1" t="str">
        <f>"73"</f>
        <v>73</v>
      </c>
      <c r="I1568" s="1" t="str">
        <f t="shared" si="1191"/>
        <v>160</v>
      </c>
      <c r="J1568" s="1" t="str">
        <f t="shared" si="1188"/>
        <v>0</v>
      </c>
      <c r="K1568" s="1" t="str">
        <f t="shared" si="1189"/>
        <v>103</v>
      </c>
      <c r="L1568" s="1" t="str">
        <f t="shared" si="1190"/>
        <v>47</v>
      </c>
      <c r="M1568" s="1" t="str">
        <f t="shared" si="1173"/>
        <v>0</v>
      </c>
      <c r="N1568" s="1" t="str">
        <f t="shared" si="1174"/>
        <v>0</v>
      </c>
      <c r="O1568" s="1" t="str">
        <f t="shared" si="1187"/>
        <v>0</v>
      </c>
    </row>
    <row r="1569" s="1" customFormat="1" spans="1:15">
      <c r="A1569" s="1" t="str">
        <f t="shared" si="1177"/>
        <v>202406</v>
      </c>
      <c r="B1569" s="1" t="str">
        <f t="shared" si="1178"/>
        <v>150525100</v>
      </c>
      <c r="C1569" s="1" t="str">
        <f>"1014623321"</f>
        <v>1014623321</v>
      </c>
      <c r="D1569" s="1" t="str">
        <f>"152326194511063824"</f>
        <v>152326194511063824</v>
      </c>
      <c r="E1569" s="1" t="s">
        <v>1634</v>
      </c>
      <c r="F1569" s="1" t="s">
        <v>16</v>
      </c>
      <c r="G1569" s="1" t="s">
        <v>17</v>
      </c>
      <c r="H1569" s="1" t="str">
        <f>"79"</f>
        <v>79</v>
      </c>
      <c r="I1569" s="1" t="str">
        <f t="shared" si="1191"/>
        <v>160</v>
      </c>
      <c r="J1569" s="1" t="str">
        <f t="shared" si="1188"/>
        <v>0</v>
      </c>
      <c r="K1569" s="1" t="str">
        <f t="shared" si="1189"/>
        <v>103</v>
      </c>
      <c r="L1569" s="1" t="str">
        <f t="shared" si="1190"/>
        <v>47</v>
      </c>
      <c r="M1569" s="1" t="str">
        <f t="shared" si="1173"/>
        <v>0</v>
      </c>
      <c r="N1569" s="1" t="str">
        <f t="shared" si="1174"/>
        <v>0</v>
      </c>
      <c r="O1569" s="1" t="str">
        <f t="shared" si="1187"/>
        <v>0</v>
      </c>
    </row>
    <row r="1570" s="1" customFormat="1" spans="1:15">
      <c r="A1570" s="1" t="str">
        <f t="shared" si="1177"/>
        <v>202406</v>
      </c>
      <c r="B1570" s="1" t="str">
        <f t="shared" si="1178"/>
        <v>150525100</v>
      </c>
      <c r="C1570" s="1" t="str">
        <f>"1014623763"</f>
        <v>1014623763</v>
      </c>
      <c r="D1570" s="1" t="str">
        <f>"152326194804173816"</f>
        <v>152326194804173816</v>
      </c>
      <c r="E1570" s="1" t="s">
        <v>1635</v>
      </c>
      <c r="F1570" s="1" t="s">
        <v>25</v>
      </c>
      <c r="G1570" s="1" t="s">
        <v>19</v>
      </c>
      <c r="H1570" s="1" t="str">
        <f>"76"</f>
        <v>76</v>
      </c>
      <c r="I1570" s="1" t="str">
        <f t="shared" si="1191"/>
        <v>160</v>
      </c>
      <c r="J1570" s="1" t="str">
        <f t="shared" si="1188"/>
        <v>0</v>
      </c>
      <c r="K1570" s="1" t="str">
        <f t="shared" si="1189"/>
        <v>103</v>
      </c>
      <c r="L1570" s="1" t="str">
        <f t="shared" si="1190"/>
        <v>47</v>
      </c>
      <c r="M1570" s="1" t="str">
        <f t="shared" si="1173"/>
        <v>0</v>
      </c>
      <c r="N1570" s="1" t="str">
        <f t="shared" si="1174"/>
        <v>0</v>
      </c>
      <c r="O1570" s="1" t="str">
        <f t="shared" si="1187"/>
        <v>0</v>
      </c>
    </row>
    <row r="1571" s="1" customFormat="1" spans="1:15">
      <c r="A1571" s="1" t="str">
        <f t="shared" si="1177"/>
        <v>202406</v>
      </c>
      <c r="B1571" s="1" t="str">
        <f t="shared" si="1178"/>
        <v>150525100</v>
      </c>
      <c r="C1571" s="1" t="str">
        <f>"1014623773"</f>
        <v>1014623773</v>
      </c>
      <c r="D1571" s="1" t="str">
        <f>"152326194705063814"</f>
        <v>152326194705063814</v>
      </c>
      <c r="E1571" s="1" t="s">
        <v>1636</v>
      </c>
      <c r="F1571" s="1" t="s">
        <v>25</v>
      </c>
      <c r="G1571" s="1" t="s">
        <v>19</v>
      </c>
      <c r="H1571" s="1" t="str">
        <f>"77"</f>
        <v>77</v>
      </c>
      <c r="I1571" s="1" t="str">
        <f t="shared" si="1191"/>
        <v>160</v>
      </c>
      <c r="J1571" s="1" t="str">
        <f t="shared" si="1188"/>
        <v>0</v>
      </c>
      <c r="K1571" s="1" t="str">
        <f t="shared" si="1189"/>
        <v>103</v>
      </c>
      <c r="L1571" s="1" t="str">
        <f t="shared" si="1190"/>
        <v>47</v>
      </c>
      <c r="M1571" s="1" t="str">
        <f t="shared" si="1173"/>
        <v>0</v>
      </c>
      <c r="N1571" s="1" t="str">
        <f t="shared" si="1174"/>
        <v>0</v>
      </c>
      <c r="O1571" s="1" t="str">
        <f t="shared" si="1187"/>
        <v>0</v>
      </c>
    </row>
    <row r="1572" s="1" customFormat="1" spans="1:15">
      <c r="A1572" s="1" t="str">
        <f t="shared" si="1177"/>
        <v>202406</v>
      </c>
      <c r="B1572" s="1" t="str">
        <f t="shared" si="1178"/>
        <v>150525100</v>
      </c>
      <c r="C1572" s="1" t="str">
        <f>"1042683033"</f>
        <v>1042683033</v>
      </c>
      <c r="D1572" s="1" t="str">
        <f>"152326195503270019"</f>
        <v>152326195503270019</v>
      </c>
      <c r="E1572" s="1" t="s">
        <v>1637</v>
      </c>
      <c r="F1572" s="1" t="s">
        <v>25</v>
      </c>
      <c r="G1572" s="1" t="s">
        <v>17</v>
      </c>
      <c r="H1572" s="1" t="str">
        <f>"69"</f>
        <v>69</v>
      </c>
      <c r="I1572" s="1" t="str">
        <f>"934.56"</f>
        <v>934.56</v>
      </c>
      <c r="J1572" s="1" t="str">
        <f>"778.8"</f>
        <v>778.8</v>
      </c>
      <c r="K1572" s="1" t="str">
        <f>"618"</f>
        <v>618</v>
      </c>
      <c r="L1572" s="1" t="str">
        <f>"282"</f>
        <v>282</v>
      </c>
      <c r="M1572" s="1" t="str">
        <f t="shared" si="1173"/>
        <v>0</v>
      </c>
      <c r="N1572" s="1" t="str">
        <f t="shared" si="1174"/>
        <v>0</v>
      </c>
      <c r="O1572" s="1" t="str">
        <f>"34.56"</f>
        <v>34.56</v>
      </c>
    </row>
    <row r="1573" s="1" customFormat="1" spans="1:15">
      <c r="A1573" s="1" t="str">
        <f t="shared" si="1177"/>
        <v>202406</v>
      </c>
      <c r="B1573" s="1" t="str">
        <f t="shared" si="1178"/>
        <v>150525100</v>
      </c>
      <c r="C1573" s="1" t="str">
        <f>"1014613468"</f>
        <v>1014613468</v>
      </c>
      <c r="D1573" s="1" t="str">
        <f>"152326193801263336"</f>
        <v>152326193801263336</v>
      </c>
      <c r="E1573" s="1" t="s">
        <v>1638</v>
      </c>
      <c r="F1573" s="1" t="s">
        <v>25</v>
      </c>
      <c r="G1573" s="1" t="s">
        <v>17</v>
      </c>
      <c r="H1573" s="1" t="str">
        <f>"86"</f>
        <v>86</v>
      </c>
      <c r="I1573" s="1" t="str">
        <f>"170"</f>
        <v>170</v>
      </c>
      <c r="J1573" s="1" t="str">
        <f t="shared" ref="J1573:J1636" si="1192">"0"</f>
        <v>0</v>
      </c>
      <c r="K1573" s="1" t="str">
        <f t="shared" ref="K1573:K1581" si="1193">"103"</f>
        <v>103</v>
      </c>
      <c r="L1573" s="1" t="str">
        <f t="shared" ref="L1573:L1581" si="1194">"47"</f>
        <v>47</v>
      </c>
      <c r="M1573" s="1" t="str">
        <f t="shared" si="1173"/>
        <v>0</v>
      </c>
      <c r="N1573" s="1" t="str">
        <f t="shared" si="1174"/>
        <v>0</v>
      </c>
      <c r="O1573" s="1" t="str">
        <f t="shared" ref="O1573:O1608" si="1195">"0"</f>
        <v>0</v>
      </c>
    </row>
    <row r="1574" s="1" customFormat="1" spans="1:15">
      <c r="A1574" s="1" t="str">
        <f t="shared" si="1177"/>
        <v>202406</v>
      </c>
      <c r="B1574" s="1" t="str">
        <f t="shared" si="1178"/>
        <v>150525100</v>
      </c>
      <c r="C1574" s="1" t="str">
        <f>"1014613477"</f>
        <v>1014613477</v>
      </c>
      <c r="D1574" s="1" t="str">
        <f>"152326195004103814"</f>
        <v>152326195004103814</v>
      </c>
      <c r="E1574" s="1" t="s">
        <v>1639</v>
      </c>
      <c r="F1574" s="1" t="s">
        <v>25</v>
      </c>
      <c r="G1574" s="1" t="s">
        <v>19</v>
      </c>
      <c r="H1574" s="1" t="str">
        <f>"74"</f>
        <v>74</v>
      </c>
      <c r="I1574" s="1" t="str">
        <f t="shared" ref="I1574:I1576" si="1196">"160"</f>
        <v>160</v>
      </c>
      <c r="J1574" s="1" t="str">
        <f t="shared" si="1192"/>
        <v>0</v>
      </c>
      <c r="K1574" s="1" t="str">
        <f t="shared" si="1193"/>
        <v>103</v>
      </c>
      <c r="L1574" s="1" t="str">
        <f t="shared" si="1194"/>
        <v>47</v>
      </c>
      <c r="M1574" s="1" t="str">
        <f t="shared" si="1173"/>
        <v>0</v>
      </c>
      <c r="N1574" s="1" t="str">
        <f t="shared" si="1174"/>
        <v>0</v>
      </c>
      <c r="O1574" s="1" t="str">
        <f t="shared" si="1195"/>
        <v>0</v>
      </c>
    </row>
    <row r="1575" s="1" customFormat="1" spans="1:15">
      <c r="A1575" s="1" t="str">
        <f t="shared" si="1177"/>
        <v>202406</v>
      </c>
      <c r="B1575" s="1" t="str">
        <f t="shared" si="1178"/>
        <v>150525100</v>
      </c>
      <c r="C1575" s="1" t="str">
        <f>"1014622072"</f>
        <v>1014622072</v>
      </c>
      <c r="D1575" s="1" t="str">
        <f>"152326194510010675"</f>
        <v>152326194510010675</v>
      </c>
      <c r="E1575" s="1" t="s">
        <v>1640</v>
      </c>
      <c r="F1575" s="1" t="s">
        <v>25</v>
      </c>
      <c r="G1575" s="1" t="s">
        <v>17</v>
      </c>
      <c r="H1575" s="1" t="str">
        <f>"79"</f>
        <v>79</v>
      </c>
      <c r="I1575" s="1" t="str">
        <f t="shared" si="1196"/>
        <v>160</v>
      </c>
      <c r="J1575" s="1" t="str">
        <f t="shared" si="1192"/>
        <v>0</v>
      </c>
      <c r="K1575" s="1" t="str">
        <f t="shared" si="1193"/>
        <v>103</v>
      </c>
      <c r="L1575" s="1" t="str">
        <f t="shared" si="1194"/>
        <v>47</v>
      </c>
      <c r="M1575" s="1" t="str">
        <f t="shared" si="1173"/>
        <v>0</v>
      </c>
      <c r="N1575" s="1" t="str">
        <f t="shared" si="1174"/>
        <v>0</v>
      </c>
      <c r="O1575" s="1" t="str">
        <f t="shared" si="1195"/>
        <v>0</v>
      </c>
    </row>
    <row r="1576" s="1" customFormat="1" spans="1:15">
      <c r="A1576" s="1" t="str">
        <f t="shared" si="1177"/>
        <v>202406</v>
      </c>
      <c r="B1576" s="1" t="str">
        <f t="shared" si="1178"/>
        <v>150525100</v>
      </c>
      <c r="C1576" s="1" t="str">
        <f>"1014622089"</f>
        <v>1014622089</v>
      </c>
      <c r="D1576" s="1" t="str">
        <f>"152326195105066389"</f>
        <v>152326195105066389</v>
      </c>
      <c r="E1576" s="1" t="s">
        <v>1641</v>
      </c>
      <c r="F1576" s="1" t="s">
        <v>16</v>
      </c>
      <c r="G1576" s="1" t="s">
        <v>17</v>
      </c>
      <c r="H1576" s="1" t="str">
        <f>"73"</f>
        <v>73</v>
      </c>
      <c r="I1576" s="1" t="str">
        <f t="shared" si="1196"/>
        <v>160</v>
      </c>
      <c r="J1576" s="1" t="str">
        <f t="shared" si="1192"/>
        <v>0</v>
      </c>
      <c r="K1576" s="1" t="str">
        <f t="shared" si="1193"/>
        <v>103</v>
      </c>
      <c r="L1576" s="1" t="str">
        <f t="shared" si="1194"/>
        <v>47</v>
      </c>
      <c r="M1576" s="1" t="str">
        <f t="shared" si="1173"/>
        <v>0</v>
      </c>
      <c r="N1576" s="1" t="str">
        <f t="shared" si="1174"/>
        <v>0</v>
      </c>
      <c r="O1576" s="1" t="str">
        <f t="shared" si="1195"/>
        <v>0</v>
      </c>
    </row>
    <row r="1577" s="1" customFormat="1" spans="1:15">
      <c r="A1577" s="1" t="str">
        <f t="shared" si="1177"/>
        <v>202406</v>
      </c>
      <c r="B1577" s="1" t="str">
        <f t="shared" si="1178"/>
        <v>150525100</v>
      </c>
      <c r="C1577" s="1" t="str">
        <f>"1014619260"</f>
        <v>1014619260</v>
      </c>
      <c r="D1577" s="1" t="str">
        <f>"152326193609190667"</f>
        <v>152326193609190667</v>
      </c>
      <c r="E1577" s="1" t="s">
        <v>1642</v>
      </c>
      <c r="F1577" s="1" t="s">
        <v>16</v>
      </c>
      <c r="G1577" s="1" t="s">
        <v>19</v>
      </c>
      <c r="H1577" s="1" t="str">
        <f>"88"</f>
        <v>88</v>
      </c>
      <c r="I1577" s="1" t="str">
        <f>"170"</f>
        <v>170</v>
      </c>
      <c r="J1577" s="1" t="str">
        <f t="shared" si="1192"/>
        <v>0</v>
      </c>
      <c r="K1577" s="1" t="str">
        <f t="shared" si="1193"/>
        <v>103</v>
      </c>
      <c r="L1577" s="1" t="str">
        <f t="shared" si="1194"/>
        <v>47</v>
      </c>
      <c r="M1577" s="1" t="str">
        <f t="shared" si="1173"/>
        <v>0</v>
      </c>
      <c r="N1577" s="1" t="str">
        <f t="shared" si="1174"/>
        <v>0</v>
      </c>
      <c r="O1577" s="1" t="str">
        <f t="shared" si="1195"/>
        <v>0</v>
      </c>
    </row>
    <row r="1578" s="1" customFormat="1" spans="1:15">
      <c r="A1578" s="1" t="str">
        <f t="shared" si="1177"/>
        <v>202406</v>
      </c>
      <c r="B1578" s="1" t="str">
        <f t="shared" si="1178"/>
        <v>150525100</v>
      </c>
      <c r="C1578" s="1" t="str">
        <f>"1014622920"</f>
        <v>1014622920</v>
      </c>
      <c r="D1578" s="1" t="str">
        <f>"152326194706190428"</f>
        <v>152326194706190428</v>
      </c>
      <c r="E1578" s="1" t="s">
        <v>1643</v>
      </c>
      <c r="F1578" s="1" t="s">
        <v>16</v>
      </c>
      <c r="G1578" s="1" t="s">
        <v>17</v>
      </c>
      <c r="H1578" s="1" t="str">
        <f>"77"</f>
        <v>77</v>
      </c>
      <c r="I1578" s="1" t="str">
        <f t="shared" ref="I1578:I1581" si="1197">"160"</f>
        <v>160</v>
      </c>
      <c r="J1578" s="1" t="str">
        <f t="shared" si="1192"/>
        <v>0</v>
      </c>
      <c r="K1578" s="1" t="str">
        <f t="shared" si="1193"/>
        <v>103</v>
      </c>
      <c r="L1578" s="1" t="str">
        <f t="shared" si="1194"/>
        <v>47</v>
      </c>
      <c r="M1578" s="1" t="str">
        <f t="shared" si="1173"/>
        <v>0</v>
      </c>
      <c r="N1578" s="1" t="str">
        <f t="shared" si="1174"/>
        <v>0</v>
      </c>
      <c r="O1578" s="1" t="str">
        <f t="shared" si="1195"/>
        <v>0</v>
      </c>
    </row>
    <row r="1579" s="1" customFormat="1" spans="1:15">
      <c r="A1579" s="1" t="str">
        <f t="shared" si="1177"/>
        <v>202406</v>
      </c>
      <c r="B1579" s="1" t="str">
        <f t="shared" si="1178"/>
        <v>150525100</v>
      </c>
      <c r="C1579" s="1" t="str">
        <f>"1014623262"</f>
        <v>1014623262</v>
      </c>
      <c r="D1579" s="1" t="s">
        <v>1644</v>
      </c>
      <c r="E1579" s="1" t="s">
        <v>1645</v>
      </c>
      <c r="F1579" s="1" t="s">
        <v>25</v>
      </c>
      <c r="G1579" s="1" t="s">
        <v>19</v>
      </c>
      <c r="H1579" s="1" t="str">
        <f>"86"</f>
        <v>86</v>
      </c>
      <c r="I1579" s="1" t="str">
        <f t="shared" ref="I1579:I1584" si="1198">"170"</f>
        <v>170</v>
      </c>
      <c r="J1579" s="1" t="str">
        <f t="shared" si="1192"/>
        <v>0</v>
      </c>
      <c r="K1579" s="1" t="str">
        <f t="shared" si="1193"/>
        <v>103</v>
      </c>
      <c r="L1579" s="1" t="str">
        <f t="shared" si="1194"/>
        <v>47</v>
      </c>
      <c r="M1579" s="1" t="str">
        <f t="shared" si="1173"/>
        <v>0</v>
      </c>
      <c r="N1579" s="1" t="str">
        <f t="shared" si="1174"/>
        <v>0</v>
      </c>
      <c r="O1579" s="1" t="str">
        <f t="shared" si="1195"/>
        <v>0</v>
      </c>
    </row>
    <row r="1580" s="1" customFormat="1" spans="1:15">
      <c r="A1580" s="1" t="str">
        <f t="shared" si="1177"/>
        <v>202406</v>
      </c>
      <c r="B1580" s="1" t="str">
        <f t="shared" si="1178"/>
        <v>150525100</v>
      </c>
      <c r="C1580" s="1" t="str">
        <f>"1014623701"</f>
        <v>1014623701</v>
      </c>
      <c r="D1580" s="1" t="str">
        <f>"152326195111230413"</f>
        <v>152326195111230413</v>
      </c>
      <c r="E1580" s="1" t="s">
        <v>1646</v>
      </c>
      <c r="F1580" s="1" t="s">
        <v>25</v>
      </c>
      <c r="G1580" s="1" t="s">
        <v>17</v>
      </c>
      <c r="H1580" s="1" t="str">
        <f>"73"</f>
        <v>73</v>
      </c>
      <c r="I1580" s="1" t="str">
        <f t="shared" si="1197"/>
        <v>160</v>
      </c>
      <c r="J1580" s="1" t="str">
        <f t="shared" si="1192"/>
        <v>0</v>
      </c>
      <c r="K1580" s="1" t="str">
        <f t="shared" si="1193"/>
        <v>103</v>
      </c>
      <c r="L1580" s="1" t="str">
        <f t="shared" si="1194"/>
        <v>47</v>
      </c>
      <c r="M1580" s="1" t="str">
        <f t="shared" si="1173"/>
        <v>0</v>
      </c>
      <c r="N1580" s="1" t="str">
        <f t="shared" si="1174"/>
        <v>0</v>
      </c>
      <c r="O1580" s="1" t="str">
        <f t="shared" si="1195"/>
        <v>0</v>
      </c>
    </row>
    <row r="1581" s="1" customFormat="1" spans="1:15">
      <c r="A1581" s="1" t="str">
        <f t="shared" si="1177"/>
        <v>202406</v>
      </c>
      <c r="B1581" s="1" t="str">
        <f t="shared" si="1178"/>
        <v>150525100</v>
      </c>
      <c r="C1581" s="1" t="str">
        <f>"1014623706"</f>
        <v>1014623706</v>
      </c>
      <c r="D1581" s="1" t="s">
        <v>1647</v>
      </c>
      <c r="E1581" s="1" t="s">
        <v>1648</v>
      </c>
      <c r="F1581" s="1" t="s">
        <v>25</v>
      </c>
      <c r="G1581" s="1" t="s">
        <v>17</v>
      </c>
      <c r="H1581" s="1" t="str">
        <f>"77"</f>
        <v>77</v>
      </c>
      <c r="I1581" s="1" t="str">
        <f t="shared" si="1197"/>
        <v>160</v>
      </c>
      <c r="J1581" s="1" t="str">
        <f t="shared" si="1192"/>
        <v>0</v>
      </c>
      <c r="K1581" s="1" t="str">
        <f t="shared" si="1193"/>
        <v>103</v>
      </c>
      <c r="L1581" s="1" t="str">
        <f t="shared" si="1194"/>
        <v>47</v>
      </c>
      <c r="M1581" s="1" t="str">
        <f t="shared" si="1173"/>
        <v>0</v>
      </c>
      <c r="N1581" s="1" t="str">
        <f t="shared" si="1174"/>
        <v>0</v>
      </c>
      <c r="O1581" s="1" t="str">
        <f t="shared" si="1195"/>
        <v>0</v>
      </c>
    </row>
    <row r="1582" s="1" customFormat="1" spans="1:15">
      <c r="A1582" s="1" t="str">
        <f t="shared" si="1177"/>
        <v>202406</v>
      </c>
      <c r="B1582" s="1" t="str">
        <f t="shared" si="1178"/>
        <v>150525100</v>
      </c>
      <c r="C1582" s="1" t="str">
        <f>"1014623723"</f>
        <v>1014623723</v>
      </c>
      <c r="D1582" s="1" t="str">
        <f>"152326193712233813"</f>
        <v>152326193712233813</v>
      </c>
      <c r="E1582" s="1" t="s">
        <v>287</v>
      </c>
      <c r="F1582" s="1" t="s">
        <v>25</v>
      </c>
      <c r="G1582" s="1" t="s">
        <v>17</v>
      </c>
      <c r="H1582" s="1" t="str">
        <f>"87"</f>
        <v>87</v>
      </c>
      <c r="I1582" s="1" t="str">
        <f>"1800"</f>
        <v>1800</v>
      </c>
      <c r="J1582" s="1" t="str">
        <f t="shared" si="1192"/>
        <v>0</v>
      </c>
      <c r="K1582" s="1" t="str">
        <f>"0"</f>
        <v>0</v>
      </c>
      <c r="L1582" s="1" t="str">
        <f>"0"</f>
        <v>0</v>
      </c>
      <c r="M1582" s="1" t="str">
        <f t="shared" si="1173"/>
        <v>0</v>
      </c>
      <c r="N1582" s="1" t="str">
        <f t="shared" si="1174"/>
        <v>0</v>
      </c>
      <c r="O1582" s="1" t="str">
        <f t="shared" si="1195"/>
        <v>0</v>
      </c>
    </row>
    <row r="1583" s="1" customFormat="1" spans="1:15">
      <c r="A1583" s="1" t="str">
        <f t="shared" si="1177"/>
        <v>202406</v>
      </c>
      <c r="B1583" s="1" t="str">
        <f t="shared" si="1178"/>
        <v>150525100</v>
      </c>
      <c r="C1583" s="1" t="str">
        <f>"1014623833"</f>
        <v>1014623833</v>
      </c>
      <c r="D1583" s="1" t="str">
        <f>"152326193811070677"</f>
        <v>152326193811070677</v>
      </c>
      <c r="E1583" s="1" t="s">
        <v>1649</v>
      </c>
      <c r="F1583" s="1" t="s">
        <v>25</v>
      </c>
      <c r="G1583" s="1" t="s">
        <v>17</v>
      </c>
      <c r="H1583" s="1" t="str">
        <f>"86"</f>
        <v>86</v>
      </c>
      <c r="I1583" s="1" t="str">
        <f t="shared" si="1198"/>
        <v>170</v>
      </c>
      <c r="J1583" s="1" t="str">
        <f t="shared" si="1192"/>
        <v>0</v>
      </c>
      <c r="K1583" s="1" t="str">
        <f t="shared" ref="K1583:K1646" si="1199">"103"</f>
        <v>103</v>
      </c>
      <c r="L1583" s="1" t="str">
        <f t="shared" ref="L1583:L1646" si="1200">"47"</f>
        <v>47</v>
      </c>
      <c r="M1583" s="1" t="str">
        <f t="shared" si="1173"/>
        <v>0</v>
      </c>
      <c r="N1583" s="1" t="str">
        <f t="shared" si="1174"/>
        <v>0</v>
      </c>
      <c r="O1583" s="1" t="str">
        <f t="shared" si="1195"/>
        <v>0</v>
      </c>
    </row>
    <row r="1584" s="1" customFormat="1" spans="1:15">
      <c r="A1584" s="1" t="str">
        <f t="shared" si="1177"/>
        <v>202406</v>
      </c>
      <c r="B1584" s="1" t="str">
        <f t="shared" si="1178"/>
        <v>150525100</v>
      </c>
      <c r="C1584" s="1" t="str">
        <f>"1014624305"</f>
        <v>1014624305</v>
      </c>
      <c r="D1584" s="1" t="str">
        <f>"152326193212123087"</f>
        <v>152326193212123087</v>
      </c>
      <c r="E1584" s="1" t="s">
        <v>1650</v>
      </c>
      <c r="F1584" s="1" t="s">
        <v>16</v>
      </c>
      <c r="G1584" s="1" t="s">
        <v>19</v>
      </c>
      <c r="H1584" s="1" t="str">
        <f>"92"</f>
        <v>92</v>
      </c>
      <c r="I1584" s="1" t="str">
        <f t="shared" si="1198"/>
        <v>170</v>
      </c>
      <c r="J1584" s="1" t="str">
        <f t="shared" si="1192"/>
        <v>0</v>
      </c>
      <c r="K1584" s="1" t="str">
        <f t="shared" si="1199"/>
        <v>103</v>
      </c>
      <c r="L1584" s="1" t="str">
        <f t="shared" si="1200"/>
        <v>47</v>
      </c>
      <c r="M1584" s="1" t="str">
        <f t="shared" si="1173"/>
        <v>0</v>
      </c>
      <c r="N1584" s="1" t="str">
        <f t="shared" si="1174"/>
        <v>0</v>
      </c>
      <c r="O1584" s="1" t="str">
        <f t="shared" si="1195"/>
        <v>0</v>
      </c>
    </row>
    <row r="1585" s="1" customFormat="1" spans="1:15">
      <c r="A1585" s="1" t="str">
        <f t="shared" si="1177"/>
        <v>202406</v>
      </c>
      <c r="B1585" s="1" t="str">
        <f t="shared" si="1178"/>
        <v>150525100</v>
      </c>
      <c r="C1585" s="1" t="str">
        <f>"1014624312"</f>
        <v>1014624312</v>
      </c>
      <c r="D1585" s="1" t="str">
        <f>"152326194605253098"</f>
        <v>152326194605253098</v>
      </c>
      <c r="E1585" s="1" t="s">
        <v>1651</v>
      </c>
      <c r="F1585" s="1" t="s">
        <v>25</v>
      </c>
      <c r="G1585" s="1" t="s">
        <v>19</v>
      </c>
      <c r="H1585" s="1" t="str">
        <f>"78"</f>
        <v>78</v>
      </c>
      <c r="I1585" s="1" t="str">
        <f t="shared" ref="I1585:I1594" si="1201">"160"</f>
        <v>160</v>
      </c>
      <c r="J1585" s="1" t="str">
        <f t="shared" si="1192"/>
        <v>0</v>
      </c>
      <c r="K1585" s="1" t="str">
        <f t="shared" si="1199"/>
        <v>103</v>
      </c>
      <c r="L1585" s="1" t="str">
        <f t="shared" si="1200"/>
        <v>47</v>
      </c>
      <c r="M1585" s="1" t="str">
        <f t="shared" si="1173"/>
        <v>0</v>
      </c>
      <c r="N1585" s="1" t="str">
        <f t="shared" si="1174"/>
        <v>0</v>
      </c>
      <c r="O1585" s="1" t="str">
        <f t="shared" si="1195"/>
        <v>0</v>
      </c>
    </row>
    <row r="1586" s="1" customFormat="1" spans="1:15">
      <c r="A1586" s="1" t="str">
        <f t="shared" si="1177"/>
        <v>202406</v>
      </c>
      <c r="B1586" s="1" t="str">
        <f t="shared" si="1178"/>
        <v>150525100</v>
      </c>
      <c r="C1586" s="1" t="str">
        <f>"1014619830"</f>
        <v>1014619830</v>
      </c>
      <c r="D1586" s="1" t="s">
        <v>1652</v>
      </c>
      <c r="E1586" s="1" t="s">
        <v>1653</v>
      </c>
      <c r="F1586" s="1" t="s">
        <v>16</v>
      </c>
      <c r="G1586" s="1" t="s">
        <v>17</v>
      </c>
      <c r="H1586" s="1" t="str">
        <f>"81"</f>
        <v>81</v>
      </c>
      <c r="I1586" s="1" t="str">
        <f>"170"</f>
        <v>170</v>
      </c>
      <c r="J1586" s="1" t="str">
        <f t="shared" si="1192"/>
        <v>0</v>
      </c>
      <c r="K1586" s="1" t="str">
        <f t="shared" si="1199"/>
        <v>103</v>
      </c>
      <c r="L1586" s="1" t="str">
        <f t="shared" si="1200"/>
        <v>47</v>
      </c>
      <c r="M1586" s="1" t="str">
        <f t="shared" si="1173"/>
        <v>0</v>
      </c>
      <c r="N1586" s="1" t="str">
        <f t="shared" si="1174"/>
        <v>0</v>
      </c>
      <c r="O1586" s="1" t="str">
        <f t="shared" si="1195"/>
        <v>0</v>
      </c>
    </row>
    <row r="1587" s="1" customFormat="1" spans="1:15">
      <c r="A1587" s="1" t="str">
        <f t="shared" si="1177"/>
        <v>202406</v>
      </c>
      <c r="B1587" s="1" t="str">
        <f t="shared" si="1178"/>
        <v>150525100</v>
      </c>
      <c r="C1587" s="1" t="str">
        <f>"1014623289"</f>
        <v>1014623289</v>
      </c>
      <c r="D1587" s="1" t="str">
        <f>"152326194703210024"</f>
        <v>152326194703210024</v>
      </c>
      <c r="E1587" s="1" t="s">
        <v>1654</v>
      </c>
      <c r="F1587" s="1" t="s">
        <v>16</v>
      </c>
      <c r="G1587" s="1" t="s">
        <v>17</v>
      </c>
      <c r="H1587" s="1" t="str">
        <f>"77"</f>
        <v>77</v>
      </c>
      <c r="I1587" s="1" t="str">
        <f t="shared" si="1201"/>
        <v>160</v>
      </c>
      <c r="J1587" s="1" t="str">
        <f t="shared" si="1192"/>
        <v>0</v>
      </c>
      <c r="K1587" s="1" t="str">
        <f t="shared" si="1199"/>
        <v>103</v>
      </c>
      <c r="L1587" s="1" t="str">
        <f t="shared" si="1200"/>
        <v>47</v>
      </c>
      <c r="M1587" s="1" t="str">
        <f t="shared" ref="M1587:M1650" si="1202">"0"</f>
        <v>0</v>
      </c>
      <c r="N1587" s="1" t="str">
        <f t="shared" ref="N1587:N1650" si="1203">"0"</f>
        <v>0</v>
      </c>
      <c r="O1587" s="1" t="str">
        <f t="shared" si="1195"/>
        <v>0</v>
      </c>
    </row>
    <row r="1588" s="1" customFormat="1" spans="1:15">
      <c r="A1588" s="1" t="str">
        <f t="shared" si="1177"/>
        <v>202406</v>
      </c>
      <c r="B1588" s="1" t="str">
        <f t="shared" si="1178"/>
        <v>150525100</v>
      </c>
      <c r="C1588" s="1" t="str">
        <f>"1014623295"</f>
        <v>1014623295</v>
      </c>
      <c r="D1588" s="1" t="str">
        <f>"152326195008243080"</f>
        <v>152326195008243080</v>
      </c>
      <c r="E1588" s="1" t="s">
        <v>1655</v>
      </c>
      <c r="F1588" s="1" t="s">
        <v>16</v>
      </c>
      <c r="G1588" s="1" t="s">
        <v>17</v>
      </c>
      <c r="H1588" s="1" t="str">
        <f t="shared" ref="H1588:H1594" si="1204">"74"</f>
        <v>74</v>
      </c>
      <c r="I1588" s="1" t="str">
        <f t="shared" si="1201"/>
        <v>160</v>
      </c>
      <c r="J1588" s="1" t="str">
        <f t="shared" si="1192"/>
        <v>0</v>
      </c>
      <c r="K1588" s="1" t="str">
        <f t="shared" si="1199"/>
        <v>103</v>
      </c>
      <c r="L1588" s="1" t="str">
        <f t="shared" si="1200"/>
        <v>47</v>
      </c>
      <c r="M1588" s="1" t="str">
        <f t="shared" si="1202"/>
        <v>0</v>
      </c>
      <c r="N1588" s="1" t="str">
        <f t="shared" si="1203"/>
        <v>0</v>
      </c>
      <c r="O1588" s="1" t="str">
        <f t="shared" si="1195"/>
        <v>0</v>
      </c>
    </row>
    <row r="1589" s="1" customFormat="1" spans="1:15">
      <c r="A1589" s="1" t="str">
        <f t="shared" si="1177"/>
        <v>202406</v>
      </c>
      <c r="B1589" s="1" t="str">
        <f t="shared" si="1178"/>
        <v>150525100</v>
      </c>
      <c r="C1589" s="1" t="str">
        <f>"1014623733"</f>
        <v>1014623733</v>
      </c>
      <c r="D1589" s="1" t="s">
        <v>1656</v>
      </c>
      <c r="E1589" s="1" t="s">
        <v>1657</v>
      </c>
      <c r="F1589" s="1" t="s">
        <v>25</v>
      </c>
      <c r="G1589" s="1" t="s">
        <v>19</v>
      </c>
      <c r="H1589" s="1" t="str">
        <f>"73"</f>
        <v>73</v>
      </c>
      <c r="I1589" s="1" t="str">
        <f t="shared" si="1201"/>
        <v>160</v>
      </c>
      <c r="J1589" s="1" t="str">
        <f t="shared" si="1192"/>
        <v>0</v>
      </c>
      <c r="K1589" s="1" t="str">
        <f t="shared" si="1199"/>
        <v>103</v>
      </c>
      <c r="L1589" s="1" t="str">
        <f t="shared" si="1200"/>
        <v>47</v>
      </c>
      <c r="M1589" s="1" t="str">
        <f t="shared" si="1202"/>
        <v>0</v>
      </c>
      <c r="N1589" s="1" t="str">
        <f t="shared" si="1203"/>
        <v>0</v>
      </c>
      <c r="O1589" s="1" t="str">
        <f t="shared" si="1195"/>
        <v>0</v>
      </c>
    </row>
    <row r="1590" s="1" customFormat="1" spans="1:15">
      <c r="A1590" s="1" t="str">
        <f t="shared" si="1177"/>
        <v>202406</v>
      </c>
      <c r="B1590" s="1" t="str">
        <f t="shared" si="1178"/>
        <v>150525100</v>
      </c>
      <c r="C1590" s="1" t="str">
        <f>"1014623754"</f>
        <v>1014623754</v>
      </c>
      <c r="D1590" s="1" t="str">
        <f>"152326195012100410"</f>
        <v>152326195012100410</v>
      </c>
      <c r="E1590" s="1" t="s">
        <v>1658</v>
      </c>
      <c r="F1590" s="1" t="s">
        <v>25</v>
      </c>
      <c r="G1590" s="1" t="s">
        <v>19</v>
      </c>
      <c r="H1590" s="1" t="str">
        <f t="shared" si="1204"/>
        <v>74</v>
      </c>
      <c r="I1590" s="1" t="str">
        <f t="shared" si="1201"/>
        <v>160</v>
      </c>
      <c r="J1590" s="1" t="str">
        <f t="shared" si="1192"/>
        <v>0</v>
      </c>
      <c r="K1590" s="1" t="str">
        <f t="shared" si="1199"/>
        <v>103</v>
      </c>
      <c r="L1590" s="1" t="str">
        <f t="shared" si="1200"/>
        <v>47</v>
      </c>
      <c r="M1590" s="1" t="str">
        <f t="shared" si="1202"/>
        <v>0</v>
      </c>
      <c r="N1590" s="1" t="str">
        <f t="shared" si="1203"/>
        <v>0</v>
      </c>
      <c r="O1590" s="1" t="str">
        <f t="shared" si="1195"/>
        <v>0</v>
      </c>
    </row>
    <row r="1591" s="1" customFormat="1" spans="1:15">
      <c r="A1591" s="1" t="str">
        <f t="shared" si="1177"/>
        <v>202406</v>
      </c>
      <c r="B1591" s="1" t="str">
        <f t="shared" si="1178"/>
        <v>150525100</v>
      </c>
      <c r="C1591" s="1" t="str">
        <f>"1014623755"</f>
        <v>1014623755</v>
      </c>
      <c r="D1591" s="1" t="str">
        <f>"152326194901120417"</f>
        <v>152326194901120417</v>
      </c>
      <c r="E1591" s="1" t="s">
        <v>1659</v>
      </c>
      <c r="F1591" s="1" t="s">
        <v>25</v>
      </c>
      <c r="G1591" s="1" t="s">
        <v>19</v>
      </c>
      <c r="H1591" s="1" t="str">
        <f>"75"</f>
        <v>75</v>
      </c>
      <c r="I1591" s="1" t="str">
        <f t="shared" si="1201"/>
        <v>160</v>
      </c>
      <c r="J1591" s="1" t="str">
        <f t="shared" si="1192"/>
        <v>0</v>
      </c>
      <c r="K1591" s="1" t="str">
        <f t="shared" si="1199"/>
        <v>103</v>
      </c>
      <c r="L1591" s="1" t="str">
        <f t="shared" si="1200"/>
        <v>47</v>
      </c>
      <c r="M1591" s="1" t="str">
        <f t="shared" si="1202"/>
        <v>0</v>
      </c>
      <c r="N1591" s="1" t="str">
        <f t="shared" si="1203"/>
        <v>0</v>
      </c>
      <c r="O1591" s="1" t="str">
        <f t="shared" si="1195"/>
        <v>0</v>
      </c>
    </row>
    <row r="1592" s="1" customFormat="1" spans="1:15">
      <c r="A1592" s="1" t="str">
        <f t="shared" si="1177"/>
        <v>202406</v>
      </c>
      <c r="B1592" s="1" t="str">
        <f t="shared" si="1178"/>
        <v>150525100</v>
      </c>
      <c r="C1592" s="1" t="str">
        <f>"1014612759"</f>
        <v>1014612759</v>
      </c>
      <c r="D1592" s="1" t="s">
        <v>1660</v>
      </c>
      <c r="E1592" s="1" t="s">
        <v>1661</v>
      </c>
      <c r="F1592" s="1" t="s">
        <v>25</v>
      </c>
      <c r="G1592" s="1" t="s">
        <v>19</v>
      </c>
      <c r="H1592" s="1" t="str">
        <f>"77"</f>
        <v>77</v>
      </c>
      <c r="I1592" s="1" t="str">
        <f t="shared" si="1201"/>
        <v>160</v>
      </c>
      <c r="J1592" s="1" t="str">
        <f t="shared" si="1192"/>
        <v>0</v>
      </c>
      <c r="K1592" s="1" t="str">
        <f t="shared" si="1199"/>
        <v>103</v>
      </c>
      <c r="L1592" s="1" t="str">
        <f t="shared" si="1200"/>
        <v>47</v>
      </c>
      <c r="M1592" s="1" t="str">
        <f t="shared" si="1202"/>
        <v>0</v>
      </c>
      <c r="N1592" s="1" t="str">
        <f t="shared" si="1203"/>
        <v>0</v>
      </c>
      <c r="O1592" s="1" t="str">
        <f t="shared" si="1195"/>
        <v>0</v>
      </c>
    </row>
    <row r="1593" s="1" customFormat="1" spans="1:15">
      <c r="A1593" s="1" t="str">
        <f t="shared" si="1177"/>
        <v>202406</v>
      </c>
      <c r="B1593" s="1" t="str">
        <f t="shared" si="1178"/>
        <v>150525100</v>
      </c>
      <c r="C1593" s="1" t="str">
        <f>"1014612764"</f>
        <v>1014612764</v>
      </c>
      <c r="D1593" s="1" t="str">
        <f>"152326195011110916"</f>
        <v>152326195011110916</v>
      </c>
      <c r="E1593" s="1" t="s">
        <v>1662</v>
      </c>
      <c r="F1593" s="1" t="s">
        <v>25</v>
      </c>
      <c r="G1593" s="1" t="s">
        <v>19</v>
      </c>
      <c r="H1593" s="1" t="str">
        <f t="shared" si="1204"/>
        <v>74</v>
      </c>
      <c r="I1593" s="1" t="str">
        <f t="shared" si="1201"/>
        <v>160</v>
      </c>
      <c r="J1593" s="1" t="str">
        <f t="shared" si="1192"/>
        <v>0</v>
      </c>
      <c r="K1593" s="1" t="str">
        <f t="shared" si="1199"/>
        <v>103</v>
      </c>
      <c r="L1593" s="1" t="str">
        <f t="shared" si="1200"/>
        <v>47</v>
      </c>
      <c r="M1593" s="1" t="str">
        <f t="shared" si="1202"/>
        <v>0</v>
      </c>
      <c r="N1593" s="1" t="str">
        <f t="shared" si="1203"/>
        <v>0</v>
      </c>
      <c r="O1593" s="1" t="str">
        <f t="shared" si="1195"/>
        <v>0</v>
      </c>
    </row>
    <row r="1594" s="1" customFormat="1" spans="1:15">
      <c r="A1594" s="1" t="str">
        <f t="shared" si="1177"/>
        <v>202406</v>
      </c>
      <c r="B1594" s="1" t="str">
        <f t="shared" si="1178"/>
        <v>150525100</v>
      </c>
      <c r="C1594" s="1" t="str">
        <f>"1014613547"</f>
        <v>1014613547</v>
      </c>
      <c r="D1594" s="1" t="str">
        <f>"152326195004060922"</f>
        <v>152326195004060922</v>
      </c>
      <c r="E1594" s="1" t="s">
        <v>1663</v>
      </c>
      <c r="F1594" s="1" t="s">
        <v>16</v>
      </c>
      <c r="G1594" s="1" t="s">
        <v>19</v>
      </c>
      <c r="H1594" s="1" t="str">
        <f t="shared" si="1204"/>
        <v>74</v>
      </c>
      <c r="I1594" s="1" t="str">
        <f t="shared" si="1201"/>
        <v>160</v>
      </c>
      <c r="J1594" s="1" t="str">
        <f t="shared" si="1192"/>
        <v>0</v>
      </c>
      <c r="K1594" s="1" t="str">
        <f t="shared" si="1199"/>
        <v>103</v>
      </c>
      <c r="L1594" s="1" t="str">
        <f t="shared" si="1200"/>
        <v>47</v>
      </c>
      <c r="M1594" s="1" t="str">
        <f t="shared" si="1202"/>
        <v>0</v>
      </c>
      <c r="N1594" s="1" t="str">
        <f t="shared" si="1203"/>
        <v>0</v>
      </c>
      <c r="O1594" s="1" t="str">
        <f t="shared" si="1195"/>
        <v>0</v>
      </c>
    </row>
    <row r="1595" s="1" customFormat="1" spans="1:15">
      <c r="A1595" s="1" t="str">
        <f t="shared" si="1177"/>
        <v>202406</v>
      </c>
      <c r="B1595" s="1" t="str">
        <f t="shared" si="1178"/>
        <v>150525100</v>
      </c>
      <c r="C1595" s="1" t="str">
        <f>"1014622493"</f>
        <v>1014622493</v>
      </c>
      <c r="D1595" s="1" t="str">
        <f>"152326193012270664"</f>
        <v>152326193012270664</v>
      </c>
      <c r="E1595" s="1" t="s">
        <v>1664</v>
      </c>
      <c r="F1595" s="1" t="s">
        <v>16</v>
      </c>
      <c r="G1595" s="1" t="s">
        <v>17</v>
      </c>
      <c r="H1595" s="1" t="str">
        <f>"94"</f>
        <v>94</v>
      </c>
      <c r="I1595" s="1" t="str">
        <f t="shared" ref="I1595:I1599" si="1205">"170"</f>
        <v>170</v>
      </c>
      <c r="J1595" s="1" t="str">
        <f t="shared" si="1192"/>
        <v>0</v>
      </c>
      <c r="K1595" s="1" t="str">
        <f t="shared" si="1199"/>
        <v>103</v>
      </c>
      <c r="L1595" s="1" t="str">
        <f t="shared" si="1200"/>
        <v>47</v>
      </c>
      <c r="M1595" s="1" t="str">
        <f t="shared" si="1202"/>
        <v>0</v>
      </c>
      <c r="N1595" s="1" t="str">
        <f t="shared" si="1203"/>
        <v>0</v>
      </c>
      <c r="O1595" s="1" t="str">
        <f t="shared" si="1195"/>
        <v>0</v>
      </c>
    </row>
    <row r="1596" s="1" customFormat="1" spans="1:15">
      <c r="A1596" s="1" t="str">
        <f t="shared" si="1177"/>
        <v>202406</v>
      </c>
      <c r="B1596" s="1" t="str">
        <f t="shared" si="1178"/>
        <v>150525100</v>
      </c>
      <c r="C1596" s="1" t="str">
        <f>"1014623859"</f>
        <v>1014623859</v>
      </c>
      <c r="D1596" s="1" t="str">
        <f>"152326195007090676"</f>
        <v>152326195007090676</v>
      </c>
      <c r="E1596" s="1" t="s">
        <v>1665</v>
      </c>
      <c r="F1596" s="1" t="s">
        <v>25</v>
      </c>
      <c r="G1596" s="1" t="s">
        <v>17</v>
      </c>
      <c r="H1596" s="1" t="str">
        <f>"74"</f>
        <v>74</v>
      </c>
      <c r="I1596" s="1" t="str">
        <f t="shared" ref="I1596:I1601" si="1206">"160"</f>
        <v>160</v>
      </c>
      <c r="J1596" s="1" t="str">
        <f t="shared" si="1192"/>
        <v>0</v>
      </c>
      <c r="K1596" s="1" t="str">
        <f t="shared" si="1199"/>
        <v>103</v>
      </c>
      <c r="L1596" s="1" t="str">
        <f t="shared" si="1200"/>
        <v>47</v>
      </c>
      <c r="M1596" s="1" t="str">
        <f t="shared" si="1202"/>
        <v>0</v>
      </c>
      <c r="N1596" s="1" t="str">
        <f t="shared" si="1203"/>
        <v>0</v>
      </c>
      <c r="O1596" s="1" t="str">
        <f t="shared" si="1195"/>
        <v>0</v>
      </c>
    </row>
    <row r="1597" s="1" customFormat="1" spans="1:15">
      <c r="A1597" s="1" t="str">
        <f t="shared" si="1177"/>
        <v>202406</v>
      </c>
      <c r="B1597" s="1" t="str">
        <f t="shared" si="1178"/>
        <v>150525100</v>
      </c>
      <c r="C1597" s="1" t="str">
        <f>"1014623876"</f>
        <v>1014623876</v>
      </c>
      <c r="D1597" s="1" t="str">
        <f>"152326194108140674"</f>
        <v>152326194108140674</v>
      </c>
      <c r="E1597" s="1" t="s">
        <v>1666</v>
      </c>
      <c r="F1597" s="1" t="s">
        <v>25</v>
      </c>
      <c r="G1597" s="1" t="s">
        <v>17</v>
      </c>
      <c r="H1597" s="1" t="str">
        <f t="shared" ref="H1597:H1602" si="1207">"83"</f>
        <v>83</v>
      </c>
      <c r="I1597" s="1" t="str">
        <f t="shared" si="1205"/>
        <v>170</v>
      </c>
      <c r="J1597" s="1" t="str">
        <f t="shared" si="1192"/>
        <v>0</v>
      </c>
      <c r="K1597" s="1" t="str">
        <f t="shared" si="1199"/>
        <v>103</v>
      </c>
      <c r="L1597" s="1" t="str">
        <f t="shared" si="1200"/>
        <v>47</v>
      </c>
      <c r="M1597" s="1" t="str">
        <f t="shared" si="1202"/>
        <v>0</v>
      </c>
      <c r="N1597" s="1" t="str">
        <f t="shared" si="1203"/>
        <v>0</v>
      </c>
      <c r="O1597" s="1" t="str">
        <f t="shared" si="1195"/>
        <v>0</v>
      </c>
    </row>
    <row r="1598" s="1" customFormat="1" spans="1:15">
      <c r="A1598" s="1" t="str">
        <f t="shared" si="1177"/>
        <v>202406</v>
      </c>
      <c r="B1598" s="1" t="str">
        <f t="shared" si="1178"/>
        <v>150525100</v>
      </c>
      <c r="C1598" s="1" t="str">
        <f>"1014624348"</f>
        <v>1014624348</v>
      </c>
      <c r="D1598" s="1" t="str">
        <f>"152326194112300669"</f>
        <v>152326194112300669</v>
      </c>
      <c r="E1598" s="1" t="s">
        <v>1181</v>
      </c>
      <c r="F1598" s="1" t="s">
        <v>16</v>
      </c>
      <c r="G1598" s="1" t="s">
        <v>17</v>
      </c>
      <c r="H1598" s="1" t="str">
        <f t="shared" si="1207"/>
        <v>83</v>
      </c>
      <c r="I1598" s="1" t="str">
        <f t="shared" si="1205"/>
        <v>170</v>
      </c>
      <c r="J1598" s="1" t="str">
        <f t="shared" si="1192"/>
        <v>0</v>
      </c>
      <c r="K1598" s="1" t="str">
        <f t="shared" si="1199"/>
        <v>103</v>
      </c>
      <c r="L1598" s="1" t="str">
        <f t="shared" si="1200"/>
        <v>47</v>
      </c>
      <c r="M1598" s="1" t="str">
        <f t="shared" si="1202"/>
        <v>0</v>
      </c>
      <c r="N1598" s="1" t="str">
        <f t="shared" si="1203"/>
        <v>0</v>
      </c>
      <c r="O1598" s="1" t="str">
        <f t="shared" si="1195"/>
        <v>0</v>
      </c>
    </row>
    <row r="1599" s="1" customFormat="1" spans="1:15">
      <c r="A1599" s="1" t="str">
        <f t="shared" si="1177"/>
        <v>202406</v>
      </c>
      <c r="B1599" s="1" t="str">
        <f t="shared" si="1178"/>
        <v>150525100</v>
      </c>
      <c r="C1599" s="1" t="str">
        <f>"1014624362"</f>
        <v>1014624362</v>
      </c>
      <c r="D1599" s="1" t="str">
        <f>"152326193711110918"</f>
        <v>152326193711110918</v>
      </c>
      <c r="E1599" s="1" t="s">
        <v>1667</v>
      </c>
      <c r="F1599" s="1" t="s">
        <v>25</v>
      </c>
      <c r="G1599" s="1" t="s">
        <v>19</v>
      </c>
      <c r="H1599" s="1" t="str">
        <f>"87"</f>
        <v>87</v>
      </c>
      <c r="I1599" s="1" t="str">
        <f t="shared" si="1205"/>
        <v>170</v>
      </c>
      <c r="J1599" s="1" t="str">
        <f t="shared" si="1192"/>
        <v>0</v>
      </c>
      <c r="K1599" s="1" t="str">
        <f t="shared" si="1199"/>
        <v>103</v>
      </c>
      <c r="L1599" s="1" t="str">
        <f t="shared" si="1200"/>
        <v>47</v>
      </c>
      <c r="M1599" s="1" t="str">
        <f t="shared" si="1202"/>
        <v>0</v>
      </c>
      <c r="N1599" s="1" t="str">
        <f t="shared" si="1203"/>
        <v>0</v>
      </c>
      <c r="O1599" s="1" t="str">
        <f t="shared" si="1195"/>
        <v>0</v>
      </c>
    </row>
    <row r="1600" s="1" customFormat="1" spans="1:15">
      <c r="A1600" s="1" t="str">
        <f t="shared" si="1177"/>
        <v>202406</v>
      </c>
      <c r="B1600" s="1" t="str">
        <f t="shared" si="1178"/>
        <v>150525100</v>
      </c>
      <c r="C1600" s="1" t="str">
        <f>"1014624365"</f>
        <v>1014624365</v>
      </c>
      <c r="D1600" s="1" t="str">
        <f>"152326194802020947"</f>
        <v>152326194802020947</v>
      </c>
      <c r="E1600" s="1" t="s">
        <v>1668</v>
      </c>
      <c r="F1600" s="1" t="s">
        <v>16</v>
      </c>
      <c r="G1600" s="1" t="s">
        <v>19</v>
      </c>
      <c r="H1600" s="1" t="str">
        <f t="shared" ref="H1600:H1604" si="1208">"76"</f>
        <v>76</v>
      </c>
      <c r="I1600" s="1" t="str">
        <f t="shared" si="1206"/>
        <v>160</v>
      </c>
      <c r="J1600" s="1" t="str">
        <f t="shared" si="1192"/>
        <v>0</v>
      </c>
      <c r="K1600" s="1" t="str">
        <f t="shared" si="1199"/>
        <v>103</v>
      </c>
      <c r="L1600" s="1" t="str">
        <f t="shared" si="1200"/>
        <v>47</v>
      </c>
      <c r="M1600" s="1" t="str">
        <f t="shared" si="1202"/>
        <v>0</v>
      </c>
      <c r="N1600" s="1" t="str">
        <f t="shared" si="1203"/>
        <v>0</v>
      </c>
      <c r="O1600" s="1" t="str">
        <f t="shared" si="1195"/>
        <v>0</v>
      </c>
    </row>
    <row r="1601" s="1" customFormat="1" spans="1:15">
      <c r="A1601" s="1" t="str">
        <f t="shared" si="1177"/>
        <v>202406</v>
      </c>
      <c r="B1601" s="1" t="str">
        <f t="shared" si="1178"/>
        <v>150525100</v>
      </c>
      <c r="C1601" s="1" t="str">
        <f>"1014619351"</f>
        <v>1014619351</v>
      </c>
      <c r="D1601" s="1" t="str">
        <f>"152326195010080671"</f>
        <v>152326195010080671</v>
      </c>
      <c r="E1601" s="1" t="s">
        <v>1669</v>
      </c>
      <c r="F1601" s="1" t="s">
        <v>25</v>
      </c>
      <c r="G1601" s="1" t="s">
        <v>17</v>
      </c>
      <c r="H1601" s="1" t="str">
        <f>"74"</f>
        <v>74</v>
      </c>
      <c r="I1601" s="1" t="str">
        <f t="shared" si="1206"/>
        <v>160</v>
      </c>
      <c r="J1601" s="1" t="str">
        <f t="shared" si="1192"/>
        <v>0</v>
      </c>
      <c r="K1601" s="1" t="str">
        <f t="shared" si="1199"/>
        <v>103</v>
      </c>
      <c r="L1601" s="1" t="str">
        <f t="shared" si="1200"/>
        <v>47</v>
      </c>
      <c r="M1601" s="1" t="str">
        <f t="shared" si="1202"/>
        <v>0</v>
      </c>
      <c r="N1601" s="1" t="str">
        <f t="shared" si="1203"/>
        <v>0</v>
      </c>
      <c r="O1601" s="1" t="str">
        <f t="shared" si="1195"/>
        <v>0</v>
      </c>
    </row>
    <row r="1602" s="1" customFormat="1" spans="1:15">
      <c r="A1602" s="1" t="str">
        <f t="shared" ref="A1602:A1665" si="1209">"202406"</f>
        <v>202406</v>
      </c>
      <c r="B1602" s="1" t="str">
        <f t="shared" ref="B1602:B1665" si="1210">"150525100"</f>
        <v>150525100</v>
      </c>
      <c r="C1602" s="1" t="str">
        <f>"1014619886"</f>
        <v>1014619886</v>
      </c>
      <c r="D1602" s="1" t="str">
        <f>"152326194102033827"</f>
        <v>152326194102033827</v>
      </c>
      <c r="E1602" s="1" t="s">
        <v>1670</v>
      </c>
      <c r="F1602" s="1" t="s">
        <v>16</v>
      </c>
      <c r="G1602" s="1" t="s">
        <v>17</v>
      </c>
      <c r="H1602" s="1" t="str">
        <f t="shared" si="1207"/>
        <v>83</v>
      </c>
      <c r="I1602" s="1" t="str">
        <f>"170"</f>
        <v>170</v>
      </c>
      <c r="J1602" s="1" t="str">
        <f t="shared" si="1192"/>
        <v>0</v>
      </c>
      <c r="K1602" s="1" t="str">
        <f t="shared" si="1199"/>
        <v>103</v>
      </c>
      <c r="L1602" s="1" t="str">
        <f t="shared" si="1200"/>
        <v>47</v>
      </c>
      <c r="M1602" s="1" t="str">
        <f t="shared" si="1202"/>
        <v>0</v>
      </c>
      <c r="N1602" s="1" t="str">
        <f t="shared" si="1203"/>
        <v>0</v>
      </c>
      <c r="O1602" s="1" t="str">
        <f t="shared" si="1195"/>
        <v>0</v>
      </c>
    </row>
    <row r="1603" s="1" customFormat="1" spans="1:15">
      <c r="A1603" s="1" t="str">
        <f t="shared" si="1209"/>
        <v>202406</v>
      </c>
      <c r="B1603" s="1" t="str">
        <f t="shared" si="1210"/>
        <v>150525100</v>
      </c>
      <c r="C1603" s="1" t="str">
        <f>"1014619904"</f>
        <v>1014619904</v>
      </c>
      <c r="D1603" s="1" t="str">
        <f>"152326194804243829"</f>
        <v>152326194804243829</v>
      </c>
      <c r="E1603" s="1" t="s">
        <v>1671</v>
      </c>
      <c r="F1603" s="1" t="s">
        <v>16</v>
      </c>
      <c r="G1603" s="1" t="s">
        <v>17</v>
      </c>
      <c r="H1603" s="1" t="str">
        <f t="shared" si="1208"/>
        <v>76</v>
      </c>
      <c r="I1603" s="1" t="str">
        <f t="shared" ref="I1603:I1605" si="1211">"160"</f>
        <v>160</v>
      </c>
      <c r="J1603" s="1" t="str">
        <f t="shared" si="1192"/>
        <v>0</v>
      </c>
      <c r="K1603" s="1" t="str">
        <f t="shared" si="1199"/>
        <v>103</v>
      </c>
      <c r="L1603" s="1" t="str">
        <f t="shared" si="1200"/>
        <v>47</v>
      </c>
      <c r="M1603" s="1" t="str">
        <f t="shared" si="1202"/>
        <v>0</v>
      </c>
      <c r="N1603" s="1" t="str">
        <f t="shared" si="1203"/>
        <v>0</v>
      </c>
      <c r="O1603" s="1" t="str">
        <f t="shared" si="1195"/>
        <v>0</v>
      </c>
    </row>
    <row r="1604" s="1" customFormat="1" spans="1:15">
      <c r="A1604" s="1" t="str">
        <f t="shared" si="1209"/>
        <v>202406</v>
      </c>
      <c r="B1604" s="1" t="str">
        <f t="shared" si="1210"/>
        <v>150525100</v>
      </c>
      <c r="C1604" s="1" t="str">
        <f>"1014619906"</f>
        <v>1014619906</v>
      </c>
      <c r="D1604" s="1" t="str">
        <f>"152326194804110428"</f>
        <v>152326194804110428</v>
      </c>
      <c r="E1604" s="1" t="s">
        <v>1672</v>
      </c>
      <c r="F1604" s="1" t="s">
        <v>16</v>
      </c>
      <c r="G1604" s="1" t="s">
        <v>17</v>
      </c>
      <c r="H1604" s="1" t="str">
        <f t="shared" si="1208"/>
        <v>76</v>
      </c>
      <c r="I1604" s="1" t="str">
        <f t="shared" si="1211"/>
        <v>160</v>
      </c>
      <c r="J1604" s="1" t="str">
        <f t="shared" si="1192"/>
        <v>0</v>
      </c>
      <c r="K1604" s="1" t="str">
        <f t="shared" si="1199"/>
        <v>103</v>
      </c>
      <c r="L1604" s="1" t="str">
        <f t="shared" si="1200"/>
        <v>47</v>
      </c>
      <c r="M1604" s="1" t="str">
        <f t="shared" si="1202"/>
        <v>0</v>
      </c>
      <c r="N1604" s="1" t="str">
        <f t="shared" si="1203"/>
        <v>0</v>
      </c>
      <c r="O1604" s="1" t="str">
        <f t="shared" si="1195"/>
        <v>0</v>
      </c>
    </row>
    <row r="1605" s="1" customFormat="1" spans="1:15">
      <c r="A1605" s="1" t="str">
        <f t="shared" si="1209"/>
        <v>202406</v>
      </c>
      <c r="B1605" s="1" t="str">
        <f t="shared" si="1210"/>
        <v>150525100</v>
      </c>
      <c r="C1605" s="1" t="str">
        <f>"1014623353"</f>
        <v>1014623353</v>
      </c>
      <c r="D1605" s="1" t="s">
        <v>1673</v>
      </c>
      <c r="E1605" s="1" t="s">
        <v>123</v>
      </c>
      <c r="F1605" s="1" t="s">
        <v>16</v>
      </c>
      <c r="G1605" s="1" t="s">
        <v>17</v>
      </c>
      <c r="H1605" s="1" t="str">
        <f>"77"</f>
        <v>77</v>
      </c>
      <c r="I1605" s="1" t="str">
        <f t="shared" si="1211"/>
        <v>160</v>
      </c>
      <c r="J1605" s="1" t="str">
        <f t="shared" si="1192"/>
        <v>0</v>
      </c>
      <c r="K1605" s="1" t="str">
        <f t="shared" si="1199"/>
        <v>103</v>
      </c>
      <c r="L1605" s="1" t="str">
        <f t="shared" si="1200"/>
        <v>47</v>
      </c>
      <c r="M1605" s="1" t="str">
        <f t="shared" si="1202"/>
        <v>0</v>
      </c>
      <c r="N1605" s="1" t="str">
        <f t="shared" si="1203"/>
        <v>0</v>
      </c>
      <c r="O1605" s="1" t="str">
        <f t="shared" si="1195"/>
        <v>0</v>
      </c>
    </row>
    <row r="1606" s="1" customFormat="1" spans="1:15">
      <c r="A1606" s="1" t="str">
        <f t="shared" si="1209"/>
        <v>202406</v>
      </c>
      <c r="B1606" s="1" t="str">
        <f t="shared" si="1210"/>
        <v>150525100</v>
      </c>
      <c r="C1606" s="1" t="str">
        <f>"1014623361"</f>
        <v>1014623361</v>
      </c>
      <c r="D1606" s="1" t="str">
        <f>"152326193702120428"</f>
        <v>152326193702120428</v>
      </c>
      <c r="E1606" s="1" t="s">
        <v>930</v>
      </c>
      <c r="F1606" s="1" t="s">
        <v>16</v>
      </c>
      <c r="G1606" s="1" t="s">
        <v>17</v>
      </c>
      <c r="H1606" s="1" t="str">
        <f>"87"</f>
        <v>87</v>
      </c>
      <c r="I1606" s="1" t="str">
        <f>"170"</f>
        <v>170</v>
      </c>
      <c r="J1606" s="1" t="str">
        <f t="shared" si="1192"/>
        <v>0</v>
      </c>
      <c r="K1606" s="1" t="str">
        <f t="shared" si="1199"/>
        <v>103</v>
      </c>
      <c r="L1606" s="1" t="str">
        <f t="shared" si="1200"/>
        <v>47</v>
      </c>
      <c r="M1606" s="1" t="str">
        <f t="shared" si="1202"/>
        <v>0</v>
      </c>
      <c r="N1606" s="1" t="str">
        <f t="shared" si="1203"/>
        <v>0</v>
      </c>
      <c r="O1606" s="1" t="str">
        <f t="shared" si="1195"/>
        <v>0</v>
      </c>
    </row>
    <row r="1607" s="1" customFormat="1" spans="1:15">
      <c r="A1607" s="1" t="str">
        <f t="shared" si="1209"/>
        <v>202406</v>
      </c>
      <c r="B1607" s="1" t="str">
        <f t="shared" si="1210"/>
        <v>150525100</v>
      </c>
      <c r="C1607" s="1" t="str">
        <f>"1014623381"</f>
        <v>1014623381</v>
      </c>
      <c r="D1607" s="1" t="str">
        <f>"152326195005055623"</f>
        <v>152326195005055623</v>
      </c>
      <c r="E1607" s="1" t="s">
        <v>1674</v>
      </c>
      <c r="F1607" s="1" t="s">
        <v>16</v>
      </c>
      <c r="G1607" s="1" t="s">
        <v>19</v>
      </c>
      <c r="H1607" s="1" t="str">
        <f>"74"</f>
        <v>74</v>
      </c>
      <c r="I1607" s="1" t="str">
        <f>"160"</f>
        <v>160</v>
      </c>
      <c r="J1607" s="1" t="str">
        <f t="shared" si="1192"/>
        <v>0</v>
      </c>
      <c r="K1607" s="1" t="str">
        <f t="shared" si="1199"/>
        <v>103</v>
      </c>
      <c r="L1607" s="1" t="str">
        <f t="shared" si="1200"/>
        <v>47</v>
      </c>
      <c r="M1607" s="1" t="str">
        <f t="shared" si="1202"/>
        <v>0</v>
      </c>
      <c r="N1607" s="1" t="str">
        <f t="shared" si="1203"/>
        <v>0</v>
      </c>
      <c r="O1607" s="1" t="str">
        <f t="shared" si="1195"/>
        <v>0</v>
      </c>
    </row>
    <row r="1608" s="1" customFormat="1" spans="1:15">
      <c r="A1608" s="1" t="str">
        <f t="shared" si="1209"/>
        <v>202406</v>
      </c>
      <c r="B1608" s="1" t="str">
        <f t="shared" si="1210"/>
        <v>150525100</v>
      </c>
      <c r="C1608" s="1" t="str">
        <f>"1014629520"</f>
        <v>1014629520</v>
      </c>
      <c r="D1608" s="1" t="str">
        <f>"152326194909290023"</f>
        <v>152326194909290023</v>
      </c>
      <c r="E1608" s="1" t="s">
        <v>32</v>
      </c>
      <c r="F1608" s="1" t="s">
        <v>16</v>
      </c>
      <c r="G1608" s="1" t="s">
        <v>17</v>
      </c>
      <c r="H1608" s="1" t="str">
        <f>"75"</f>
        <v>75</v>
      </c>
      <c r="I1608" s="1" t="str">
        <f>"160"</f>
        <v>160</v>
      </c>
      <c r="J1608" s="1" t="str">
        <f t="shared" si="1192"/>
        <v>0</v>
      </c>
      <c r="K1608" s="1" t="str">
        <f t="shared" si="1199"/>
        <v>103</v>
      </c>
      <c r="L1608" s="1" t="str">
        <f t="shared" si="1200"/>
        <v>47</v>
      </c>
      <c r="M1608" s="1" t="str">
        <f t="shared" si="1202"/>
        <v>0</v>
      </c>
      <c r="N1608" s="1" t="str">
        <f t="shared" si="1203"/>
        <v>0</v>
      </c>
      <c r="O1608" s="1" t="str">
        <f t="shared" si="1195"/>
        <v>0</v>
      </c>
    </row>
    <row r="1609" s="1" customFormat="1" spans="1:15">
      <c r="A1609" s="1" t="str">
        <f t="shared" si="1209"/>
        <v>202406</v>
      </c>
      <c r="B1609" s="1" t="str">
        <f t="shared" si="1210"/>
        <v>150525100</v>
      </c>
      <c r="C1609" s="1" t="str">
        <f>"1042690969"</f>
        <v>1042690969</v>
      </c>
      <c r="D1609" s="1" t="str">
        <f>"152326196310303317"</f>
        <v>152326196310303317</v>
      </c>
      <c r="E1609" s="1" t="s">
        <v>1675</v>
      </c>
      <c r="F1609" s="1" t="s">
        <v>25</v>
      </c>
      <c r="G1609" s="1" t="s">
        <v>17</v>
      </c>
      <c r="H1609" s="1" t="str">
        <f>"61"</f>
        <v>61</v>
      </c>
      <c r="I1609" s="1" t="str">
        <f>"167.86"</f>
        <v>167.86</v>
      </c>
      <c r="J1609" s="1" t="str">
        <f t="shared" si="1192"/>
        <v>0</v>
      </c>
      <c r="K1609" s="1" t="str">
        <f t="shared" si="1199"/>
        <v>103</v>
      </c>
      <c r="L1609" s="1" t="str">
        <f t="shared" si="1200"/>
        <v>47</v>
      </c>
      <c r="M1609" s="1" t="str">
        <f t="shared" si="1202"/>
        <v>0</v>
      </c>
      <c r="N1609" s="1" t="str">
        <f t="shared" si="1203"/>
        <v>0</v>
      </c>
      <c r="O1609" s="1" t="str">
        <f>"17.86"</f>
        <v>17.86</v>
      </c>
    </row>
    <row r="1610" s="1" customFormat="1" spans="1:15">
      <c r="A1610" s="1" t="str">
        <f t="shared" si="1209"/>
        <v>202406</v>
      </c>
      <c r="B1610" s="1" t="str">
        <f t="shared" si="1210"/>
        <v>150525100</v>
      </c>
      <c r="C1610" s="1" t="str">
        <f>"1043025486"</f>
        <v>1043025486</v>
      </c>
      <c r="D1610" s="1" t="str">
        <f>"152326196106030665"</f>
        <v>152326196106030665</v>
      </c>
      <c r="E1610" s="1" t="s">
        <v>1676</v>
      </c>
      <c r="F1610" s="1" t="s">
        <v>16</v>
      </c>
      <c r="G1610" s="1" t="s">
        <v>17</v>
      </c>
      <c r="H1610" s="1" t="str">
        <f>"63"</f>
        <v>63</v>
      </c>
      <c r="I1610" s="1" t="str">
        <f>"158.87"</f>
        <v>158.87</v>
      </c>
      <c r="J1610" s="1" t="str">
        <f t="shared" si="1192"/>
        <v>0</v>
      </c>
      <c r="K1610" s="1" t="str">
        <f t="shared" si="1199"/>
        <v>103</v>
      </c>
      <c r="L1610" s="1" t="str">
        <f t="shared" si="1200"/>
        <v>47</v>
      </c>
      <c r="M1610" s="1" t="str">
        <f t="shared" si="1202"/>
        <v>0</v>
      </c>
      <c r="N1610" s="1" t="str">
        <f t="shared" si="1203"/>
        <v>0</v>
      </c>
      <c r="O1610" s="1" t="str">
        <f>"8.87"</f>
        <v>8.87</v>
      </c>
    </row>
    <row r="1611" s="1" customFormat="1" spans="1:15">
      <c r="A1611" s="1" t="str">
        <f t="shared" si="1209"/>
        <v>202406</v>
      </c>
      <c r="B1611" s="1" t="str">
        <f t="shared" si="1210"/>
        <v>150525100</v>
      </c>
      <c r="C1611" s="1" t="str">
        <f>"1014656437"</f>
        <v>1014656437</v>
      </c>
      <c r="D1611" s="1" t="str">
        <f>"152326195302100443"</f>
        <v>152326195302100443</v>
      </c>
      <c r="E1611" s="1" t="s">
        <v>1677</v>
      </c>
      <c r="F1611" s="1" t="s">
        <v>16</v>
      </c>
      <c r="G1611" s="1" t="s">
        <v>17</v>
      </c>
      <c r="H1611" s="1" t="str">
        <f>"71"</f>
        <v>71</v>
      </c>
      <c r="I1611" s="1" t="str">
        <f>"162.92"</f>
        <v>162.92</v>
      </c>
      <c r="J1611" s="1" t="str">
        <f t="shared" si="1192"/>
        <v>0</v>
      </c>
      <c r="K1611" s="1" t="str">
        <f t="shared" si="1199"/>
        <v>103</v>
      </c>
      <c r="L1611" s="1" t="str">
        <f t="shared" si="1200"/>
        <v>47</v>
      </c>
      <c r="M1611" s="1" t="str">
        <f t="shared" si="1202"/>
        <v>0</v>
      </c>
      <c r="N1611" s="1" t="str">
        <f t="shared" si="1203"/>
        <v>0</v>
      </c>
      <c r="O1611" s="1" t="str">
        <f>"2.92"</f>
        <v>2.92</v>
      </c>
    </row>
    <row r="1612" s="1" customFormat="1" spans="1:15">
      <c r="A1612" s="1" t="str">
        <f t="shared" si="1209"/>
        <v>202406</v>
      </c>
      <c r="B1612" s="1" t="str">
        <f t="shared" si="1210"/>
        <v>150525100</v>
      </c>
      <c r="C1612" s="1" t="str">
        <f>"1014656445"</f>
        <v>1014656445</v>
      </c>
      <c r="D1612" s="1" t="str">
        <f>"152326196211070423"</f>
        <v>152326196211070423</v>
      </c>
      <c r="E1612" s="1" t="s">
        <v>1678</v>
      </c>
      <c r="F1612" s="1" t="s">
        <v>16</v>
      </c>
      <c r="G1612" s="1" t="s">
        <v>17</v>
      </c>
      <c r="H1612" s="1" t="str">
        <f>"62"</f>
        <v>62</v>
      </c>
      <c r="I1612" s="1" t="str">
        <f>"163.19"</f>
        <v>163.19</v>
      </c>
      <c r="J1612" s="1" t="str">
        <f t="shared" si="1192"/>
        <v>0</v>
      </c>
      <c r="K1612" s="1" t="str">
        <f t="shared" si="1199"/>
        <v>103</v>
      </c>
      <c r="L1612" s="1" t="str">
        <f t="shared" si="1200"/>
        <v>47</v>
      </c>
      <c r="M1612" s="1" t="str">
        <f t="shared" si="1202"/>
        <v>0</v>
      </c>
      <c r="N1612" s="1" t="str">
        <f t="shared" si="1203"/>
        <v>0</v>
      </c>
      <c r="O1612" s="1" t="str">
        <f>"13.19"</f>
        <v>13.19</v>
      </c>
    </row>
    <row r="1613" s="1" customFormat="1" spans="1:15">
      <c r="A1613" s="1" t="str">
        <f t="shared" si="1209"/>
        <v>202406</v>
      </c>
      <c r="B1613" s="1" t="str">
        <f t="shared" si="1210"/>
        <v>150525100</v>
      </c>
      <c r="C1613" s="1" t="str">
        <f>"1014660691"</f>
        <v>1014660691</v>
      </c>
      <c r="D1613" s="1" t="s">
        <v>1679</v>
      </c>
      <c r="E1613" s="1" t="s">
        <v>1680</v>
      </c>
      <c r="F1613" s="1" t="s">
        <v>25</v>
      </c>
      <c r="G1613" s="1" t="s">
        <v>17</v>
      </c>
      <c r="H1613" s="1" t="str">
        <f>"72"</f>
        <v>72</v>
      </c>
      <c r="I1613" s="1" t="str">
        <f>"162.15"</f>
        <v>162.15</v>
      </c>
      <c r="J1613" s="1" t="str">
        <f t="shared" si="1192"/>
        <v>0</v>
      </c>
      <c r="K1613" s="1" t="str">
        <f t="shared" si="1199"/>
        <v>103</v>
      </c>
      <c r="L1613" s="1" t="str">
        <f t="shared" si="1200"/>
        <v>47</v>
      </c>
      <c r="M1613" s="1" t="str">
        <f t="shared" si="1202"/>
        <v>0</v>
      </c>
      <c r="N1613" s="1" t="str">
        <f t="shared" si="1203"/>
        <v>0</v>
      </c>
      <c r="O1613" s="1" t="str">
        <f>"2.15"</f>
        <v>2.15</v>
      </c>
    </row>
    <row r="1614" s="1" customFormat="1" spans="1:15">
      <c r="A1614" s="1" t="str">
        <f t="shared" si="1209"/>
        <v>202406</v>
      </c>
      <c r="B1614" s="1" t="str">
        <f t="shared" si="1210"/>
        <v>150525100</v>
      </c>
      <c r="C1614" s="1" t="str">
        <f>"1014656027"</f>
        <v>1014656027</v>
      </c>
      <c r="D1614" s="1" t="str">
        <f>"152326195810290677"</f>
        <v>152326195810290677</v>
      </c>
      <c r="E1614" s="1" t="s">
        <v>1681</v>
      </c>
      <c r="F1614" s="1" t="s">
        <v>25</v>
      </c>
      <c r="G1614" s="1" t="s">
        <v>96</v>
      </c>
      <c r="H1614" s="1" t="str">
        <f t="shared" ref="H1614:H1619" si="1212">"66"</f>
        <v>66</v>
      </c>
      <c r="I1614" s="1" t="str">
        <f>"156.83"</f>
        <v>156.83</v>
      </c>
      <c r="J1614" s="1" t="str">
        <f t="shared" si="1192"/>
        <v>0</v>
      </c>
      <c r="K1614" s="1" t="str">
        <f t="shared" si="1199"/>
        <v>103</v>
      </c>
      <c r="L1614" s="1" t="str">
        <f t="shared" si="1200"/>
        <v>47</v>
      </c>
      <c r="M1614" s="1" t="str">
        <f t="shared" si="1202"/>
        <v>0</v>
      </c>
      <c r="N1614" s="1" t="str">
        <f t="shared" si="1203"/>
        <v>0</v>
      </c>
      <c r="O1614" s="1" t="str">
        <f>"6.83"</f>
        <v>6.83</v>
      </c>
    </row>
    <row r="1615" s="1" customFormat="1" spans="1:15">
      <c r="A1615" s="1" t="str">
        <f t="shared" si="1209"/>
        <v>202406</v>
      </c>
      <c r="B1615" s="1" t="str">
        <f t="shared" si="1210"/>
        <v>150525100</v>
      </c>
      <c r="C1615" s="1" t="str">
        <f>"1014667326"</f>
        <v>1014667326</v>
      </c>
      <c r="D1615" s="1" t="str">
        <f>"152325195801083821"</f>
        <v>152325195801083821</v>
      </c>
      <c r="E1615" s="1" t="s">
        <v>1682</v>
      </c>
      <c r="F1615" s="1" t="s">
        <v>16</v>
      </c>
      <c r="G1615" s="1" t="s">
        <v>96</v>
      </c>
      <c r="H1615" s="1" t="str">
        <f t="shared" si="1212"/>
        <v>66</v>
      </c>
      <c r="I1615" s="1" t="str">
        <f>"156.82"</f>
        <v>156.82</v>
      </c>
      <c r="J1615" s="1" t="str">
        <f t="shared" si="1192"/>
        <v>0</v>
      </c>
      <c r="K1615" s="1" t="str">
        <f t="shared" si="1199"/>
        <v>103</v>
      </c>
      <c r="L1615" s="1" t="str">
        <f t="shared" si="1200"/>
        <v>47</v>
      </c>
      <c r="M1615" s="1" t="str">
        <f t="shared" si="1202"/>
        <v>0</v>
      </c>
      <c r="N1615" s="1" t="str">
        <f t="shared" si="1203"/>
        <v>0</v>
      </c>
      <c r="O1615" s="1" t="str">
        <f>"6.82"</f>
        <v>6.82</v>
      </c>
    </row>
    <row r="1616" s="1" customFormat="1" spans="1:15">
      <c r="A1616" s="1" t="str">
        <f t="shared" si="1209"/>
        <v>202406</v>
      </c>
      <c r="B1616" s="1" t="str">
        <f t="shared" si="1210"/>
        <v>150525100</v>
      </c>
      <c r="C1616" s="1" t="str">
        <f>"1014548912"</f>
        <v>1014548912</v>
      </c>
      <c r="D1616" s="1" t="str">
        <f>"152326195308173328"</f>
        <v>152326195308173328</v>
      </c>
      <c r="E1616" s="1" t="s">
        <v>1683</v>
      </c>
      <c r="F1616" s="1" t="s">
        <v>16</v>
      </c>
      <c r="G1616" s="1" t="s">
        <v>19</v>
      </c>
      <c r="H1616" s="1" t="str">
        <f>"71"</f>
        <v>71</v>
      </c>
      <c r="I1616" s="1" t="str">
        <f>"163.16"</f>
        <v>163.16</v>
      </c>
      <c r="J1616" s="1" t="str">
        <f t="shared" si="1192"/>
        <v>0</v>
      </c>
      <c r="K1616" s="1" t="str">
        <f t="shared" si="1199"/>
        <v>103</v>
      </c>
      <c r="L1616" s="1" t="str">
        <f t="shared" si="1200"/>
        <v>47</v>
      </c>
      <c r="M1616" s="1" t="str">
        <f t="shared" si="1202"/>
        <v>0</v>
      </c>
      <c r="N1616" s="1" t="str">
        <f t="shared" si="1203"/>
        <v>0</v>
      </c>
      <c r="O1616" s="1" t="str">
        <f>"3.16"</f>
        <v>3.16</v>
      </c>
    </row>
    <row r="1617" s="1" customFormat="1" spans="1:15">
      <c r="A1617" s="1" t="str">
        <f t="shared" si="1209"/>
        <v>202406</v>
      </c>
      <c r="B1617" s="1" t="str">
        <f t="shared" si="1210"/>
        <v>150525100</v>
      </c>
      <c r="C1617" s="1" t="str">
        <f>"1014547811"</f>
        <v>1014547811</v>
      </c>
      <c r="D1617" s="1" t="str">
        <f>"152326196206136125"</f>
        <v>152326196206136125</v>
      </c>
      <c r="E1617" s="1" t="s">
        <v>1684</v>
      </c>
      <c r="F1617" s="1" t="s">
        <v>16</v>
      </c>
      <c r="G1617" s="1" t="s">
        <v>17</v>
      </c>
      <c r="H1617" s="1" t="str">
        <f>"62"</f>
        <v>62</v>
      </c>
      <c r="I1617" s="1" t="str">
        <f>"164.46"</f>
        <v>164.46</v>
      </c>
      <c r="J1617" s="1" t="str">
        <f t="shared" si="1192"/>
        <v>0</v>
      </c>
      <c r="K1617" s="1" t="str">
        <f t="shared" si="1199"/>
        <v>103</v>
      </c>
      <c r="L1617" s="1" t="str">
        <f t="shared" si="1200"/>
        <v>47</v>
      </c>
      <c r="M1617" s="1" t="str">
        <f t="shared" si="1202"/>
        <v>0</v>
      </c>
      <c r="N1617" s="1" t="str">
        <f t="shared" si="1203"/>
        <v>0</v>
      </c>
      <c r="O1617" s="1" t="str">
        <f>"14.46"</f>
        <v>14.46</v>
      </c>
    </row>
    <row r="1618" s="1" customFormat="1" spans="1:15">
      <c r="A1618" s="1" t="str">
        <f t="shared" si="1209"/>
        <v>202406</v>
      </c>
      <c r="B1618" s="1" t="str">
        <f t="shared" si="1210"/>
        <v>150525100</v>
      </c>
      <c r="C1618" s="1" t="str">
        <f>"1014547815"</f>
        <v>1014547815</v>
      </c>
      <c r="D1618" s="1" t="str">
        <f>"152326196401286110"</f>
        <v>152326196401286110</v>
      </c>
      <c r="E1618" s="1" t="s">
        <v>1685</v>
      </c>
      <c r="F1618" s="1" t="s">
        <v>25</v>
      </c>
      <c r="G1618" s="1" t="s">
        <v>17</v>
      </c>
      <c r="H1618" s="1" t="str">
        <f>"60"</f>
        <v>60</v>
      </c>
      <c r="I1618" s="1" t="str">
        <f>"166.47"</f>
        <v>166.47</v>
      </c>
      <c r="J1618" s="1" t="str">
        <f t="shared" si="1192"/>
        <v>0</v>
      </c>
      <c r="K1618" s="1" t="str">
        <f t="shared" si="1199"/>
        <v>103</v>
      </c>
      <c r="L1618" s="1" t="str">
        <f t="shared" si="1200"/>
        <v>47</v>
      </c>
      <c r="M1618" s="1" t="str">
        <f t="shared" si="1202"/>
        <v>0</v>
      </c>
      <c r="N1618" s="1" t="str">
        <f t="shared" si="1203"/>
        <v>0</v>
      </c>
      <c r="O1618" s="1" t="str">
        <f>"16.47"</f>
        <v>16.47</v>
      </c>
    </row>
    <row r="1619" s="1" customFormat="1" spans="1:15">
      <c r="A1619" s="1" t="str">
        <f t="shared" si="1209"/>
        <v>202406</v>
      </c>
      <c r="B1619" s="1" t="str">
        <f t="shared" si="1210"/>
        <v>150525100</v>
      </c>
      <c r="C1619" s="1" t="str">
        <f>"1014643918"</f>
        <v>1014643918</v>
      </c>
      <c r="D1619" s="1" t="s">
        <v>1686</v>
      </c>
      <c r="E1619" s="1" t="s">
        <v>1687</v>
      </c>
      <c r="F1619" s="1" t="s">
        <v>16</v>
      </c>
      <c r="G1619" s="1" t="s">
        <v>19</v>
      </c>
      <c r="H1619" s="1" t="str">
        <f t="shared" si="1212"/>
        <v>66</v>
      </c>
      <c r="I1619" s="1" t="str">
        <f>"157.08"</f>
        <v>157.08</v>
      </c>
      <c r="J1619" s="1" t="str">
        <f t="shared" si="1192"/>
        <v>0</v>
      </c>
      <c r="K1619" s="1" t="str">
        <f t="shared" si="1199"/>
        <v>103</v>
      </c>
      <c r="L1619" s="1" t="str">
        <f t="shared" si="1200"/>
        <v>47</v>
      </c>
      <c r="M1619" s="1" t="str">
        <f t="shared" si="1202"/>
        <v>0</v>
      </c>
      <c r="N1619" s="1" t="str">
        <f t="shared" si="1203"/>
        <v>0</v>
      </c>
      <c r="O1619" s="1" t="str">
        <f>"7.08"</f>
        <v>7.08</v>
      </c>
    </row>
    <row r="1620" s="1" customFormat="1" spans="1:15">
      <c r="A1620" s="1" t="str">
        <f t="shared" si="1209"/>
        <v>202406</v>
      </c>
      <c r="B1620" s="1" t="str">
        <f t="shared" si="1210"/>
        <v>150525100</v>
      </c>
      <c r="C1620" s="1" t="str">
        <f>"1014671143"</f>
        <v>1014671143</v>
      </c>
      <c r="D1620" s="1" t="str">
        <f>"152326196401143072"</f>
        <v>152326196401143072</v>
      </c>
      <c r="E1620" s="1" t="s">
        <v>1688</v>
      </c>
      <c r="F1620" s="1" t="s">
        <v>25</v>
      </c>
      <c r="G1620" s="1" t="s">
        <v>17</v>
      </c>
      <c r="H1620" s="1" t="str">
        <f>"60"</f>
        <v>60</v>
      </c>
      <c r="I1620" s="1" t="str">
        <f>"174.33"</f>
        <v>174.33</v>
      </c>
      <c r="J1620" s="1" t="str">
        <f t="shared" si="1192"/>
        <v>0</v>
      </c>
      <c r="K1620" s="1" t="str">
        <f t="shared" si="1199"/>
        <v>103</v>
      </c>
      <c r="L1620" s="1" t="str">
        <f t="shared" si="1200"/>
        <v>47</v>
      </c>
      <c r="M1620" s="1" t="str">
        <f t="shared" si="1202"/>
        <v>0</v>
      </c>
      <c r="N1620" s="1" t="str">
        <f t="shared" si="1203"/>
        <v>0</v>
      </c>
      <c r="O1620" s="1" t="str">
        <f>"24.33"</f>
        <v>24.33</v>
      </c>
    </row>
    <row r="1621" s="1" customFormat="1" spans="1:15">
      <c r="A1621" s="1" t="str">
        <f t="shared" si="1209"/>
        <v>202406</v>
      </c>
      <c r="B1621" s="1" t="str">
        <f t="shared" si="1210"/>
        <v>150525100</v>
      </c>
      <c r="C1621" s="1" t="str">
        <f>"1040937479"</f>
        <v>1040937479</v>
      </c>
      <c r="D1621" s="1" t="str">
        <f>"152326196006080921"</f>
        <v>152326196006080921</v>
      </c>
      <c r="E1621" s="1" t="s">
        <v>1689</v>
      </c>
      <c r="F1621" s="1" t="s">
        <v>16</v>
      </c>
      <c r="G1621" s="1" t="s">
        <v>19</v>
      </c>
      <c r="H1621" s="1" t="str">
        <f>"64"</f>
        <v>64</v>
      </c>
      <c r="I1621" s="1" t="str">
        <f>"158.64"</f>
        <v>158.64</v>
      </c>
      <c r="J1621" s="1" t="str">
        <f t="shared" si="1192"/>
        <v>0</v>
      </c>
      <c r="K1621" s="1" t="str">
        <f t="shared" si="1199"/>
        <v>103</v>
      </c>
      <c r="L1621" s="1" t="str">
        <f t="shared" si="1200"/>
        <v>47</v>
      </c>
      <c r="M1621" s="1" t="str">
        <f t="shared" si="1202"/>
        <v>0</v>
      </c>
      <c r="N1621" s="1" t="str">
        <f t="shared" si="1203"/>
        <v>0</v>
      </c>
      <c r="O1621" s="1" t="str">
        <f>"8.64"</f>
        <v>8.64</v>
      </c>
    </row>
    <row r="1622" s="1" customFormat="1" spans="1:15">
      <c r="A1622" s="1" t="str">
        <f t="shared" si="1209"/>
        <v>202406</v>
      </c>
      <c r="B1622" s="1" t="str">
        <f t="shared" si="1210"/>
        <v>150525100</v>
      </c>
      <c r="C1622" s="1" t="str">
        <f>"1014552314"</f>
        <v>1014552314</v>
      </c>
      <c r="D1622" s="1" t="str">
        <f>"152326195304053820"</f>
        <v>152326195304053820</v>
      </c>
      <c r="E1622" s="1" t="s">
        <v>1690</v>
      </c>
      <c r="F1622" s="1" t="s">
        <v>16</v>
      </c>
      <c r="G1622" s="1" t="s">
        <v>19</v>
      </c>
      <c r="H1622" s="1" t="str">
        <f>"71"</f>
        <v>71</v>
      </c>
      <c r="I1622" s="1" t="str">
        <f>"163.16"</f>
        <v>163.16</v>
      </c>
      <c r="J1622" s="1" t="str">
        <f t="shared" si="1192"/>
        <v>0</v>
      </c>
      <c r="K1622" s="1" t="str">
        <f t="shared" si="1199"/>
        <v>103</v>
      </c>
      <c r="L1622" s="1" t="str">
        <f t="shared" si="1200"/>
        <v>47</v>
      </c>
      <c r="M1622" s="1" t="str">
        <f t="shared" si="1202"/>
        <v>0</v>
      </c>
      <c r="N1622" s="1" t="str">
        <f t="shared" si="1203"/>
        <v>0</v>
      </c>
      <c r="O1622" s="1" t="str">
        <f>"3.16"</f>
        <v>3.16</v>
      </c>
    </row>
    <row r="1623" s="1" customFormat="1" spans="1:15">
      <c r="A1623" s="1" t="str">
        <f t="shared" si="1209"/>
        <v>202406</v>
      </c>
      <c r="B1623" s="1" t="str">
        <f t="shared" si="1210"/>
        <v>150525100</v>
      </c>
      <c r="C1623" s="1" t="str">
        <f>"1014575757"</f>
        <v>1014575757</v>
      </c>
      <c r="D1623" s="1" t="str">
        <f>"152326195408070668"</f>
        <v>152326195408070668</v>
      </c>
      <c r="E1623" s="1" t="s">
        <v>1691</v>
      </c>
      <c r="F1623" s="1" t="s">
        <v>16</v>
      </c>
      <c r="G1623" s="1" t="s">
        <v>17</v>
      </c>
      <c r="H1623" s="1" t="str">
        <f>"70"</f>
        <v>70</v>
      </c>
      <c r="I1623" s="1" t="str">
        <f>"154.14"</f>
        <v>154.14</v>
      </c>
      <c r="J1623" s="1" t="str">
        <f t="shared" si="1192"/>
        <v>0</v>
      </c>
      <c r="K1623" s="1" t="str">
        <f t="shared" si="1199"/>
        <v>103</v>
      </c>
      <c r="L1623" s="1" t="str">
        <f t="shared" si="1200"/>
        <v>47</v>
      </c>
      <c r="M1623" s="1" t="str">
        <f t="shared" si="1202"/>
        <v>0</v>
      </c>
      <c r="N1623" s="1" t="str">
        <f t="shared" si="1203"/>
        <v>0</v>
      </c>
      <c r="O1623" s="1" t="str">
        <f>"4.14"</f>
        <v>4.14</v>
      </c>
    </row>
    <row r="1624" s="1" customFormat="1" spans="1:15">
      <c r="A1624" s="1" t="str">
        <f t="shared" si="1209"/>
        <v>202406</v>
      </c>
      <c r="B1624" s="1" t="str">
        <f t="shared" si="1210"/>
        <v>150525100</v>
      </c>
      <c r="C1624" s="1" t="str">
        <f>"1014575762"</f>
        <v>1014575762</v>
      </c>
      <c r="D1624" s="1" t="s">
        <v>1692</v>
      </c>
      <c r="E1624" s="1" t="s">
        <v>1693</v>
      </c>
      <c r="F1624" s="1" t="s">
        <v>16</v>
      </c>
      <c r="G1624" s="1" t="s">
        <v>17</v>
      </c>
      <c r="H1624" s="1" t="str">
        <f>"69"</f>
        <v>69</v>
      </c>
      <c r="I1624" s="1" t="str">
        <f>"155.09"</f>
        <v>155.09</v>
      </c>
      <c r="J1624" s="1" t="str">
        <f t="shared" si="1192"/>
        <v>0</v>
      </c>
      <c r="K1624" s="1" t="str">
        <f t="shared" si="1199"/>
        <v>103</v>
      </c>
      <c r="L1624" s="1" t="str">
        <f t="shared" si="1200"/>
        <v>47</v>
      </c>
      <c r="M1624" s="1" t="str">
        <f t="shared" si="1202"/>
        <v>0</v>
      </c>
      <c r="N1624" s="1" t="str">
        <f t="shared" si="1203"/>
        <v>0</v>
      </c>
      <c r="O1624" s="1" t="str">
        <f>"5.09"</f>
        <v>5.09</v>
      </c>
    </row>
    <row r="1625" s="1" customFormat="1" spans="1:15">
      <c r="A1625" s="1" t="str">
        <f t="shared" si="1209"/>
        <v>202406</v>
      </c>
      <c r="B1625" s="1" t="str">
        <f t="shared" si="1210"/>
        <v>150525100</v>
      </c>
      <c r="C1625" s="1" t="str">
        <f>"1014575767"</f>
        <v>1014575767</v>
      </c>
      <c r="D1625" s="1" t="str">
        <f>"152326195603070663"</f>
        <v>152326195603070663</v>
      </c>
      <c r="E1625" s="1" t="s">
        <v>1147</v>
      </c>
      <c r="F1625" s="1" t="s">
        <v>16</v>
      </c>
      <c r="G1625" s="1" t="s">
        <v>17</v>
      </c>
      <c r="H1625" s="1" t="str">
        <f>"68"</f>
        <v>68</v>
      </c>
      <c r="I1625" s="1" t="str">
        <f>"155.77"</f>
        <v>155.77</v>
      </c>
      <c r="J1625" s="1" t="str">
        <f t="shared" si="1192"/>
        <v>0</v>
      </c>
      <c r="K1625" s="1" t="str">
        <f t="shared" si="1199"/>
        <v>103</v>
      </c>
      <c r="L1625" s="1" t="str">
        <f t="shared" si="1200"/>
        <v>47</v>
      </c>
      <c r="M1625" s="1" t="str">
        <f t="shared" si="1202"/>
        <v>0</v>
      </c>
      <c r="N1625" s="1" t="str">
        <f t="shared" si="1203"/>
        <v>0</v>
      </c>
      <c r="O1625" s="1" t="str">
        <f>"5.77"</f>
        <v>5.77</v>
      </c>
    </row>
    <row r="1626" s="1" customFormat="1" spans="1:15">
      <c r="A1626" s="1" t="str">
        <f t="shared" si="1209"/>
        <v>202406</v>
      </c>
      <c r="B1626" s="1" t="str">
        <f t="shared" si="1210"/>
        <v>150525100</v>
      </c>
      <c r="C1626" s="1" t="str">
        <f>"1014575770"</f>
        <v>1014575770</v>
      </c>
      <c r="D1626" s="1" t="str">
        <f>"152326195606260665"</f>
        <v>152326195606260665</v>
      </c>
      <c r="E1626" s="1" t="s">
        <v>1694</v>
      </c>
      <c r="F1626" s="1" t="s">
        <v>16</v>
      </c>
      <c r="G1626" s="1" t="s">
        <v>17</v>
      </c>
      <c r="H1626" s="1" t="str">
        <f>"68"</f>
        <v>68</v>
      </c>
      <c r="I1626" s="1" t="str">
        <f>"155.99"</f>
        <v>155.99</v>
      </c>
      <c r="J1626" s="1" t="str">
        <f t="shared" si="1192"/>
        <v>0</v>
      </c>
      <c r="K1626" s="1" t="str">
        <f t="shared" si="1199"/>
        <v>103</v>
      </c>
      <c r="L1626" s="1" t="str">
        <f t="shared" si="1200"/>
        <v>47</v>
      </c>
      <c r="M1626" s="1" t="str">
        <f t="shared" si="1202"/>
        <v>0</v>
      </c>
      <c r="N1626" s="1" t="str">
        <f t="shared" si="1203"/>
        <v>0</v>
      </c>
      <c r="O1626" s="1" t="str">
        <f>"5.99"</f>
        <v>5.99</v>
      </c>
    </row>
    <row r="1627" s="1" customFormat="1" spans="1:15">
      <c r="A1627" s="1" t="str">
        <f t="shared" si="1209"/>
        <v>202406</v>
      </c>
      <c r="B1627" s="1" t="str">
        <f t="shared" si="1210"/>
        <v>150525100</v>
      </c>
      <c r="C1627" s="1" t="str">
        <f>"1014576424"</f>
        <v>1014576424</v>
      </c>
      <c r="D1627" s="1" t="str">
        <f>"152326195204100685"</f>
        <v>152326195204100685</v>
      </c>
      <c r="E1627" s="1" t="s">
        <v>1695</v>
      </c>
      <c r="F1627" s="1" t="s">
        <v>16</v>
      </c>
      <c r="G1627" s="1" t="s">
        <v>17</v>
      </c>
      <c r="H1627" s="1" t="str">
        <f>"72"</f>
        <v>72</v>
      </c>
      <c r="I1627" s="1" t="str">
        <f>"162.14"</f>
        <v>162.14</v>
      </c>
      <c r="J1627" s="1" t="str">
        <f t="shared" si="1192"/>
        <v>0</v>
      </c>
      <c r="K1627" s="1" t="str">
        <f t="shared" si="1199"/>
        <v>103</v>
      </c>
      <c r="L1627" s="1" t="str">
        <f t="shared" si="1200"/>
        <v>47</v>
      </c>
      <c r="M1627" s="1" t="str">
        <f t="shared" si="1202"/>
        <v>0</v>
      </c>
      <c r="N1627" s="1" t="str">
        <f t="shared" si="1203"/>
        <v>0</v>
      </c>
      <c r="O1627" s="1" t="str">
        <f>"2.14"</f>
        <v>2.14</v>
      </c>
    </row>
    <row r="1628" s="1" customFormat="1" spans="1:15">
      <c r="A1628" s="1" t="str">
        <f t="shared" si="1209"/>
        <v>202406</v>
      </c>
      <c r="B1628" s="1" t="str">
        <f t="shared" si="1210"/>
        <v>150525100</v>
      </c>
      <c r="C1628" s="1" t="str">
        <f>"1014548024"</f>
        <v>1014548024</v>
      </c>
      <c r="D1628" s="1" t="s">
        <v>1696</v>
      </c>
      <c r="E1628" s="1" t="s">
        <v>1697</v>
      </c>
      <c r="F1628" s="1" t="s">
        <v>16</v>
      </c>
      <c r="G1628" s="1" t="s">
        <v>17</v>
      </c>
      <c r="H1628" s="1" t="str">
        <f>"69"</f>
        <v>69</v>
      </c>
      <c r="I1628" s="1" t="str">
        <f>"155.1"</f>
        <v>155.1</v>
      </c>
      <c r="J1628" s="1" t="str">
        <f t="shared" si="1192"/>
        <v>0</v>
      </c>
      <c r="K1628" s="1" t="str">
        <f t="shared" si="1199"/>
        <v>103</v>
      </c>
      <c r="L1628" s="1" t="str">
        <f t="shared" si="1200"/>
        <v>47</v>
      </c>
      <c r="M1628" s="1" t="str">
        <f t="shared" si="1202"/>
        <v>0</v>
      </c>
      <c r="N1628" s="1" t="str">
        <f t="shared" si="1203"/>
        <v>0</v>
      </c>
      <c r="O1628" s="1" t="str">
        <f>"5.1"</f>
        <v>5.1</v>
      </c>
    </row>
    <row r="1629" s="1" customFormat="1" spans="1:15">
      <c r="A1629" s="1" t="str">
        <f t="shared" si="1209"/>
        <v>202406</v>
      </c>
      <c r="B1629" s="1" t="str">
        <f t="shared" si="1210"/>
        <v>150525100</v>
      </c>
      <c r="C1629" s="1" t="str">
        <f>"1014571673"</f>
        <v>1014571673</v>
      </c>
      <c r="D1629" s="1" t="str">
        <f>"152326195407220417"</f>
        <v>152326195407220417</v>
      </c>
      <c r="E1629" s="1" t="s">
        <v>1698</v>
      </c>
      <c r="F1629" s="1" t="s">
        <v>25</v>
      </c>
      <c r="G1629" s="1" t="s">
        <v>17</v>
      </c>
      <c r="H1629" s="1" t="str">
        <f>"70"</f>
        <v>70</v>
      </c>
      <c r="I1629" s="1" t="str">
        <f>"154.14"</f>
        <v>154.14</v>
      </c>
      <c r="J1629" s="1" t="str">
        <f t="shared" si="1192"/>
        <v>0</v>
      </c>
      <c r="K1629" s="1" t="str">
        <f t="shared" si="1199"/>
        <v>103</v>
      </c>
      <c r="L1629" s="1" t="str">
        <f t="shared" si="1200"/>
        <v>47</v>
      </c>
      <c r="M1629" s="1" t="str">
        <f t="shared" si="1202"/>
        <v>0</v>
      </c>
      <c r="N1629" s="1" t="str">
        <f t="shared" si="1203"/>
        <v>0</v>
      </c>
      <c r="O1629" s="1" t="str">
        <f>"4.14"</f>
        <v>4.14</v>
      </c>
    </row>
    <row r="1630" s="1" customFormat="1" spans="1:15">
      <c r="A1630" s="1" t="str">
        <f t="shared" si="1209"/>
        <v>202406</v>
      </c>
      <c r="B1630" s="1" t="str">
        <f t="shared" si="1210"/>
        <v>150525100</v>
      </c>
      <c r="C1630" s="1" t="str">
        <f>"1014576314"</f>
        <v>1014576314</v>
      </c>
      <c r="D1630" s="1" t="str">
        <f>"152326196112010425"</f>
        <v>152326196112010425</v>
      </c>
      <c r="E1630" s="1" t="s">
        <v>1699</v>
      </c>
      <c r="F1630" s="1" t="s">
        <v>16</v>
      </c>
      <c r="G1630" s="1" t="s">
        <v>17</v>
      </c>
      <c r="H1630" s="1" t="str">
        <f>"63"</f>
        <v>63</v>
      </c>
      <c r="I1630" s="1" t="str">
        <f>"162.62"</f>
        <v>162.62</v>
      </c>
      <c r="J1630" s="1" t="str">
        <f t="shared" si="1192"/>
        <v>0</v>
      </c>
      <c r="K1630" s="1" t="str">
        <f t="shared" si="1199"/>
        <v>103</v>
      </c>
      <c r="L1630" s="1" t="str">
        <f t="shared" si="1200"/>
        <v>47</v>
      </c>
      <c r="M1630" s="1" t="str">
        <f t="shared" si="1202"/>
        <v>0</v>
      </c>
      <c r="N1630" s="1" t="str">
        <f t="shared" si="1203"/>
        <v>0</v>
      </c>
      <c r="O1630" s="1" t="str">
        <f>"12.62"</f>
        <v>12.62</v>
      </c>
    </row>
    <row r="1631" s="1" customFormat="1" spans="1:15">
      <c r="A1631" s="1" t="str">
        <f t="shared" si="1209"/>
        <v>202406</v>
      </c>
      <c r="B1631" s="1" t="str">
        <f t="shared" si="1210"/>
        <v>150525100</v>
      </c>
      <c r="C1631" s="1" t="str">
        <f>"1014548043"</f>
        <v>1014548043</v>
      </c>
      <c r="D1631" s="1" t="str">
        <f>"152326196301293815"</f>
        <v>152326196301293815</v>
      </c>
      <c r="E1631" s="1" t="s">
        <v>1700</v>
      </c>
      <c r="F1631" s="1" t="s">
        <v>25</v>
      </c>
      <c r="G1631" s="1" t="s">
        <v>17</v>
      </c>
      <c r="H1631" s="1" t="str">
        <f>"61"</f>
        <v>61</v>
      </c>
      <c r="I1631" s="1" t="str">
        <f>"162.39"</f>
        <v>162.39</v>
      </c>
      <c r="J1631" s="1" t="str">
        <f t="shared" si="1192"/>
        <v>0</v>
      </c>
      <c r="K1631" s="1" t="str">
        <f t="shared" si="1199"/>
        <v>103</v>
      </c>
      <c r="L1631" s="1" t="str">
        <f t="shared" si="1200"/>
        <v>47</v>
      </c>
      <c r="M1631" s="1" t="str">
        <f t="shared" si="1202"/>
        <v>0</v>
      </c>
      <c r="N1631" s="1" t="str">
        <f t="shared" si="1203"/>
        <v>0</v>
      </c>
      <c r="O1631" s="1" t="str">
        <f>"12.39"</f>
        <v>12.39</v>
      </c>
    </row>
    <row r="1632" s="1" customFormat="1" spans="1:15">
      <c r="A1632" s="1" t="str">
        <f t="shared" si="1209"/>
        <v>202406</v>
      </c>
      <c r="B1632" s="1" t="str">
        <f t="shared" si="1210"/>
        <v>150525100</v>
      </c>
      <c r="C1632" s="1" t="str">
        <f>"1014572172"</f>
        <v>1014572172</v>
      </c>
      <c r="D1632" s="1" t="s">
        <v>1701</v>
      </c>
      <c r="E1632" s="1" t="s">
        <v>1702</v>
      </c>
      <c r="F1632" s="1" t="s">
        <v>16</v>
      </c>
      <c r="G1632" s="1" t="s">
        <v>17</v>
      </c>
      <c r="H1632" s="1" t="str">
        <f>"64"</f>
        <v>64</v>
      </c>
      <c r="I1632" s="1" t="str">
        <f>"226.99"</f>
        <v>226.99</v>
      </c>
      <c r="J1632" s="1" t="str">
        <f t="shared" si="1192"/>
        <v>0</v>
      </c>
      <c r="K1632" s="1" t="str">
        <f t="shared" si="1199"/>
        <v>103</v>
      </c>
      <c r="L1632" s="1" t="str">
        <f t="shared" si="1200"/>
        <v>47</v>
      </c>
      <c r="M1632" s="1" t="str">
        <f t="shared" si="1202"/>
        <v>0</v>
      </c>
      <c r="N1632" s="1" t="str">
        <f t="shared" si="1203"/>
        <v>0</v>
      </c>
      <c r="O1632" s="1" t="str">
        <f>"76.99"</f>
        <v>76.99</v>
      </c>
    </row>
    <row r="1633" s="1" customFormat="1" spans="1:15">
      <c r="A1633" s="1" t="str">
        <f t="shared" si="1209"/>
        <v>202406</v>
      </c>
      <c r="B1633" s="1" t="str">
        <f t="shared" si="1210"/>
        <v>150525100</v>
      </c>
      <c r="C1633" s="1" t="str">
        <f>"1014572174"</f>
        <v>1014572174</v>
      </c>
      <c r="D1633" s="1" t="s">
        <v>1703</v>
      </c>
      <c r="E1633" s="1" t="s">
        <v>1476</v>
      </c>
      <c r="F1633" s="1" t="s">
        <v>16</v>
      </c>
      <c r="G1633" s="1" t="s">
        <v>17</v>
      </c>
      <c r="H1633" s="1" t="str">
        <f>"62"</f>
        <v>62</v>
      </c>
      <c r="I1633" s="1" t="str">
        <f>"246.32"</f>
        <v>246.32</v>
      </c>
      <c r="J1633" s="1" t="str">
        <f t="shared" si="1192"/>
        <v>0</v>
      </c>
      <c r="K1633" s="1" t="str">
        <f t="shared" si="1199"/>
        <v>103</v>
      </c>
      <c r="L1633" s="1" t="str">
        <f t="shared" si="1200"/>
        <v>47</v>
      </c>
      <c r="M1633" s="1" t="str">
        <f t="shared" si="1202"/>
        <v>0</v>
      </c>
      <c r="N1633" s="1" t="str">
        <f t="shared" si="1203"/>
        <v>0</v>
      </c>
      <c r="O1633" s="1" t="str">
        <f>"96.32"</f>
        <v>96.32</v>
      </c>
    </row>
    <row r="1634" s="1" customFormat="1" spans="1:15">
      <c r="A1634" s="1" t="str">
        <f t="shared" si="1209"/>
        <v>202406</v>
      </c>
      <c r="B1634" s="1" t="str">
        <f t="shared" si="1210"/>
        <v>150525100</v>
      </c>
      <c r="C1634" s="1" t="str">
        <f>"1014576169"</f>
        <v>1014576169</v>
      </c>
      <c r="D1634" s="1" t="s">
        <v>1704</v>
      </c>
      <c r="E1634" s="1" t="s">
        <v>1705</v>
      </c>
      <c r="F1634" s="1" t="s">
        <v>25</v>
      </c>
      <c r="G1634" s="1" t="s">
        <v>96</v>
      </c>
      <c r="H1634" s="1" t="str">
        <f>"66"</f>
        <v>66</v>
      </c>
      <c r="I1634" s="1" t="str">
        <f>"157.11"</f>
        <v>157.11</v>
      </c>
      <c r="J1634" s="1" t="str">
        <f t="shared" si="1192"/>
        <v>0</v>
      </c>
      <c r="K1634" s="1" t="str">
        <f t="shared" si="1199"/>
        <v>103</v>
      </c>
      <c r="L1634" s="1" t="str">
        <f t="shared" si="1200"/>
        <v>47</v>
      </c>
      <c r="M1634" s="1" t="str">
        <f t="shared" si="1202"/>
        <v>0</v>
      </c>
      <c r="N1634" s="1" t="str">
        <f t="shared" si="1203"/>
        <v>0</v>
      </c>
      <c r="O1634" s="1" t="str">
        <f>"7.11"</f>
        <v>7.11</v>
      </c>
    </row>
    <row r="1635" s="1" customFormat="1" spans="1:15">
      <c r="A1635" s="1" t="str">
        <f t="shared" si="1209"/>
        <v>202406</v>
      </c>
      <c r="B1635" s="1" t="str">
        <f t="shared" si="1210"/>
        <v>150525100</v>
      </c>
      <c r="C1635" s="1" t="str">
        <f>"1014576176"</f>
        <v>1014576176</v>
      </c>
      <c r="D1635" s="1" t="str">
        <f>"152326195311080675"</f>
        <v>152326195311080675</v>
      </c>
      <c r="E1635" s="1" t="s">
        <v>1706</v>
      </c>
      <c r="F1635" s="1" t="s">
        <v>25</v>
      </c>
      <c r="G1635" s="1" t="s">
        <v>96</v>
      </c>
      <c r="H1635" s="1" t="str">
        <f>"71"</f>
        <v>71</v>
      </c>
      <c r="I1635" s="1" t="str">
        <f>"163.16"</f>
        <v>163.16</v>
      </c>
      <c r="J1635" s="1" t="str">
        <f t="shared" si="1192"/>
        <v>0</v>
      </c>
      <c r="K1635" s="1" t="str">
        <f t="shared" si="1199"/>
        <v>103</v>
      </c>
      <c r="L1635" s="1" t="str">
        <f t="shared" si="1200"/>
        <v>47</v>
      </c>
      <c r="M1635" s="1" t="str">
        <f t="shared" si="1202"/>
        <v>0</v>
      </c>
      <c r="N1635" s="1" t="str">
        <f t="shared" si="1203"/>
        <v>0</v>
      </c>
      <c r="O1635" s="1" t="str">
        <f>"3.16"</f>
        <v>3.16</v>
      </c>
    </row>
    <row r="1636" s="1" customFormat="1" spans="1:15">
      <c r="A1636" s="1" t="str">
        <f t="shared" si="1209"/>
        <v>202406</v>
      </c>
      <c r="B1636" s="1" t="str">
        <f t="shared" si="1210"/>
        <v>150525100</v>
      </c>
      <c r="C1636" s="1" t="str">
        <f>"1014576341"</f>
        <v>1014576341</v>
      </c>
      <c r="D1636" s="1" t="str">
        <f>"152326196201230665"</f>
        <v>152326196201230665</v>
      </c>
      <c r="E1636" s="1" t="s">
        <v>1707</v>
      </c>
      <c r="F1636" s="1" t="s">
        <v>16</v>
      </c>
      <c r="G1636" s="1" t="s">
        <v>19</v>
      </c>
      <c r="H1636" s="1" t="str">
        <f>"62"</f>
        <v>62</v>
      </c>
      <c r="I1636" s="1" t="str">
        <f>"162.93"</f>
        <v>162.93</v>
      </c>
      <c r="J1636" s="1" t="str">
        <f t="shared" si="1192"/>
        <v>0</v>
      </c>
      <c r="K1636" s="1" t="str">
        <f t="shared" si="1199"/>
        <v>103</v>
      </c>
      <c r="L1636" s="1" t="str">
        <f t="shared" si="1200"/>
        <v>47</v>
      </c>
      <c r="M1636" s="1" t="str">
        <f t="shared" si="1202"/>
        <v>0</v>
      </c>
      <c r="N1636" s="1" t="str">
        <f t="shared" si="1203"/>
        <v>0</v>
      </c>
      <c r="O1636" s="1" t="str">
        <f>"12.93"</f>
        <v>12.93</v>
      </c>
    </row>
    <row r="1637" s="1" customFormat="1" spans="1:15">
      <c r="A1637" s="1" t="str">
        <f t="shared" si="1209"/>
        <v>202406</v>
      </c>
      <c r="B1637" s="1" t="str">
        <f t="shared" si="1210"/>
        <v>150525100</v>
      </c>
      <c r="C1637" s="1" t="str">
        <f>"1014576689"</f>
        <v>1014576689</v>
      </c>
      <c r="D1637" s="1" t="str">
        <f>"152326195209110663"</f>
        <v>152326195209110663</v>
      </c>
      <c r="E1637" s="1" t="s">
        <v>1708</v>
      </c>
      <c r="F1637" s="1" t="s">
        <v>16</v>
      </c>
      <c r="G1637" s="1" t="s">
        <v>17</v>
      </c>
      <c r="H1637" s="1" t="str">
        <f>"72"</f>
        <v>72</v>
      </c>
      <c r="I1637" s="1" t="str">
        <f>"162.14"</f>
        <v>162.14</v>
      </c>
      <c r="J1637" s="1" t="str">
        <f t="shared" ref="J1637:J1700" si="1213">"0"</f>
        <v>0</v>
      </c>
      <c r="K1637" s="1" t="str">
        <f t="shared" si="1199"/>
        <v>103</v>
      </c>
      <c r="L1637" s="1" t="str">
        <f t="shared" si="1200"/>
        <v>47</v>
      </c>
      <c r="M1637" s="1" t="str">
        <f t="shared" si="1202"/>
        <v>0</v>
      </c>
      <c r="N1637" s="1" t="str">
        <f t="shared" si="1203"/>
        <v>0</v>
      </c>
      <c r="O1637" s="1" t="str">
        <f>"2.14"</f>
        <v>2.14</v>
      </c>
    </row>
    <row r="1638" s="1" customFormat="1" spans="1:15">
      <c r="A1638" s="1" t="str">
        <f t="shared" si="1209"/>
        <v>202406</v>
      </c>
      <c r="B1638" s="1" t="str">
        <f t="shared" si="1210"/>
        <v>150525100</v>
      </c>
      <c r="C1638" s="1" t="str">
        <f>"1014576695"</f>
        <v>1014576695</v>
      </c>
      <c r="D1638" s="1" t="str">
        <f>"152326195301020660"</f>
        <v>152326195301020660</v>
      </c>
      <c r="E1638" s="1" t="s">
        <v>1709</v>
      </c>
      <c r="F1638" s="1" t="s">
        <v>16</v>
      </c>
      <c r="G1638" s="1" t="s">
        <v>17</v>
      </c>
      <c r="H1638" s="1" t="str">
        <f>"72"</f>
        <v>72</v>
      </c>
      <c r="I1638" s="1" t="str">
        <f>"163.16"</f>
        <v>163.16</v>
      </c>
      <c r="J1638" s="1" t="str">
        <f t="shared" si="1213"/>
        <v>0</v>
      </c>
      <c r="K1638" s="1" t="str">
        <f t="shared" si="1199"/>
        <v>103</v>
      </c>
      <c r="L1638" s="1" t="str">
        <f t="shared" si="1200"/>
        <v>47</v>
      </c>
      <c r="M1638" s="1" t="str">
        <f t="shared" si="1202"/>
        <v>0</v>
      </c>
      <c r="N1638" s="1" t="str">
        <f t="shared" si="1203"/>
        <v>0</v>
      </c>
      <c r="O1638" s="1" t="str">
        <f>"3.16"</f>
        <v>3.16</v>
      </c>
    </row>
    <row r="1639" s="1" customFormat="1" spans="1:15">
      <c r="A1639" s="1" t="str">
        <f t="shared" si="1209"/>
        <v>202406</v>
      </c>
      <c r="B1639" s="1" t="str">
        <f t="shared" si="1210"/>
        <v>150525100</v>
      </c>
      <c r="C1639" s="1" t="str">
        <f>"1014552433"</f>
        <v>1014552433</v>
      </c>
      <c r="D1639" s="1" t="str">
        <f>"152326195704073812"</f>
        <v>152326195704073812</v>
      </c>
      <c r="E1639" s="1" t="s">
        <v>1710</v>
      </c>
      <c r="F1639" s="1" t="s">
        <v>25</v>
      </c>
      <c r="G1639" s="1" t="s">
        <v>17</v>
      </c>
      <c r="H1639" s="1" t="str">
        <f>"67"</f>
        <v>67</v>
      </c>
      <c r="I1639" s="1" t="str">
        <f>"157"</f>
        <v>157</v>
      </c>
      <c r="J1639" s="1" t="str">
        <f t="shared" si="1213"/>
        <v>0</v>
      </c>
      <c r="K1639" s="1" t="str">
        <f t="shared" si="1199"/>
        <v>103</v>
      </c>
      <c r="L1639" s="1" t="str">
        <f t="shared" si="1200"/>
        <v>47</v>
      </c>
      <c r="M1639" s="1" t="str">
        <f t="shared" si="1202"/>
        <v>0</v>
      </c>
      <c r="N1639" s="1" t="str">
        <f t="shared" si="1203"/>
        <v>0</v>
      </c>
      <c r="O1639" s="1" t="str">
        <f>"7"</f>
        <v>7</v>
      </c>
    </row>
    <row r="1640" s="1" customFormat="1" spans="1:15">
      <c r="A1640" s="1" t="str">
        <f t="shared" si="1209"/>
        <v>202406</v>
      </c>
      <c r="B1640" s="1" t="str">
        <f t="shared" si="1210"/>
        <v>150525100</v>
      </c>
      <c r="C1640" s="1" t="str">
        <f>"1014576351"</f>
        <v>1014576351</v>
      </c>
      <c r="D1640" s="1" t="str">
        <f>"152326196305090679"</f>
        <v>152326196305090679</v>
      </c>
      <c r="E1640" s="1" t="s">
        <v>1711</v>
      </c>
      <c r="F1640" s="1" t="s">
        <v>25</v>
      </c>
      <c r="G1640" s="1" t="s">
        <v>19</v>
      </c>
      <c r="H1640" s="1" t="str">
        <f>"61"</f>
        <v>61</v>
      </c>
      <c r="I1640" s="1" t="str">
        <f>"168.3"</f>
        <v>168.3</v>
      </c>
      <c r="J1640" s="1" t="str">
        <f t="shared" si="1213"/>
        <v>0</v>
      </c>
      <c r="K1640" s="1" t="str">
        <f t="shared" si="1199"/>
        <v>103</v>
      </c>
      <c r="L1640" s="1" t="str">
        <f t="shared" si="1200"/>
        <v>47</v>
      </c>
      <c r="M1640" s="1" t="str">
        <f t="shared" si="1202"/>
        <v>0</v>
      </c>
      <c r="N1640" s="1" t="str">
        <f t="shared" si="1203"/>
        <v>0</v>
      </c>
      <c r="O1640" s="1" t="str">
        <f>"18.3"</f>
        <v>18.3</v>
      </c>
    </row>
    <row r="1641" s="1" customFormat="1" spans="1:15">
      <c r="A1641" s="1" t="str">
        <f t="shared" si="1209"/>
        <v>202406</v>
      </c>
      <c r="B1641" s="1" t="str">
        <f t="shared" si="1210"/>
        <v>150525100</v>
      </c>
      <c r="C1641" s="1" t="str">
        <f>"1014576526"</f>
        <v>1014576526</v>
      </c>
      <c r="D1641" s="1" t="str">
        <f>"152326195703026387"</f>
        <v>152326195703026387</v>
      </c>
      <c r="E1641" s="1" t="s">
        <v>551</v>
      </c>
      <c r="F1641" s="1" t="s">
        <v>16</v>
      </c>
      <c r="G1641" s="1" t="s">
        <v>19</v>
      </c>
      <c r="H1641" s="1" t="str">
        <f>"67"</f>
        <v>67</v>
      </c>
      <c r="I1641" s="1" t="str">
        <f>"168.78"</f>
        <v>168.78</v>
      </c>
      <c r="J1641" s="1" t="str">
        <f t="shared" si="1213"/>
        <v>0</v>
      </c>
      <c r="K1641" s="1" t="str">
        <f t="shared" si="1199"/>
        <v>103</v>
      </c>
      <c r="L1641" s="1" t="str">
        <f t="shared" si="1200"/>
        <v>47</v>
      </c>
      <c r="M1641" s="1" t="str">
        <f t="shared" si="1202"/>
        <v>0</v>
      </c>
      <c r="N1641" s="1" t="str">
        <f t="shared" si="1203"/>
        <v>0</v>
      </c>
      <c r="O1641" s="1" t="str">
        <f>"18.78"</f>
        <v>18.78</v>
      </c>
    </row>
    <row r="1642" s="1" customFormat="1" spans="1:15">
      <c r="A1642" s="1" t="str">
        <f t="shared" si="1209"/>
        <v>202406</v>
      </c>
      <c r="B1642" s="1" t="str">
        <f t="shared" si="1210"/>
        <v>150525100</v>
      </c>
      <c r="C1642" s="1" t="str">
        <f>"1014576719"</f>
        <v>1014576719</v>
      </c>
      <c r="D1642" s="1" t="str">
        <f>"152326195501200674"</f>
        <v>152326195501200674</v>
      </c>
      <c r="E1642" s="1" t="s">
        <v>1712</v>
      </c>
      <c r="F1642" s="1" t="s">
        <v>25</v>
      </c>
      <c r="G1642" s="1" t="s">
        <v>17</v>
      </c>
      <c r="H1642" s="1" t="str">
        <f>"69"</f>
        <v>69</v>
      </c>
      <c r="I1642" s="1" t="str">
        <f>"155.09"</f>
        <v>155.09</v>
      </c>
      <c r="J1642" s="1" t="str">
        <f t="shared" si="1213"/>
        <v>0</v>
      </c>
      <c r="K1642" s="1" t="str">
        <f t="shared" si="1199"/>
        <v>103</v>
      </c>
      <c r="L1642" s="1" t="str">
        <f t="shared" si="1200"/>
        <v>47</v>
      </c>
      <c r="M1642" s="1" t="str">
        <f t="shared" si="1202"/>
        <v>0</v>
      </c>
      <c r="N1642" s="1" t="str">
        <f t="shared" si="1203"/>
        <v>0</v>
      </c>
      <c r="O1642" s="1" t="str">
        <f>"5.09"</f>
        <v>5.09</v>
      </c>
    </row>
    <row r="1643" s="1" customFormat="1" spans="1:15">
      <c r="A1643" s="1" t="str">
        <f t="shared" si="1209"/>
        <v>202406</v>
      </c>
      <c r="B1643" s="1" t="str">
        <f t="shared" si="1210"/>
        <v>150525100</v>
      </c>
      <c r="C1643" s="1" t="str">
        <f>"1014576729"</f>
        <v>1014576729</v>
      </c>
      <c r="D1643" s="1" t="str">
        <f>"152326195508280662"</f>
        <v>152326195508280662</v>
      </c>
      <c r="E1643" s="1" t="s">
        <v>1228</v>
      </c>
      <c r="F1643" s="1" t="s">
        <v>16</v>
      </c>
      <c r="G1643" s="1" t="s">
        <v>17</v>
      </c>
      <c r="H1643" s="1" t="str">
        <f>"69"</f>
        <v>69</v>
      </c>
      <c r="I1643" s="1" t="str">
        <f>"155.1"</f>
        <v>155.1</v>
      </c>
      <c r="J1643" s="1" t="str">
        <f t="shared" si="1213"/>
        <v>0</v>
      </c>
      <c r="K1643" s="1" t="str">
        <f t="shared" si="1199"/>
        <v>103</v>
      </c>
      <c r="L1643" s="1" t="str">
        <f t="shared" si="1200"/>
        <v>47</v>
      </c>
      <c r="M1643" s="1" t="str">
        <f t="shared" si="1202"/>
        <v>0</v>
      </c>
      <c r="N1643" s="1" t="str">
        <f t="shared" si="1203"/>
        <v>0</v>
      </c>
      <c r="O1643" s="1" t="str">
        <f>"5.1"</f>
        <v>5.1</v>
      </c>
    </row>
    <row r="1644" s="1" customFormat="1" spans="1:15">
      <c r="A1644" s="1" t="str">
        <f t="shared" si="1209"/>
        <v>202406</v>
      </c>
      <c r="B1644" s="1" t="str">
        <f t="shared" si="1210"/>
        <v>150525100</v>
      </c>
      <c r="C1644" s="1" t="str">
        <f>"1014576978"</f>
        <v>1014576978</v>
      </c>
      <c r="D1644" s="1" t="str">
        <f>"152326195203280661"</f>
        <v>152326195203280661</v>
      </c>
      <c r="E1644" s="1" t="s">
        <v>1713</v>
      </c>
      <c r="F1644" s="1" t="s">
        <v>16</v>
      </c>
      <c r="G1644" s="1" t="s">
        <v>17</v>
      </c>
      <c r="H1644" s="1" t="str">
        <f t="shared" ref="H1644:H1646" si="1214">"72"</f>
        <v>72</v>
      </c>
      <c r="I1644" s="1" t="str">
        <f t="shared" ref="I1644:I1646" si="1215">"162.14"</f>
        <v>162.14</v>
      </c>
      <c r="J1644" s="1" t="str">
        <f t="shared" si="1213"/>
        <v>0</v>
      </c>
      <c r="K1644" s="1" t="str">
        <f t="shared" si="1199"/>
        <v>103</v>
      </c>
      <c r="L1644" s="1" t="str">
        <f t="shared" si="1200"/>
        <v>47</v>
      </c>
      <c r="M1644" s="1" t="str">
        <f t="shared" si="1202"/>
        <v>0</v>
      </c>
      <c r="N1644" s="1" t="str">
        <f t="shared" si="1203"/>
        <v>0</v>
      </c>
      <c r="O1644" s="1" t="str">
        <f t="shared" ref="O1644:O1646" si="1216">"2.14"</f>
        <v>2.14</v>
      </c>
    </row>
    <row r="1645" s="1" customFormat="1" spans="1:15">
      <c r="A1645" s="1" t="str">
        <f t="shared" si="1209"/>
        <v>202406</v>
      </c>
      <c r="B1645" s="1" t="str">
        <f t="shared" si="1210"/>
        <v>150525100</v>
      </c>
      <c r="C1645" s="1" t="str">
        <f>"1014576981"</f>
        <v>1014576981</v>
      </c>
      <c r="D1645" s="1" t="str">
        <f>"152326195206280675"</f>
        <v>152326195206280675</v>
      </c>
      <c r="E1645" s="1" t="s">
        <v>1714</v>
      </c>
      <c r="F1645" s="1" t="s">
        <v>25</v>
      </c>
      <c r="G1645" s="1" t="s">
        <v>17</v>
      </c>
      <c r="H1645" s="1" t="str">
        <f t="shared" si="1214"/>
        <v>72</v>
      </c>
      <c r="I1645" s="1" t="str">
        <f t="shared" si="1215"/>
        <v>162.14</v>
      </c>
      <c r="J1645" s="1" t="str">
        <f t="shared" si="1213"/>
        <v>0</v>
      </c>
      <c r="K1645" s="1" t="str">
        <f t="shared" si="1199"/>
        <v>103</v>
      </c>
      <c r="L1645" s="1" t="str">
        <f t="shared" si="1200"/>
        <v>47</v>
      </c>
      <c r="M1645" s="1" t="str">
        <f t="shared" si="1202"/>
        <v>0</v>
      </c>
      <c r="N1645" s="1" t="str">
        <f t="shared" si="1203"/>
        <v>0</v>
      </c>
      <c r="O1645" s="1" t="str">
        <f t="shared" si="1216"/>
        <v>2.14</v>
      </c>
    </row>
    <row r="1646" s="1" customFormat="1" spans="1:15">
      <c r="A1646" s="1" t="str">
        <f t="shared" si="1209"/>
        <v>202406</v>
      </c>
      <c r="B1646" s="1" t="str">
        <f t="shared" si="1210"/>
        <v>150525100</v>
      </c>
      <c r="C1646" s="1" t="str">
        <f>"1014576982"</f>
        <v>1014576982</v>
      </c>
      <c r="D1646" s="1" t="str">
        <f>"152326195207280669"</f>
        <v>152326195207280669</v>
      </c>
      <c r="E1646" s="1" t="s">
        <v>192</v>
      </c>
      <c r="F1646" s="1" t="s">
        <v>16</v>
      </c>
      <c r="G1646" s="1" t="s">
        <v>17</v>
      </c>
      <c r="H1646" s="1" t="str">
        <f t="shared" si="1214"/>
        <v>72</v>
      </c>
      <c r="I1646" s="1" t="str">
        <f t="shared" si="1215"/>
        <v>162.14</v>
      </c>
      <c r="J1646" s="1" t="str">
        <f t="shared" si="1213"/>
        <v>0</v>
      </c>
      <c r="K1646" s="1" t="str">
        <f t="shared" si="1199"/>
        <v>103</v>
      </c>
      <c r="L1646" s="1" t="str">
        <f t="shared" si="1200"/>
        <v>47</v>
      </c>
      <c r="M1646" s="1" t="str">
        <f t="shared" si="1202"/>
        <v>0</v>
      </c>
      <c r="N1646" s="1" t="str">
        <f t="shared" si="1203"/>
        <v>0</v>
      </c>
      <c r="O1646" s="1" t="str">
        <f t="shared" si="1216"/>
        <v>2.14</v>
      </c>
    </row>
    <row r="1647" s="1" customFormat="1" spans="1:15">
      <c r="A1647" s="1" t="str">
        <f t="shared" si="1209"/>
        <v>202406</v>
      </c>
      <c r="B1647" s="1" t="str">
        <f t="shared" si="1210"/>
        <v>150525100</v>
      </c>
      <c r="C1647" s="1" t="str">
        <f>"1014548483"</f>
        <v>1014548483</v>
      </c>
      <c r="D1647" s="1" t="str">
        <f>"152326195710230677"</f>
        <v>152326195710230677</v>
      </c>
      <c r="E1647" s="1" t="s">
        <v>1715</v>
      </c>
      <c r="F1647" s="1" t="s">
        <v>25</v>
      </c>
      <c r="G1647" s="1" t="s">
        <v>19</v>
      </c>
      <c r="H1647" s="1" t="str">
        <f>"67"</f>
        <v>67</v>
      </c>
      <c r="I1647" s="1" t="str">
        <f>"200.56"</f>
        <v>200.56</v>
      </c>
      <c r="J1647" s="1" t="str">
        <f t="shared" si="1213"/>
        <v>0</v>
      </c>
      <c r="K1647" s="1" t="str">
        <f t="shared" ref="K1647:K1710" si="1217">"103"</f>
        <v>103</v>
      </c>
      <c r="L1647" s="1" t="str">
        <f t="shared" ref="L1647:L1710" si="1218">"47"</f>
        <v>47</v>
      </c>
      <c r="M1647" s="1" t="str">
        <f t="shared" si="1202"/>
        <v>0</v>
      </c>
      <c r="N1647" s="1" t="str">
        <f t="shared" si="1203"/>
        <v>0</v>
      </c>
      <c r="O1647" s="1" t="str">
        <f>"50.56"</f>
        <v>50.56</v>
      </c>
    </row>
    <row r="1648" s="1" customFormat="1" spans="1:15">
      <c r="A1648" s="1" t="str">
        <f t="shared" si="1209"/>
        <v>202406</v>
      </c>
      <c r="B1648" s="1" t="str">
        <f t="shared" si="1210"/>
        <v>150525100</v>
      </c>
      <c r="C1648" s="1" t="str">
        <f>"1014570410"</f>
        <v>1014570410</v>
      </c>
      <c r="D1648" s="1" t="str">
        <f>"152326195312273815"</f>
        <v>152326195312273815</v>
      </c>
      <c r="E1648" s="1" t="s">
        <v>1716</v>
      </c>
      <c r="F1648" s="1" t="s">
        <v>25</v>
      </c>
      <c r="G1648" s="1" t="s">
        <v>17</v>
      </c>
      <c r="H1648" s="1" t="str">
        <f>"71"</f>
        <v>71</v>
      </c>
      <c r="I1648" s="1" t="str">
        <f>"162.93"</f>
        <v>162.93</v>
      </c>
      <c r="J1648" s="1" t="str">
        <f t="shared" si="1213"/>
        <v>0</v>
      </c>
      <c r="K1648" s="1" t="str">
        <f t="shared" si="1217"/>
        <v>103</v>
      </c>
      <c r="L1648" s="1" t="str">
        <f t="shared" si="1218"/>
        <v>47</v>
      </c>
      <c r="M1648" s="1" t="str">
        <f t="shared" si="1202"/>
        <v>0</v>
      </c>
      <c r="N1648" s="1" t="str">
        <f t="shared" si="1203"/>
        <v>0</v>
      </c>
      <c r="O1648" s="1" t="str">
        <f>"2.93"</f>
        <v>2.93</v>
      </c>
    </row>
    <row r="1649" s="1" customFormat="1" spans="1:15">
      <c r="A1649" s="1" t="str">
        <f t="shared" si="1209"/>
        <v>202406</v>
      </c>
      <c r="B1649" s="1" t="str">
        <f t="shared" si="1210"/>
        <v>150525100</v>
      </c>
      <c r="C1649" s="1" t="str">
        <f>"1014576552"</f>
        <v>1014576552</v>
      </c>
      <c r="D1649" s="1" t="s">
        <v>1717</v>
      </c>
      <c r="E1649" s="1" t="s">
        <v>395</v>
      </c>
      <c r="F1649" s="1" t="s">
        <v>16</v>
      </c>
      <c r="G1649" s="1" t="s">
        <v>19</v>
      </c>
      <c r="H1649" s="1" t="str">
        <f>"69"</f>
        <v>69</v>
      </c>
      <c r="I1649" s="1" t="str">
        <f>"155.09"</f>
        <v>155.09</v>
      </c>
      <c r="J1649" s="1" t="str">
        <f t="shared" si="1213"/>
        <v>0</v>
      </c>
      <c r="K1649" s="1" t="str">
        <f t="shared" si="1217"/>
        <v>103</v>
      </c>
      <c r="L1649" s="1" t="str">
        <f t="shared" si="1218"/>
        <v>47</v>
      </c>
      <c r="M1649" s="1" t="str">
        <f t="shared" si="1202"/>
        <v>0</v>
      </c>
      <c r="N1649" s="1" t="str">
        <f t="shared" si="1203"/>
        <v>0</v>
      </c>
      <c r="O1649" s="1" t="str">
        <f>"5.09"</f>
        <v>5.09</v>
      </c>
    </row>
    <row r="1650" s="1" customFormat="1" spans="1:15">
      <c r="A1650" s="1" t="str">
        <f t="shared" si="1209"/>
        <v>202406</v>
      </c>
      <c r="B1650" s="1" t="str">
        <f t="shared" si="1210"/>
        <v>150525100</v>
      </c>
      <c r="C1650" s="1" t="str">
        <f>"1014576738"</f>
        <v>1014576738</v>
      </c>
      <c r="D1650" s="1" t="str">
        <f>"152326195307210676"</f>
        <v>152326195307210676</v>
      </c>
      <c r="E1650" s="1" t="s">
        <v>1718</v>
      </c>
      <c r="F1650" s="1" t="s">
        <v>25</v>
      </c>
      <c r="G1650" s="1" t="s">
        <v>19</v>
      </c>
      <c r="H1650" s="1" t="str">
        <f>"71"</f>
        <v>71</v>
      </c>
      <c r="I1650" s="1" t="str">
        <f>"163.16"</f>
        <v>163.16</v>
      </c>
      <c r="J1650" s="1" t="str">
        <f t="shared" si="1213"/>
        <v>0</v>
      </c>
      <c r="K1650" s="1" t="str">
        <f t="shared" si="1217"/>
        <v>103</v>
      </c>
      <c r="L1650" s="1" t="str">
        <f t="shared" si="1218"/>
        <v>47</v>
      </c>
      <c r="M1650" s="1" t="str">
        <f t="shared" si="1202"/>
        <v>0</v>
      </c>
      <c r="N1650" s="1" t="str">
        <f t="shared" si="1203"/>
        <v>0</v>
      </c>
      <c r="O1650" s="1" t="str">
        <f>"3.16"</f>
        <v>3.16</v>
      </c>
    </row>
    <row r="1651" s="1" customFormat="1" spans="1:15">
      <c r="A1651" s="1" t="str">
        <f t="shared" si="1209"/>
        <v>202406</v>
      </c>
      <c r="B1651" s="1" t="str">
        <f t="shared" si="1210"/>
        <v>150525100</v>
      </c>
      <c r="C1651" s="1" t="str">
        <f>"1014576739"</f>
        <v>1014576739</v>
      </c>
      <c r="D1651" s="1" t="str">
        <f>"152326195407090675"</f>
        <v>152326195407090675</v>
      </c>
      <c r="E1651" s="1" t="s">
        <v>1719</v>
      </c>
      <c r="F1651" s="1" t="s">
        <v>25</v>
      </c>
      <c r="G1651" s="1" t="s">
        <v>19</v>
      </c>
      <c r="H1651" s="1" t="str">
        <f>"70"</f>
        <v>70</v>
      </c>
      <c r="I1651" s="1" t="str">
        <f>"154.14"</f>
        <v>154.14</v>
      </c>
      <c r="J1651" s="1" t="str">
        <f t="shared" si="1213"/>
        <v>0</v>
      </c>
      <c r="K1651" s="1" t="str">
        <f t="shared" si="1217"/>
        <v>103</v>
      </c>
      <c r="L1651" s="1" t="str">
        <f t="shared" si="1218"/>
        <v>47</v>
      </c>
      <c r="M1651" s="1" t="str">
        <f t="shared" ref="M1651:M1714" si="1219">"0"</f>
        <v>0</v>
      </c>
      <c r="N1651" s="1" t="str">
        <f t="shared" ref="N1651:N1714" si="1220">"0"</f>
        <v>0</v>
      </c>
      <c r="O1651" s="1" t="str">
        <f>"4.14"</f>
        <v>4.14</v>
      </c>
    </row>
    <row r="1652" s="1" customFormat="1" spans="1:15">
      <c r="A1652" s="1" t="str">
        <f t="shared" si="1209"/>
        <v>202406</v>
      </c>
      <c r="B1652" s="1" t="str">
        <f t="shared" si="1210"/>
        <v>150525100</v>
      </c>
      <c r="C1652" s="1" t="str">
        <f>"1014576740"</f>
        <v>1014576740</v>
      </c>
      <c r="D1652" s="1" t="str">
        <f>"152326195510100704"</f>
        <v>152326195510100704</v>
      </c>
      <c r="E1652" s="1" t="s">
        <v>1720</v>
      </c>
      <c r="F1652" s="1" t="s">
        <v>16</v>
      </c>
      <c r="G1652" s="1" t="s">
        <v>19</v>
      </c>
      <c r="H1652" s="1" t="str">
        <f>"69"</f>
        <v>69</v>
      </c>
      <c r="I1652" s="1" t="str">
        <f>"155.09"</f>
        <v>155.09</v>
      </c>
      <c r="J1652" s="1" t="str">
        <f t="shared" si="1213"/>
        <v>0</v>
      </c>
      <c r="K1652" s="1" t="str">
        <f t="shared" si="1217"/>
        <v>103</v>
      </c>
      <c r="L1652" s="1" t="str">
        <f t="shared" si="1218"/>
        <v>47</v>
      </c>
      <c r="M1652" s="1" t="str">
        <f t="shared" si="1219"/>
        <v>0</v>
      </c>
      <c r="N1652" s="1" t="str">
        <f t="shared" si="1220"/>
        <v>0</v>
      </c>
      <c r="O1652" s="1" t="str">
        <f>"5.09"</f>
        <v>5.09</v>
      </c>
    </row>
    <row r="1653" s="1" customFormat="1" spans="1:15">
      <c r="A1653" s="1" t="str">
        <f t="shared" si="1209"/>
        <v>202406</v>
      </c>
      <c r="B1653" s="1" t="str">
        <f t="shared" si="1210"/>
        <v>150525100</v>
      </c>
      <c r="C1653" s="1" t="str">
        <f>"1014576743"</f>
        <v>1014576743</v>
      </c>
      <c r="D1653" s="1" t="str">
        <f>"152326196012100677"</f>
        <v>152326196012100677</v>
      </c>
      <c r="E1653" s="1" t="s">
        <v>1721</v>
      </c>
      <c r="F1653" s="1" t="s">
        <v>25</v>
      </c>
      <c r="G1653" s="1" t="s">
        <v>19</v>
      </c>
      <c r="H1653" s="1" t="str">
        <f>"64"</f>
        <v>64</v>
      </c>
      <c r="I1653" s="1" t="str">
        <f>"159.28"</f>
        <v>159.28</v>
      </c>
      <c r="J1653" s="1" t="str">
        <f t="shared" si="1213"/>
        <v>0</v>
      </c>
      <c r="K1653" s="1" t="str">
        <f t="shared" si="1217"/>
        <v>103</v>
      </c>
      <c r="L1653" s="1" t="str">
        <f t="shared" si="1218"/>
        <v>47</v>
      </c>
      <c r="M1653" s="1" t="str">
        <f t="shared" si="1219"/>
        <v>0</v>
      </c>
      <c r="N1653" s="1" t="str">
        <f t="shared" si="1220"/>
        <v>0</v>
      </c>
      <c r="O1653" s="1" t="str">
        <f>"9.28"</f>
        <v>9.28</v>
      </c>
    </row>
    <row r="1654" s="1" customFormat="1" spans="1:15">
      <c r="A1654" s="1" t="str">
        <f t="shared" si="1209"/>
        <v>202406</v>
      </c>
      <c r="B1654" s="1" t="str">
        <f t="shared" si="1210"/>
        <v>150525100</v>
      </c>
      <c r="C1654" s="1" t="str">
        <f>"1014570291"</f>
        <v>1014570291</v>
      </c>
      <c r="D1654" s="1" t="str">
        <f>"152326196011113847"</f>
        <v>152326196011113847</v>
      </c>
      <c r="E1654" s="1" t="s">
        <v>1722</v>
      </c>
      <c r="F1654" s="1" t="s">
        <v>16</v>
      </c>
      <c r="G1654" s="1" t="s">
        <v>19</v>
      </c>
      <c r="H1654" s="1" t="str">
        <f>"64"</f>
        <v>64</v>
      </c>
      <c r="I1654" s="1" t="str">
        <f>"159.29"</f>
        <v>159.29</v>
      </c>
      <c r="J1654" s="1" t="str">
        <f t="shared" si="1213"/>
        <v>0</v>
      </c>
      <c r="K1654" s="1" t="str">
        <f t="shared" si="1217"/>
        <v>103</v>
      </c>
      <c r="L1654" s="1" t="str">
        <f t="shared" si="1218"/>
        <v>47</v>
      </c>
      <c r="M1654" s="1" t="str">
        <f t="shared" si="1219"/>
        <v>0</v>
      </c>
      <c r="N1654" s="1" t="str">
        <f t="shared" si="1220"/>
        <v>0</v>
      </c>
      <c r="O1654" s="1" t="str">
        <f>"9.29"</f>
        <v>9.29</v>
      </c>
    </row>
    <row r="1655" s="1" customFormat="1" spans="1:15">
      <c r="A1655" s="1" t="str">
        <f t="shared" si="1209"/>
        <v>202406</v>
      </c>
      <c r="B1655" s="1" t="str">
        <f t="shared" si="1210"/>
        <v>150525100</v>
      </c>
      <c r="C1655" s="1" t="str">
        <f>"1014570436"</f>
        <v>1014570436</v>
      </c>
      <c r="D1655" s="1" t="str">
        <f>"152326195803193828"</f>
        <v>152326195803193828</v>
      </c>
      <c r="E1655" s="1" t="s">
        <v>1723</v>
      </c>
      <c r="F1655" s="1" t="s">
        <v>16</v>
      </c>
      <c r="G1655" s="1" t="s">
        <v>17</v>
      </c>
      <c r="H1655" s="1" t="str">
        <f t="shared" ref="H1655:H1658" si="1221">"66"</f>
        <v>66</v>
      </c>
      <c r="I1655" s="1" t="str">
        <f>"157.09"</f>
        <v>157.09</v>
      </c>
      <c r="J1655" s="1" t="str">
        <f t="shared" si="1213"/>
        <v>0</v>
      </c>
      <c r="K1655" s="1" t="str">
        <f t="shared" si="1217"/>
        <v>103</v>
      </c>
      <c r="L1655" s="1" t="str">
        <f t="shared" si="1218"/>
        <v>47</v>
      </c>
      <c r="M1655" s="1" t="str">
        <f t="shared" si="1219"/>
        <v>0</v>
      </c>
      <c r="N1655" s="1" t="str">
        <f t="shared" si="1220"/>
        <v>0</v>
      </c>
      <c r="O1655" s="1" t="str">
        <f>"7.09"</f>
        <v>7.09</v>
      </c>
    </row>
    <row r="1656" s="1" customFormat="1" spans="1:15">
      <c r="A1656" s="1" t="str">
        <f t="shared" si="1209"/>
        <v>202406</v>
      </c>
      <c r="B1656" s="1" t="str">
        <f t="shared" si="1210"/>
        <v>150525100</v>
      </c>
      <c r="C1656" s="1" t="str">
        <f>"1014552483"</f>
        <v>1014552483</v>
      </c>
      <c r="D1656" s="1" t="str">
        <f>"152326195901253863"</f>
        <v>152326195901253863</v>
      </c>
      <c r="E1656" s="1" t="s">
        <v>1724</v>
      </c>
      <c r="F1656" s="1" t="s">
        <v>16</v>
      </c>
      <c r="G1656" s="1" t="s">
        <v>19</v>
      </c>
      <c r="H1656" s="1" t="str">
        <f>"65"</f>
        <v>65</v>
      </c>
      <c r="I1656" s="1" t="str">
        <f>"157.86"</f>
        <v>157.86</v>
      </c>
      <c r="J1656" s="1" t="str">
        <f t="shared" si="1213"/>
        <v>0</v>
      </c>
      <c r="K1656" s="1" t="str">
        <f t="shared" si="1217"/>
        <v>103</v>
      </c>
      <c r="L1656" s="1" t="str">
        <f t="shared" si="1218"/>
        <v>47</v>
      </c>
      <c r="M1656" s="1" t="str">
        <f t="shared" si="1219"/>
        <v>0</v>
      </c>
      <c r="N1656" s="1" t="str">
        <f t="shared" si="1220"/>
        <v>0</v>
      </c>
      <c r="O1656" s="1" t="str">
        <f>"7.86"</f>
        <v>7.86</v>
      </c>
    </row>
    <row r="1657" s="1" customFormat="1" spans="1:15">
      <c r="A1657" s="1" t="str">
        <f t="shared" si="1209"/>
        <v>202406</v>
      </c>
      <c r="B1657" s="1" t="str">
        <f t="shared" si="1210"/>
        <v>150525100</v>
      </c>
      <c r="C1657" s="1" t="str">
        <f>"1014552501"</f>
        <v>1014552501</v>
      </c>
      <c r="D1657" s="1" t="str">
        <f>"152326195810063810"</f>
        <v>152326195810063810</v>
      </c>
      <c r="E1657" s="1" t="s">
        <v>1725</v>
      </c>
      <c r="F1657" s="1" t="s">
        <v>25</v>
      </c>
      <c r="G1657" s="1" t="s">
        <v>19</v>
      </c>
      <c r="H1657" s="1" t="str">
        <f t="shared" si="1221"/>
        <v>66</v>
      </c>
      <c r="I1657" s="1" t="str">
        <f>"158.1"</f>
        <v>158.1</v>
      </c>
      <c r="J1657" s="1" t="str">
        <f t="shared" si="1213"/>
        <v>0</v>
      </c>
      <c r="K1657" s="1" t="str">
        <f t="shared" si="1217"/>
        <v>103</v>
      </c>
      <c r="L1657" s="1" t="str">
        <f t="shared" si="1218"/>
        <v>47</v>
      </c>
      <c r="M1657" s="1" t="str">
        <f t="shared" si="1219"/>
        <v>0</v>
      </c>
      <c r="N1657" s="1" t="str">
        <f t="shared" si="1220"/>
        <v>0</v>
      </c>
      <c r="O1657" s="1" t="str">
        <f>"8.1"</f>
        <v>8.1</v>
      </c>
    </row>
    <row r="1658" s="1" customFormat="1" spans="1:15">
      <c r="A1658" s="1" t="str">
        <f t="shared" si="1209"/>
        <v>202406</v>
      </c>
      <c r="B1658" s="1" t="str">
        <f t="shared" si="1210"/>
        <v>150525100</v>
      </c>
      <c r="C1658" s="1" t="str">
        <f>"1014576792"</f>
        <v>1014576792</v>
      </c>
      <c r="D1658" s="1" t="str">
        <f>"152326195807083087"</f>
        <v>152326195807083087</v>
      </c>
      <c r="E1658" s="1" t="s">
        <v>1726</v>
      </c>
      <c r="F1658" s="1" t="s">
        <v>16</v>
      </c>
      <c r="G1658" s="1" t="s">
        <v>17</v>
      </c>
      <c r="H1658" s="1" t="str">
        <f t="shared" si="1221"/>
        <v>66</v>
      </c>
      <c r="I1658" s="1" t="str">
        <f>"158.05"</f>
        <v>158.05</v>
      </c>
      <c r="J1658" s="1" t="str">
        <f t="shared" si="1213"/>
        <v>0</v>
      </c>
      <c r="K1658" s="1" t="str">
        <f t="shared" si="1217"/>
        <v>103</v>
      </c>
      <c r="L1658" s="1" t="str">
        <f t="shared" si="1218"/>
        <v>47</v>
      </c>
      <c r="M1658" s="1" t="str">
        <f t="shared" si="1219"/>
        <v>0</v>
      </c>
      <c r="N1658" s="1" t="str">
        <f t="shared" si="1220"/>
        <v>0</v>
      </c>
      <c r="O1658" s="1" t="str">
        <f>"8.05"</f>
        <v>8.05</v>
      </c>
    </row>
    <row r="1659" s="1" customFormat="1" spans="1:15">
      <c r="A1659" s="1" t="str">
        <f t="shared" si="1209"/>
        <v>202406</v>
      </c>
      <c r="B1659" s="1" t="str">
        <f t="shared" si="1210"/>
        <v>150525100</v>
      </c>
      <c r="C1659" s="1" t="str">
        <f>"1014572498"</f>
        <v>1014572498</v>
      </c>
      <c r="D1659" s="1" t="str">
        <f>"152326195203050022"</f>
        <v>152326195203050022</v>
      </c>
      <c r="E1659" s="1" t="s">
        <v>1727</v>
      </c>
      <c r="F1659" s="1" t="s">
        <v>16</v>
      </c>
      <c r="G1659" s="1" t="s">
        <v>17</v>
      </c>
      <c r="H1659" s="1" t="str">
        <f t="shared" ref="H1659:H1663" si="1222">"72"</f>
        <v>72</v>
      </c>
      <c r="I1659" s="1" t="str">
        <f t="shared" ref="I1659:I1663" si="1223">"162.14"</f>
        <v>162.14</v>
      </c>
      <c r="J1659" s="1" t="str">
        <f t="shared" si="1213"/>
        <v>0</v>
      </c>
      <c r="K1659" s="1" t="str">
        <f t="shared" si="1217"/>
        <v>103</v>
      </c>
      <c r="L1659" s="1" t="str">
        <f t="shared" si="1218"/>
        <v>47</v>
      </c>
      <c r="M1659" s="1" t="str">
        <f t="shared" si="1219"/>
        <v>0</v>
      </c>
      <c r="N1659" s="1" t="str">
        <f t="shared" si="1220"/>
        <v>0</v>
      </c>
      <c r="O1659" s="1" t="str">
        <f t="shared" ref="O1659:O1663" si="1224">"2.14"</f>
        <v>2.14</v>
      </c>
    </row>
    <row r="1660" s="1" customFormat="1" spans="1:15">
      <c r="A1660" s="1" t="str">
        <f t="shared" si="1209"/>
        <v>202406</v>
      </c>
      <c r="B1660" s="1" t="str">
        <f t="shared" si="1210"/>
        <v>150525100</v>
      </c>
      <c r="C1660" s="1" t="str">
        <f>"1014572502"</f>
        <v>1014572502</v>
      </c>
      <c r="D1660" s="1" t="str">
        <f>"152326195203310066"</f>
        <v>152326195203310066</v>
      </c>
      <c r="E1660" s="1" t="s">
        <v>1728</v>
      </c>
      <c r="F1660" s="1" t="s">
        <v>16</v>
      </c>
      <c r="G1660" s="1" t="s">
        <v>17</v>
      </c>
      <c r="H1660" s="1" t="str">
        <f t="shared" si="1222"/>
        <v>72</v>
      </c>
      <c r="I1660" s="1" t="str">
        <f t="shared" si="1223"/>
        <v>162.14</v>
      </c>
      <c r="J1660" s="1" t="str">
        <f t="shared" si="1213"/>
        <v>0</v>
      </c>
      <c r="K1660" s="1" t="str">
        <f t="shared" si="1217"/>
        <v>103</v>
      </c>
      <c r="L1660" s="1" t="str">
        <f t="shared" si="1218"/>
        <v>47</v>
      </c>
      <c r="M1660" s="1" t="str">
        <f t="shared" si="1219"/>
        <v>0</v>
      </c>
      <c r="N1660" s="1" t="str">
        <f t="shared" si="1220"/>
        <v>0</v>
      </c>
      <c r="O1660" s="1" t="str">
        <f t="shared" si="1224"/>
        <v>2.14</v>
      </c>
    </row>
    <row r="1661" s="1" customFormat="1" spans="1:15">
      <c r="A1661" s="1" t="str">
        <f t="shared" si="1209"/>
        <v>202406</v>
      </c>
      <c r="B1661" s="1" t="str">
        <f t="shared" si="1210"/>
        <v>150525100</v>
      </c>
      <c r="C1661" s="1" t="str">
        <f>"1014572505"</f>
        <v>1014572505</v>
      </c>
      <c r="D1661" s="1" t="str">
        <f>"152326195205150027"</f>
        <v>152326195205150027</v>
      </c>
      <c r="E1661" s="1" t="s">
        <v>1729</v>
      </c>
      <c r="F1661" s="1" t="s">
        <v>16</v>
      </c>
      <c r="G1661" s="1" t="s">
        <v>17</v>
      </c>
      <c r="H1661" s="1" t="str">
        <f t="shared" si="1222"/>
        <v>72</v>
      </c>
      <c r="I1661" s="1" t="str">
        <f t="shared" si="1223"/>
        <v>162.14</v>
      </c>
      <c r="J1661" s="1" t="str">
        <f t="shared" si="1213"/>
        <v>0</v>
      </c>
      <c r="K1661" s="1" t="str">
        <f t="shared" si="1217"/>
        <v>103</v>
      </c>
      <c r="L1661" s="1" t="str">
        <f t="shared" si="1218"/>
        <v>47</v>
      </c>
      <c r="M1661" s="1" t="str">
        <f t="shared" si="1219"/>
        <v>0</v>
      </c>
      <c r="N1661" s="1" t="str">
        <f t="shared" si="1220"/>
        <v>0</v>
      </c>
      <c r="O1661" s="1" t="str">
        <f t="shared" si="1224"/>
        <v>2.14</v>
      </c>
    </row>
    <row r="1662" s="1" customFormat="1" spans="1:15">
      <c r="A1662" s="1" t="str">
        <f t="shared" si="1209"/>
        <v>202406</v>
      </c>
      <c r="B1662" s="1" t="str">
        <f t="shared" si="1210"/>
        <v>150525100</v>
      </c>
      <c r="C1662" s="1" t="str">
        <f>"1014572512"</f>
        <v>1014572512</v>
      </c>
      <c r="D1662" s="1" t="str">
        <f>"152326195206140410"</f>
        <v>152326195206140410</v>
      </c>
      <c r="E1662" s="1" t="s">
        <v>1730</v>
      </c>
      <c r="F1662" s="1" t="s">
        <v>25</v>
      </c>
      <c r="G1662" s="1" t="s">
        <v>17</v>
      </c>
      <c r="H1662" s="1" t="str">
        <f t="shared" si="1222"/>
        <v>72</v>
      </c>
      <c r="I1662" s="1" t="str">
        <f t="shared" si="1223"/>
        <v>162.14</v>
      </c>
      <c r="J1662" s="1" t="str">
        <f t="shared" si="1213"/>
        <v>0</v>
      </c>
      <c r="K1662" s="1" t="str">
        <f t="shared" si="1217"/>
        <v>103</v>
      </c>
      <c r="L1662" s="1" t="str">
        <f t="shared" si="1218"/>
        <v>47</v>
      </c>
      <c r="M1662" s="1" t="str">
        <f t="shared" si="1219"/>
        <v>0</v>
      </c>
      <c r="N1662" s="1" t="str">
        <f t="shared" si="1220"/>
        <v>0</v>
      </c>
      <c r="O1662" s="1" t="str">
        <f t="shared" si="1224"/>
        <v>2.14</v>
      </c>
    </row>
    <row r="1663" s="1" customFormat="1" spans="1:15">
      <c r="A1663" s="1" t="str">
        <f t="shared" si="1209"/>
        <v>202406</v>
      </c>
      <c r="B1663" s="1" t="str">
        <f t="shared" si="1210"/>
        <v>150525100</v>
      </c>
      <c r="C1663" s="1" t="str">
        <f>"1014572513"</f>
        <v>1014572513</v>
      </c>
      <c r="D1663" s="1" t="str">
        <f>"152326195206180447"</f>
        <v>152326195206180447</v>
      </c>
      <c r="E1663" s="1" t="s">
        <v>1731</v>
      </c>
      <c r="F1663" s="1" t="s">
        <v>16</v>
      </c>
      <c r="G1663" s="1" t="s">
        <v>17</v>
      </c>
      <c r="H1663" s="1" t="str">
        <f t="shared" si="1222"/>
        <v>72</v>
      </c>
      <c r="I1663" s="1" t="str">
        <f t="shared" si="1223"/>
        <v>162.14</v>
      </c>
      <c r="J1663" s="1" t="str">
        <f t="shared" si="1213"/>
        <v>0</v>
      </c>
      <c r="K1663" s="1" t="str">
        <f t="shared" si="1217"/>
        <v>103</v>
      </c>
      <c r="L1663" s="1" t="str">
        <f t="shared" si="1218"/>
        <v>47</v>
      </c>
      <c r="M1663" s="1" t="str">
        <f t="shared" si="1219"/>
        <v>0</v>
      </c>
      <c r="N1663" s="1" t="str">
        <f t="shared" si="1220"/>
        <v>0</v>
      </c>
      <c r="O1663" s="1" t="str">
        <f t="shared" si="1224"/>
        <v>2.14</v>
      </c>
    </row>
    <row r="1664" s="1" customFormat="1" spans="1:15">
      <c r="A1664" s="1" t="str">
        <f t="shared" si="1209"/>
        <v>202406</v>
      </c>
      <c r="B1664" s="1" t="str">
        <f t="shared" si="1210"/>
        <v>150525100</v>
      </c>
      <c r="C1664" s="1" t="str">
        <f>"1014577050"</f>
        <v>1014577050</v>
      </c>
      <c r="D1664" s="1" t="str">
        <f>"152326195602180668"</f>
        <v>152326195602180668</v>
      </c>
      <c r="E1664" s="1" t="s">
        <v>1732</v>
      </c>
      <c r="F1664" s="1" t="s">
        <v>16</v>
      </c>
      <c r="G1664" s="1" t="s">
        <v>17</v>
      </c>
      <c r="H1664" s="1" t="str">
        <f t="shared" ref="H1664:H1668" si="1225">"68"</f>
        <v>68</v>
      </c>
      <c r="I1664" s="1" t="str">
        <f>"156.01"</f>
        <v>156.01</v>
      </c>
      <c r="J1664" s="1" t="str">
        <f t="shared" si="1213"/>
        <v>0</v>
      </c>
      <c r="K1664" s="1" t="str">
        <f t="shared" si="1217"/>
        <v>103</v>
      </c>
      <c r="L1664" s="1" t="str">
        <f t="shared" si="1218"/>
        <v>47</v>
      </c>
      <c r="M1664" s="1" t="str">
        <f t="shared" si="1219"/>
        <v>0</v>
      </c>
      <c r="N1664" s="1" t="str">
        <f t="shared" si="1220"/>
        <v>0</v>
      </c>
      <c r="O1664" s="1" t="str">
        <f>"6.01"</f>
        <v>6.01</v>
      </c>
    </row>
    <row r="1665" s="1" customFormat="1" spans="1:15">
      <c r="A1665" s="1" t="str">
        <f t="shared" si="1209"/>
        <v>202406</v>
      </c>
      <c r="B1665" s="1" t="str">
        <f t="shared" si="1210"/>
        <v>150525100</v>
      </c>
      <c r="C1665" s="1" t="str">
        <f>"1014577057"</f>
        <v>1014577057</v>
      </c>
      <c r="D1665" s="1" t="str">
        <f>"152326195611140668"</f>
        <v>152326195611140668</v>
      </c>
      <c r="E1665" s="1" t="s">
        <v>1733</v>
      </c>
      <c r="F1665" s="1" t="s">
        <v>16</v>
      </c>
      <c r="G1665" s="1" t="s">
        <v>17</v>
      </c>
      <c r="H1665" s="1" t="str">
        <f t="shared" si="1225"/>
        <v>68</v>
      </c>
      <c r="I1665" s="1" t="str">
        <f>"156.01"</f>
        <v>156.01</v>
      </c>
      <c r="J1665" s="1" t="str">
        <f t="shared" si="1213"/>
        <v>0</v>
      </c>
      <c r="K1665" s="1" t="str">
        <f t="shared" si="1217"/>
        <v>103</v>
      </c>
      <c r="L1665" s="1" t="str">
        <f t="shared" si="1218"/>
        <v>47</v>
      </c>
      <c r="M1665" s="1" t="str">
        <f t="shared" si="1219"/>
        <v>0</v>
      </c>
      <c r="N1665" s="1" t="str">
        <f t="shared" si="1220"/>
        <v>0</v>
      </c>
      <c r="O1665" s="1" t="str">
        <f>"6.01"</f>
        <v>6.01</v>
      </c>
    </row>
    <row r="1666" s="1" customFormat="1" spans="1:15">
      <c r="A1666" s="1" t="str">
        <f t="shared" ref="A1666:A1729" si="1226">"202406"</f>
        <v>202406</v>
      </c>
      <c r="B1666" s="1" t="str">
        <f t="shared" ref="B1666:B1729" si="1227">"150525100"</f>
        <v>150525100</v>
      </c>
      <c r="C1666" s="1" t="str">
        <f>"1014577069"</f>
        <v>1014577069</v>
      </c>
      <c r="D1666" s="1" t="str">
        <f>"152326195810090675"</f>
        <v>152326195810090675</v>
      </c>
      <c r="E1666" s="1" t="s">
        <v>1734</v>
      </c>
      <c r="F1666" s="1" t="s">
        <v>25</v>
      </c>
      <c r="G1666" s="1" t="s">
        <v>17</v>
      </c>
      <c r="H1666" s="1" t="str">
        <f>"66"</f>
        <v>66</v>
      </c>
      <c r="I1666" s="1" t="str">
        <f>"157.13"</f>
        <v>157.13</v>
      </c>
      <c r="J1666" s="1" t="str">
        <f t="shared" si="1213"/>
        <v>0</v>
      </c>
      <c r="K1666" s="1" t="str">
        <f t="shared" si="1217"/>
        <v>103</v>
      </c>
      <c r="L1666" s="1" t="str">
        <f t="shared" si="1218"/>
        <v>47</v>
      </c>
      <c r="M1666" s="1" t="str">
        <f t="shared" si="1219"/>
        <v>0</v>
      </c>
      <c r="N1666" s="1" t="str">
        <f t="shared" si="1220"/>
        <v>0</v>
      </c>
      <c r="O1666" s="1" t="str">
        <f>"7.13"</f>
        <v>7.13</v>
      </c>
    </row>
    <row r="1667" s="1" customFormat="1" spans="1:15">
      <c r="A1667" s="1" t="str">
        <f t="shared" si="1226"/>
        <v>202406</v>
      </c>
      <c r="B1667" s="1" t="str">
        <f t="shared" si="1227"/>
        <v>150525100</v>
      </c>
      <c r="C1667" s="1" t="str">
        <f>"1014577076"</f>
        <v>1014577076</v>
      </c>
      <c r="D1667" s="1" t="str">
        <f>"152326196201020668"</f>
        <v>152326196201020668</v>
      </c>
      <c r="E1667" s="1" t="s">
        <v>1735</v>
      </c>
      <c r="F1667" s="1" t="s">
        <v>16</v>
      </c>
      <c r="G1667" s="1" t="s">
        <v>17</v>
      </c>
      <c r="H1667" s="1" t="str">
        <f>"63"</f>
        <v>63</v>
      </c>
      <c r="I1667" s="1" t="str">
        <f>"162.89"</f>
        <v>162.89</v>
      </c>
      <c r="J1667" s="1" t="str">
        <f t="shared" si="1213"/>
        <v>0</v>
      </c>
      <c r="K1667" s="1" t="str">
        <f t="shared" si="1217"/>
        <v>103</v>
      </c>
      <c r="L1667" s="1" t="str">
        <f t="shared" si="1218"/>
        <v>47</v>
      </c>
      <c r="M1667" s="1" t="str">
        <f t="shared" si="1219"/>
        <v>0</v>
      </c>
      <c r="N1667" s="1" t="str">
        <f t="shared" si="1220"/>
        <v>0</v>
      </c>
      <c r="O1667" s="1" t="str">
        <f>"12.89"</f>
        <v>12.89</v>
      </c>
    </row>
    <row r="1668" s="1" customFormat="1" spans="1:15">
      <c r="A1668" s="1" t="str">
        <f t="shared" si="1226"/>
        <v>202406</v>
      </c>
      <c r="B1668" s="1" t="str">
        <f t="shared" si="1227"/>
        <v>150525100</v>
      </c>
      <c r="C1668" s="1" t="str">
        <f>"1014572296"</f>
        <v>1014572296</v>
      </c>
      <c r="D1668" s="1" t="str">
        <f>"152326195701020010"</f>
        <v>152326195701020010</v>
      </c>
      <c r="E1668" s="1" t="s">
        <v>1736</v>
      </c>
      <c r="F1668" s="1" t="s">
        <v>25</v>
      </c>
      <c r="G1668" s="1" t="s">
        <v>96</v>
      </c>
      <c r="H1668" s="1" t="str">
        <f t="shared" si="1225"/>
        <v>68</v>
      </c>
      <c r="I1668" s="1" t="str">
        <f>"156.02"</f>
        <v>156.02</v>
      </c>
      <c r="J1668" s="1" t="str">
        <f t="shared" si="1213"/>
        <v>0</v>
      </c>
      <c r="K1668" s="1" t="str">
        <f t="shared" si="1217"/>
        <v>103</v>
      </c>
      <c r="L1668" s="1" t="str">
        <f t="shared" si="1218"/>
        <v>47</v>
      </c>
      <c r="M1668" s="1" t="str">
        <f t="shared" si="1219"/>
        <v>0</v>
      </c>
      <c r="N1668" s="1" t="str">
        <f t="shared" si="1220"/>
        <v>0</v>
      </c>
      <c r="O1668" s="1" t="str">
        <f>"6.02"</f>
        <v>6.02</v>
      </c>
    </row>
    <row r="1669" s="1" customFormat="1" spans="1:15">
      <c r="A1669" s="1" t="str">
        <f t="shared" si="1226"/>
        <v>202406</v>
      </c>
      <c r="B1669" s="1" t="str">
        <f t="shared" si="1227"/>
        <v>150525100</v>
      </c>
      <c r="C1669" s="1" t="str">
        <f>"1014572443"</f>
        <v>1014572443</v>
      </c>
      <c r="D1669" s="1" t="str">
        <f>"152326195202040922"</f>
        <v>152326195202040922</v>
      </c>
      <c r="E1669" s="1" t="s">
        <v>1737</v>
      </c>
      <c r="F1669" s="1" t="s">
        <v>16</v>
      </c>
      <c r="G1669" s="1" t="s">
        <v>19</v>
      </c>
      <c r="H1669" s="1" t="str">
        <f>"72"</f>
        <v>72</v>
      </c>
      <c r="I1669" s="1" t="str">
        <f>"162.14"</f>
        <v>162.14</v>
      </c>
      <c r="J1669" s="1" t="str">
        <f t="shared" si="1213"/>
        <v>0</v>
      </c>
      <c r="K1669" s="1" t="str">
        <f t="shared" si="1217"/>
        <v>103</v>
      </c>
      <c r="L1669" s="1" t="str">
        <f t="shared" si="1218"/>
        <v>47</v>
      </c>
      <c r="M1669" s="1" t="str">
        <f t="shared" si="1219"/>
        <v>0</v>
      </c>
      <c r="N1669" s="1" t="str">
        <f t="shared" si="1220"/>
        <v>0</v>
      </c>
      <c r="O1669" s="1" t="str">
        <f>"2.14"</f>
        <v>2.14</v>
      </c>
    </row>
    <row r="1670" s="1" customFormat="1" spans="1:15">
      <c r="A1670" s="1" t="str">
        <f t="shared" si="1226"/>
        <v>202406</v>
      </c>
      <c r="B1670" s="1" t="str">
        <f t="shared" si="1227"/>
        <v>150525100</v>
      </c>
      <c r="C1670" s="1" t="str">
        <f>"1014572448"</f>
        <v>1014572448</v>
      </c>
      <c r="D1670" s="1" t="str">
        <f>"152326195205043088"</f>
        <v>152326195205043088</v>
      </c>
      <c r="E1670" s="1" t="s">
        <v>1738</v>
      </c>
      <c r="F1670" s="1" t="s">
        <v>16</v>
      </c>
      <c r="G1670" s="1" t="s">
        <v>19</v>
      </c>
      <c r="H1670" s="1" t="str">
        <f>"72"</f>
        <v>72</v>
      </c>
      <c r="I1670" s="1" t="str">
        <f>"162.14"</f>
        <v>162.14</v>
      </c>
      <c r="J1670" s="1" t="str">
        <f t="shared" si="1213"/>
        <v>0</v>
      </c>
      <c r="K1670" s="1" t="str">
        <f t="shared" si="1217"/>
        <v>103</v>
      </c>
      <c r="L1670" s="1" t="str">
        <f t="shared" si="1218"/>
        <v>47</v>
      </c>
      <c r="M1670" s="1" t="str">
        <f t="shared" si="1219"/>
        <v>0</v>
      </c>
      <c r="N1670" s="1" t="str">
        <f t="shared" si="1220"/>
        <v>0</v>
      </c>
      <c r="O1670" s="1" t="str">
        <f>"2.14"</f>
        <v>2.14</v>
      </c>
    </row>
    <row r="1671" s="1" customFormat="1" spans="1:15">
      <c r="A1671" s="1" t="str">
        <f t="shared" si="1226"/>
        <v>202406</v>
      </c>
      <c r="B1671" s="1" t="str">
        <f t="shared" si="1227"/>
        <v>150525100</v>
      </c>
      <c r="C1671" s="1" t="str">
        <f>"1014572606"</f>
        <v>1014572606</v>
      </c>
      <c r="D1671" s="1" t="str">
        <f>"152326195801190041"</f>
        <v>152326195801190041</v>
      </c>
      <c r="E1671" s="1" t="s">
        <v>1739</v>
      </c>
      <c r="F1671" s="1" t="s">
        <v>16</v>
      </c>
      <c r="G1671" s="1" t="s">
        <v>19</v>
      </c>
      <c r="H1671" s="1" t="str">
        <f>"66"</f>
        <v>66</v>
      </c>
      <c r="I1671" s="1" t="str">
        <f>"157.05"</f>
        <v>157.05</v>
      </c>
      <c r="J1671" s="1" t="str">
        <f t="shared" si="1213"/>
        <v>0</v>
      </c>
      <c r="K1671" s="1" t="str">
        <f t="shared" si="1217"/>
        <v>103</v>
      </c>
      <c r="L1671" s="1" t="str">
        <f t="shared" si="1218"/>
        <v>47</v>
      </c>
      <c r="M1671" s="1" t="str">
        <f t="shared" si="1219"/>
        <v>0</v>
      </c>
      <c r="N1671" s="1" t="str">
        <f t="shared" si="1220"/>
        <v>0</v>
      </c>
      <c r="O1671" s="1" t="str">
        <f>"7.05"</f>
        <v>7.05</v>
      </c>
    </row>
    <row r="1672" s="1" customFormat="1" spans="1:15">
      <c r="A1672" s="1" t="str">
        <f t="shared" si="1226"/>
        <v>202406</v>
      </c>
      <c r="B1672" s="1" t="str">
        <f t="shared" si="1227"/>
        <v>150525100</v>
      </c>
      <c r="C1672" s="1" t="str">
        <f>"1014572609"</f>
        <v>1014572609</v>
      </c>
      <c r="D1672" s="1" t="str">
        <f>"152326195803140910"</f>
        <v>152326195803140910</v>
      </c>
      <c r="E1672" s="1" t="s">
        <v>1740</v>
      </c>
      <c r="F1672" s="1" t="s">
        <v>25</v>
      </c>
      <c r="G1672" s="1" t="s">
        <v>19</v>
      </c>
      <c r="H1672" s="1" t="str">
        <f>"66"</f>
        <v>66</v>
      </c>
      <c r="I1672" s="1" t="str">
        <f>"158.09"</f>
        <v>158.09</v>
      </c>
      <c r="J1672" s="1" t="str">
        <f t="shared" si="1213"/>
        <v>0</v>
      </c>
      <c r="K1672" s="1" t="str">
        <f t="shared" si="1217"/>
        <v>103</v>
      </c>
      <c r="L1672" s="1" t="str">
        <f t="shared" si="1218"/>
        <v>47</v>
      </c>
      <c r="M1672" s="1" t="str">
        <f t="shared" si="1219"/>
        <v>0</v>
      </c>
      <c r="N1672" s="1" t="str">
        <f t="shared" si="1220"/>
        <v>0</v>
      </c>
      <c r="O1672" s="1" t="str">
        <f>"8.09"</f>
        <v>8.09</v>
      </c>
    </row>
    <row r="1673" s="1" customFormat="1" spans="1:15">
      <c r="A1673" s="1" t="str">
        <f t="shared" si="1226"/>
        <v>202406</v>
      </c>
      <c r="B1673" s="1" t="str">
        <f t="shared" si="1227"/>
        <v>150525100</v>
      </c>
      <c r="C1673" s="1" t="str">
        <f>"1014548314"</f>
        <v>1014548314</v>
      </c>
      <c r="D1673" s="1" t="str">
        <f>"152326196307010679"</f>
        <v>152326196307010679</v>
      </c>
      <c r="E1673" s="1" t="s">
        <v>1741</v>
      </c>
      <c r="F1673" s="1" t="s">
        <v>25</v>
      </c>
      <c r="G1673" s="1" t="s">
        <v>17</v>
      </c>
      <c r="H1673" s="1" t="str">
        <f>"61"</f>
        <v>61</v>
      </c>
      <c r="I1673" s="1" t="str">
        <f>"197.53"</f>
        <v>197.53</v>
      </c>
      <c r="J1673" s="1" t="str">
        <f t="shared" si="1213"/>
        <v>0</v>
      </c>
      <c r="K1673" s="1" t="str">
        <f t="shared" si="1217"/>
        <v>103</v>
      </c>
      <c r="L1673" s="1" t="str">
        <f t="shared" si="1218"/>
        <v>47</v>
      </c>
      <c r="M1673" s="1" t="str">
        <f t="shared" si="1219"/>
        <v>0</v>
      </c>
      <c r="N1673" s="1" t="str">
        <f t="shared" si="1220"/>
        <v>0</v>
      </c>
      <c r="O1673" s="1" t="str">
        <f>"47.53"</f>
        <v>47.53</v>
      </c>
    </row>
    <row r="1674" s="1" customFormat="1" spans="1:15">
      <c r="A1674" s="1" t="str">
        <f t="shared" si="1226"/>
        <v>202406</v>
      </c>
      <c r="B1674" s="1" t="str">
        <f t="shared" si="1227"/>
        <v>150525100</v>
      </c>
      <c r="C1674" s="1" t="str">
        <f>"1014570198"</f>
        <v>1014570198</v>
      </c>
      <c r="D1674" s="1" t="str">
        <f>"152326195301143820"</f>
        <v>152326195301143820</v>
      </c>
      <c r="E1674" s="1" t="s">
        <v>1742</v>
      </c>
      <c r="F1674" s="1" t="s">
        <v>16</v>
      </c>
      <c r="G1674" s="1" t="s">
        <v>19</v>
      </c>
      <c r="H1674" s="1" t="str">
        <f t="shared" ref="H1674:H1680" si="1228">"71"</f>
        <v>71</v>
      </c>
      <c r="I1674" s="1" t="str">
        <f>"163.17"</f>
        <v>163.17</v>
      </c>
      <c r="J1674" s="1" t="str">
        <f t="shared" si="1213"/>
        <v>0</v>
      </c>
      <c r="K1674" s="1" t="str">
        <f t="shared" si="1217"/>
        <v>103</v>
      </c>
      <c r="L1674" s="1" t="str">
        <f t="shared" si="1218"/>
        <v>47</v>
      </c>
      <c r="M1674" s="1" t="str">
        <f t="shared" si="1219"/>
        <v>0</v>
      </c>
      <c r="N1674" s="1" t="str">
        <f t="shared" si="1220"/>
        <v>0</v>
      </c>
      <c r="O1674" s="1" t="str">
        <f>"3.17"</f>
        <v>3.17</v>
      </c>
    </row>
    <row r="1675" s="1" customFormat="1" spans="1:15">
      <c r="A1675" s="1" t="str">
        <f t="shared" si="1226"/>
        <v>202406</v>
      </c>
      <c r="B1675" s="1" t="str">
        <f t="shared" si="1227"/>
        <v>150525100</v>
      </c>
      <c r="C1675" s="1" t="str">
        <f>"1014572473"</f>
        <v>1014572473</v>
      </c>
      <c r="D1675" s="1" t="str">
        <f>"152326195401183088"</f>
        <v>152326195401183088</v>
      </c>
      <c r="E1675" s="1" t="s">
        <v>1743</v>
      </c>
      <c r="F1675" s="1" t="s">
        <v>16</v>
      </c>
      <c r="G1675" s="1" t="s">
        <v>19</v>
      </c>
      <c r="H1675" s="1" t="str">
        <f>"70"</f>
        <v>70</v>
      </c>
      <c r="I1675" s="1" t="str">
        <f>"173.07"</f>
        <v>173.07</v>
      </c>
      <c r="J1675" s="1" t="str">
        <f t="shared" si="1213"/>
        <v>0</v>
      </c>
      <c r="K1675" s="1" t="str">
        <f t="shared" si="1217"/>
        <v>103</v>
      </c>
      <c r="L1675" s="1" t="str">
        <f t="shared" si="1218"/>
        <v>47</v>
      </c>
      <c r="M1675" s="1" t="str">
        <f t="shared" si="1219"/>
        <v>0</v>
      </c>
      <c r="N1675" s="1" t="str">
        <f t="shared" si="1220"/>
        <v>0</v>
      </c>
      <c r="O1675" s="1" t="str">
        <f>"13.07"</f>
        <v>13.07</v>
      </c>
    </row>
    <row r="1676" s="1" customFormat="1" spans="1:15">
      <c r="A1676" s="1" t="str">
        <f t="shared" si="1226"/>
        <v>202406</v>
      </c>
      <c r="B1676" s="1" t="str">
        <f t="shared" si="1227"/>
        <v>150525100</v>
      </c>
      <c r="C1676" s="1" t="str">
        <f>"1014572583"</f>
        <v>1014572583</v>
      </c>
      <c r="D1676" s="1" t="str">
        <f>"152326195512250028"</f>
        <v>152326195512250028</v>
      </c>
      <c r="E1676" s="1" t="s">
        <v>1744</v>
      </c>
      <c r="F1676" s="1" t="s">
        <v>16</v>
      </c>
      <c r="G1676" s="1" t="s">
        <v>19</v>
      </c>
      <c r="H1676" s="1" t="str">
        <f>"69"</f>
        <v>69</v>
      </c>
      <c r="I1676" s="1" t="str">
        <f>"155.09"</f>
        <v>155.09</v>
      </c>
      <c r="J1676" s="1" t="str">
        <f t="shared" si="1213"/>
        <v>0</v>
      </c>
      <c r="K1676" s="1" t="str">
        <f t="shared" si="1217"/>
        <v>103</v>
      </c>
      <c r="L1676" s="1" t="str">
        <f t="shared" si="1218"/>
        <v>47</v>
      </c>
      <c r="M1676" s="1" t="str">
        <f t="shared" si="1219"/>
        <v>0</v>
      </c>
      <c r="N1676" s="1" t="str">
        <f t="shared" si="1220"/>
        <v>0</v>
      </c>
      <c r="O1676" s="1" t="str">
        <f>"5.09"</f>
        <v>5.09</v>
      </c>
    </row>
    <row r="1677" s="1" customFormat="1" spans="1:15">
      <c r="A1677" s="1" t="str">
        <f t="shared" si="1226"/>
        <v>202406</v>
      </c>
      <c r="B1677" s="1" t="str">
        <f t="shared" si="1227"/>
        <v>150525100</v>
      </c>
      <c r="C1677" s="1" t="str">
        <f>"1014572626"</f>
        <v>1014572626</v>
      </c>
      <c r="D1677" s="1" t="str">
        <f>"152326195301030025"</f>
        <v>152326195301030025</v>
      </c>
      <c r="E1677" s="1" t="s">
        <v>522</v>
      </c>
      <c r="F1677" s="1" t="s">
        <v>16</v>
      </c>
      <c r="G1677" s="1" t="s">
        <v>17</v>
      </c>
      <c r="H1677" s="1" t="str">
        <f>"72"</f>
        <v>72</v>
      </c>
      <c r="I1677" s="1" t="str">
        <f t="shared" ref="I1677:I1680" si="1229">"163.16"</f>
        <v>163.16</v>
      </c>
      <c r="J1677" s="1" t="str">
        <f t="shared" si="1213"/>
        <v>0</v>
      </c>
      <c r="K1677" s="1" t="str">
        <f t="shared" si="1217"/>
        <v>103</v>
      </c>
      <c r="L1677" s="1" t="str">
        <f t="shared" si="1218"/>
        <v>47</v>
      </c>
      <c r="M1677" s="1" t="str">
        <f t="shared" si="1219"/>
        <v>0</v>
      </c>
      <c r="N1677" s="1" t="str">
        <f t="shared" si="1220"/>
        <v>0</v>
      </c>
      <c r="O1677" s="1" t="str">
        <f t="shared" ref="O1677:O1680" si="1230">"3.16"</f>
        <v>3.16</v>
      </c>
    </row>
    <row r="1678" s="1" customFormat="1" spans="1:15">
      <c r="A1678" s="1" t="str">
        <f t="shared" si="1226"/>
        <v>202406</v>
      </c>
      <c r="B1678" s="1" t="str">
        <f t="shared" si="1227"/>
        <v>150525100</v>
      </c>
      <c r="C1678" s="1" t="str">
        <f>"1014572628"</f>
        <v>1014572628</v>
      </c>
      <c r="D1678" s="1" t="str">
        <f>"152326195302210028"</f>
        <v>152326195302210028</v>
      </c>
      <c r="E1678" s="1" t="s">
        <v>1745</v>
      </c>
      <c r="F1678" s="1" t="s">
        <v>16</v>
      </c>
      <c r="G1678" s="1" t="s">
        <v>17</v>
      </c>
      <c r="H1678" s="1" t="str">
        <f t="shared" si="1228"/>
        <v>71</v>
      </c>
      <c r="I1678" s="1" t="str">
        <f t="shared" si="1229"/>
        <v>163.16</v>
      </c>
      <c r="J1678" s="1" t="str">
        <f t="shared" si="1213"/>
        <v>0</v>
      </c>
      <c r="K1678" s="1" t="str">
        <f t="shared" si="1217"/>
        <v>103</v>
      </c>
      <c r="L1678" s="1" t="str">
        <f t="shared" si="1218"/>
        <v>47</v>
      </c>
      <c r="M1678" s="1" t="str">
        <f t="shared" si="1219"/>
        <v>0</v>
      </c>
      <c r="N1678" s="1" t="str">
        <f t="shared" si="1220"/>
        <v>0</v>
      </c>
      <c r="O1678" s="1" t="str">
        <f t="shared" si="1230"/>
        <v>3.16</v>
      </c>
    </row>
    <row r="1679" s="1" customFormat="1" spans="1:15">
      <c r="A1679" s="1" t="str">
        <f t="shared" si="1226"/>
        <v>202406</v>
      </c>
      <c r="B1679" s="1" t="str">
        <f t="shared" si="1227"/>
        <v>150525100</v>
      </c>
      <c r="C1679" s="1" t="str">
        <f>"1014572631"</f>
        <v>1014572631</v>
      </c>
      <c r="D1679" s="1" t="str">
        <f>"152326195303243075"</f>
        <v>152326195303243075</v>
      </c>
      <c r="E1679" s="1" t="s">
        <v>1746</v>
      </c>
      <c r="F1679" s="1" t="s">
        <v>25</v>
      </c>
      <c r="G1679" s="1" t="s">
        <v>17</v>
      </c>
      <c r="H1679" s="1" t="str">
        <f t="shared" si="1228"/>
        <v>71</v>
      </c>
      <c r="I1679" s="1" t="str">
        <f t="shared" si="1229"/>
        <v>163.16</v>
      </c>
      <c r="J1679" s="1" t="str">
        <f t="shared" si="1213"/>
        <v>0</v>
      </c>
      <c r="K1679" s="1" t="str">
        <f t="shared" si="1217"/>
        <v>103</v>
      </c>
      <c r="L1679" s="1" t="str">
        <f t="shared" si="1218"/>
        <v>47</v>
      </c>
      <c r="M1679" s="1" t="str">
        <f t="shared" si="1219"/>
        <v>0</v>
      </c>
      <c r="N1679" s="1" t="str">
        <f t="shared" si="1220"/>
        <v>0</v>
      </c>
      <c r="O1679" s="1" t="str">
        <f t="shared" si="1230"/>
        <v>3.16</v>
      </c>
    </row>
    <row r="1680" s="1" customFormat="1" spans="1:15">
      <c r="A1680" s="1" t="str">
        <f t="shared" si="1226"/>
        <v>202406</v>
      </c>
      <c r="B1680" s="1" t="str">
        <f t="shared" si="1227"/>
        <v>150525100</v>
      </c>
      <c r="C1680" s="1" t="str">
        <f>"1014572656"</f>
        <v>1014572656</v>
      </c>
      <c r="D1680" s="1" t="str">
        <f>"152326195310080016"</f>
        <v>152326195310080016</v>
      </c>
      <c r="E1680" s="1" t="s">
        <v>1747</v>
      </c>
      <c r="F1680" s="1" t="s">
        <v>25</v>
      </c>
      <c r="G1680" s="1" t="s">
        <v>17</v>
      </c>
      <c r="H1680" s="1" t="str">
        <f t="shared" si="1228"/>
        <v>71</v>
      </c>
      <c r="I1680" s="1" t="str">
        <f t="shared" si="1229"/>
        <v>163.16</v>
      </c>
      <c r="J1680" s="1" t="str">
        <f t="shared" si="1213"/>
        <v>0</v>
      </c>
      <c r="K1680" s="1" t="str">
        <f t="shared" si="1217"/>
        <v>103</v>
      </c>
      <c r="L1680" s="1" t="str">
        <f t="shared" si="1218"/>
        <v>47</v>
      </c>
      <c r="M1680" s="1" t="str">
        <f t="shared" si="1219"/>
        <v>0</v>
      </c>
      <c r="N1680" s="1" t="str">
        <f t="shared" si="1220"/>
        <v>0</v>
      </c>
      <c r="O1680" s="1" t="str">
        <f t="shared" si="1230"/>
        <v>3.16</v>
      </c>
    </row>
    <row r="1681" s="1" customFormat="1" spans="1:15">
      <c r="A1681" s="1" t="str">
        <f t="shared" si="1226"/>
        <v>202406</v>
      </c>
      <c r="B1681" s="1" t="str">
        <f t="shared" si="1227"/>
        <v>150525100</v>
      </c>
      <c r="C1681" s="1" t="str">
        <f>"1014644458"</f>
        <v>1014644458</v>
      </c>
      <c r="D1681" s="1" t="str">
        <f>"152326196212010676"</f>
        <v>152326196212010676</v>
      </c>
      <c r="E1681" s="1" t="s">
        <v>1748</v>
      </c>
      <c r="F1681" s="1" t="s">
        <v>25</v>
      </c>
      <c r="G1681" s="1" t="s">
        <v>17</v>
      </c>
      <c r="H1681" s="1" t="str">
        <f>"62"</f>
        <v>62</v>
      </c>
      <c r="I1681" s="1" t="str">
        <f>"165.8"</f>
        <v>165.8</v>
      </c>
      <c r="J1681" s="1" t="str">
        <f t="shared" si="1213"/>
        <v>0</v>
      </c>
      <c r="K1681" s="1" t="str">
        <f t="shared" si="1217"/>
        <v>103</v>
      </c>
      <c r="L1681" s="1" t="str">
        <f t="shared" si="1218"/>
        <v>47</v>
      </c>
      <c r="M1681" s="1" t="str">
        <f t="shared" si="1219"/>
        <v>0</v>
      </c>
      <c r="N1681" s="1" t="str">
        <f t="shared" si="1220"/>
        <v>0</v>
      </c>
      <c r="O1681" s="1" t="str">
        <f>"15.8"</f>
        <v>15.8</v>
      </c>
    </row>
    <row r="1682" s="1" customFormat="1" spans="1:15">
      <c r="A1682" s="1" t="str">
        <f t="shared" si="1226"/>
        <v>202406</v>
      </c>
      <c r="B1682" s="1" t="str">
        <f t="shared" si="1227"/>
        <v>150525100</v>
      </c>
      <c r="C1682" s="1" t="str">
        <f>"1014567741"</f>
        <v>1014567741</v>
      </c>
      <c r="D1682" s="1" t="str">
        <f>"152326195602193821"</f>
        <v>152326195602193821</v>
      </c>
      <c r="E1682" s="1" t="s">
        <v>1749</v>
      </c>
      <c r="F1682" s="1" t="s">
        <v>16</v>
      </c>
      <c r="G1682" s="1" t="s">
        <v>17</v>
      </c>
      <c r="H1682" s="1" t="str">
        <f>"68"</f>
        <v>68</v>
      </c>
      <c r="I1682" s="1" t="str">
        <f>"156.01"</f>
        <v>156.01</v>
      </c>
      <c r="J1682" s="1" t="str">
        <f t="shared" si="1213"/>
        <v>0</v>
      </c>
      <c r="K1682" s="1" t="str">
        <f t="shared" si="1217"/>
        <v>103</v>
      </c>
      <c r="L1682" s="1" t="str">
        <f t="shared" si="1218"/>
        <v>47</v>
      </c>
      <c r="M1682" s="1" t="str">
        <f t="shared" si="1219"/>
        <v>0</v>
      </c>
      <c r="N1682" s="1" t="str">
        <f t="shared" si="1220"/>
        <v>0</v>
      </c>
      <c r="O1682" s="1" t="str">
        <f>"6.01"</f>
        <v>6.01</v>
      </c>
    </row>
    <row r="1683" s="1" customFormat="1" spans="1:15">
      <c r="A1683" s="1" t="str">
        <f t="shared" si="1226"/>
        <v>202406</v>
      </c>
      <c r="B1683" s="1" t="str">
        <f t="shared" si="1227"/>
        <v>150525100</v>
      </c>
      <c r="C1683" s="1" t="str">
        <f>"1014568744"</f>
        <v>1014568744</v>
      </c>
      <c r="D1683" s="1" t="str">
        <f>"152326195802063829"</f>
        <v>152326195802063829</v>
      </c>
      <c r="E1683" s="1" t="s">
        <v>1750</v>
      </c>
      <c r="F1683" s="1" t="s">
        <v>16</v>
      </c>
      <c r="G1683" s="1" t="s">
        <v>19</v>
      </c>
      <c r="H1683" s="1" t="str">
        <f>"66"</f>
        <v>66</v>
      </c>
      <c r="I1683" s="1" t="str">
        <f>"158.01"</f>
        <v>158.01</v>
      </c>
      <c r="J1683" s="1" t="str">
        <f t="shared" si="1213"/>
        <v>0</v>
      </c>
      <c r="K1683" s="1" t="str">
        <f t="shared" si="1217"/>
        <v>103</v>
      </c>
      <c r="L1683" s="1" t="str">
        <f t="shared" si="1218"/>
        <v>47</v>
      </c>
      <c r="M1683" s="1" t="str">
        <f t="shared" si="1219"/>
        <v>0</v>
      </c>
      <c r="N1683" s="1" t="str">
        <f t="shared" si="1220"/>
        <v>0</v>
      </c>
      <c r="O1683" s="1" t="str">
        <f>"8.01"</f>
        <v>8.01</v>
      </c>
    </row>
    <row r="1684" s="1" customFormat="1" spans="1:15">
      <c r="A1684" s="1" t="str">
        <f t="shared" si="1226"/>
        <v>202406</v>
      </c>
      <c r="B1684" s="1" t="str">
        <f t="shared" si="1227"/>
        <v>150525100</v>
      </c>
      <c r="C1684" s="1" t="str">
        <f>"1014568746"</f>
        <v>1014568746</v>
      </c>
      <c r="D1684" s="1" t="str">
        <f>"152326196207263820"</f>
        <v>152326196207263820</v>
      </c>
      <c r="E1684" s="1" t="s">
        <v>1751</v>
      </c>
      <c r="F1684" s="1" t="s">
        <v>16</v>
      </c>
      <c r="G1684" s="1" t="s">
        <v>19</v>
      </c>
      <c r="H1684" s="1" t="str">
        <f>"62"</f>
        <v>62</v>
      </c>
      <c r="I1684" s="1" t="str">
        <f>"162.55"</f>
        <v>162.55</v>
      </c>
      <c r="J1684" s="1" t="str">
        <f t="shared" si="1213"/>
        <v>0</v>
      </c>
      <c r="K1684" s="1" t="str">
        <f t="shared" si="1217"/>
        <v>103</v>
      </c>
      <c r="L1684" s="1" t="str">
        <f t="shared" si="1218"/>
        <v>47</v>
      </c>
      <c r="M1684" s="1" t="str">
        <f t="shared" si="1219"/>
        <v>0</v>
      </c>
      <c r="N1684" s="1" t="str">
        <f t="shared" si="1220"/>
        <v>0</v>
      </c>
      <c r="O1684" s="1" t="str">
        <f>"12.55"</f>
        <v>12.55</v>
      </c>
    </row>
    <row r="1685" s="1" customFormat="1" spans="1:15">
      <c r="A1685" s="1" t="str">
        <f t="shared" si="1226"/>
        <v>202406</v>
      </c>
      <c r="B1685" s="1" t="str">
        <f t="shared" si="1227"/>
        <v>150525100</v>
      </c>
      <c r="C1685" s="1" t="str">
        <f>"1014562815"</f>
        <v>1014562815</v>
      </c>
      <c r="D1685" s="1" t="str">
        <f>"152326195604080425"</f>
        <v>152326195604080425</v>
      </c>
      <c r="E1685" s="1" t="s">
        <v>1752</v>
      </c>
      <c r="F1685" s="1" t="s">
        <v>16</v>
      </c>
      <c r="G1685" s="1" t="s">
        <v>17</v>
      </c>
      <c r="H1685" s="1" t="str">
        <f>"68"</f>
        <v>68</v>
      </c>
      <c r="I1685" s="1" t="str">
        <f>"156.02"</f>
        <v>156.02</v>
      </c>
      <c r="J1685" s="1" t="str">
        <f t="shared" si="1213"/>
        <v>0</v>
      </c>
      <c r="K1685" s="1" t="str">
        <f t="shared" si="1217"/>
        <v>103</v>
      </c>
      <c r="L1685" s="1" t="str">
        <f t="shared" si="1218"/>
        <v>47</v>
      </c>
      <c r="M1685" s="1" t="str">
        <f t="shared" si="1219"/>
        <v>0</v>
      </c>
      <c r="N1685" s="1" t="str">
        <f t="shared" si="1220"/>
        <v>0</v>
      </c>
      <c r="O1685" s="1" t="str">
        <f>"6.02"</f>
        <v>6.02</v>
      </c>
    </row>
    <row r="1686" s="1" customFormat="1" spans="1:15">
      <c r="A1686" s="1" t="str">
        <f t="shared" si="1226"/>
        <v>202406</v>
      </c>
      <c r="B1686" s="1" t="str">
        <f t="shared" si="1227"/>
        <v>150525100</v>
      </c>
      <c r="C1686" s="1" t="str">
        <f>"1014563190"</f>
        <v>1014563190</v>
      </c>
      <c r="D1686" s="1" t="str">
        <f>"152326195812230424"</f>
        <v>152326195812230424</v>
      </c>
      <c r="E1686" s="1" t="s">
        <v>1753</v>
      </c>
      <c r="F1686" s="1" t="s">
        <v>16</v>
      </c>
      <c r="G1686" s="1" t="s">
        <v>17</v>
      </c>
      <c r="H1686" s="1" t="str">
        <f>"66"</f>
        <v>66</v>
      </c>
      <c r="I1686" s="1" t="str">
        <f>"157.18"</f>
        <v>157.18</v>
      </c>
      <c r="J1686" s="1" t="str">
        <f t="shared" si="1213"/>
        <v>0</v>
      </c>
      <c r="K1686" s="1" t="str">
        <f t="shared" si="1217"/>
        <v>103</v>
      </c>
      <c r="L1686" s="1" t="str">
        <f t="shared" si="1218"/>
        <v>47</v>
      </c>
      <c r="M1686" s="1" t="str">
        <f t="shared" si="1219"/>
        <v>0</v>
      </c>
      <c r="N1686" s="1" t="str">
        <f t="shared" si="1220"/>
        <v>0</v>
      </c>
      <c r="O1686" s="1" t="str">
        <f>"7.18"</f>
        <v>7.18</v>
      </c>
    </row>
    <row r="1687" s="1" customFormat="1" spans="1:15">
      <c r="A1687" s="1" t="str">
        <f t="shared" si="1226"/>
        <v>202406</v>
      </c>
      <c r="B1687" s="1" t="str">
        <f t="shared" si="1227"/>
        <v>150525100</v>
      </c>
      <c r="C1687" s="1" t="str">
        <f>"1014563191"</f>
        <v>1014563191</v>
      </c>
      <c r="D1687" s="1" t="str">
        <f>"152326196307090410"</f>
        <v>152326196307090410</v>
      </c>
      <c r="E1687" s="1" t="s">
        <v>1754</v>
      </c>
      <c r="F1687" s="1" t="s">
        <v>25</v>
      </c>
      <c r="G1687" s="1" t="s">
        <v>17</v>
      </c>
      <c r="H1687" s="1" t="str">
        <f>"61"</f>
        <v>61</v>
      </c>
      <c r="I1687" s="1" t="str">
        <f>"165.05"</f>
        <v>165.05</v>
      </c>
      <c r="J1687" s="1" t="str">
        <f t="shared" si="1213"/>
        <v>0</v>
      </c>
      <c r="K1687" s="1" t="str">
        <f t="shared" si="1217"/>
        <v>103</v>
      </c>
      <c r="L1687" s="1" t="str">
        <f t="shared" si="1218"/>
        <v>47</v>
      </c>
      <c r="M1687" s="1" t="str">
        <f t="shared" si="1219"/>
        <v>0</v>
      </c>
      <c r="N1687" s="1" t="str">
        <f t="shared" si="1220"/>
        <v>0</v>
      </c>
      <c r="O1687" s="1" t="str">
        <f>"15.05"</f>
        <v>15.05</v>
      </c>
    </row>
    <row r="1688" s="1" customFormat="1" spans="1:15">
      <c r="A1688" s="1" t="str">
        <f t="shared" si="1226"/>
        <v>202406</v>
      </c>
      <c r="B1688" s="1" t="str">
        <f t="shared" si="1227"/>
        <v>150525100</v>
      </c>
      <c r="C1688" s="1" t="str">
        <f>"1014569640"</f>
        <v>1014569640</v>
      </c>
      <c r="D1688" s="1" t="str">
        <f>"152326195308160412"</f>
        <v>152326195308160412</v>
      </c>
      <c r="E1688" s="1" t="s">
        <v>1755</v>
      </c>
      <c r="F1688" s="1" t="s">
        <v>25</v>
      </c>
      <c r="G1688" s="1" t="s">
        <v>96</v>
      </c>
      <c r="H1688" s="1" t="str">
        <f>"71"</f>
        <v>71</v>
      </c>
      <c r="I1688" s="1" t="str">
        <f>"164.9"</f>
        <v>164.9</v>
      </c>
      <c r="J1688" s="1" t="str">
        <f t="shared" si="1213"/>
        <v>0</v>
      </c>
      <c r="K1688" s="1" t="str">
        <f t="shared" si="1217"/>
        <v>103</v>
      </c>
      <c r="L1688" s="1" t="str">
        <f t="shared" si="1218"/>
        <v>47</v>
      </c>
      <c r="M1688" s="1" t="str">
        <f t="shared" si="1219"/>
        <v>0</v>
      </c>
      <c r="N1688" s="1" t="str">
        <f t="shared" si="1220"/>
        <v>0</v>
      </c>
      <c r="O1688" s="1" t="str">
        <f>"4.9"</f>
        <v>4.9</v>
      </c>
    </row>
    <row r="1689" s="1" customFormat="1" spans="1:15">
      <c r="A1689" s="1" t="str">
        <f t="shared" si="1226"/>
        <v>202406</v>
      </c>
      <c r="B1689" s="1" t="str">
        <f t="shared" si="1227"/>
        <v>150525100</v>
      </c>
      <c r="C1689" s="1" t="str">
        <f>"1014569641"</f>
        <v>1014569641</v>
      </c>
      <c r="D1689" s="1" t="str">
        <f>"152326195506150418"</f>
        <v>152326195506150418</v>
      </c>
      <c r="E1689" s="1" t="s">
        <v>1756</v>
      </c>
      <c r="F1689" s="1" t="s">
        <v>25</v>
      </c>
      <c r="G1689" s="1" t="s">
        <v>17</v>
      </c>
      <c r="H1689" s="1" t="str">
        <f>"69"</f>
        <v>69</v>
      </c>
      <c r="I1689" s="1" t="str">
        <f>"159.21"</f>
        <v>159.21</v>
      </c>
      <c r="J1689" s="1" t="str">
        <f t="shared" si="1213"/>
        <v>0</v>
      </c>
      <c r="K1689" s="1" t="str">
        <f t="shared" si="1217"/>
        <v>103</v>
      </c>
      <c r="L1689" s="1" t="str">
        <f t="shared" si="1218"/>
        <v>47</v>
      </c>
      <c r="M1689" s="1" t="str">
        <f t="shared" si="1219"/>
        <v>0</v>
      </c>
      <c r="N1689" s="1" t="str">
        <f t="shared" si="1220"/>
        <v>0</v>
      </c>
      <c r="O1689" s="1" t="str">
        <f>"9.21"</f>
        <v>9.21</v>
      </c>
    </row>
    <row r="1690" s="1" customFormat="1" spans="1:15">
      <c r="A1690" s="1" t="str">
        <f t="shared" si="1226"/>
        <v>202406</v>
      </c>
      <c r="B1690" s="1" t="str">
        <f t="shared" si="1227"/>
        <v>150525100</v>
      </c>
      <c r="C1690" s="1" t="str">
        <f>"1014584011"</f>
        <v>1014584011</v>
      </c>
      <c r="D1690" s="1" t="str">
        <f>"152326195702270425"</f>
        <v>152326195702270425</v>
      </c>
      <c r="E1690" s="1" t="s">
        <v>1757</v>
      </c>
      <c r="F1690" s="1" t="s">
        <v>16</v>
      </c>
      <c r="G1690" s="1" t="s">
        <v>17</v>
      </c>
      <c r="H1690" s="1" t="str">
        <f t="shared" ref="H1690:H1692" si="1231">"67"</f>
        <v>67</v>
      </c>
      <c r="I1690" s="1" t="str">
        <f>"156.03"</f>
        <v>156.03</v>
      </c>
      <c r="J1690" s="1" t="str">
        <f t="shared" si="1213"/>
        <v>0</v>
      </c>
      <c r="K1690" s="1" t="str">
        <f t="shared" si="1217"/>
        <v>103</v>
      </c>
      <c r="L1690" s="1" t="str">
        <f t="shared" si="1218"/>
        <v>47</v>
      </c>
      <c r="M1690" s="1" t="str">
        <f t="shared" si="1219"/>
        <v>0</v>
      </c>
      <c r="N1690" s="1" t="str">
        <f t="shared" si="1220"/>
        <v>0</v>
      </c>
      <c r="O1690" s="1" t="str">
        <f>"6.03"</f>
        <v>6.03</v>
      </c>
    </row>
    <row r="1691" s="1" customFormat="1" spans="1:15">
      <c r="A1691" s="1" t="str">
        <f t="shared" si="1226"/>
        <v>202406</v>
      </c>
      <c r="B1691" s="1" t="str">
        <f t="shared" si="1227"/>
        <v>150525100</v>
      </c>
      <c r="C1691" s="1" t="str">
        <f>"1014584018"</f>
        <v>1014584018</v>
      </c>
      <c r="D1691" s="1" t="str">
        <f>"152326195705270420"</f>
        <v>152326195705270420</v>
      </c>
      <c r="E1691" s="1" t="s">
        <v>1758</v>
      </c>
      <c r="F1691" s="1" t="s">
        <v>16</v>
      </c>
      <c r="G1691" s="1" t="s">
        <v>17</v>
      </c>
      <c r="H1691" s="1" t="str">
        <f t="shared" si="1231"/>
        <v>67</v>
      </c>
      <c r="I1691" s="1" t="str">
        <f>"156.05"</f>
        <v>156.05</v>
      </c>
      <c r="J1691" s="1" t="str">
        <f t="shared" si="1213"/>
        <v>0</v>
      </c>
      <c r="K1691" s="1" t="str">
        <f t="shared" si="1217"/>
        <v>103</v>
      </c>
      <c r="L1691" s="1" t="str">
        <f t="shared" si="1218"/>
        <v>47</v>
      </c>
      <c r="M1691" s="1" t="str">
        <f t="shared" si="1219"/>
        <v>0</v>
      </c>
      <c r="N1691" s="1" t="str">
        <f t="shared" si="1220"/>
        <v>0</v>
      </c>
      <c r="O1691" s="1" t="str">
        <f>"6.05"</f>
        <v>6.05</v>
      </c>
    </row>
    <row r="1692" s="1" customFormat="1" spans="1:15">
      <c r="A1692" s="1" t="str">
        <f t="shared" si="1226"/>
        <v>202406</v>
      </c>
      <c r="B1692" s="1" t="str">
        <f t="shared" si="1227"/>
        <v>150525100</v>
      </c>
      <c r="C1692" s="1" t="str">
        <f>"1014584022"</f>
        <v>1014584022</v>
      </c>
      <c r="D1692" s="1" t="str">
        <f>"152326195708040671"</f>
        <v>152326195708040671</v>
      </c>
      <c r="E1692" s="1" t="s">
        <v>1759</v>
      </c>
      <c r="F1692" s="1" t="s">
        <v>25</v>
      </c>
      <c r="G1692" s="1" t="s">
        <v>17</v>
      </c>
      <c r="H1692" s="1" t="str">
        <f t="shared" si="1231"/>
        <v>67</v>
      </c>
      <c r="I1692" s="1" t="str">
        <f>"156.07"</f>
        <v>156.07</v>
      </c>
      <c r="J1692" s="1" t="str">
        <f t="shared" si="1213"/>
        <v>0</v>
      </c>
      <c r="K1692" s="1" t="str">
        <f t="shared" si="1217"/>
        <v>103</v>
      </c>
      <c r="L1692" s="1" t="str">
        <f t="shared" si="1218"/>
        <v>47</v>
      </c>
      <c r="M1692" s="1" t="str">
        <f t="shared" si="1219"/>
        <v>0</v>
      </c>
      <c r="N1692" s="1" t="str">
        <f t="shared" si="1220"/>
        <v>0</v>
      </c>
      <c r="O1692" s="1" t="str">
        <f>"6.07"</f>
        <v>6.07</v>
      </c>
    </row>
    <row r="1693" s="1" customFormat="1" spans="1:15">
      <c r="A1693" s="1" t="str">
        <f t="shared" si="1226"/>
        <v>202406</v>
      </c>
      <c r="B1693" s="1" t="str">
        <f t="shared" si="1227"/>
        <v>150525100</v>
      </c>
      <c r="C1693" s="1" t="str">
        <f>"1014584341"</f>
        <v>1014584341</v>
      </c>
      <c r="D1693" s="1" t="s">
        <v>1760</v>
      </c>
      <c r="E1693" s="1" t="s">
        <v>1761</v>
      </c>
      <c r="F1693" s="1" t="s">
        <v>25</v>
      </c>
      <c r="G1693" s="1" t="s">
        <v>17</v>
      </c>
      <c r="H1693" s="1" t="str">
        <f>"72"</f>
        <v>72</v>
      </c>
      <c r="I1693" s="1" t="str">
        <f>"162.14"</f>
        <v>162.14</v>
      </c>
      <c r="J1693" s="1" t="str">
        <f t="shared" si="1213"/>
        <v>0</v>
      </c>
      <c r="K1693" s="1" t="str">
        <f t="shared" si="1217"/>
        <v>103</v>
      </c>
      <c r="L1693" s="1" t="str">
        <f t="shared" si="1218"/>
        <v>47</v>
      </c>
      <c r="M1693" s="1" t="str">
        <f t="shared" si="1219"/>
        <v>0</v>
      </c>
      <c r="N1693" s="1" t="str">
        <f t="shared" si="1220"/>
        <v>0</v>
      </c>
      <c r="O1693" s="1" t="str">
        <f>"2.14"</f>
        <v>2.14</v>
      </c>
    </row>
    <row r="1694" s="1" customFormat="1" spans="1:15">
      <c r="A1694" s="1" t="str">
        <f t="shared" si="1226"/>
        <v>202406</v>
      </c>
      <c r="B1694" s="1" t="str">
        <f t="shared" si="1227"/>
        <v>150525100</v>
      </c>
      <c r="C1694" s="1" t="str">
        <f>"1014549028"</f>
        <v>1014549028</v>
      </c>
      <c r="D1694" s="1" t="s">
        <v>1762</v>
      </c>
      <c r="E1694" s="1" t="s">
        <v>1763</v>
      </c>
      <c r="F1694" s="1" t="s">
        <v>16</v>
      </c>
      <c r="G1694" s="1" t="s">
        <v>17</v>
      </c>
      <c r="H1694" s="1" t="str">
        <f>"68"</f>
        <v>68</v>
      </c>
      <c r="I1694" s="1" t="str">
        <f>"156.01"</f>
        <v>156.01</v>
      </c>
      <c r="J1694" s="1" t="str">
        <f t="shared" si="1213"/>
        <v>0</v>
      </c>
      <c r="K1694" s="1" t="str">
        <f t="shared" si="1217"/>
        <v>103</v>
      </c>
      <c r="L1694" s="1" t="str">
        <f t="shared" si="1218"/>
        <v>47</v>
      </c>
      <c r="M1694" s="1" t="str">
        <f t="shared" si="1219"/>
        <v>0</v>
      </c>
      <c r="N1694" s="1" t="str">
        <f t="shared" si="1220"/>
        <v>0</v>
      </c>
      <c r="O1694" s="1" t="str">
        <f>"6.01"</f>
        <v>6.01</v>
      </c>
    </row>
    <row r="1695" s="1" customFormat="1" spans="1:15">
      <c r="A1695" s="1" t="str">
        <f t="shared" si="1226"/>
        <v>202406</v>
      </c>
      <c r="B1695" s="1" t="str">
        <f t="shared" si="1227"/>
        <v>150525100</v>
      </c>
      <c r="C1695" s="1" t="str">
        <f>"1014584936"</f>
        <v>1014584936</v>
      </c>
      <c r="D1695" s="1" t="str">
        <f>"152326195307040662"</f>
        <v>152326195307040662</v>
      </c>
      <c r="E1695" s="1" t="s">
        <v>1764</v>
      </c>
      <c r="F1695" s="1" t="s">
        <v>16</v>
      </c>
      <c r="G1695" s="1" t="s">
        <v>17</v>
      </c>
      <c r="H1695" s="1" t="str">
        <f>"71"</f>
        <v>71</v>
      </c>
      <c r="I1695" s="1" t="str">
        <f>"163.16"</f>
        <v>163.16</v>
      </c>
      <c r="J1695" s="1" t="str">
        <f t="shared" si="1213"/>
        <v>0</v>
      </c>
      <c r="K1695" s="1" t="str">
        <f t="shared" si="1217"/>
        <v>103</v>
      </c>
      <c r="L1695" s="1" t="str">
        <f t="shared" si="1218"/>
        <v>47</v>
      </c>
      <c r="M1695" s="1" t="str">
        <f t="shared" si="1219"/>
        <v>0</v>
      </c>
      <c r="N1695" s="1" t="str">
        <f t="shared" si="1220"/>
        <v>0</v>
      </c>
      <c r="O1695" s="1" t="str">
        <f>"3.16"</f>
        <v>3.16</v>
      </c>
    </row>
    <row r="1696" s="1" customFormat="1" spans="1:15">
      <c r="A1696" s="1" t="str">
        <f t="shared" si="1226"/>
        <v>202406</v>
      </c>
      <c r="B1696" s="1" t="str">
        <f t="shared" si="1227"/>
        <v>150525100</v>
      </c>
      <c r="C1696" s="1" t="str">
        <f>"1014584941"</f>
        <v>1014584941</v>
      </c>
      <c r="D1696" s="1" t="str">
        <f>"152326195309240422"</f>
        <v>152326195309240422</v>
      </c>
      <c r="E1696" s="1" t="s">
        <v>1765</v>
      </c>
      <c r="F1696" s="1" t="s">
        <v>16</v>
      </c>
      <c r="G1696" s="1" t="s">
        <v>17</v>
      </c>
      <c r="H1696" s="1" t="str">
        <f>"71"</f>
        <v>71</v>
      </c>
      <c r="I1696" s="1" t="str">
        <f>"162.9"</f>
        <v>162.9</v>
      </c>
      <c r="J1696" s="1" t="str">
        <f t="shared" si="1213"/>
        <v>0</v>
      </c>
      <c r="K1696" s="1" t="str">
        <f t="shared" si="1217"/>
        <v>103</v>
      </c>
      <c r="L1696" s="1" t="str">
        <f t="shared" si="1218"/>
        <v>47</v>
      </c>
      <c r="M1696" s="1" t="str">
        <f t="shared" si="1219"/>
        <v>0</v>
      </c>
      <c r="N1696" s="1" t="str">
        <f t="shared" si="1220"/>
        <v>0</v>
      </c>
      <c r="O1696" s="1" t="str">
        <f>"2.9"</f>
        <v>2.9</v>
      </c>
    </row>
    <row r="1697" s="1" customFormat="1" spans="1:15">
      <c r="A1697" s="1" t="str">
        <f t="shared" si="1226"/>
        <v>202406</v>
      </c>
      <c r="B1697" s="1" t="str">
        <f t="shared" si="1227"/>
        <v>150525100</v>
      </c>
      <c r="C1697" s="1" t="str">
        <f>"1014584955"</f>
        <v>1014584955</v>
      </c>
      <c r="D1697" s="1" t="s">
        <v>1766</v>
      </c>
      <c r="E1697" s="1" t="s">
        <v>757</v>
      </c>
      <c r="F1697" s="1" t="s">
        <v>25</v>
      </c>
      <c r="G1697" s="1" t="s">
        <v>17</v>
      </c>
      <c r="H1697" s="1" t="str">
        <f>"69"</f>
        <v>69</v>
      </c>
      <c r="I1697" s="1" t="str">
        <f>"155.09"</f>
        <v>155.09</v>
      </c>
      <c r="J1697" s="1" t="str">
        <f t="shared" si="1213"/>
        <v>0</v>
      </c>
      <c r="K1697" s="1" t="str">
        <f t="shared" si="1217"/>
        <v>103</v>
      </c>
      <c r="L1697" s="1" t="str">
        <f t="shared" si="1218"/>
        <v>47</v>
      </c>
      <c r="M1697" s="1" t="str">
        <f t="shared" si="1219"/>
        <v>0</v>
      </c>
      <c r="N1697" s="1" t="str">
        <f t="shared" si="1220"/>
        <v>0</v>
      </c>
      <c r="O1697" s="1" t="str">
        <f>"5.09"</f>
        <v>5.09</v>
      </c>
    </row>
    <row r="1698" s="1" customFormat="1" spans="1:15">
      <c r="A1698" s="1" t="str">
        <f t="shared" si="1226"/>
        <v>202406</v>
      </c>
      <c r="B1698" s="1" t="str">
        <f t="shared" si="1227"/>
        <v>150525100</v>
      </c>
      <c r="C1698" s="1" t="str">
        <f>"1014567748"</f>
        <v>1014567748</v>
      </c>
      <c r="D1698" s="1" t="str">
        <f>"152326195907133811"</f>
        <v>152326195907133811</v>
      </c>
      <c r="E1698" s="1" t="s">
        <v>1767</v>
      </c>
      <c r="F1698" s="1" t="s">
        <v>25</v>
      </c>
      <c r="G1698" s="1" t="s">
        <v>17</v>
      </c>
      <c r="H1698" s="1" t="str">
        <f>"65"</f>
        <v>65</v>
      </c>
      <c r="I1698" s="1" t="str">
        <f>"158.18"</f>
        <v>158.18</v>
      </c>
      <c r="J1698" s="1" t="str">
        <f t="shared" si="1213"/>
        <v>0</v>
      </c>
      <c r="K1698" s="1" t="str">
        <f t="shared" si="1217"/>
        <v>103</v>
      </c>
      <c r="L1698" s="1" t="str">
        <f t="shared" si="1218"/>
        <v>47</v>
      </c>
      <c r="M1698" s="1" t="str">
        <f t="shared" si="1219"/>
        <v>0</v>
      </c>
      <c r="N1698" s="1" t="str">
        <f t="shared" si="1220"/>
        <v>0</v>
      </c>
      <c r="O1698" s="1" t="str">
        <f>"8.18"</f>
        <v>8.18</v>
      </c>
    </row>
    <row r="1699" s="1" customFormat="1" spans="1:15">
      <c r="A1699" s="1" t="str">
        <f t="shared" si="1226"/>
        <v>202406</v>
      </c>
      <c r="B1699" s="1" t="str">
        <f t="shared" si="1227"/>
        <v>150525100</v>
      </c>
      <c r="C1699" s="1" t="str">
        <f>"1014568788"</f>
        <v>1014568788</v>
      </c>
      <c r="D1699" s="1" t="str">
        <f>"152326195707083821"</f>
        <v>152326195707083821</v>
      </c>
      <c r="E1699" s="1" t="s">
        <v>1768</v>
      </c>
      <c r="F1699" s="1" t="s">
        <v>16</v>
      </c>
      <c r="G1699" s="1" t="s">
        <v>19</v>
      </c>
      <c r="H1699" s="1" t="str">
        <f>"67"</f>
        <v>67</v>
      </c>
      <c r="I1699" s="1" t="str">
        <f>"155.85"</f>
        <v>155.85</v>
      </c>
      <c r="J1699" s="1" t="str">
        <f t="shared" si="1213"/>
        <v>0</v>
      </c>
      <c r="K1699" s="1" t="str">
        <f t="shared" si="1217"/>
        <v>103</v>
      </c>
      <c r="L1699" s="1" t="str">
        <f t="shared" si="1218"/>
        <v>47</v>
      </c>
      <c r="M1699" s="1" t="str">
        <f t="shared" si="1219"/>
        <v>0</v>
      </c>
      <c r="N1699" s="1" t="str">
        <f t="shared" si="1220"/>
        <v>0</v>
      </c>
      <c r="O1699" s="1" t="str">
        <f>"5.85"</f>
        <v>5.85</v>
      </c>
    </row>
    <row r="1700" s="1" customFormat="1" spans="1:15">
      <c r="A1700" s="1" t="str">
        <f t="shared" si="1226"/>
        <v>202406</v>
      </c>
      <c r="B1700" s="1" t="str">
        <f t="shared" si="1227"/>
        <v>150525100</v>
      </c>
      <c r="C1700" s="1" t="str">
        <f>"1014563213"</f>
        <v>1014563213</v>
      </c>
      <c r="D1700" s="1" t="str">
        <f>"152326196312230422"</f>
        <v>152326196312230422</v>
      </c>
      <c r="E1700" s="1" t="s">
        <v>1769</v>
      </c>
      <c r="F1700" s="1" t="s">
        <v>16</v>
      </c>
      <c r="G1700" s="1" t="s">
        <v>17</v>
      </c>
      <c r="H1700" s="1" t="str">
        <f>"61"</f>
        <v>61</v>
      </c>
      <c r="I1700" s="1" t="str">
        <f>"165.13"</f>
        <v>165.13</v>
      </c>
      <c r="J1700" s="1" t="str">
        <f t="shared" si="1213"/>
        <v>0</v>
      </c>
      <c r="K1700" s="1" t="str">
        <f t="shared" si="1217"/>
        <v>103</v>
      </c>
      <c r="L1700" s="1" t="str">
        <f t="shared" si="1218"/>
        <v>47</v>
      </c>
      <c r="M1700" s="1" t="str">
        <f t="shared" si="1219"/>
        <v>0</v>
      </c>
      <c r="N1700" s="1" t="str">
        <f t="shared" si="1220"/>
        <v>0</v>
      </c>
      <c r="O1700" s="1" t="str">
        <f>"15.13"</f>
        <v>15.13</v>
      </c>
    </row>
    <row r="1701" s="1" customFormat="1" spans="1:15">
      <c r="A1701" s="1" t="str">
        <f t="shared" si="1226"/>
        <v>202406</v>
      </c>
      <c r="B1701" s="1" t="str">
        <f t="shared" si="1227"/>
        <v>150525100</v>
      </c>
      <c r="C1701" s="1" t="str">
        <f>"1014563231"</f>
        <v>1014563231</v>
      </c>
      <c r="D1701" s="1" t="str">
        <f>"152326195902070428"</f>
        <v>152326195902070428</v>
      </c>
      <c r="E1701" s="1" t="s">
        <v>930</v>
      </c>
      <c r="F1701" s="1" t="s">
        <v>16</v>
      </c>
      <c r="G1701" s="1" t="s">
        <v>17</v>
      </c>
      <c r="H1701" s="1" t="str">
        <f>"65"</f>
        <v>65</v>
      </c>
      <c r="I1701" s="1" t="str">
        <f>"158.14"</f>
        <v>158.14</v>
      </c>
      <c r="J1701" s="1" t="str">
        <f t="shared" ref="J1701:J1764" si="1232">"0"</f>
        <v>0</v>
      </c>
      <c r="K1701" s="1" t="str">
        <f t="shared" si="1217"/>
        <v>103</v>
      </c>
      <c r="L1701" s="1" t="str">
        <f t="shared" si="1218"/>
        <v>47</v>
      </c>
      <c r="M1701" s="1" t="str">
        <f t="shared" si="1219"/>
        <v>0</v>
      </c>
      <c r="N1701" s="1" t="str">
        <f t="shared" si="1220"/>
        <v>0</v>
      </c>
      <c r="O1701" s="1" t="str">
        <f>"8.14"</f>
        <v>8.14</v>
      </c>
    </row>
    <row r="1702" s="1" customFormat="1" spans="1:15">
      <c r="A1702" s="1" t="str">
        <f t="shared" si="1226"/>
        <v>202406</v>
      </c>
      <c r="B1702" s="1" t="str">
        <f t="shared" si="1227"/>
        <v>150525100</v>
      </c>
      <c r="C1702" s="1" t="str">
        <f>"1014569645"</f>
        <v>1014569645</v>
      </c>
      <c r="D1702" s="1" t="str">
        <f>"152326195706190449"</f>
        <v>152326195706190449</v>
      </c>
      <c r="E1702" s="1" t="s">
        <v>1770</v>
      </c>
      <c r="F1702" s="1" t="s">
        <v>16</v>
      </c>
      <c r="G1702" s="1" t="s">
        <v>17</v>
      </c>
      <c r="H1702" s="1" t="str">
        <f>"67"</f>
        <v>67</v>
      </c>
      <c r="I1702" s="1" t="str">
        <f>"159.41"</f>
        <v>159.41</v>
      </c>
      <c r="J1702" s="1" t="str">
        <f t="shared" si="1232"/>
        <v>0</v>
      </c>
      <c r="K1702" s="1" t="str">
        <f t="shared" si="1217"/>
        <v>103</v>
      </c>
      <c r="L1702" s="1" t="str">
        <f t="shared" si="1218"/>
        <v>47</v>
      </c>
      <c r="M1702" s="1" t="str">
        <f t="shared" si="1219"/>
        <v>0</v>
      </c>
      <c r="N1702" s="1" t="str">
        <f t="shared" si="1220"/>
        <v>0</v>
      </c>
      <c r="O1702" s="1" t="str">
        <f>"9.41"</f>
        <v>9.41</v>
      </c>
    </row>
    <row r="1703" s="1" customFormat="1" spans="1:15">
      <c r="A1703" s="1" t="str">
        <f t="shared" si="1226"/>
        <v>202406</v>
      </c>
      <c r="B1703" s="1" t="str">
        <f t="shared" si="1227"/>
        <v>150525100</v>
      </c>
      <c r="C1703" s="1" t="str">
        <f>"1014569647"</f>
        <v>1014569647</v>
      </c>
      <c r="D1703" s="1" t="str">
        <f>"152326196010100411"</f>
        <v>152326196010100411</v>
      </c>
      <c r="E1703" s="1" t="s">
        <v>1771</v>
      </c>
      <c r="F1703" s="1" t="s">
        <v>25</v>
      </c>
      <c r="G1703" s="1" t="s">
        <v>17</v>
      </c>
      <c r="H1703" s="1" t="str">
        <f>"64"</f>
        <v>64</v>
      </c>
      <c r="I1703" s="1" t="str">
        <f>"165.92"</f>
        <v>165.92</v>
      </c>
      <c r="J1703" s="1" t="str">
        <f t="shared" si="1232"/>
        <v>0</v>
      </c>
      <c r="K1703" s="1" t="str">
        <f t="shared" si="1217"/>
        <v>103</v>
      </c>
      <c r="L1703" s="1" t="str">
        <f t="shared" si="1218"/>
        <v>47</v>
      </c>
      <c r="M1703" s="1" t="str">
        <f t="shared" si="1219"/>
        <v>0</v>
      </c>
      <c r="N1703" s="1" t="str">
        <f t="shared" si="1220"/>
        <v>0</v>
      </c>
      <c r="O1703" s="1" t="str">
        <f>"15.92"</f>
        <v>15.92</v>
      </c>
    </row>
    <row r="1704" s="1" customFormat="1" spans="1:15">
      <c r="A1704" s="1" t="str">
        <f t="shared" si="1226"/>
        <v>202406</v>
      </c>
      <c r="B1704" s="1" t="str">
        <f t="shared" si="1227"/>
        <v>150525100</v>
      </c>
      <c r="C1704" s="1" t="str">
        <f>"1014569663"</f>
        <v>1014569663</v>
      </c>
      <c r="D1704" s="1" t="str">
        <f>"152326195201230425"</f>
        <v>152326195201230425</v>
      </c>
      <c r="E1704" s="1" t="s">
        <v>655</v>
      </c>
      <c r="F1704" s="1" t="s">
        <v>16</v>
      </c>
      <c r="G1704" s="1" t="s">
        <v>17</v>
      </c>
      <c r="H1704" s="1" t="str">
        <f>"72"</f>
        <v>72</v>
      </c>
      <c r="I1704" s="1" t="str">
        <f>"162.15"</f>
        <v>162.15</v>
      </c>
      <c r="J1704" s="1" t="str">
        <f t="shared" si="1232"/>
        <v>0</v>
      </c>
      <c r="K1704" s="1" t="str">
        <f t="shared" si="1217"/>
        <v>103</v>
      </c>
      <c r="L1704" s="1" t="str">
        <f t="shared" si="1218"/>
        <v>47</v>
      </c>
      <c r="M1704" s="1" t="str">
        <f t="shared" si="1219"/>
        <v>0</v>
      </c>
      <c r="N1704" s="1" t="str">
        <f t="shared" si="1220"/>
        <v>0</v>
      </c>
      <c r="O1704" s="1" t="str">
        <f>"2.15"</f>
        <v>2.15</v>
      </c>
    </row>
    <row r="1705" s="1" customFormat="1" spans="1:15">
      <c r="A1705" s="1" t="str">
        <f t="shared" si="1226"/>
        <v>202406</v>
      </c>
      <c r="B1705" s="1" t="str">
        <f t="shared" si="1227"/>
        <v>150525100</v>
      </c>
      <c r="C1705" s="1" t="str">
        <f>"1014549926"</f>
        <v>1014549926</v>
      </c>
      <c r="D1705" s="1" t="str">
        <f>"152326195502220677"</f>
        <v>152326195502220677</v>
      </c>
      <c r="E1705" s="1" t="s">
        <v>1772</v>
      </c>
      <c r="F1705" s="1" t="s">
        <v>25</v>
      </c>
      <c r="G1705" s="1" t="s">
        <v>17</v>
      </c>
      <c r="H1705" s="1" t="str">
        <f t="shared" ref="H1705:H1709" si="1233">"69"</f>
        <v>69</v>
      </c>
      <c r="I1705" s="1" t="str">
        <f t="shared" ref="I1705:I1709" si="1234">"155.11"</f>
        <v>155.11</v>
      </c>
      <c r="J1705" s="1" t="str">
        <f t="shared" si="1232"/>
        <v>0</v>
      </c>
      <c r="K1705" s="1" t="str">
        <f t="shared" si="1217"/>
        <v>103</v>
      </c>
      <c r="L1705" s="1" t="str">
        <f t="shared" si="1218"/>
        <v>47</v>
      </c>
      <c r="M1705" s="1" t="str">
        <f t="shared" si="1219"/>
        <v>0</v>
      </c>
      <c r="N1705" s="1" t="str">
        <f t="shared" si="1220"/>
        <v>0</v>
      </c>
      <c r="O1705" s="1" t="str">
        <f t="shared" ref="O1705:O1709" si="1235">"5.11"</f>
        <v>5.11</v>
      </c>
    </row>
    <row r="1706" s="1" customFormat="1" spans="1:15">
      <c r="A1706" s="1" t="str">
        <f t="shared" si="1226"/>
        <v>202406</v>
      </c>
      <c r="B1706" s="1" t="str">
        <f t="shared" si="1227"/>
        <v>150525100</v>
      </c>
      <c r="C1706" s="1" t="str">
        <f>"1014549927"</f>
        <v>1014549927</v>
      </c>
      <c r="D1706" s="1" t="str">
        <f>"152326195503023317"</f>
        <v>152326195503023317</v>
      </c>
      <c r="E1706" s="1" t="s">
        <v>1773</v>
      </c>
      <c r="F1706" s="1" t="s">
        <v>25</v>
      </c>
      <c r="G1706" s="1" t="s">
        <v>17</v>
      </c>
      <c r="H1706" s="1" t="str">
        <f t="shared" si="1233"/>
        <v>69</v>
      </c>
      <c r="I1706" s="1" t="str">
        <f>"154.85"</f>
        <v>154.85</v>
      </c>
      <c r="J1706" s="1" t="str">
        <f t="shared" si="1232"/>
        <v>0</v>
      </c>
      <c r="K1706" s="1" t="str">
        <f t="shared" si="1217"/>
        <v>103</v>
      </c>
      <c r="L1706" s="1" t="str">
        <f t="shared" si="1218"/>
        <v>47</v>
      </c>
      <c r="M1706" s="1" t="str">
        <f t="shared" si="1219"/>
        <v>0</v>
      </c>
      <c r="N1706" s="1" t="str">
        <f t="shared" si="1220"/>
        <v>0</v>
      </c>
      <c r="O1706" s="1" t="str">
        <f>"4.85"</f>
        <v>4.85</v>
      </c>
    </row>
    <row r="1707" s="1" customFormat="1" spans="1:15">
      <c r="A1707" s="1" t="str">
        <f t="shared" si="1226"/>
        <v>202406</v>
      </c>
      <c r="B1707" s="1" t="str">
        <f t="shared" si="1227"/>
        <v>150525100</v>
      </c>
      <c r="C1707" s="1" t="str">
        <f>"1014549930"</f>
        <v>1014549930</v>
      </c>
      <c r="D1707" s="1" t="str">
        <f>"152326195503070682"</f>
        <v>152326195503070682</v>
      </c>
      <c r="E1707" s="1" t="s">
        <v>980</v>
      </c>
      <c r="F1707" s="1" t="s">
        <v>16</v>
      </c>
      <c r="G1707" s="1" t="s">
        <v>17</v>
      </c>
      <c r="H1707" s="1" t="str">
        <f t="shared" si="1233"/>
        <v>69</v>
      </c>
      <c r="I1707" s="1" t="str">
        <f t="shared" si="1234"/>
        <v>155.11</v>
      </c>
      <c r="J1707" s="1" t="str">
        <f t="shared" si="1232"/>
        <v>0</v>
      </c>
      <c r="K1707" s="1" t="str">
        <f t="shared" si="1217"/>
        <v>103</v>
      </c>
      <c r="L1707" s="1" t="str">
        <f t="shared" si="1218"/>
        <v>47</v>
      </c>
      <c r="M1707" s="1" t="str">
        <f t="shared" si="1219"/>
        <v>0</v>
      </c>
      <c r="N1707" s="1" t="str">
        <f t="shared" si="1220"/>
        <v>0</v>
      </c>
      <c r="O1707" s="1" t="str">
        <f t="shared" si="1235"/>
        <v>5.11</v>
      </c>
    </row>
    <row r="1708" s="1" customFormat="1" spans="1:15">
      <c r="A1708" s="1" t="str">
        <f t="shared" si="1226"/>
        <v>202406</v>
      </c>
      <c r="B1708" s="1" t="str">
        <f t="shared" si="1227"/>
        <v>150525100</v>
      </c>
      <c r="C1708" s="1" t="str">
        <f>"1014549939"</f>
        <v>1014549939</v>
      </c>
      <c r="D1708" s="1" t="str">
        <f>"152326195504290660"</f>
        <v>152326195504290660</v>
      </c>
      <c r="E1708" s="1" t="s">
        <v>1774</v>
      </c>
      <c r="F1708" s="1" t="s">
        <v>16</v>
      </c>
      <c r="G1708" s="1" t="s">
        <v>19</v>
      </c>
      <c r="H1708" s="1" t="str">
        <f t="shared" si="1233"/>
        <v>69</v>
      </c>
      <c r="I1708" s="1" t="str">
        <f t="shared" si="1234"/>
        <v>155.11</v>
      </c>
      <c r="J1708" s="1" t="str">
        <f t="shared" si="1232"/>
        <v>0</v>
      </c>
      <c r="K1708" s="1" t="str">
        <f t="shared" si="1217"/>
        <v>103</v>
      </c>
      <c r="L1708" s="1" t="str">
        <f t="shared" si="1218"/>
        <v>47</v>
      </c>
      <c r="M1708" s="1" t="str">
        <f t="shared" si="1219"/>
        <v>0</v>
      </c>
      <c r="N1708" s="1" t="str">
        <f t="shared" si="1220"/>
        <v>0</v>
      </c>
      <c r="O1708" s="1" t="str">
        <f t="shared" si="1235"/>
        <v>5.11</v>
      </c>
    </row>
    <row r="1709" s="1" customFormat="1" spans="1:15">
      <c r="A1709" s="1" t="str">
        <f t="shared" si="1226"/>
        <v>202406</v>
      </c>
      <c r="B1709" s="1" t="str">
        <f t="shared" si="1227"/>
        <v>150525100</v>
      </c>
      <c r="C1709" s="1" t="str">
        <f>"1014549940"</f>
        <v>1014549940</v>
      </c>
      <c r="D1709" s="1" t="str">
        <f>"152326195505110668"</f>
        <v>152326195505110668</v>
      </c>
      <c r="E1709" s="1" t="s">
        <v>1775</v>
      </c>
      <c r="F1709" s="1" t="s">
        <v>16</v>
      </c>
      <c r="G1709" s="1" t="s">
        <v>17</v>
      </c>
      <c r="H1709" s="1" t="str">
        <f t="shared" si="1233"/>
        <v>69</v>
      </c>
      <c r="I1709" s="1" t="str">
        <f t="shared" si="1234"/>
        <v>155.11</v>
      </c>
      <c r="J1709" s="1" t="str">
        <f t="shared" si="1232"/>
        <v>0</v>
      </c>
      <c r="K1709" s="1" t="str">
        <f t="shared" si="1217"/>
        <v>103</v>
      </c>
      <c r="L1709" s="1" t="str">
        <f t="shared" si="1218"/>
        <v>47</v>
      </c>
      <c r="M1709" s="1" t="str">
        <f t="shared" si="1219"/>
        <v>0</v>
      </c>
      <c r="N1709" s="1" t="str">
        <f t="shared" si="1220"/>
        <v>0</v>
      </c>
      <c r="O1709" s="1" t="str">
        <f t="shared" si="1235"/>
        <v>5.11</v>
      </c>
    </row>
    <row r="1710" s="1" customFormat="1" spans="1:15">
      <c r="A1710" s="1" t="str">
        <f t="shared" si="1226"/>
        <v>202406</v>
      </c>
      <c r="B1710" s="1" t="str">
        <f t="shared" si="1227"/>
        <v>150525100</v>
      </c>
      <c r="C1710" s="1" t="str">
        <f>"1014549045"</f>
        <v>1014549045</v>
      </c>
      <c r="D1710" s="1" t="str">
        <f>"152326195809233325"</f>
        <v>152326195809233325</v>
      </c>
      <c r="E1710" s="1" t="s">
        <v>1304</v>
      </c>
      <c r="F1710" s="1" t="s">
        <v>16</v>
      </c>
      <c r="G1710" s="1" t="s">
        <v>19</v>
      </c>
      <c r="H1710" s="1" t="str">
        <f>"66"</f>
        <v>66</v>
      </c>
      <c r="I1710" s="1" t="str">
        <f>"157.13"</f>
        <v>157.13</v>
      </c>
      <c r="J1710" s="1" t="str">
        <f t="shared" si="1232"/>
        <v>0</v>
      </c>
      <c r="K1710" s="1" t="str">
        <f t="shared" si="1217"/>
        <v>103</v>
      </c>
      <c r="L1710" s="1" t="str">
        <f t="shared" si="1218"/>
        <v>47</v>
      </c>
      <c r="M1710" s="1" t="str">
        <f t="shared" si="1219"/>
        <v>0</v>
      </c>
      <c r="N1710" s="1" t="str">
        <f t="shared" si="1220"/>
        <v>0</v>
      </c>
      <c r="O1710" s="1" t="str">
        <f>"7.13"</f>
        <v>7.13</v>
      </c>
    </row>
    <row r="1711" s="1" customFormat="1" spans="1:15">
      <c r="A1711" s="1" t="str">
        <f t="shared" si="1226"/>
        <v>202406</v>
      </c>
      <c r="B1711" s="1" t="str">
        <f t="shared" si="1227"/>
        <v>150525100</v>
      </c>
      <c r="C1711" s="1" t="str">
        <f>"1014584978"</f>
        <v>1014584978</v>
      </c>
      <c r="D1711" s="1" t="s">
        <v>1776</v>
      </c>
      <c r="E1711" s="1" t="s">
        <v>1777</v>
      </c>
      <c r="F1711" s="1" t="s">
        <v>16</v>
      </c>
      <c r="G1711" s="1" t="s">
        <v>17</v>
      </c>
      <c r="H1711" s="1" t="str">
        <f>"67"</f>
        <v>67</v>
      </c>
      <c r="I1711" s="1" t="str">
        <f>"155.67"</f>
        <v>155.67</v>
      </c>
      <c r="J1711" s="1" t="str">
        <f t="shared" si="1232"/>
        <v>0</v>
      </c>
      <c r="K1711" s="1" t="str">
        <f t="shared" ref="K1711:K1774" si="1236">"103"</f>
        <v>103</v>
      </c>
      <c r="L1711" s="1" t="str">
        <f t="shared" ref="L1711:L1774" si="1237">"47"</f>
        <v>47</v>
      </c>
      <c r="M1711" s="1" t="str">
        <f t="shared" si="1219"/>
        <v>0</v>
      </c>
      <c r="N1711" s="1" t="str">
        <f t="shared" si="1220"/>
        <v>0</v>
      </c>
      <c r="O1711" s="1" t="str">
        <f>"5.67"</f>
        <v>5.67</v>
      </c>
    </row>
    <row r="1712" s="1" customFormat="1" spans="1:15">
      <c r="A1712" s="1" t="str">
        <f t="shared" si="1226"/>
        <v>202406</v>
      </c>
      <c r="B1712" s="1" t="str">
        <f t="shared" si="1227"/>
        <v>150525100</v>
      </c>
      <c r="C1712" s="1" t="str">
        <f>"1014567794"</f>
        <v>1014567794</v>
      </c>
      <c r="D1712" s="1" t="str">
        <f>"152326195207203831"</f>
        <v>152326195207203831</v>
      </c>
      <c r="E1712" s="1" t="s">
        <v>1778</v>
      </c>
      <c r="F1712" s="1" t="s">
        <v>25</v>
      </c>
      <c r="G1712" s="1" t="s">
        <v>19</v>
      </c>
      <c r="H1712" s="1" t="str">
        <f>"72"</f>
        <v>72</v>
      </c>
      <c r="I1712" s="1" t="str">
        <f>"162.15"</f>
        <v>162.15</v>
      </c>
      <c r="J1712" s="1" t="str">
        <f t="shared" si="1232"/>
        <v>0</v>
      </c>
      <c r="K1712" s="1" t="str">
        <f t="shared" si="1236"/>
        <v>103</v>
      </c>
      <c r="L1712" s="1" t="str">
        <f t="shared" si="1237"/>
        <v>47</v>
      </c>
      <c r="M1712" s="1" t="str">
        <f t="shared" si="1219"/>
        <v>0</v>
      </c>
      <c r="N1712" s="1" t="str">
        <f t="shared" si="1220"/>
        <v>0</v>
      </c>
      <c r="O1712" s="1" t="str">
        <f>"2.15"</f>
        <v>2.15</v>
      </c>
    </row>
    <row r="1713" s="1" customFormat="1" spans="1:15">
      <c r="A1713" s="1" t="str">
        <f t="shared" si="1226"/>
        <v>202406</v>
      </c>
      <c r="B1713" s="1" t="str">
        <f t="shared" si="1227"/>
        <v>150525100</v>
      </c>
      <c r="C1713" s="1" t="str">
        <f>"1014562882"</f>
        <v>1014562882</v>
      </c>
      <c r="D1713" s="1" t="str">
        <f>"152326195809160429"</f>
        <v>152326195809160429</v>
      </c>
      <c r="E1713" s="1" t="s">
        <v>1779</v>
      </c>
      <c r="F1713" s="1" t="s">
        <v>16</v>
      </c>
      <c r="G1713" s="1" t="s">
        <v>17</v>
      </c>
      <c r="H1713" s="1" t="str">
        <f>"66"</f>
        <v>66</v>
      </c>
      <c r="I1713" s="1" t="str">
        <f>"157.15"</f>
        <v>157.15</v>
      </c>
      <c r="J1713" s="1" t="str">
        <f t="shared" si="1232"/>
        <v>0</v>
      </c>
      <c r="K1713" s="1" t="str">
        <f t="shared" si="1236"/>
        <v>103</v>
      </c>
      <c r="L1713" s="1" t="str">
        <f t="shared" si="1237"/>
        <v>47</v>
      </c>
      <c r="M1713" s="1" t="str">
        <f t="shared" si="1219"/>
        <v>0</v>
      </c>
      <c r="N1713" s="1" t="str">
        <f t="shared" si="1220"/>
        <v>0</v>
      </c>
      <c r="O1713" s="1" t="str">
        <f>"7.15"</f>
        <v>7.15</v>
      </c>
    </row>
    <row r="1714" s="1" customFormat="1" spans="1:15">
      <c r="A1714" s="1" t="str">
        <f t="shared" si="1226"/>
        <v>202406</v>
      </c>
      <c r="B1714" s="1" t="str">
        <f t="shared" si="1227"/>
        <v>150525100</v>
      </c>
      <c r="C1714" s="1" t="str">
        <f>"1014569685"</f>
        <v>1014569685</v>
      </c>
      <c r="D1714" s="1" t="str">
        <f>"152326195410170422"</f>
        <v>152326195410170422</v>
      </c>
      <c r="E1714" s="1" t="s">
        <v>1163</v>
      </c>
      <c r="F1714" s="1" t="s">
        <v>16</v>
      </c>
      <c r="G1714" s="1" t="s">
        <v>17</v>
      </c>
      <c r="H1714" s="1" t="str">
        <f>"70"</f>
        <v>70</v>
      </c>
      <c r="I1714" s="1" t="str">
        <f>"154.14"</f>
        <v>154.14</v>
      </c>
      <c r="J1714" s="1" t="str">
        <f t="shared" si="1232"/>
        <v>0</v>
      </c>
      <c r="K1714" s="1" t="str">
        <f t="shared" si="1236"/>
        <v>103</v>
      </c>
      <c r="L1714" s="1" t="str">
        <f t="shared" si="1237"/>
        <v>47</v>
      </c>
      <c r="M1714" s="1" t="str">
        <f t="shared" si="1219"/>
        <v>0</v>
      </c>
      <c r="N1714" s="1" t="str">
        <f t="shared" si="1220"/>
        <v>0</v>
      </c>
      <c r="O1714" s="1" t="str">
        <f>"4.14"</f>
        <v>4.14</v>
      </c>
    </row>
    <row r="1715" s="1" customFormat="1" spans="1:15">
      <c r="A1715" s="1" t="str">
        <f t="shared" si="1226"/>
        <v>202406</v>
      </c>
      <c r="B1715" s="1" t="str">
        <f t="shared" si="1227"/>
        <v>150525100</v>
      </c>
      <c r="C1715" s="1" t="str">
        <f>"1014584080"</f>
        <v>1014584080</v>
      </c>
      <c r="D1715" s="1" t="str">
        <f>"152326195711110669"</f>
        <v>152326195711110669</v>
      </c>
      <c r="E1715" s="1" t="s">
        <v>1477</v>
      </c>
      <c r="F1715" s="1" t="s">
        <v>16</v>
      </c>
      <c r="G1715" s="1" t="s">
        <v>17</v>
      </c>
      <c r="H1715" s="1" t="str">
        <f>"67"</f>
        <v>67</v>
      </c>
      <c r="I1715" s="1" t="str">
        <f>"156.1"</f>
        <v>156.1</v>
      </c>
      <c r="J1715" s="1" t="str">
        <f t="shared" si="1232"/>
        <v>0</v>
      </c>
      <c r="K1715" s="1" t="str">
        <f t="shared" si="1236"/>
        <v>103</v>
      </c>
      <c r="L1715" s="1" t="str">
        <f t="shared" si="1237"/>
        <v>47</v>
      </c>
      <c r="M1715" s="1" t="str">
        <f t="shared" ref="M1715:M1778" si="1238">"0"</f>
        <v>0</v>
      </c>
      <c r="N1715" s="1" t="str">
        <f t="shared" ref="N1715:N1778" si="1239">"0"</f>
        <v>0</v>
      </c>
      <c r="O1715" s="1" t="str">
        <f>"6.1"</f>
        <v>6.1</v>
      </c>
    </row>
    <row r="1716" s="1" customFormat="1" spans="1:15">
      <c r="A1716" s="1" t="str">
        <f t="shared" si="1226"/>
        <v>202406</v>
      </c>
      <c r="B1716" s="1" t="str">
        <f t="shared" si="1227"/>
        <v>150525100</v>
      </c>
      <c r="C1716" s="1" t="str">
        <f>"1014549962"</f>
        <v>1014549962</v>
      </c>
      <c r="D1716" s="1" t="str">
        <f>"152326195512230668"</f>
        <v>152326195512230668</v>
      </c>
      <c r="E1716" s="1" t="s">
        <v>1780</v>
      </c>
      <c r="F1716" s="1" t="s">
        <v>16</v>
      </c>
      <c r="G1716" s="1" t="s">
        <v>19</v>
      </c>
      <c r="H1716" s="1" t="str">
        <f>"69"</f>
        <v>69</v>
      </c>
      <c r="I1716" s="1" t="str">
        <f>"155.11"</f>
        <v>155.11</v>
      </c>
      <c r="J1716" s="1" t="str">
        <f t="shared" si="1232"/>
        <v>0</v>
      </c>
      <c r="K1716" s="1" t="str">
        <f t="shared" si="1236"/>
        <v>103</v>
      </c>
      <c r="L1716" s="1" t="str">
        <f t="shared" si="1237"/>
        <v>47</v>
      </c>
      <c r="M1716" s="1" t="str">
        <f t="shared" si="1238"/>
        <v>0</v>
      </c>
      <c r="N1716" s="1" t="str">
        <f t="shared" si="1239"/>
        <v>0</v>
      </c>
      <c r="O1716" s="1" t="str">
        <f>"5.11"</f>
        <v>5.11</v>
      </c>
    </row>
    <row r="1717" s="1" customFormat="1" spans="1:15">
      <c r="A1717" s="1" t="str">
        <f t="shared" si="1226"/>
        <v>202406</v>
      </c>
      <c r="B1717" s="1" t="str">
        <f t="shared" si="1227"/>
        <v>150525100</v>
      </c>
      <c r="C1717" s="1" t="str">
        <f>"1014549088"</f>
        <v>1014549088</v>
      </c>
      <c r="D1717" s="1" t="str">
        <f>"152326196203103328"</f>
        <v>152326196203103328</v>
      </c>
      <c r="E1717" s="1" t="s">
        <v>1781</v>
      </c>
      <c r="F1717" s="1" t="s">
        <v>16</v>
      </c>
      <c r="G1717" s="1" t="s">
        <v>19</v>
      </c>
      <c r="H1717" s="1" t="str">
        <f>"62"</f>
        <v>62</v>
      </c>
      <c r="I1717" s="1" t="str">
        <f>"164.38"</f>
        <v>164.38</v>
      </c>
      <c r="J1717" s="1" t="str">
        <f t="shared" si="1232"/>
        <v>0</v>
      </c>
      <c r="K1717" s="1" t="str">
        <f t="shared" si="1236"/>
        <v>103</v>
      </c>
      <c r="L1717" s="1" t="str">
        <f t="shared" si="1237"/>
        <v>47</v>
      </c>
      <c r="M1717" s="1" t="str">
        <f t="shared" si="1238"/>
        <v>0</v>
      </c>
      <c r="N1717" s="1" t="str">
        <f t="shared" si="1239"/>
        <v>0</v>
      </c>
      <c r="O1717" s="1" t="str">
        <f>"14.38"</f>
        <v>14.38</v>
      </c>
    </row>
    <row r="1718" s="1" customFormat="1" spans="1:15">
      <c r="A1718" s="1" t="str">
        <f t="shared" si="1226"/>
        <v>202406</v>
      </c>
      <c r="B1718" s="1" t="str">
        <f t="shared" si="1227"/>
        <v>150525100</v>
      </c>
      <c r="C1718" s="1" t="str">
        <f>"1040832996"</f>
        <v>1040832996</v>
      </c>
      <c r="D1718" s="1" t="str">
        <f>"152326195402010680"</f>
        <v>152326195402010680</v>
      </c>
      <c r="E1718" s="1" t="s">
        <v>1177</v>
      </c>
      <c r="F1718" s="1" t="s">
        <v>16</v>
      </c>
      <c r="G1718" s="1" t="s">
        <v>17</v>
      </c>
      <c r="H1718" s="1" t="str">
        <f>"70"</f>
        <v>70</v>
      </c>
      <c r="I1718" s="1" t="str">
        <f>"163.56"</f>
        <v>163.56</v>
      </c>
      <c r="J1718" s="1" t="str">
        <f t="shared" si="1232"/>
        <v>0</v>
      </c>
      <c r="K1718" s="1" t="str">
        <f t="shared" si="1236"/>
        <v>103</v>
      </c>
      <c r="L1718" s="1" t="str">
        <f t="shared" si="1237"/>
        <v>47</v>
      </c>
      <c r="M1718" s="1" t="str">
        <f t="shared" si="1238"/>
        <v>0</v>
      </c>
      <c r="N1718" s="1" t="str">
        <f t="shared" si="1239"/>
        <v>0</v>
      </c>
      <c r="O1718" s="1" t="str">
        <f>"3.56"</f>
        <v>3.56</v>
      </c>
    </row>
    <row r="1719" s="1" customFormat="1" spans="1:15">
      <c r="A1719" s="1" t="str">
        <f t="shared" si="1226"/>
        <v>202406</v>
      </c>
      <c r="B1719" s="1" t="str">
        <f t="shared" si="1227"/>
        <v>150525100</v>
      </c>
      <c r="C1719" s="1" t="str">
        <f>"1040833039"</f>
        <v>1040833039</v>
      </c>
      <c r="D1719" s="1" t="str">
        <f>"152326193701040426"</f>
        <v>152326193701040426</v>
      </c>
      <c r="E1719" s="1" t="s">
        <v>1782</v>
      </c>
      <c r="F1719" s="1" t="s">
        <v>16</v>
      </c>
      <c r="G1719" s="1" t="s">
        <v>17</v>
      </c>
      <c r="H1719" s="1" t="str">
        <f>"88"</f>
        <v>88</v>
      </c>
      <c r="I1719" s="1" t="str">
        <f>"170"</f>
        <v>170</v>
      </c>
      <c r="J1719" s="1" t="str">
        <f t="shared" si="1232"/>
        <v>0</v>
      </c>
      <c r="K1719" s="1" t="str">
        <f t="shared" si="1236"/>
        <v>103</v>
      </c>
      <c r="L1719" s="1" t="str">
        <f t="shared" si="1237"/>
        <v>47</v>
      </c>
      <c r="M1719" s="1" t="str">
        <f t="shared" si="1238"/>
        <v>0</v>
      </c>
      <c r="N1719" s="1" t="str">
        <f t="shared" si="1239"/>
        <v>0</v>
      </c>
      <c r="O1719" s="1" t="str">
        <f>"0"</f>
        <v>0</v>
      </c>
    </row>
    <row r="1720" s="1" customFormat="1" spans="1:15">
      <c r="A1720" s="1" t="str">
        <f t="shared" si="1226"/>
        <v>202406</v>
      </c>
      <c r="B1720" s="1" t="str">
        <f t="shared" si="1227"/>
        <v>150525100</v>
      </c>
      <c r="C1720" s="1" t="str">
        <f>"1014562898"</f>
        <v>1014562898</v>
      </c>
      <c r="D1720" s="1" t="str">
        <f>"152326196304200426"</f>
        <v>152326196304200426</v>
      </c>
      <c r="E1720" s="1" t="s">
        <v>1783</v>
      </c>
      <c r="F1720" s="1" t="s">
        <v>16</v>
      </c>
      <c r="G1720" s="1" t="s">
        <v>17</v>
      </c>
      <c r="H1720" s="1" t="str">
        <f>"61"</f>
        <v>61</v>
      </c>
      <c r="I1720" s="1" t="str">
        <f>"164.99"</f>
        <v>164.99</v>
      </c>
      <c r="J1720" s="1" t="str">
        <f t="shared" si="1232"/>
        <v>0</v>
      </c>
      <c r="K1720" s="1" t="str">
        <f t="shared" si="1236"/>
        <v>103</v>
      </c>
      <c r="L1720" s="1" t="str">
        <f t="shared" si="1237"/>
        <v>47</v>
      </c>
      <c r="M1720" s="1" t="str">
        <f t="shared" si="1238"/>
        <v>0</v>
      </c>
      <c r="N1720" s="1" t="str">
        <f t="shared" si="1239"/>
        <v>0</v>
      </c>
      <c r="O1720" s="1" t="str">
        <f>"14.99"</f>
        <v>14.99</v>
      </c>
    </row>
    <row r="1721" s="1" customFormat="1" spans="1:15">
      <c r="A1721" s="1" t="str">
        <f t="shared" si="1226"/>
        <v>202406</v>
      </c>
      <c r="B1721" s="1" t="str">
        <f t="shared" si="1227"/>
        <v>150525100</v>
      </c>
      <c r="C1721" s="1" t="str">
        <f>"1014562908"</f>
        <v>1014562908</v>
      </c>
      <c r="D1721" s="1" t="str">
        <f>"152326195910100439"</f>
        <v>152326195910100439</v>
      </c>
      <c r="E1721" s="1" t="s">
        <v>1784</v>
      </c>
      <c r="F1721" s="1" t="s">
        <v>25</v>
      </c>
      <c r="G1721" s="1" t="s">
        <v>17</v>
      </c>
      <c r="H1721" s="1" t="str">
        <f>"65"</f>
        <v>65</v>
      </c>
      <c r="I1721" s="1" t="str">
        <f>"158.22"</f>
        <v>158.22</v>
      </c>
      <c r="J1721" s="1" t="str">
        <f t="shared" si="1232"/>
        <v>0</v>
      </c>
      <c r="K1721" s="1" t="str">
        <f t="shared" si="1236"/>
        <v>103</v>
      </c>
      <c r="L1721" s="1" t="str">
        <f t="shared" si="1237"/>
        <v>47</v>
      </c>
      <c r="M1721" s="1" t="str">
        <f t="shared" si="1238"/>
        <v>0</v>
      </c>
      <c r="N1721" s="1" t="str">
        <f t="shared" si="1239"/>
        <v>0</v>
      </c>
      <c r="O1721" s="1" t="str">
        <f>"8.22"</f>
        <v>8.22</v>
      </c>
    </row>
    <row r="1722" s="1" customFormat="1" spans="1:15">
      <c r="A1722" s="1" t="str">
        <f t="shared" si="1226"/>
        <v>202406</v>
      </c>
      <c r="B1722" s="1" t="str">
        <f t="shared" si="1227"/>
        <v>150525100</v>
      </c>
      <c r="C1722" s="1" t="str">
        <f>"1014562919"</f>
        <v>1014562919</v>
      </c>
      <c r="D1722" s="1" t="str">
        <f>"152326195203270412"</f>
        <v>152326195203270412</v>
      </c>
      <c r="E1722" s="1" t="s">
        <v>1785</v>
      </c>
      <c r="F1722" s="1" t="s">
        <v>25</v>
      </c>
      <c r="G1722" s="1" t="s">
        <v>17</v>
      </c>
      <c r="H1722" s="1" t="str">
        <f>"72"</f>
        <v>72</v>
      </c>
      <c r="I1722" s="1" t="str">
        <f>"162.16"</f>
        <v>162.16</v>
      </c>
      <c r="J1722" s="1" t="str">
        <f t="shared" si="1232"/>
        <v>0</v>
      </c>
      <c r="K1722" s="1" t="str">
        <f t="shared" si="1236"/>
        <v>103</v>
      </c>
      <c r="L1722" s="1" t="str">
        <f t="shared" si="1237"/>
        <v>47</v>
      </c>
      <c r="M1722" s="1" t="str">
        <f t="shared" si="1238"/>
        <v>0</v>
      </c>
      <c r="N1722" s="1" t="str">
        <f t="shared" si="1239"/>
        <v>0</v>
      </c>
      <c r="O1722" s="1" t="str">
        <f>"2.16"</f>
        <v>2.16</v>
      </c>
    </row>
    <row r="1723" s="1" customFormat="1" spans="1:15">
      <c r="A1723" s="1" t="str">
        <f t="shared" si="1226"/>
        <v>202406</v>
      </c>
      <c r="B1723" s="1" t="str">
        <f t="shared" si="1227"/>
        <v>150525100</v>
      </c>
      <c r="C1723" s="1" t="str">
        <f>"1014563281"</f>
        <v>1014563281</v>
      </c>
      <c r="D1723" s="1" t="str">
        <f>"152326196207020423"</f>
        <v>152326196207020423</v>
      </c>
      <c r="E1723" s="1" t="s">
        <v>1786</v>
      </c>
      <c r="F1723" s="1" t="s">
        <v>16</v>
      </c>
      <c r="G1723" s="1" t="s">
        <v>19</v>
      </c>
      <c r="H1723" s="1" t="str">
        <f>"62"</f>
        <v>62</v>
      </c>
      <c r="I1723" s="1" t="str">
        <f>"164.86"</f>
        <v>164.86</v>
      </c>
      <c r="J1723" s="1" t="str">
        <f t="shared" si="1232"/>
        <v>0</v>
      </c>
      <c r="K1723" s="1" t="str">
        <f t="shared" si="1236"/>
        <v>103</v>
      </c>
      <c r="L1723" s="1" t="str">
        <f t="shared" si="1237"/>
        <v>47</v>
      </c>
      <c r="M1723" s="1" t="str">
        <f t="shared" si="1238"/>
        <v>0</v>
      </c>
      <c r="N1723" s="1" t="str">
        <f t="shared" si="1239"/>
        <v>0</v>
      </c>
      <c r="O1723" s="1" t="str">
        <f>"14.86"</f>
        <v>14.86</v>
      </c>
    </row>
    <row r="1724" s="1" customFormat="1" spans="1:15">
      <c r="A1724" s="1" t="str">
        <f t="shared" si="1226"/>
        <v>202406</v>
      </c>
      <c r="B1724" s="1" t="str">
        <f t="shared" si="1227"/>
        <v>150525100</v>
      </c>
      <c r="C1724" s="1" t="str">
        <f>"1014569712"</f>
        <v>1014569712</v>
      </c>
      <c r="D1724" s="1" t="str">
        <f>"152326196211280412"</f>
        <v>152326196211280412</v>
      </c>
      <c r="E1724" s="1" t="s">
        <v>1787</v>
      </c>
      <c r="F1724" s="1" t="s">
        <v>25</v>
      </c>
      <c r="G1724" s="1" t="s">
        <v>17</v>
      </c>
      <c r="H1724" s="1" t="str">
        <f>"62"</f>
        <v>62</v>
      </c>
      <c r="I1724" s="1" t="str">
        <f>"163.19"</f>
        <v>163.19</v>
      </c>
      <c r="J1724" s="1" t="str">
        <f t="shared" si="1232"/>
        <v>0</v>
      </c>
      <c r="K1724" s="1" t="str">
        <f t="shared" si="1236"/>
        <v>103</v>
      </c>
      <c r="L1724" s="1" t="str">
        <f t="shared" si="1237"/>
        <v>47</v>
      </c>
      <c r="M1724" s="1" t="str">
        <f t="shared" si="1238"/>
        <v>0</v>
      </c>
      <c r="N1724" s="1" t="str">
        <f t="shared" si="1239"/>
        <v>0</v>
      </c>
      <c r="O1724" s="1" t="str">
        <f>"13.19"</f>
        <v>13.19</v>
      </c>
    </row>
    <row r="1725" s="1" customFormat="1" spans="1:15">
      <c r="A1725" s="1" t="str">
        <f t="shared" si="1226"/>
        <v>202406</v>
      </c>
      <c r="B1725" s="1" t="str">
        <f t="shared" si="1227"/>
        <v>150525100</v>
      </c>
      <c r="C1725" s="1" t="str">
        <f>"1014569717"</f>
        <v>1014569717</v>
      </c>
      <c r="D1725" s="1" t="str">
        <f>"152326196307150428"</f>
        <v>152326196307150428</v>
      </c>
      <c r="E1725" s="1" t="s">
        <v>1788</v>
      </c>
      <c r="F1725" s="1" t="s">
        <v>16</v>
      </c>
      <c r="G1725" s="1" t="s">
        <v>17</v>
      </c>
      <c r="H1725" s="1" t="str">
        <f>"61"</f>
        <v>61</v>
      </c>
      <c r="I1725" s="1" t="str">
        <f>"165.03"</f>
        <v>165.03</v>
      </c>
      <c r="J1725" s="1" t="str">
        <f t="shared" si="1232"/>
        <v>0</v>
      </c>
      <c r="K1725" s="1" t="str">
        <f t="shared" si="1236"/>
        <v>103</v>
      </c>
      <c r="L1725" s="1" t="str">
        <f t="shared" si="1237"/>
        <v>47</v>
      </c>
      <c r="M1725" s="1" t="str">
        <f t="shared" si="1238"/>
        <v>0</v>
      </c>
      <c r="N1725" s="1" t="str">
        <f t="shared" si="1239"/>
        <v>0</v>
      </c>
      <c r="O1725" s="1" t="str">
        <f>"15.03"</f>
        <v>15.03</v>
      </c>
    </row>
    <row r="1726" s="1" customFormat="1" spans="1:15">
      <c r="A1726" s="1" t="str">
        <f t="shared" si="1226"/>
        <v>202406</v>
      </c>
      <c r="B1726" s="1" t="str">
        <f t="shared" si="1227"/>
        <v>150525100</v>
      </c>
      <c r="C1726" s="1" t="str">
        <f>"1014585051"</f>
        <v>1014585051</v>
      </c>
      <c r="D1726" s="1" t="str">
        <f>"152326195405040455"</f>
        <v>152326195405040455</v>
      </c>
      <c r="E1726" s="1" t="s">
        <v>1789</v>
      </c>
      <c r="F1726" s="1" t="s">
        <v>25</v>
      </c>
      <c r="G1726" s="1" t="s">
        <v>17</v>
      </c>
      <c r="H1726" s="1" t="str">
        <f>"70"</f>
        <v>70</v>
      </c>
      <c r="I1726" s="1" t="str">
        <f>"164.14"</f>
        <v>164.14</v>
      </c>
      <c r="J1726" s="1" t="str">
        <f t="shared" si="1232"/>
        <v>0</v>
      </c>
      <c r="K1726" s="1" t="str">
        <f t="shared" si="1236"/>
        <v>103</v>
      </c>
      <c r="L1726" s="1" t="str">
        <f t="shared" si="1237"/>
        <v>47</v>
      </c>
      <c r="M1726" s="1" t="str">
        <f t="shared" si="1238"/>
        <v>0</v>
      </c>
      <c r="N1726" s="1" t="str">
        <f t="shared" si="1239"/>
        <v>0</v>
      </c>
      <c r="O1726" s="1" t="str">
        <f>"4.14"</f>
        <v>4.14</v>
      </c>
    </row>
    <row r="1727" s="1" customFormat="1" spans="1:15">
      <c r="A1727" s="1" t="str">
        <f t="shared" si="1226"/>
        <v>202406</v>
      </c>
      <c r="B1727" s="1" t="str">
        <f t="shared" si="1227"/>
        <v>150525100</v>
      </c>
      <c r="C1727" s="1" t="str">
        <f>"1014561176"</f>
        <v>1014561176</v>
      </c>
      <c r="D1727" s="1" t="str">
        <f>"152326195606040427"</f>
        <v>152326195606040427</v>
      </c>
      <c r="E1727" s="1" t="s">
        <v>1790</v>
      </c>
      <c r="F1727" s="1" t="s">
        <v>16</v>
      </c>
      <c r="G1727" s="1" t="s">
        <v>19</v>
      </c>
      <c r="H1727" s="1" t="str">
        <f>"68"</f>
        <v>68</v>
      </c>
      <c r="I1727" s="1" t="str">
        <f>"155.27"</f>
        <v>155.27</v>
      </c>
      <c r="J1727" s="1" t="str">
        <f t="shared" si="1232"/>
        <v>0</v>
      </c>
      <c r="K1727" s="1" t="str">
        <f t="shared" si="1236"/>
        <v>103</v>
      </c>
      <c r="L1727" s="1" t="str">
        <f t="shared" si="1237"/>
        <v>47</v>
      </c>
      <c r="M1727" s="1" t="str">
        <f t="shared" si="1238"/>
        <v>0</v>
      </c>
      <c r="N1727" s="1" t="str">
        <f t="shared" si="1239"/>
        <v>0</v>
      </c>
      <c r="O1727" s="1" t="str">
        <f>"5.27"</f>
        <v>5.27</v>
      </c>
    </row>
    <row r="1728" s="1" customFormat="1" spans="1:15">
      <c r="A1728" s="1" t="str">
        <f t="shared" si="1226"/>
        <v>202406</v>
      </c>
      <c r="B1728" s="1" t="str">
        <f t="shared" si="1227"/>
        <v>150525100</v>
      </c>
      <c r="C1728" s="1" t="str">
        <f>"1014561179"</f>
        <v>1014561179</v>
      </c>
      <c r="D1728" s="1" t="str">
        <f>"152326195610010415"</f>
        <v>152326195610010415</v>
      </c>
      <c r="E1728" s="1" t="s">
        <v>1791</v>
      </c>
      <c r="F1728" s="1" t="s">
        <v>25</v>
      </c>
      <c r="G1728" s="1" t="s">
        <v>17</v>
      </c>
      <c r="H1728" s="1" t="str">
        <f>"68"</f>
        <v>68</v>
      </c>
      <c r="I1728" s="1" t="str">
        <f>"156.01"</f>
        <v>156.01</v>
      </c>
      <c r="J1728" s="1" t="str">
        <f t="shared" si="1232"/>
        <v>0</v>
      </c>
      <c r="K1728" s="1" t="str">
        <f t="shared" si="1236"/>
        <v>103</v>
      </c>
      <c r="L1728" s="1" t="str">
        <f t="shared" si="1237"/>
        <v>47</v>
      </c>
      <c r="M1728" s="1" t="str">
        <f t="shared" si="1238"/>
        <v>0</v>
      </c>
      <c r="N1728" s="1" t="str">
        <f t="shared" si="1239"/>
        <v>0</v>
      </c>
      <c r="O1728" s="1" t="str">
        <f>"6.01"</f>
        <v>6.01</v>
      </c>
    </row>
    <row r="1729" s="1" customFormat="1" spans="1:15">
      <c r="A1729" s="1" t="str">
        <f t="shared" si="1226"/>
        <v>202406</v>
      </c>
      <c r="B1729" s="1" t="str">
        <f t="shared" si="1227"/>
        <v>150525100</v>
      </c>
      <c r="C1729" s="1" t="str">
        <f>"1014555693"</f>
        <v>1014555693</v>
      </c>
      <c r="D1729" s="1" t="str">
        <f>"152326195508293834"</f>
        <v>152326195508293834</v>
      </c>
      <c r="E1729" s="1" t="s">
        <v>1792</v>
      </c>
      <c r="F1729" s="1" t="s">
        <v>25</v>
      </c>
      <c r="G1729" s="1" t="s">
        <v>17</v>
      </c>
      <c r="H1729" s="1" t="str">
        <f>"69"</f>
        <v>69</v>
      </c>
      <c r="I1729" s="1" t="str">
        <f>"154.94"</f>
        <v>154.94</v>
      </c>
      <c r="J1729" s="1" t="str">
        <f t="shared" si="1232"/>
        <v>0</v>
      </c>
      <c r="K1729" s="1" t="str">
        <f t="shared" si="1236"/>
        <v>103</v>
      </c>
      <c r="L1729" s="1" t="str">
        <f t="shared" si="1237"/>
        <v>47</v>
      </c>
      <c r="M1729" s="1" t="str">
        <f t="shared" si="1238"/>
        <v>0</v>
      </c>
      <c r="N1729" s="1" t="str">
        <f t="shared" si="1239"/>
        <v>0</v>
      </c>
      <c r="O1729" s="1" t="str">
        <f>"4.94"</f>
        <v>4.94</v>
      </c>
    </row>
    <row r="1730" s="1" customFormat="1" spans="1:15">
      <c r="A1730" s="1" t="str">
        <f t="shared" ref="A1730:A1793" si="1240">"202406"</f>
        <v>202406</v>
      </c>
      <c r="B1730" s="1" t="str">
        <f t="shared" ref="B1730:B1793" si="1241">"150525100"</f>
        <v>150525100</v>
      </c>
      <c r="C1730" s="1" t="str">
        <f>"1014567864"</f>
        <v>1014567864</v>
      </c>
      <c r="D1730" s="1" t="str">
        <f>"152326196008023824"</f>
        <v>152326196008023824</v>
      </c>
      <c r="E1730" s="1" t="s">
        <v>1793</v>
      </c>
      <c r="F1730" s="1" t="s">
        <v>16</v>
      </c>
      <c r="G1730" s="1" t="s">
        <v>19</v>
      </c>
      <c r="H1730" s="1" t="str">
        <f>"64"</f>
        <v>64</v>
      </c>
      <c r="I1730" s="1" t="str">
        <f>"159.25"</f>
        <v>159.25</v>
      </c>
      <c r="J1730" s="1" t="str">
        <f t="shared" si="1232"/>
        <v>0</v>
      </c>
      <c r="K1730" s="1" t="str">
        <f t="shared" si="1236"/>
        <v>103</v>
      </c>
      <c r="L1730" s="1" t="str">
        <f t="shared" si="1237"/>
        <v>47</v>
      </c>
      <c r="M1730" s="1" t="str">
        <f t="shared" si="1238"/>
        <v>0</v>
      </c>
      <c r="N1730" s="1" t="str">
        <f t="shared" si="1239"/>
        <v>0</v>
      </c>
      <c r="O1730" s="1" t="str">
        <f>"9.25"</f>
        <v>9.25</v>
      </c>
    </row>
    <row r="1731" s="1" customFormat="1" spans="1:15">
      <c r="A1731" s="1" t="str">
        <f t="shared" si="1240"/>
        <v>202406</v>
      </c>
      <c r="B1731" s="1" t="str">
        <f t="shared" si="1241"/>
        <v>150525100</v>
      </c>
      <c r="C1731" s="1" t="str">
        <f>"1014563331"</f>
        <v>1014563331</v>
      </c>
      <c r="D1731" s="1" t="str">
        <f>"152326195708220429"</f>
        <v>152326195708220429</v>
      </c>
      <c r="E1731" s="1" t="s">
        <v>1794</v>
      </c>
      <c r="F1731" s="1" t="s">
        <v>16</v>
      </c>
      <c r="G1731" s="1" t="s">
        <v>17</v>
      </c>
      <c r="H1731" s="1" t="str">
        <f>"67"</f>
        <v>67</v>
      </c>
      <c r="I1731" s="1" t="str">
        <f>"156.1"</f>
        <v>156.1</v>
      </c>
      <c r="J1731" s="1" t="str">
        <f t="shared" si="1232"/>
        <v>0</v>
      </c>
      <c r="K1731" s="1" t="str">
        <f t="shared" si="1236"/>
        <v>103</v>
      </c>
      <c r="L1731" s="1" t="str">
        <f t="shared" si="1237"/>
        <v>47</v>
      </c>
      <c r="M1731" s="1" t="str">
        <f t="shared" si="1238"/>
        <v>0</v>
      </c>
      <c r="N1731" s="1" t="str">
        <f t="shared" si="1239"/>
        <v>0</v>
      </c>
      <c r="O1731" s="1" t="str">
        <f>"6.1"</f>
        <v>6.1</v>
      </c>
    </row>
    <row r="1732" s="1" customFormat="1" spans="1:15">
      <c r="A1732" s="1" t="str">
        <f t="shared" si="1240"/>
        <v>202406</v>
      </c>
      <c r="B1732" s="1" t="str">
        <f t="shared" si="1241"/>
        <v>150525100</v>
      </c>
      <c r="C1732" s="1" t="str">
        <f>"1014569751"</f>
        <v>1014569751</v>
      </c>
      <c r="D1732" s="1" t="str">
        <f>"152326195702170424"</f>
        <v>152326195702170424</v>
      </c>
      <c r="E1732" s="1" t="s">
        <v>1795</v>
      </c>
      <c r="F1732" s="1" t="s">
        <v>16</v>
      </c>
      <c r="G1732" s="1" t="s">
        <v>17</v>
      </c>
      <c r="H1732" s="1" t="str">
        <f>"67"</f>
        <v>67</v>
      </c>
      <c r="I1732" s="1" t="str">
        <f>"155.87"</f>
        <v>155.87</v>
      </c>
      <c r="J1732" s="1" t="str">
        <f t="shared" si="1232"/>
        <v>0</v>
      </c>
      <c r="K1732" s="1" t="str">
        <f t="shared" si="1236"/>
        <v>103</v>
      </c>
      <c r="L1732" s="1" t="str">
        <f t="shared" si="1237"/>
        <v>47</v>
      </c>
      <c r="M1732" s="1" t="str">
        <f t="shared" si="1238"/>
        <v>0</v>
      </c>
      <c r="N1732" s="1" t="str">
        <f t="shared" si="1239"/>
        <v>0</v>
      </c>
      <c r="O1732" s="1" t="str">
        <f>"5.87"</f>
        <v>5.87</v>
      </c>
    </row>
    <row r="1733" s="1" customFormat="1" spans="1:15">
      <c r="A1733" s="1" t="str">
        <f t="shared" si="1240"/>
        <v>202406</v>
      </c>
      <c r="B1733" s="1" t="str">
        <f t="shared" si="1241"/>
        <v>150525100</v>
      </c>
      <c r="C1733" s="1" t="str">
        <f>"1014585062"</f>
        <v>1014585062</v>
      </c>
      <c r="D1733" s="1" t="str">
        <f>"152326195409250660"</f>
        <v>152326195409250660</v>
      </c>
      <c r="E1733" s="1" t="s">
        <v>1796</v>
      </c>
      <c r="F1733" s="1" t="s">
        <v>16</v>
      </c>
      <c r="G1733" s="1" t="s">
        <v>17</v>
      </c>
      <c r="H1733" s="1" t="str">
        <f t="shared" ref="H1733:H1736" si="1242">"70"</f>
        <v>70</v>
      </c>
      <c r="I1733" s="1" t="str">
        <f t="shared" ref="I1733:I1735" si="1243">"154.14"</f>
        <v>154.14</v>
      </c>
      <c r="J1733" s="1" t="str">
        <f t="shared" si="1232"/>
        <v>0</v>
      </c>
      <c r="K1733" s="1" t="str">
        <f t="shared" si="1236"/>
        <v>103</v>
      </c>
      <c r="L1733" s="1" t="str">
        <f t="shared" si="1237"/>
        <v>47</v>
      </c>
      <c r="M1733" s="1" t="str">
        <f t="shared" si="1238"/>
        <v>0</v>
      </c>
      <c r="N1733" s="1" t="str">
        <f t="shared" si="1239"/>
        <v>0</v>
      </c>
      <c r="O1733" s="1" t="str">
        <f t="shared" ref="O1733:O1735" si="1244">"4.14"</f>
        <v>4.14</v>
      </c>
    </row>
    <row r="1734" s="1" customFormat="1" spans="1:15">
      <c r="A1734" s="1" t="str">
        <f t="shared" si="1240"/>
        <v>202406</v>
      </c>
      <c r="B1734" s="1" t="str">
        <f t="shared" si="1241"/>
        <v>150525100</v>
      </c>
      <c r="C1734" s="1" t="str">
        <f>"1014585063"</f>
        <v>1014585063</v>
      </c>
      <c r="D1734" s="1" t="str">
        <f>"152326195410040679"</f>
        <v>152326195410040679</v>
      </c>
      <c r="E1734" s="1" t="s">
        <v>1797</v>
      </c>
      <c r="F1734" s="1" t="s">
        <v>25</v>
      </c>
      <c r="G1734" s="1" t="s">
        <v>17</v>
      </c>
      <c r="H1734" s="1" t="str">
        <f t="shared" si="1242"/>
        <v>70</v>
      </c>
      <c r="I1734" s="1" t="str">
        <f t="shared" si="1243"/>
        <v>154.14</v>
      </c>
      <c r="J1734" s="1" t="str">
        <f t="shared" si="1232"/>
        <v>0</v>
      </c>
      <c r="K1734" s="1" t="str">
        <f t="shared" si="1236"/>
        <v>103</v>
      </c>
      <c r="L1734" s="1" t="str">
        <f t="shared" si="1237"/>
        <v>47</v>
      </c>
      <c r="M1734" s="1" t="str">
        <f t="shared" si="1238"/>
        <v>0</v>
      </c>
      <c r="N1734" s="1" t="str">
        <f t="shared" si="1239"/>
        <v>0</v>
      </c>
      <c r="O1734" s="1" t="str">
        <f t="shared" si="1244"/>
        <v>4.14</v>
      </c>
    </row>
    <row r="1735" s="1" customFormat="1" spans="1:15">
      <c r="A1735" s="1" t="str">
        <f t="shared" si="1240"/>
        <v>202406</v>
      </c>
      <c r="B1735" s="1" t="str">
        <f t="shared" si="1241"/>
        <v>150525100</v>
      </c>
      <c r="C1735" s="1" t="str">
        <f>"1014585069"</f>
        <v>1014585069</v>
      </c>
      <c r="D1735" s="1" t="str">
        <f>"152326195411210422"</f>
        <v>152326195411210422</v>
      </c>
      <c r="E1735" s="1" t="s">
        <v>1798</v>
      </c>
      <c r="F1735" s="1" t="s">
        <v>16</v>
      </c>
      <c r="G1735" s="1" t="s">
        <v>17</v>
      </c>
      <c r="H1735" s="1" t="str">
        <f t="shared" si="1242"/>
        <v>70</v>
      </c>
      <c r="I1735" s="1" t="str">
        <f t="shared" si="1243"/>
        <v>154.14</v>
      </c>
      <c r="J1735" s="1" t="str">
        <f t="shared" si="1232"/>
        <v>0</v>
      </c>
      <c r="K1735" s="1" t="str">
        <f t="shared" si="1236"/>
        <v>103</v>
      </c>
      <c r="L1735" s="1" t="str">
        <f t="shared" si="1237"/>
        <v>47</v>
      </c>
      <c r="M1735" s="1" t="str">
        <f t="shared" si="1238"/>
        <v>0</v>
      </c>
      <c r="N1735" s="1" t="str">
        <f t="shared" si="1239"/>
        <v>0</v>
      </c>
      <c r="O1735" s="1" t="str">
        <f t="shared" si="1244"/>
        <v>4.14</v>
      </c>
    </row>
    <row r="1736" s="1" customFormat="1" spans="1:15">
      <c r="A1736" s="1" t="str">
        <f t="shared" si="1240"/>
        <v>202406</v>
      </c>
      <c r="B1736" s="1" t="str">
        <f t="shared" si="1241"/>
        <v>150525100</v>
      </c>
      <c r="C1736" s="1" t="str">
        <f>"1014585071"</f>
        <v>1014585071</v>
      </c>
      <c r="D1736" s="1" t="str">
        <f>"152326195501020438"</f>
        <v>152326195501020438</v>
      </c>
      <c r="E1736" s="1" t="s">
        <v>1799</v>
      </c>
      <c r="F1736" s="1" t="s">
        <v>25</v>
      </c>
      <c r="G1736" s="1" t="s">
        <v>17</v>
      </c>
      <c r="H1736" s="1" t="str">
        <f t="shared" si="1242"/>
        <v>70</v>
      </c>
      <c r="I1736" s="1" t="str">
        <f>"155.09"</f>
        <v>155.09</v>
      </c>
      <c r="J1736" s="1" t="str">
        <f t="shared" si="1232"/>
        <v>0</v>
      </c>
      <c r="K1736" s="1" t="str">
        <f t="shared" si="1236"/>
        <v>103</v>
      </c>
      <c r="L1736" s="1" t="str">
        <f t="shared" si="1237"/>
        <v>47</v>
      </c>
      <c r="M1736" s="1" t="str">
        <f t="shared" si="1238"/>
        <v>0</v>
      </c>
      <c r="N1736" s="1" t="str">
        <f t="shared" si="1239"/>
        <v>0</v>
      </c>
      <c r="O1736" s="1" t="str">
        <f>"5.09"</f>
        <v>5.09</v>
      </c>
    </row>
    <row r="1737" s="1" customFormat="1" spans="1:15">
      <c r="A1737" s="1" t="str">
        <f t="shared" si="1240"/>
        <v>202406</v>
      </c>
      <c r="B1737" s="1" t="str">
        <f t="shared" si="1241"/>
        <v>150525100</v>
      </c>
      <c r="C1737" s="1" t="str">
        <f>"1014585078"</f>
        <v>1014585078</v>
      </c>
      <c r="D1737" s="1" t="str">
        <f>"152326195502080678"</f>
        <v>152326195502080678</v>
      </c>
      <c r="E1737" s="1" t="s">
        <v>1800</v>
      </c>
      <c r="F1737" s="1" t="s">
        <v>25</v>
      </c>
      <c r="G1737" s="1" t="s">
        <v>17</v>
      </c>
      <c r="H1737" s="1" t="str">
        <f>"69"</f>
        <v>69</v>
      </c>
      <c r="I1737" s="1" t="str">
        <f>"155.09"</f>
        <v>155.09</v>
      </c>
      <c r="J1737" s="1" t="str">
        <f t="shared" si="1232"/>
        <v>0</v>
      </c>
      <c r="K1737" s="1" t="str">
        <f t="shared" si="1236"/>
        <v>103</v>
      </c>
      <c r="L1737" s="1" t="str">
        <f t="shared" si="1237"/>
        <v>47</v>
      </c>
      <c r="M1737" s="1" t="str">
        <f t="shared" si="1238"/>
        <v>0</v>
      </c>
      <c r="N1737" s="1" t="str">
        <f t="shared" si="1239"/>
        <v>0</v>
      </c>
      <c r="O1737" s="1" t="str">
        <f>"5.09"</f>
        <v>5.09</v>
      </c>
    </row>
    <row r="1738" s="1" customFormat="1" spans="1:15">
      <c r="A1738" s="1" t="str">
        <f t="shared" si="1240"/>
        <v>202406</v>
      </c>
      <c r="B1738" s="1" t="str">
        <f t="shared" si="1241"/>
        <v>150525100</v>
      </c>
      <c r="C1738" s="1" t="str">
        <f>"1014561205"</f>
        <v>1014561205</v>
      </c>
      <c r="D1738" s="1" t="str">
        <f>"152326195710100426"</f>
        <v>152326195710100426</v>
      </c>
      <c r="E1738" s="1" t="s">
        <v>1801</v>
      </c>
      <c r="F1738" s="1" t="s">
        <v>16</v>
      </c>
      <c r="G1738" s="1" t="s">
        <v>17</v>
      </c>
      <c r="H1738" s="1" t="str">
        <f>"67"</f>
        <v>67</v>
      </c>
      <c r="I1738" s="1" t="str">
        <f>"156.1"</f>
        <v>156.1</v>
      </c>
      <c r="J1738" s="1" t="str">
        <f t="shared" si="1232"/>
        <v>0</v>
      </c>
      <c r="K1738" s="1" t="str">
        <f t="shared" si="1236"/>
        <v>103</v>
      </c>
      <c r="L1738" s="1" t="str">
        <f t="shared" si="1237"/>
        <v>47</v>
      </c>
      <c r="M1738" s="1" t="str">
        <f t="shared" si="1238"/>
        <v>0</v>
      </c>
      <c r="N1738" s="1" t="str">
        <f t="shared" si="1239"/>
        <v>0</v>
      </c>
      <c r="O1738" s="1" t="str">
        <f>"6.1"</f>
        <v>6.1</v>
      </c>
    </row>
    <row r="1739" s="1" customFormat="1" spans="1:15">
      <c r="A1739" s="1" t="str">
        <f t="shared" si="1240"/>
        <v>202406</v>
      </c>
      <c r="B1739" s="1" t="str">
        <f t="shared" si="1241"/>
        <v>150525100</v>
      </c>
      <c r="C1739" s="1" t="str">
        <f>"1014561210"</f>
        <v>1014561210</v>
      </c>
      <c r="D1739" s="1" t="str">
        <f>"152326195801150410"</f>
        <v>152326195801150410</v>
      </c>
      <c r="E1739" s="1" t="s">
        <v>1802</v>
      </c>
      <c r="F1739" s="1" t="s">
        <v>25</v>
      </c>
      <c r="G1739" s="1" t="s">
        <v>17</v>
      </c>
      <c r="H1739" s="1" t="str">
        <f t="shared" ref="H1739:H1742" si="1245">"66"</f>
        <v>66</v>
      </c>
      <c r="I1739" s="1" t="str">
        <f>"157.06"</f>
        <v>157.06</v>
      </c>
      <c r="J1739" s="1" t="str">
        <f t="shared" si="1232"/>
        <v>0</v>
      </c>
      <c r="K1739" s="1" t="str">
        <f t="shared" si="1236"/>
        <v>103</v>
      </c>
      <c r="L1739" s="1" t="str">
        <f t="shared" si="1237"/>
        <v>47</v>
      </c>
      <c r="M1739" s="1" t="str">
        <f t="shared" si="1238"/>
        <v>0</v>
      </c>
      <c r="N1739" s="1" t="str">
        <f t="shared" si="1239"/>
        <v>0</v>
      </c>
      <c r="O1739" s="1" t="str">
        <f>"7.06"</f>
        <v>7.06</v>
      </c>
    </row>
    <row r="1740" s="1" customFormat="1" spans="1:15">
      <c r="A1740" s="1" t="str">
        <f t="shared" si="1240"/>
        <v>202406</v>
      </c>
      <c r="B1740" s="1" t="str">
        <f t="shared" si="1241"/>
        <v>150525100</v>
      </c>
      <c r="C1740" s="1" t="str">
        <f>"1014561211"</f>
        <v>1014561211</v>
      </c>
      <c r="D1740" s="1" t="str">
        <f>"152326195802230412"</f>
        <v>152326195802230412</v>
      </c>
      <c r="E1740" s="1" t="s">
        <v>1803</v>
      </c>
      <c r="F1740" s="1" t="s">
        <v>25</v>
      </c>
      <c r="G1740" s="1" t="s">
        <v>19</v>
      </c>
      <c r="H1740" s="1" t="str">
        <f t="shared" si="1245"/>
        <v>66</v>
      </c>
      <c r="I1740" s="1" t="str">
        <f>"157.07"</f>
        <v>157.07</v>
      </c>
      <c r="J1740" s="1" t="str">
        <f t="shared" si="1232"/>
        <v>0</v>
      </c>
      <c r="K1740" s="1" t="str">
        <f t="shared" si="1236"/>
        <v>103</v>
      </c>
      <c r="L1740" s="1" t="str">
        <f t="shared" si="1237"/>
        <v>47</v>
      </c>
      <c r="M1740" s="1" t="str">
        <f t="shared" si="1238"/>
        <v>0</v>
      </c>
      <c r="N1740" s="1" t="str">
        <f t="shared" si="1239"/>
        <v>0</v>
      </c>
      <c r="O1740" s="1" t="str">
        <f>"7.07"</f>
        <v>7.07</v>
      </c>
    </row>
    <row r="1741" s="1" customFormat="1" spans="1:15">
      <c r="A1741" s="1" t="str">
        <f t="shared" si="1240"/>
        <v>202406</v>
      </c>
      <c r="B1741" s="1" t="str">
        <f t="shared" si="1241"/>
        <v>150525100</v>
      </c>
      <c r="C1741" s="1" t="str">
        <f>"1014561215"</f>
        <v>1014561215</v>
      </c>
      <c r="D1741" s="1" t="str">
        <f>"152326195807100422"</f>
        <v>152326195807100422</v>
      </c>
      <c r="E1741" s="1" t="s">
        <v>1804</v>
      </c>
      <c r="F1741" s="1" t="s">
        <v>16</v>
      </c>
      <c r="G1741" s="1" t="s">
        <v>17</v>
      </c>
      <c r="H1741" s="1" t="str">
        <f t="shared" si="1245"/>
        <v>66</v>
      </c>
      <c r="I1741" s="1" t="str">
        <f>"157.11"</f>
        <v>157.11</v>
      </c>
      <c r="J1741" s="1" t="str">
        <f t="shared" si="1232"/>
        <v>0</v>
      </c>
      <c r="K1741" s="1" t="str">
        <f t="shared" si="1236"/>
        <v>103</v>
      </c>
      <c r="L1741" s="1" t="str">
        <f t="shared" si="1237"/>
        <v>47</v>
      </c>
      <c r="M1741" s="1" t="str">
        <f t="shared" si="1238"/>
        <v>0</v>
      </c>
      <c r="N1741" s="1" t="str">
        <f t="shared" si="1239"/>
        <v>0</v>
      </c>
      <c r="O1741" s="1" t="str">
        <f>"7.11"</f>
        <v>7.11</v>
      </c>
    </row>
    <row r="1742" s="1" customFormat="1" spans="1:15">
      <c r="A1742" s="1" t="str">
        <f t="shared" si="1240"/>
        <v>202406</v>
      </c>
      <c r="B1742" s="1" t="str">
        <f t="shared" si="1241"/>
        <v>150525100</v>
      </c>
      <c r="C1742" s="1" t="str">
        <f>"1014561220"</f>
        <v>1014561220</v>
      </c>
      <c r="D1742" s="1" t="str">
        <f>"152326195812270418"</f>
        <v>152326195812270418</v>
      </c>
      <c r="E1742" s="1" t="s">
        <v>1123</v>
      </c>
      <c r="F1742" s="1" t="s">
        <v>25</v>
      </c>
      <c r="G1742" s="1" t="s">
        <v>17</v>
      </c>
      <c r="H1742" s="1" t="str">
        <f t="shared" si="1245"/>
        <v>66</v>
      </c>
      <c r="I1742" s="1" t="str">
        <f>"156.9"</f>
        <v>156.9</v>
      </c>
      <c r="J1742" s="1" t="str">
        <f t="shared" si="1232"/>
        <v>0</v>
      </c>
      <c r="K1742" s="1" t="str">
        <f t="shared" si="1236"/>
        <v>103</v>
      </c>
      <c r="L1742" s="1" t="str">
        <f t="shared" si="1237"/>
        <v>47</v>
      </c>
      <c r="M1742" s="1" t="str">
        <f t="shared" si="1238"/>
        <v>0</v>
      </c>
      <c r="N1742" s="1" t="str">
        <f t="shared" si="1239"/>
        <v>0</v>
      </c>
      <c r="O1742" s="1" t="str">
        <f>"6.9"</f>
        <v>6.9</v>
      </c>
    </row>
    <row r="1743" s="1" customFormat="1" spans="1:15">
      <c r="A1743" s="1" t="str">
        <f t="shared" si="1240"/>
        <v>202406</v>
      </c>
      <c r="B1743" s="1" t="str">
        <f t="shared" si="1241"/>
        <v>150525100</v>
      </c>
      <c r="C1743" s="1" t="str">
        <f>"1014561226"</f>
        <v>1014561226</v>
      </c>
      <c r="D1743" s="1" t="str">
        <f>"152326195907210418"</f>
        <v>152326195907210418</v>
      </c>
      <c r="E1743" s="1" t="s">
        <v>959</v>
      </c>
      <c r="F1743" s="1" t="s">
        <v>25</v>
      </c>
      <c r="G1743" s="1" t="s">
        <v>17</v>
      </c>
      <c r="H1743" s="1" t="str">
        <f>"65"</f>
        <v>65</v>
      </c>
      <c r="I1743" s="1" t="str">
        <f>"158.16"</f>
        <v>158.16</v>
      </c>
      <c r="J1743" s="1" t="str">
        <f t="shared" si="1232"/>
        <v>0</v>
      </c>
      <c r="K1743" s="1" t="str">
        <f t="shared" si="1236"/>
        <v>103</v>
      </c>
      <c r="L1743" s="1" t="str">
        <f t="shared" si="1237"/>
        <v>47</v>
      </c>
      <c r="M1743" s="1" t="str">
        <f t="shared" si="1238"/>
        <v>0</v>
      </c>
      <c r="N1743" s="1" t="str">
        <f t="shared" si="1239"/>
        <v>0</v>
      </c>
      <c r="O1743" s="1" t="str">
        <f>"8.16"</f>
        <v>8.16</v>
      </c>
    </row>
    <row r="1744" s="1" customFormat="1" spans="1:15">
      <c r="A1744" s="1" t="str">
        <f t="shared" si="1240"/>
        <v>202406</v>
      </c>
      <c r="B1744" s="1" t="str">
        <f t="shared" si="1241"/>
        <v>150525100</v>
      </c>
      <c r="C1744" s="1" t="str">
        <f>"1014561227"</f>
        <v>1014561227</v>
      </c>
      <c r="D1744" s="1" t="str">
        <f>"152326195908100413"</f>
        <v>152326195908100413</v>
      </c>
      <c r="E1744" s="1" t="s">
        <v>1805</v>
      </c>
      <c r="F1744" s="1" t="s">
        <v>25</v>
      </c>
      <c r="G1744" s="1" t="s">
        <v>17</v>
      </c>
      <c r="H1744" s="1" t="str">
        <f>"65"</f>
        <v>65</v>
      </c>
      <c r="I1744" s="1" t="str">
        <f>"158.17"</f>
        <v>158.17</v>
      </c>
      <c r="J1744" s="1" t="str">
        <f t="shared" si="1232"/>
        <v>0</v>
      </c>
      <c r="K1744" s="1" t="str">
        <f t="shared" si="1236"/>
        <v>103</v>
      </c>
      <c r="L1744" s="1" t="str">
        <f t="shared" si="1237"/>
        <v>47</v>
      </c>
      <c r="M1744" s="1" t="str">
        <f t="shared" si="1238"/>
        <v>0</v>
      </c>
      <c r="N1744" s="1" t="str">
        <f t="shared" si="1239"/>
        <v>0</v>
      </c>
      <c r="O1744" s="1" t="str">
        <f>"8.17"</f>
        <v>8.17</v>
      </c>
    </row>
    <row r="1745" s="1" customFormat="1" spans="1:15">
      <c r="A1745" s="1" t="str">
        <f t="shared" si="1240"/>
        <v>202406</v>
      </c>
      <c r="B1745" s="1" t="str">
        <f t="shared" si="1241"/>
        <v>150525100</v>
      </c>
      <c r="C1745" s="1" t="str">
        <f>"1040833150"</f>
        <v>1040833150</v>
      </c>
      <c r="D1745" s="1" t="str">
        <f>"152326195511140038"</f>
        <v>152326195511140038</v>
      </c>
      <c r="E1745" s="1" t="s">
        <v>1806</v>
      </c>
      <c r="F1745" s="1" t="s">
        <v>25</v>
      </c>
      <c r="G1745" s="1" t="s">
        <v>17</v>
      </c>
      <c r="H1745" s="1" t="str">
        <f>"69"</f>
        <v>69</v>
      </c>
      <c r="I1745" s="1" t="str">
        <f>"154.51"</f>
        <v>154.51</v>
      </c>
      <c r="J1745" s="1" t="str">
        <f t="shared" si="1232"/>
        <v>0</v>
      </c>
      <c r="K1745" s="1" t="str">
        <f t="shared" si="1236"/>
        <v>103</v>
      </c>
      <c r="L1745" s="1" t="str">
        <f t="shared" si="1237"/>
        <v>47</v>
      </c>
      <c r="M1745" s="1" t="str">
        <f t="shared" si="1238"/>
        <v>0</v>
      </c>
      <c r="N1745" s="1" t="str">
        <f t="shared" si="1239"/>
        <v>0</v>
      </c>
      <c r="O1745" s="1" t="str">
        <f>"4.51"</f>
        <v>4.51</v>
      </c>
    </row>
    <row r="1746" s="1" customFormat="1" spans="1:15">
      <c r="A1746" s="1" t="str">
        <f t="shared" si="1240"/>
        <v>202406</v>
      </c>
      <c r="B1746" s="1" t="str">
        <f t="shared" si="1241"/>
        <v>150525100</v>
      </c>
      <c r="C1746" s="1" t="str">
        <f>"1040833207"</f>
        <v>1040833207</v>
      </c>
      <c r="D1746" s="1" t="str">
        <f>"152326195306120441"</f>
        <v>152326195306120441</v>
      </c>
      <c r="E1746" s="1" t="s">
        <v>1807</v>
      </c>
      <c r="F1746" s="1" t="s">
        <v>16</v>
      </c>
      <c r="G1746" s="1" t="s">
        <v>17</v>
      </c>
      <c r="H1746" s="1" t="str">
        <f>"71"</f>
        <v>71</v>
      </c>
      <c r="I1746" s="1" t="str">
        <f>"162.3"</f>
        <v>162.3</v>
      </c>
      <c r="J1746" s="1" t="str">
        <f t="shared" si="1232"/>
        <v>0</v>
      </c>
      <c r="K1746" s="1" t="str">
        <f t="shared" si="1236"/>
        <v>103</v>
      </c>
      <c r="L1746" s="1" t="str">
        <f t="shared" si="1237"/>
        <v>47</v>
      </c>
      <c r="M1746" s="1" t="str">
        <f t="shared" si="1238"/>
        <v>0</v>
      </c>
      <c r="N1746" s="1" t="str">
        <f t="shared" si="1239"/>
        <v>0</v>
      </c>
      <c r="O1746" s="1" t="str">
        <f>"2.3"</f>
        <v>2.3</v>
      </c>
    </row>
    <row r="1747" s="1" customFormat="1" spans="1:15">
      <c r="A1747" s="1" t="str">
        <f t="shared" si="1240"/>
        <v>202406</v>
      </c>
      <c r="B1747" s="1" t="str">
        <f t="shared" si="1241"/>
        <v>150525100</v>
      </c>
      <c r="C1747" s="1" t="str">
        <f>"1014562983"</f>
        <v>1014562983</v>
      </c>
      <c r="D1747" s="1" t="str">
        <f>"152326196308170439"</f>
        <v>152326196308170439</v>
      </c>
      <c r="E1747" s="1" t="s">
        <v>1808</v>
      </c>
      <c r="F1747" s="1" t="s">
        <v>25</v>
      </c>
      <c r="G1747" s="1" t="s">
        <v>17</v>
      </c>
      <c r="H1747" s="1" t="str">
        <f>"61"</f>
        <v>61</v>
      </c>
      <c r="I1747" s="1" t="str">
        <f>"216.53"</f>
        <v>216.53</v>
      </c>
      <c r="J1747" s="1" t="str">
        <f t="shared" si="1232"/>
        <v>0</v>
      </c>
      <c r="K1747" s="1" t="str">
        <f t="shared" si="1236"/>
        <v>103</v>
      </c>
      <c r="L1747" s="1" t="str">
        <f t="shared" si="1237"/>
        <v>47</v>
      </c>
      <c r="M1747" s="1" t="str">
        <f t="shared" si="1238"/>
        <v>0</v>
      </c>
      <c r="N1747" s="1" t="str">
        <f t="shared" si="1239"/>
        <v>0</v>
      </c>
      <c r="O1747" s="1" t="str">
        <f>"66.53"</f>
        <v>66.53</v>
      </c>
    </row>
    <row r="1748" s="1" customFormat="1" spans="1:15">
      <c r="A1748" s="1" t="str">
        <f t="shared" si="1240"/>
        <v>202406</v>
      </c>
      <c r="B1748" s="1" t="str">
        <f t="shared" si="1241"/>
        <v>150525100</v>
      </c>
      <c r="C1748" s="1" t="str">
        <f>"1014562987"</f>
        <v>1014562987</v>
      </c>
      <c r="D1748" s="1" t="str">
        <f>"152326195510100421"</f>
        <v>152326195510100421</v>
      </c>
      <c r="E1748" s="1" t="s">
        <v>1809</v>
      </c>
      <c r="F1748" s="1" t="s">
        <v>16</v>
      </c>
      <c r="G1748" s="1" t="s">
        <v>17</v>
      </c>
      <c r="H1748" s="1" t="str">
        <f>"69"</f>
        <v>69</v>
      </c>
      <c r="I1748" s="1" t="str">
        <f>"155.11"</f>
        <v>155.11</v>
      </c>
      <c r="J1748" s="1" t="str">
        <f t="shared" si="1232"/>
        <v>0</v>
      </c>
      <c r="K1748" s="1" t="str">
        <f t="shared" si="1236"/>
        <v>103</v>
      </c>
      <c r="L1748" s="1" t="str">
        <f t="shared" si="1237"/>
        <v>47</v>
      </c>
      <c r="M1748" s="1" t="str">
        <f t="shared" si="1238"/>
        <v>0</v>
      </c>
      <c r="N1748" s="1" t="str">
        <f t="shared" si="1239"/>
        <v>0</v>
      </c>
      <c r="O1748" s="1" t="str">
        <f>"5.11"</f>
        <v>5.11</v>
      </c>
    </row>
    <row r="1749" s="1" customFormat="1" spans="1:15">
      <c r="A1749" s="1" t="str">
        <f t="shared" si="1240"/>
        <v>202406</v>
      </c>
      <c r="B1749" s="1" t="str">
        <f t="shared" si="1241"/>
        <v>150525100</v>
      </c>
      <c r="C1749" s="1" t="str">
        <f>"1014569757"</f>
        <v>1014569757</v>
      </c>
      <c r="D1749" s="1" t="str">
        <f>"152326195709220412"</f>
        <v>152326195709220412</v>
      </c>
      <c r="E1749" s="1" t="s">
        <v>1810</v>
      </c>
      <c r="F1749" s="1" t="s">
        <v>25</v>
      </c>
      <c r="G1749" s="1" t="s">
        <v>17</v>
      </c>
      <c r="H1749" s="1" t="str">
        <f>"67"</f>
        <v>67</v>
      </c>
      <c r="I1749" s="1" t="str">
        <f>"156.09"</f>
        <v>156.09</v>
      </c>
      <c r="J1749" s="1" t="str">
        <f t="shared" si="1232"/>
        <v>0</v>
      </c>
      <c r="K1749" s="1" t="str">
        <f t="shared" si="1236"/>
        <v>103</v>
      </c>
      <c r="L1749" s="1" t="str">
        <f t="shared" si="1237"/>
        <v>47</v>
      </c>
      <c r="M1749" s="1" t="str">
        <f t="shared" si="1238"/>
        <v>0</v>
      </c>
      <c r="N1749" s="1" t="str">
        <f t="shared" si="1239"/>
        <v>0</v>
      </c>
      <c r="O1749" s="1" t="str">
        <f>"6.09"</f>
        <v>6.09</v>
      </c>
    </row>
    <row r="1750" s="1" customFormat="1" spans="1:15">
      <c r="A1750" s="1" t="str">
        <f t="shared" si="1240"/>
        <v>202406</v>
      </c>
      <c r="B1750" s="1" t="str">
        <f t="shared" si="1241"/>
        <v>150525100</v>
      </c>
      <c r="C1750" s="1" t="str">
        <f>"1014569767"</f>
        <v>1014569767</v>
      </c>
      <c r="D1750" s="1" t="str">
        <f>"152326195808010410"</f>
        <v>152326195808010410</v>
      </c>
      <c r="E1750" s="1" t="s">
        <v>1811</v>
      </c>
      <c r="F1750" s="1" t="s">
        <v>25</v>
      </c>
      <c r="G1750" s="1" t="s">
        <v>17</v>
      </c>
      <c r="H1750" s="1" t="str">
        <f>"66"</f>
        <v>66</v>
      </c>
      <c r="I1750" s="1" t="str">
        <f>"157.12"</f>
        <v>157.12</v>
      </c>
      <c r="J1750" s="1" t="str">
        <f t="shared" si="1232"/>
        <v>0</v>
      </c>
      <c r="K1750" s="1" t="str">
        <f t="shared" si="1236"/>
        <v>103</v>
      </c>
      <c r="L1750" s="1" t="str">
        <f t="shared" si="1237"/>
        <v>47</v>
      </c>
      <c r="M1750" s="1" t="str">
        <f t="shared" si="1238"/>
        <v>0</v>
      </c>
      <c r="N1750" s="1" t="str">
        <f t="shared" si="1239"/>
        <v>0</v>
      </c>
      <c r="O1750" s="1" t="str">
        <f>"7.12"</f>
        <v>7.12</v>
      </c>
    </row>
    <row r="1751" s="1" customFormat="1" spans="1:15">
      <c r="A1751" s="1" t="str">
        <f t="shared" si="1240"/>
        <v>202406</v>
      </c>
      <c r="B1751" s="1" t="str">
        <f t="shared" si="1241"/>
        <v>150525100</v>
      </c>
      <c r="C1751" s="1" t="str">
        <f>"1014550064"</f>
        <v>1014550064</v>
      </c>
      <c r="D1751" s="1" t="str">
        <f>"152326195605083089"</f>
        <v>152326195605083089</v>
      </c>
      <c r="E1751" s="1" t="s">
        <v>1812</v>
      </c>
      <c r="F1751" s="1" t="s">
        <v>16</v>
      </c>
      <c r="G1751" s="1" t="s">
        <v>17</v>
      </c>
      <c r="H1751" s="1" t="str">
        <f>"68"</f>
        <v>68</v>
      </c>
      <c r="I1751" s="1" t="str">
        <f>"156"</f>
        <v>156</v>
      </c>
      <c r="J1751" s="1" t="str">
        <f t="shared" si="1232"/>
        <v>0</v>
      </c>
      <c r="K1751" s="1" t="str">
        <f t="shared" si="1236"/>
        <v>103</v>
      </c>
      <c r="L1751" s="1" t="str">
        <f t="shared" si="1237"/>
        <v>47</v>
      </c>
      <c r="M1751" s="1" t="str">
        <f t="shared" si="1238"/>
        <v>0</v>
      </c>
      <c r="N1751" s="1" t="str">
        <f t="shared" si="1239"/>
        <v>0</v>
      </c>
      <c r="O1751" s="1" t="str">
        <f>"6"</f>
        <v>6</v>
      </c>
    </row>
    <row r="1752" s="1" customFormat="1" spans="1:15">
      <c r="A1752" s="1" t="str">
        <f t="shared" si="1240"/>
        <v>202406</v>
      </c>
      <c r="B1752" s="1" t="str">
        <f t="shared" si="1241"/>
        <v>150525100</v>
      </c>
      <c r="C1752" s="1" t="str">
        <f>"1014550544"</f>
        <v>1014550544</v>
      </c>
      <c r="D1752" s="1" t="s">
        <v>1813</v>
      </c>
      <c r="E1752" s="1" t="s">
        <v>1814</v>
      </c>
      <c r="F1752" s="1" t="s">
        <v>25</v>
      </c>
      <c r="G1752" s="1" t="s">
        <v>17</v>
      </c>
      <c r="H1752" s="1" t="str">
        <f>"61"</f>
        <v>61</v>
      </c>
      <c r="I1752" s="1" t="str">
        <f>"164.95"</f>
        <v>164.95</v>
      </c>
      <c r="J1752" s="1" t="str">
        <f t="shared" si="1232"/>
        <v>0</v>
      </c>
      <c r="K1752" s="1" t="str">
        <f t="shared" si="1236"/>
        <v>103</v>
      </c>
      <c r="L1752" s="1" t="str">
        <f t="shared" si="1237"/>
        <v>47</v>
      </c>
      <c r="M1752" s="1" t="str">
        <f t="shared" si="1238"/>
        <v>0</v>
      </c>
      <c r="N1752" s="1" t="str">
        <f t="shared" si="1239"/>
        <v>0</v>
      </c>
      <c r="O1752" s="1" t="str">
        <f>"14.95"</f>
        <v>14.95</v>
      </c>
    </row>
    <row r="1753" s="1" customFormat="1" spans="1:15">
      <c r="A1753" s="1" t="str">
        <f t="shared" si="1240"/>
        <v>202406</v>
      </c>
      <c r="B1753" s="1" t="str">
        <f t="shared" si="1241"/>
        <v>150525100</v>
      </c>
      <c r="C1753" s="1" t="str">
        <f>"1014585090"</f>
        <v>1014585090</v>
      </c>
      <c r="D1753" s="1" t="s">
        <v>1815</v>
      </c>
      <c r="E1753" s="1" t="s">
        <v>1816</v>
      </c>
      <c r="F1753" s="1" t="s">
        <v>16</v>
      </c>
      <c r="G1753" s="1" t="s">
        <v>17</v>
      </c>
      <c r="H1753" s="1" t="str">
        <f>"64"</f>
        <v>64</v>
      </c>
      <c r="I1753" s="1" t="str">
        <f>"159.19"</f>
        <v>159.19</v>
      </c>
      <c r="J1753" s="1" t="str">
        <f t="shared" si="1232"/>
        <v>0</v>
      </c>
      <c r="K1753" s="1" t="str">
        <f t="shared" si="1236"/>
        <v>103</v>
      </c>
      <c r="L1753" s="1" t="str">
        <f t="shared" si="1237"/>
        <v>47</v>
      </c>
      <c r="M1753" s="1" t="str">
        <f t="shared" si="1238"/>
        <v>0</v>
      </c>
      <c r="N1753" s="1" t="str">
        <f t="shared" si="1239"/>
        <v>0</v>
      </c>
      <c r="O1753" s="1" t="str">
        <f>"9.19"</f>
        <v>9.19</v>
      </c>
    </row>
    <row r="1754" s="1" customFormat="1" spans="1:15">
      <c r="A1754" s="1" t="str">
        <f t="shared" si="1240"/>
        <v>202406</v>
      </c>
      <c r="B1754" s="1" t="str">
        <f t="shared" si="1241"/>
        <v>150525100</v>
      </c>
      <c r="C1754" s="1" t="str">
        <f>"1014585092"</f>
        <v>1014585092</v>
      </c>
      <c r="D1754" s="1" t="str">
        <f>"152326196007280415"</f>
        <v>152326196007280415</v>
      </c>
      <c r="E1754" s="1" t="s">
        <v>1817</v>
      </c>
      <c r="F1754" s="1" t="s">
        <v>25</v>
      </c>
      <c r="G1754" s="1" t="s">
        <v>17</v>
      </c>
      <c r="H1754" s="1" t="str">
        <f>"64"</f>
        <v>64</v>
      </c>
      <c r="I1754" s="1" t="str">
        <f>"159.23"</f>
        <v>159.23</v>
      </c>
      <c r="J1754" s="1" t="str">
        <f t="shared" si="1232"/>
        <v>0</v>
      </c>
      <c r="K1754" s="1" t="str">
        <f t="shared" si="1236"/>
        <v>103</v>
      </c>
      <c r="L1754" s="1" t="str">
        <f t="shared" si="1237"/>
        <v>47</v>
      </c>
      <c r="M1754" s="1" t="str">
        <f t="shared" si="1238"/>
        <v>0</v>
      </c>
      <c r="N1754" s="1" t="str">
        <f t="shared" si="1239"/>
        <v>0</v>
      </c>
      <c r="O1754" s="1" t="str">
        <f>"9.23"</f>
        <v>9.23</v>
      </c>
    </row>
    <row r="1755" s="1" customFormat="1" spans="1:15">
      <c r="A1755" s="1" t="str">
        <f t="shared" si="1240"/>
        <v>202406</v>
      </c>
      <c r="B1755" s="1" t="str">
        <f t="shared" si="1241"/>
        <v>150525100</v>
      </c>
      <c r="C1755" s="1" t="str">
        <f>"1014561244"</f>
        <v>1014561244</v>
      </c>
      <c r="D1755" s="1" t="str">
        <f>"152326195503140425"</f>
        <v>152326195503140425</v>
      </c>
      <c r="E1755" s="1" t="s">
        <v>1818</v>
      </c>
      <c r="F1755" s="1" t="s">
        <v>16</v>
      </c>
      <c r="G1755" s="1" t="s">
        <v>17</v>
      </c>
      <c r="H1755" s="1" t="str">
        <f>"69"</f>
        <v>69</v>
      </c>
      <c r="I1755" s="1" t="str">
        <f>"155.1"</f>
        <v>155.1</v>
      </c>
      <c r="J1755" s="1" t="str">
        <f t="shared" si="1232"/>
        <v>0</v>
      </c>
      <c r="K1755" s="1" t="str">
        <f t="shared" si="1236"/>
        <v>103</v>
      </c>
      <c r="L1755" s="1" t="str">
        <f t="shared" si="1237"/>
        <v>47</v>
      </c>
      <c r="M1755" s="1" t="str">
        <f t="shared" si="1238"/>
        <v>0</v>
      </c>
      <c r="N1755" s="1" t="str">
        <f t="shared" si="1239"/>
        <v>0</v>
      </c>
      <c r="O1755" s="1" t="str">
        <f>"5.1"</f>
        <v>5.1</v>
      </c>
    </row>
    <row r="1756" s="1" customFormat="1" spans="1:15">
      <c r="A1756" s="1" t="str">
        <f t="shared" si="1240"/>
        <v>202406</v>
      </c>
      <c r="B1756" s="1" t="str">
        <f t="shared" si="1241"/>
        <v>150525100</v>
      </c>
      <c r="C1756" s="1" t="str">
        <f>"1014561248"</f>
        <v>1014561248</v>
      </c>
      <c r="D1756" s="1" t="str">
        <f>"152326195804070424"</f>
        <v>152326195804070424</v>
      </c>
      <c r="E1756" s="1" t="s">
        <v>1819</v>
      </c>
      <c r="F1756" s="1" t="s">
        <v>16</v>
      </c>
      <c r="G1756" s="1" t="s">
        <v>17</v>
      </c>
      <c r="H1756" s="1" t="str">
        <f>"66"</f>
        <v>66</v>
      </c>
      <c r="I1756" s="1" t="str">
        <f>"158.03"</f>
        <v>158.03</v>
      </c>
      <c r="J1756" s="1" t="str">
        <f t="shared" si="1232"/>
        <v>0</v>
      </c>
      <c r="K1756" s="1" t="str">
        <f t="shared" si="1236"/>
        <v>103</v>
      </c>
      <c r="L1756" s="1" t="str">
        <f t="shared" si="1237"/>
        <v>47</v>
      </c>
      <c r="M1756" s="1" t="str">
        <f t="shared" si="1238"/>
        <v>0</v>
      </c>
      <c r="N1756" s="1" t="str">
        <f t="shared" si="1239"/>
        <v>0</v>
      </c>
      <c r="O1756" s="1" t="str">
        <f>"8.03"</f>
        <v>8.03</v>
      </c>
    </row>
    <row r="1757" s="1" customFormat="1" spans="1:15">
      <c r="A1757" s="1" t="str">
        <f t="shared" si="1240"/>
        <v>202406</v>
      </c>
      <c r="B1757" s="1" t="str">
        <f t="shared" si="1241"/>
        <v>150525100</v>
      </c>
      <c r="C1757" s="1" t="str">
        <f>"1014562502"</f>
        <v>1014562502</v>
      </c>
      <c r="D1757" s="1" t="str">
        <f>"152326195309010416"</f>
        <v>152326195309010416</v>
      </c>
      <c r="E1757" s="1" t="s">
        <v>1820</v>
      </c>
      <c r="F1757" s="1" t="s">
        <v>25</v>
      </c>
      <c r="G1757" s="1" t="s">
        <v>17</v>
      </c>
      <c r="H1757" s="1" t="str">
        <f>"71"</f>
        <v>71</v>
      </c>
      <c r="I1757" s="1" t="str">
        <f>"163.18"</f>
        <v>163.18</v>
      </c>
      <c r="J1757" s="1" t="str">
        <f t="shared" si="1232"/>
        <v>0</v>
      </c>
      <c r="K1757" s="1" t="str">
        <f t="shared" si="1236"/>
        <v>103</v>
      </c>
      <c r="L1757" s="1" t="str">
        <f t="shared" si="1237"/>
        <v>47</v>
      </c>
      <c r="M1757" s="1" t="str">
        <f t="shared" si="1238"/>
        <v>0</v>
      </c>
      <c r="N1757" s="1" t="str">
        <f t="shared" si="1239"/>
        <v>0</v>
      </c>
      <c r="O1757" s="1" t="str">
        <f>"3.18"</f>
        <v>3.18</v>
      </c>
    </row>
    <row r="1758" s="1" customFormat="1" spans="1:15">
      <c r="A1758" s="1" t="str">
        <f t="shared" si="1240"/>
        <v>202406</v>
      </c>
      <c r="B1758" s="1" t="str">
        <f t="shared" si="1241"/>
        <v>150525100</v>
      </c>
      <c r="C1758" s="1" t="str">
        <f>"1014562990"</f>
        <v>1014562990</v>
      </c>
      <c r="D1758" s="1" t="s">
        <v>1821</v>
      </c>
      <c r="E1758" s="1" t="s">
        <v>1822</v>
      </c>
      <c r="F1758" s="1" t="s">
        <v>25</v>
      </c>
      <c r="G1758" s="1" t="s">
        <v>17</v>
      </c>
      <c r="H1758" s="1" t="str">
        <f>"71"</f>
        <v>71</v>
      </c>
      <c r="I1758" s="1" t="str">
        <f>"163.18"</f>
        <v>163.18</v>
      </c>
      <c r="J1758" s="1" t="str">
        <f t="shared" si="1232"/>
        <v>0</v>
      </c>
      <c r="K1758" s="1" t="str">
        <f t="shared" si="1236"/>
        <v>103</v>
      </c>
      <c r="L1758" s="1" t="str">
        <f t="shared" si="1237"/>
        <v>47</v>
      </c>
      <c r="M1758" s="1" t="str">
        <f t="shared" si="1238"/>
        <v>0</v>
      </c>
      <c r="N1758" s="1" t="str">
        <f t="shared" si="1239"/>
        <v>0</v>
      </c>
      <c r="O1758" s="1" t="str">
        <f>"3.18"</f>
        <v>3.18</v>
      </c>
    </row>
    <row r="1759" s="1" customFormat="1" spans="1:15">
      <c r="A1759" s="1" t="str">
        <f t="shared" si="1240"/>
        <v>202406</v>
      </c>
      <c r="B1759" s="1" t="str">
        <f t="shared" si="1241"/>
        <v>150525100</v>
      </c>
      <c r="C1759" s="1" t="str">
        <f>"1014563364"</f>
        <v>1014563364</v>
      </c>
      <c r="D1759" s="1" t="str">
        <f>"152326195910170445"</f>
        <v>152326195910170445</v>
      </c>
      <c r="E1759" s="1" t="s">
        <v>1823</v>
      </c>
      <c r="F1759" s="1" t="s">
        <v>16</v>
      </c>
      <c r="G1759" s="1" t="s">
        <v>17</v>
      </c>
      <c r="H1759" s="1" t="str">
        <f>"65"</f>
        <v>65</v>
      </c>
      <c r="I1759" s="1" t="str">
        <f>"158.22"</f>
        <v>158.22</v>
      </c>
      <c r="J1759" s="1" t="str">
        <f t="shared" si="1232"/>
        <v>0</v>
      </c>
      <c r="K1759" s="1" t="str">
        <f t="shared" si="1236"/>
        <v>103</v>
      </c>
      <c r="L1759" s="1" t="str">
        <f t="shared" si="1237"/>
        <v>47</v>
      </c>
      <c r="M1759" s="1" t="str">
        <f t="shared" si="1238"/>
        <v>0</v>
      </c>
      <c r="N1759" s="1" t="str">
        <f t="shared" si="1239"/>
        <v>0</v>
      </c>
      <c r="O1759" s="1" t="str">
        <f>"8.22"</f>
        <v>8.22</v>
      </c>
    </row>
    <row r="1760" s="1" customFormat="1" spans="1:15">
      <c r="A1760" s="1" t="str">
        <f t="shared" si="1240"/>
        <v>202406</v>
      </c>
      <c r="B1760" s="1" t="str">
        <f t="shared" si="1241"/>
        <v>150525100</v>
      </c>
      <c r="C1760" s="1" t="str">
        <f>"1014563373"</f>
        <v>1014563373</v>
      </c>
      <c r="D1760" s="1" t="s">
        <v>1824</v>
      </c>
      <c r="E1760" s="1" t="s">
        <v>1825</v>
      </c>
      <c r="F1760" s="1" t="s">
        <v>16</v>
      </c>
      <c r="G1760" s="1" t="s">
        <v>19</v>
      </c>
      <c r="H1760" s="1" t="str">
        <f>"64"</f>
        <v>64</v>
      </c>
      <c r="I1760" s="1" t="str">
        <f>"161.02"</f>
        <v>161.02</v>
      </c>
      <c r="J1760" s="1" t="str">
        <f t="shared" si="1232"/>
        <v>0</v>
      </c>
      <c r="K1760" s="1" t="str">
        <f t="shared" si="1236"/>
        <v>103</v>
      </c>
      <c r="L1760" s="1" t="str">
        <f t="shared" si="1237"/>
        <v>47</v>
      </c>
      <c r="M1760" s="1" t="str">
        <f t="shared" si="1238"/>
        <v>0</v>
      </c>
      <c r="N1760" s="1" t="str">
        <f t="shared" si="1239"/>
        <v>0</v>
      </c>
      <c r="O1760" s="1" t="str">
        <f>"11.02"</f>
        <v>11.02</v>
      </c>
    </row>
    <row r="1761" s="1" customFormat="1" spans="1:15">
      <c r="A1761" s="1" t="str">
        <f t="shared" si="1240"/>
        <v>202406</v>
      </c>
      <c r="B1761" s="1" t="str">
        <f t="shared" si="1241"/>
        <v>150525100</v>
      </c>
      <c r="C1761" s="1" t="str">
        <f>"1014549570"</f>
        <v>1014549570</v>
      </c>
      <c r="D1761" s="1" t="s">
        <v>1826</v>
      </c>
      <c r="E1761" s="1" t="s">
        <v>1827</v>
      </c>
      <c r="F1761" s="1" t="s">
        <v>25</v>
      </c>
      <c r="G1761" s="1" t="s">
        <v>17</v>
      </c>
      <c r="H1761" s="1" t="str">
        <f t="shared" ref="H1761:H1765" si="1246">"68"</f>
        <v>68</v>
      </c>
      <c r="I1761" s="1" t="str">
        <f t="shared" ref="I1761:I1765" si="1247">"156.02"</f>
        <v>156.02</v>
      </c>
      <c r="J1761" s="1" t="str">
        <f t="shared" si="1232"/>
        <v>0</v>
      </c>
      <c r="K1761" s="1" t="str">
        <f t="shared" si="1236"/>
        <v>103</v>
      </c>
      <c r="L1761" s="1" t="str">
        <f t="shared" si="1237"/>
        <v>47</v>
      </c>
      <c r="M1761" s="1" t="str">
        <f t="shared" si="1238"/>
        <v>0</v>
      </c>
      <c r="N1761" s="1" t="str">
        <f t="shared" si="1239"/>
        <v>0</v>
      </c>
      <c r="O1761" s="1" t="str">
        <f t="shared" ref="O1761:O1765" si="1248">"6.02"</f>
        <v>6.02</v>
      </c>
    </row>
    <row r="1762" s="1" customFormat="1" spans="1:15">
      <c r="A1762" s="1" t="str">
        <f t="shared" si="1240"/>
        <v>202406</v>
      </c>
      <c r="B1762" s="1" t="str">
        <f t="shared" si="1241"/>
        <v>150525100</v>
      </c>
      <c r="C1762" s="1" t="str">
        <f>"1014549574"</f>
        <v>1014549574</v>
      </c>
      <c r="D1762" s="1" t="s">
        <v>1828</v>
      </c>
      <c r="E1762" s="1" t="s">
        <v>192</v>
      </c>
      <c r="F1762" s="1" t="s">
        <v>16</v>
      </c>
      <c r="G1762" s="1" t="s">
        <v>17</v>
      </c>
      <c r="H1762" s="1" t="str">
        <f t="shared" si="1246"/>
        <v>68</v>
      </c>
      <c r="I1762" s="1" t="str">
        <f t="shared" si="1247"/>
        <v>156.02</v>
      </c>
      <c r="J1762" s="1" t="str">
        <f t="shared" si="1232"/>
        <v>0</v>
      </c>
      <c r="K1762" s="1" t="str">
        <f t="shared" si="1236"/>
        <v>103</v>
      </c>
      <c r="L1762" s="1" t="str">
        <f t="shared" si="1237"/>
        <v>47</v>
      </c>
      <c r="M1762" s="1" t="str">
        <f t="shared" si="1238"/>
        <v>0</v>
      </c>
      <c r="N1762" s="1" t="str">
        <f t="shared" si="1239"/>
        <v>0</v>
      </c>
      <c r="O1762" s="1" t="str">
        <f t="shared" si="1248"/>
        <v>6.02</v>
      </c>
    </row>
    <row r="1763" s="1" customFormat="1" spans="1:15">
      <c r="A1763" s="1" t="str">
        <f t="shared" si="1240"/>
        <v>202406</v>
      </c>
      <c r="B1763" s="1" t="str">
        <f t="shared" si="1241"/>
        <v>150525100</v>
      </c>
      <c r="C1763" s="1" t="str">
        <f>"1014549577"</f>
        <v>1014549577</v>
      </c>
      <c r="D1763" s="1" t="s">
        <v>1829</v>
      </c>
      <c r="E1763" s="1" t="s">
        <v>1830</v>
      </c>
      <c r="F1763" s="1" t="s">
        <v>25</v>
      </c>
      <c r="G1763" s="1" t="s">
        <v>17</v>
      </c>
      <c r="H1763" s="1" t="str">
        <f t="shared" ref="H1763:H1766" si="1249">"67"</f>
        <v>67</v>
      </c>
      <c r="I1763" s="1" t="str">
        <f>"155.84"</f>
        <v>155.84</v>
      </c>
      <c r="J1763" s="1" t="str">
        <f t="shared" si="1232"/>
        <v>0</v>
      </c>
      <c r="K1763" s="1" t="str">
        <f t="shared" si="1236"/>
        <v>103</v>
      </c>
      <c r="L1763" s="1" t="str">
        <f t="shared" si="1237"/>
        <v>47</v>
      </c>
      <c r="M1763" s="1" t="str">
        <f t="shared" si="1238"/>
        <v>0</v>
      </c>
      <c r="N1763" s="1" t="str">
        <f t="shared" si="1239"/>
        <v>0</v>
      </c>
      <c r="O1763" s="1" t="str">
        <f>"5.84"</f>
        <v>5.84</v>
      </c>
    </row>
    <row r="1764" s="1" customFormat="1" spans="1:15">
      <c r="A1764" s="1" t="str">
        <f t="shared" si="1240"/>
        <v>202406</v>
      </c>
      <c r="B1764" s="1" t="str">
        <f t="shared" si="1241"/>
        <v>150525100</v>
      </c>
      <c r="C1764" s="1" t="str">
        <f>"1014549578"</f>
        <v>1014549578</v>
      </c>
      <c r="D1764" s="1" t="s">
        <v>1831</v>
      </c>
      <c r="E1764" s="1" t="s">
        <v>1832</v>
      </c>
      <c r="F1764" s="1" t="s">
        <v>16</v>
      </c>
      <c r="G1764" s="1" t="s">
        <v>17</v>
      </c>
      <c r="H1764" s="1" t="str">
        <f t="shared" si="1249"/>
        <v>67</v>
      </c>
      <c r="I1764" s="1" t="str">
        <f>"156.1"</f>
        <v>156.1</v>
      </c>
      <c r="J1764" s="1" t="str">
        <f t="shared" si="1232"/>
        <v>0</v>
      </c>
      <c r="K1764" s="1" t="str">
        <f t="shared" si="1236"/>
        <v>103</v>
      </c>
      <c r="L1764" s="1" t="str">
        <f t="shared" si="1237"/>
        <v>47</v>
      </c>
      <c r="M1764" s="1" t="str">
        <f t="shared" si="1238"/>
        <v>0</v>
      </c>
      <c r="N1764" s="1" t="str">
        <f t="shared" si="1239"/>
        <v>0</v>
      </c>
      <c r="O1764" s="1" t="str">
        <f>"6.1"</f>
        <v>6.1</v>
      </c>
    </row>
    <row r="1765" s="1" customFormat="1" spans="1:15">
      <c r="A1765" s="1" t="str">
        <f t="shared" si="1240"/>
        <v>202406</v>
      </c>
      <c r="B1765" s="1" t="str">
        <f t="shared" si="1241"/>
        <v>150525100</v>
      </c>
      <c r="C1765" s="1" t="str">
        <f>"1014550086"</f>
        <v>1014550086</v>
      </c>
      <c r="D1765" s="1" t="str">
        <f>"152326195611170664"</f>
        <v>152326195611170664</v>
      </c>
      <c r="E1765" s="1" t="s">
        <v>1833</v>
      </c>
      <c r="F1765" s="1" t="s">
        <v>16</v>
      </c>
      <c r="G1765" s="1" t="s">
        <v>17</v>
      </c>
      <c r="H1765" s="1" t="str">
        <f t="shared" si="1246"/>
        <v>68</v>
      </c>
      <c r="I1765" s="1" t="str">
        <f t="shared" si="1247"/>
        <v>156.02</v>
      </c>
      <c r="J1765" s="1" t="str">
        <f t="shared" ref="J1765:J1828" si="1250">"0"</f>
        <v>0</v>
      </c>
      <c r="K1765" s="1" t="str">
        <f t="shared" si="1236"/>
        <v>103</v>
      </c>
      <c r="L1765" s="1" t="str">
        <f t="shared" si="1237"/>
        <v>47</v>
      </c>
      <c r="M1765" s="1" t="str">
        <f t="shared" si="1238"/>
        <v>0</v>
      </c>
      <c r="N1765" s="1" t="str">
        <f t="shared" si="1239"/>
        <v>0</v>
      </c>
      <c r="O1765" s="1" t="str">
        <f t="shared" si="1248"/>
        <v>6.02</v>
      </c>
    </row>
    <row r="1766" s="1" customFormat="1" spans="1:15">
      <c r="A1766" s="1" t="str">
        <f t="shared" si="1240"/>
        <v>202406</v>
      </c>
      <c r="B1766" s="1" t="str">
        <f t="shared" si="1241"/>
        <v>150525100</v>
      </c>
      <c r="C1766" s="1" t="str">
        <f>"1014585136"</f>
        <v>1014585136</v>
      </c>
      <c r="D1766" s="1" t="str">
        <f>"152326195702090424"</f>
        <v>152326195702090424</v>
      </c>
      <c r="E1766" s="1" t="s">
        <v>1834</v>
      </c>
      <c r="F1766" s="1" t="s">
        <v>16</v>
      </c>
      <c r="G1766" s="1" t="s">
        <v>17</v>
      </c>
      <c r="H1766" s="1" t="str">
        <f t="shared" si="1249"/>
        <v>67</v>
      </c>
      <c r="I1766" s="1" t="str">
        <f>"158.58"</f>
        <v>158.58</v>
      </c>
      <c r="J1766" s="1" t="str">
        <f t="shared" si="1250"/>
        <v>0</v>
      </c>
      <c r="K1766" s="1" t="str">
        <f t="shared" si="1236"/>
        <v>103</v>
      </c>
      <c r="L1766" s="1" t="str">
        <f t="shared" si="1237"/>
        <v>47</v>
      </c>
      <c r="M1766" s="1" t="str">
        <f t="shared" si="1238"/>
        <v>0</v>
      </c>
      <c r="N1766" s="1" t="str">
        <f t="shared" si="1239"/>
        <v>0</v>
      </c>
      <c r="O1766" s="1" t="str">
        <f>"8.58"</f>
        <v>8.58</v>
      </c>
    </row>
    <row r="1767" s="1" customFormat="1" spans="1:15">
      <c r="A1767" s="1" t="str">
        <f t="shared" si="1240"/>
        <v>202406</v>
      </c>
      <c r="B1767" s="1" t="str">
        <f t="shared" si="1241"/>
        <v>150525100</v>
      </c>
      <c r="C1767" s="1" t="str">
        <f>"1014561281"</f>
        <v>1014561281</v>
      </c>
      <c r="D1767" s="1" t="str">
        <f>"152326196103150426"</f>
        <v>152326196103150426</v>
      </c>
      <c r="E1767" s="1" t="s">
        <v>1835</v>
      </c>
      <c r="F1767" s="1" t="s">
        <v>16</v>
      </c>
      <c r="G1767" s="1" t="s">
        <v>17</v>
      </c>
      <c r="H1767" s="1" t="str">
        <f>"63"</f>
        <v>63</v>
      </c>
      <c r="I1767" s="1" t="str">
        <f>"161.03"</f>
        <v>161.03</v>
      </c>
      <c r="J1767" s="1" t="str">
        <f t="shared" si="1250"/>
        <v>0</v>
      </c>
      <c r="K1767" s="1" t="str">
        <f t="shared" si="1236"/>
        <v>103</v>
      </c>
      <c r="L1767" s="1" t="str">
        <f t="shared" si="1237"/>
        <v>47</v>
      </c>
      <c r="M1767" s="1" t="str">
        <f t="shared" si="1238"/>
        <v>0</v>
      </c>
      <c r="N1767" s="1" t="str">
        <f t="shared" si="1239"/>
        <v>0</v>
      </c>
      <c r="O1767" s="1" t="str">
        <f>"11.03"</f>
        <v>11.03</v>
      </c>
    </row>
    <row r="1768" s="1" customFormat="1" spans="1:15">
      <c r="A1768" s="1" t="str">
        <f t="shared" si="1240"/>
        <v>202406</v>
      </c>
      <c r="B1768" s="1" t="str">
        <f t="shared" si="1241"/>
        <v>150525100</v>
      </c>
      <c r="C1768" s="1" t="str">
        <f>"1014561288"</f>
        <v>1014561288</v>
      </c>
      <c r="D1768" s="1" t="str">
        <f>"152326196203250416"</f>
        <v>152326196203250416</v>
      </c>
      <c r="E1768" s="1" t="s">
        <v>1836</v>
      </c>
      <c r="F1768" s="1" t="s">
        <v>25</v>
      </c>
      <c r="G1768" s="1" t="s">
        <v>17</v>
      </c>
      <c r="H1768" s="1" t="str">
        <f>"62"</f>
        <v>62</v>
      </c>
      <c r="I1768" s="1" t="str">
        <f>"162.95"</f>
        <v>162.95</v>
      </c>
      <c r="J1768" s="1" t="str">
        <f t="shared" si="1250"/>
        <v>0</v>
      </c>
      <c r="K1768" s="1" t="str">
        <f t="shared" si="1236"/>
        <v>103</v>
      </c>
      <c r="L1768" s="1" t="str">
        <f t="shared" si="1237"/>
        <v>47</v>
      </c>
      <c r="M1768" s="1" t="str">
        <f t="shared" si="1238"/>
        <v>0</v>
      </c>
      <c r="N1768" s="1" t="str">
        <f t="shared" si="1239"/>
        <v>0</v>
      </c>
      <c r="O1768" s="1" t="str">
        <f>"12.95"</f>
        <v>12.95</v>
      </c>
    </row>
    <row r="1769" s="1" customFormat="1" spans="1:15">
      <c r="A1769" s="1" t="str">
        <f t="shared" si="1240"/>
        <v>202406</v>
      </c>
      <c r="B1769" s="1" t="str">
        <f t="shared" si="1241"/>
        <v>150525100</v>
      </c>
      <c r="C1769" s="1" t="str">
        <f>"1014561292"</f>
        <v>1014561292</v>
      </c>
      <c r="D1769" s="1" t="str">
        <f>"152326196208190424"</f>
        <v>152326196208190424</v>
      </c>
      <c r="E1769" s="1" t="s">
        <v>1837</v>
      </c>
      <c r="F1769" s="1" t="s">
        <v>16</v>
      </c>
      <c r="G1769" s="1" t="s">
        <v>17</v>
      </c>
      <c r="H1769" s="1" t="str">
        <f>"62"</f>
        <v>62</v>
      </c>
      <c r="I1769" s="1" t="str">
        <f>"163.08"</f>
        <v>163.08</v>
      </c>
      <c r="J1769" s="1" t="str">
        <f t="shared" si="1250"/>
        <v>0</v>
      </c>
      <c r="K1769" s="1" t="str">
        <f t="shared" si="1236"/>
        <v>103</v>
      </c>
      <c r="L1769" s="1" t="str">
        <f t="shared" si="1237"/>
        <v>47</v>
      </c>
      <c r="M1769" s="1" t="str">
        <f t="shared" si="1238"/>
        <v>0</v>
      </c>
      <c r="N1769" s="1" t="str">
        <f t="shared" si="1239"/>
        <v>0</v>
      </c>
      <c r="O1769" s="1" t="str">
        <f>"13.08"</f>
        <v>13.08</v>
      </c>
    </row>
    <row r="1770" s="1" customFormat="1" spans="1:15">
      <c r="A1770" s="1" t="str">
        <f t="shared" si="1240"/>
        <v>202406</v>
      </c>
      <c r="B1770" s="1" t="str">
        <f t="shared" si="1241"/>
        <v>150525100</v>
      </c>
      <c r="C1770" s="1" t="str">
        <f>"1014562530"</f>
        <v>1014562530</v>
      </c>
      <c r="D1770" s="1" t="str">
        <f>"152326195504130448"</f>
        <v>152326195504130448</v>
      </c>
      <c r="E1770" s="1" t="s">
        <v>1838</v>
      </c>
      <c r="F1770" s="1" t="s">
        <v>16</v>
      </c>
      <c r="G1770" s="1" t="s">
        <v>17</v>
      </c>
      <c r="H1770" s="1" t="str">
        <f>"69"</f>
        <v>69</v>
      </c>
      <c r="I1770" s="1" t="str">
        <f>"155.12"</f>
        <v>155.12</v>
      </c>
      <c r="J1770" s="1" t="str">
        <f t="shared" si="1250"/>
        <v>0</v>
      </c>
      <c r="K1770" s="1" t="str">
        <f t="shared" si="1236"/>
        <v>103</v>
      </c>
      <c r="L1770" s="1" t="str">
        <f t="shared" si="1237"/>
        <v>47</v>
      </c>
      <c r="M1770" s="1" t="str">
        <f t="shared" si="1238"/>
        <v>0</v>
      </c>
      <c r="N1770" s="1" t="str">
        <f t="shared" si="1239"/>
        <v>0</v>
      </c>
      <c r="O1770" s="1" t="str">
        <f>"5.12"</f>
        <v>5.12</v>
      </c>
    </row>
    <row r="1771" s="1" customFormat="1" spans="1:15">
      <c r="A1771" s="1" t="str">
        <f t="shared" si="1240"/>
        <v>202406</v>
      </c>
      <c r="B1771" s="1" t="str">
        <f t="shared" si="1241"/>
        <v>150525100</v>
      </c>
      <c r="C1771" s="1" t="str">
        <f>"1014563032"</f>
        <v>1014563032</v>
      </c>
      <c r="D1771" s="1" t="str">
        <f>"152326195312120413"</f>
        <v>152326195312120413</v>
      </c>
      <c r="E1771" s="1" t="s">
        <v>1839</v>
      </c>
      <c r="F1771" s="1" t="s">
        <v>25</v>
      </c>
      <c r="G1771" s="1" t="s">
        <v>17</v>
      </c>
      <c r="H1771" s="1" t="str">
        <f>"71"</f>
        <v>71</v>
      </c>
      <c r="I1771" s="1" t="str">
        <f>"163.18"</f>
        <v>163.18</v>
      </c>
      <c r="J1771" s="1" t="str">
        <f t="shared" si="1250"/>
        <v>0</v>
      </c>
      <c r="K1771" s="1" t="str">
        <f t="shared" si="1236"/>
        <v>103</v>
      </c>
      <c r="L1771" s="1" t="str">
        <f t="shared" si="1237"/>
        <v>47</v>
      </c>
      <c r="M1771" s="1" t="str">
        <f t="shared" si="1238"/>
        <v>0</v>
      </c>
      <c r="N1771" s="1" t="str">
        <f t="shared" si="1239"/>
        <v>0</v>
      </c>
      <c r="O1771" s="1" t="str">
        <f>"3.18"</f>
        <v>3.18</v>
      </c>
    </row>
    <row r="1772" s="1" customFormat="1" spans="1:15">
      <c r="A1772" s="1" t="str">
        <f t="shared" si="1240"/>
        <v>202406</v>
      </c>
      <c r="B1772" s="1" t="str">
        <f t="shared" si="1241"/>
        <v>150525100</v>
      </c>
      <c r="C1772" s="1" t="str">
        <f>"1014563033"</f>
        <v>1014563033</v>
      </c>
      <c r="D1772" s="1" t="str">
        <f>"152326195412200429"</f>
        <v>152326195412200429</v>
      </c>
      <c r="E1772" s="1" t="s">
        <v>1840</v>
      </c>
      <c r="F1772" s="1" t="s">
        <v>16</v>
      </c>
      <c r="G1772" s="1" t="s">
        <v>17</v>
      </c>
      <c r="H1772" s="1" t="str">
        <f>"70"</f>
        <v>70</v>
      </c>
      <c r="I1772" s="1" t="str">
        <f>"154.16"</f>
        <v>154.16</v>
      </c>
      <c r="J1772" s="1" t="str">
        <f t="shared" si="1250"/>
        <v>0</v>
      </c>
      <c r="K1772" s="1" t="str">
        <f t="shared" si="1236"/>
        <v>103</v>
      </c>
      <c r="L1772" s="1" t="str">
        <f t="shared" si="1237"/>
        <v>47</v>
      </c>
      <c r="M1772" s="1" t="str">
        <f t="shared" si="1238"/>
        <v>0</v>
      </c>
      <c r="N1772" s="1" t="str">
        <f t="shared" si="1239"/>
        <v>0</v>
      </c>
      <c r="O1772" s="1" t="str">
        <f>"4.16"</f>
        <v>4.16</v>
      </c>
    </row>
    <row r="1773" s="1" customFormat="1" spans="1:15">
      <c r="A1773" s="1" t="str">
        <f t="shared" si="1240"/>
        <v>202406</v>
      </c>
      <c r="B1773" s="1" t="str">
        <f t="shared" si="1241"/>
        <v>150525100</v>
      </c>
      <c r="C1773" s="1" t="str">
        <f>"1014563400"</f>
        <v>1014563400</v>
      </c>
      <c r="D1773" s="1" t="str">
        <f>"152326195805140439"</f>
        <v>152326195805140439</v>
      </c>
      <c r="E1773" s="1" t="s">
        <v>1841</v>
      </c>
      <c r="F1773" s="1" t="s">
        <v>25</v>
      </c>
      <c r="G1773" s="1" t="s">
        <v>19</v>
      </c>
      <c r="H1773" s="1" t="str">
        <f>"66"</f>
        <v>66</v>
      </c>
      <c r="I1773" s="1" t="str">
        <f>"157.12"</f>
        <v>157.12</v>
      </c>
      <c r="J1773" s="1" t="str">
        <f t="shared" si="1250"/>
        <v>0</v>
      </c>
      <c r="K1773" s="1" t="str">
        <f t="shared" si="1236"/>
        <v>103</v>
      </c>
      <c r="L1773" s="1" t="str">
        <f t="shared" si="1237"/>
        <v>47</v>
      </c>
      <c r="M1773" s="1" t="str">
        <f t="shared" si="1238"/>
        <v>0</v>
      </c>
      <c r="N1773" s="1" t="str">
        <f t="shared" si="1239"/>
        <v>0</v>
      </c>
      <c r="O1773" s="1" t="str">
        <f>"7.12"</f>
        <v>7.12</v>
      </c>
    </row>
    <row r="1774" s="1" customFormat="1" spans="1:15">
      <c r="A1774" s="1" t="str">
        <f t="shared" si="1240"/>
        <v>202406</v>
      </c>
      <c r="B1774" s="1" t="str">
        <f t="shared" si="1241"/>
        <v>150525100</v>
      </c>
      <c r="C1774" s="1" t="str">
        <f>"1014585168"</f>
        <v>1014585168</v>
      </c>
      <c r="D1774" s="1" t="str">
        <f>"152326195701280410"</f>
        <v>152326195701280410</v>
      </c>
      <c r="E1774" s="1" t="s">
        <v>1842</v>
      </c>
      <c r="F1774" s="1" t="s">
        <v>25</v>
      </c>
      <c r="G1774" s="1" t="s">
        <v>17</v>
      </c>
      <c r="H1774" s="1" t="str">
        <f>"67"</f>
        <v>67</v>
      </c>
      <c r="I1774" s="1" t="str">
        <f>"162.72"</f>
        <v>162.72</v>
      </c>
      <c r="J1774" s="1" t="str">
        <f t="shared" si="1250"/>
        <v>0</v>
      </c>
      <c r="K1774" s="1" t="str">
        <f t="shared" si="1236"/>
        <v>103</v>
      </c>
      <c r="L1774" s="1" t="str">
        <f t="shared" si="1237"/>
        <v>47</v>
      </c>
      <c r="M1774" s="1" t="str">
        <f t="shared" si="1238"/>
        <v>0</v>
      </c>
      <c r="N1774" s="1" t="str">
        <f t="shared" si="1239"/>
        <v>0</v>
      </c>
      <c r="O1774" s="1" t="str">
        <f>"12.72"</f>
        <v>12.72</v>
      </c>
    </row>
    <row r="1775" s="1" customFormat="1" spans="1:15">
      <c r="A1775" s="1" t="str">
        <f t="shared" si="1240"/>
        <v>202406</v>
      </c>
      <c r="B1775" s="1" t="str">
        <f t="shared" si="1241"/>
        <v>150525100</v>
      </c>
      <c r="C1775" s="1" t="str">
        <f>"1015311285"</f>
        <v>1015311285</v>
      </c>
      <c r="D1775" s="1" t="str">
        <f>"152326195312013327"</f>
        <v>152326195312013327</v>
      </c>
      <c r="E1775" s="1" t="s">
        <v>1843</v>
      </c>
      <c r="F1775" s="1" t="s">
        <v>16</v>
      </c>
      <c r="G1775" s="1" t="s">
        <v>17</v>
      </c>
      <c r="H1775" s="1" t="str">
        <f t="shared" ref="H1775:H1782" si="1251">"71"</f>
        <v>71</v>
      </c>
      <c r="I1775" s="1" t="str">
        <f>"162.58"</f>
        <v>162.58</v>
      </c>
      <c r="J1775" s="1" t="str">
        <f t="shared" si="1250"/>
        <v>0</v>
      </c>
      <c r="K1775" s="1" t="str">
        <f t="shared" ref="K1775:K1838" si="1252">"103"</f>
        <v>103</v>
      </c>
      <c r="L1775" s="1" t="str">
        <f t="shared" ref="L1775:L1838" si="1253">"47"</f>
        <v>47</v>
      </c>
      <c r="M1775" s="1" t="str">
        <f t="shared" si="1238"/>
        <v>0</v>
      </c>
      <c r="N1775" s="1" t="str">
        <f t="shared" si="1239"/>
        <v>0</v>
      </c>
      <c r="O1775" s="1" t="str">
        <f>"2.58"</f>
        <v>2.58</v>
      </c>
    </row>
    <row r="1776" s="1" customFormat="1" spans="1:15">
      <c r="A1776" s="1" t="str">
        <f t="shared" si="1240"/>
        <v>202406</v>
      </c>
      <c r="B1776" s="1" t="str">
        <f t="shared" si="1241"/>
        <v>150525100</v>
      </c>
      <c r="C1776" s="1" t="str">
        <f>"1015311307"</f>
        <v>1015311307</v>
      </c>
      <c r="D1776" s="1" t="str">
        <f>"152326195212150922"</f>
        <v>152326195212150922</v>
      </c>
      <c r="E1776" s="1" t="s">
        <v>1844</v>
      </c>
      <c r="F1776" s="1" t="s">
        <v>16</v>
      </c>
      <c r="G1776" s="1" t="s">
        <v>19</v>
      </c>
      <c r="H1776" s="1" t="str">
        <f>"72"</f>
        <v>72</v>
      </c>
      <c r="I1776" s="1" t="str">
        <f>"161.53"</f>
        <v>161.53</v>
      </c>
      <c r="J1776" s="1" t="str">
        <f t="shared" si="1250"/>
        <v>0</v>
      </c>
      <c r="K1776" s="1" t="str">
        <f t="shared" si="1252"/>
        <v>103</v>
      </c>
      <c r="L1776" s="1" t="str">
        <f t="shared" si="1253"/>
        <v>47</v>
      </c>
      <c r="M1776" s="1" t="str">
        <f t="shared" si="1238"/>
        <v>0</v>
      </c>
      <c r="N1776" s="1" t="str">
        <f t="shared" si="1239"/>
        <v>0</v>
      </c>
      <c r="O1776" s="1" t="str">
        <f>"1.53"</f>
        <v>1.53</v>
      </c>
    </row>
    <row r="1777" s="1" customFormat="1" spans="1:15">
      <c r="A1777" s="1" t="str">
        <f t="shared" si="1240"/>
        <v>202406</v>
      </c>
      <c r="B1777" s="1" t="str">
        <f t="shared" si="1241"/>
        <v>150525100</v>
      </c>
      <c r="C1777" s="1" t="str">
        <f>"1015311453"</f>
        <v>1015311453</v>
      </c>
      <c r="D1777" s="1" t="s">
        <v>1845</v>
      </c>
      <c r="E1777" s="1" t="s">
        <v>1846</v>
      </c>
      <c r="F1777" s="1" t="s">
        <v>25</v>
      </c>
      <c r="G1777" s="1" t="s">
        <v>17</v>
      </c>
      <c r="H1777" s="1" t="str">
        <f>"72"</f>
        <v>72</v>
      </c>
      <c r="I1777" s="1" t="str">
        <f>"161.56"</f>
        <v>161.56</v>
      </c>
      <c r="J1777" s="1" t="str">
        <f t="shared" si="1250"/>
        <v>0</v>
      </c>
      <c r="K1777" s="1" t="str">
        <f t="shared" si="1252"/>
        <v>103</v>
      </c>
      <c r="L1777" s="1" t="str">
        <f t="shared" si="1253"/>
        <v>47</v>
      </c>
      <c r="M1777" s="1" t="str">
        <f t="shared" si="1238"/>
        <v>0</v>
      </c>
      <c r="N1777" s="1" t="str">
        <f t="shared" si="1239"/>
        <v>0</v>
      </c>
      <c r="O1777" s="1" t="str">
        <f>"1.56"</f>
        <v>1.56</v>
      </c>
    </row>
    <row r="1778" s="1" customFormat="1" spans="1:15">
      <c r="A1778" s="1" t="str">
        <f t="shared" si="1240"/>
        <v>202406</v>
      </c>
      <c r="B1778" s="1" t="str">
        <f t="shared" si="1241"/>
        <v>150525100</v>
      </c>
      <c r="C1778" s="1" t="str">
        <f>"1015311474"</f>
        <v>1015311474</v>
      </c>
      <c r="D1778" s="1" t="str">
        <f>"152326195311246380"</f>
        <v>152326195311246380</v>
      </c>
      <c r="E1778" s="1" t="s">
        <v>1847</v>
      </c>
      <c r="F1778" s="1" t="s">
        <v>16</v>
      </c>
      <c r="G1778" s="1" t="s">
        <v>96</v>
      </c>
      <c r="H1778" s="1" t="str">
        <f t="shared" si="1251"/>
        <v>71</v>
      </c>
      <c r="I1778" s="1" t="str">
        <f>"162.28"</f>
        <v>162.28</v>
      </c>
      <c r="J1778" s="1" t="str">
        <f t="shared" si="1250"/>
        <v>0</v>
      </c>
      <c r="K1778" s="1" t="str">
        <f t="shared" si="1252"/>
        <v>103</v>
      </c>
      <c r="L1778" s="1" t="str">
        <f t="shared" si="1253"/>
        <v>47</v>
      </c>
      <c r="M1778" s="1" t="str">
        <f t="shared" si="1238"/>
        <v>0</v>
      </c>
      <c r="N1778" s="1" t="str">
        <f t="shared" si="1239"/>
        <v>0</v>
      </c>
      <c r="O1778" s="1" t="str">
        <f>"2.28"</f>
        <v>2.28</v>
      </c>
    </row>
    <row r="1779" s="1" customFormat="1" spans="1:15">
      <c r="A1779" s="1" t="str">
        <f t="shared" si="1240"/>
        <v>202406</v>
      </c>
      <c r="B1779" s="1" t="str">
        <f t="shared" si="1241"/>
        <v>150525100</v>
      </c>
      <c r="C1779" s="1" t="str">
        <f>"1015311485"</f>
        <v>1015311485</v>
      </c>
      <c r="D1779" s="1" t="str">
        <f>"152326195311083323"</f>
        <v>152326195311083323</v>
      </c>
      <c r="E1779" s="1" t="s">
        <v>1848</v>
      </c>
      <c r="F1779" s="1" t="s">
        <v>16</v>
      </c>
      <c r="G1779" s="1" t="s">
        <v>19</v>
      </c>
      <c r="H1779" s="1" t="str">
        <f t="shared" si="1251"/>
        <v>71</v>
      </c>
      <c r="I1779" s="1" t="str">
        <f>"162.58"</f>
        <v>162.58</v>
      </c>
      <c r="J1779" s="1" t="str">
        <f t="shared" si="1250"/>
        <v>0</v>
      </c>
      <c r="K1779" s="1" t="str">
        <f t="shared" si="1252"/>
        <v>103</v>
      </c>
      <c r="L1779" s="1" t="str">
        <f t="shared" si="1253"/>
        <v>47</v>
      </c>
      <c r="M1779" s="1" t="str">
        <f t="shared" ref="M1779:M1842" si="1254">"0"</f>
        <v>0</v>
      </c>
      <c r="N1779" s="1" t="str">
        <f t="shared" ref="N1779:N1842" si="1255">"0"</f>
        <v>0</v>
      </c>
      <c r="O1779" s="1" t="str">
        <f>"2.58"</f>
        <v>2.58</v>
      </c>
    </row>
    <row r="1780" s="1" customFormat="1" spans="1:15">
      <c r="A1780" s="1" t="str">
        <f t="shared" si="1240"/>
        <v>202406</v>
      </c>
      <c r="B1780" s="1" t="str">
        <f t="shared" si="1241"/>
        <v>150525100</v>
      </c>
      <c r="C1780" s="1" t="str">
        <f>"1015311340"</f>
        <v>1015311340</v>
      </c>
      <c r="D1780" s="1" t="str">
        <f>"152326195306220020"</f>
        <v>152326195306220020</v>
      </c>
      <c r="E1780" s="1" t="s">
        <v>1849</v>
      </c>
      <c r="F1780" s="1" t="s">
        <v>16</v>
      </c>
      <c r="G1780" s="1" t="s">
        <v>17</v>
      </c>
      <c r="H1780" s="1" t="str">
        <f t="shared" si="1251"/>
        <v>71</v>
      </c>
      <c r="I1780" s="1" t="str">
        <f>"169.7"</f>
        <v>169.7</v>
      </c>
      <c r="J1780" s="1" t="str">
        <f t="shared" si="1250"/>
        <v>0</v>
      </c>
      <c r="K1780" s="1" t="str">
        <f t="shared" si="1252"/>
        <v>103</v>
      </c>
      <c r="L1780" s="1" t="str">
        <f t="shared" si="1253"/>
        <v>47</v>
      </c>
      <c r="M1780" s="1" t="str">
        <f t="shared" si="1254"/>
        <v>0</v>
      </c>
      <c r="N1780" s="1" t="str">
        <f t="shared" si="1255"/>
        <v>0</v>
      </c>
      <c r="O1780" s="1" t="str">
        <f>"9.7"</f>
        <v>9.7</v>
      </c>
    </row>
    <row r="1781" s="1" customFormat="1" spans="1:15">
      <c r="A1781" s="1" t="str">
        <f t="shared" si="1240"/>
        <v>202406</v>
      </c>
      <c r="B1781" s="1" t="str">
        <f t="shared" si="1241"/>
        <v>150525100</v>
      </c>
      <c r="C1781" s="1" t="str">
        <f>"1015311500"</f>
        <v>1015311500</v>
      </c>
      <c r="D1781" s="1" t="str">
        <f>"152326195307210449"</f>
        <v>152326195307210449</v>
      </c>
      <c r="E1781" s="1" t="s">
        <v>1850</v>
      </c>
      <c r="F1781" s="1" t="s">
        <v>16</v>
      </c>
      <c r="G1781" s="1" t="s">
        <v>17</v>
      </c>
      <c r="H1781" s="1" t="str">
        <f t="shared" si="1251"/>
        <v>71</v>
      </c>
      <c r="I1781" s="1" t="str">
        <f>"162.58"</f>
        <v>162.58</v>
      </c>
      <c r="J1781" s="1" t="str">
        <f t="shared" si="1250"/>
        <v>0</v>
      </c>
      <c r="K1781" s="1" t="str">
        <f t="shared" si="1252"/>
        <v>103</v>
      </c>
      <c r="L1781" s="1" t="str">
        <f t="shared" si="1253"/>
        <v>47</v>
      </c>
      <c r="M1781" s="1" t="str">
        <f t="shared" si="1254"/>
        <v>0</v>
      </c>
      <c r="N1781" s="1" t="str">
        <f t="shared" si="1255"/>
        <v>0</v>
      </c>
      <c r="O1781" s="1" t="str">
        <f>"2.58"</f>
        <v>2.58</v>
      </c>
    </row>
    <row r="1782" s="1" customFormat="1" spans="1:15">
      <c r="A1782" s="1" t="str">
        <f t="shared" si="1240"/>
        <v>202406</v>
      </c>
      <c r="B1782" s="1" t="str">
        <f t="shared" si="1241"/>
        <v>150525100</v>
      </c>
      <c r="C1782" s="1" t="str">
        <f>"1015311502"</f>
        <v>1015311502</v>
      </c>
      <c r="D1782" s="1" t="s">
        <v>1851</v>
      </c>
      <c r="E1782" s="1" t="s">
        <v>1852</v>
      </c>
      <c r="F1782" s="1" t="s">
        <v>16</v>
      </c>
      <c r="G1782" s="1" t="s">
        <v>17</v>
      </c>
      <c r="H1782" s="1" t="str">
        <f t="shared" si="1251"/>
        <v>71</v>
      </c>
      <c r="I1782" s="1" t="str">
        <f>"162.31"</f>
        <v>162.31</v>
      </c>
      <c r="J1782" s="1" t="str">
        <f t="shared" si="1250"/>
        <v>0</v>
      </c>
      <c r="K1782" s="1" t="str">
        <f t="shared" si="1252"/>
        <v>103</v>
      </c>
      <c r="L1782" s="1" t="str">
        <f t="shared" si="1253"/>
        <v>47</v>
      </c>
      <c r="M1782" s="1" t="str">
        <f t="shared" si="1254"/>
        <v>0</v>
      </c>
      <c r="N1782" s="1" t="str">
        <f t="shared" si="1255"/>
        <v>0</v>
      </c>
      <c r="O1782" s="1" t="str">
        <f>"2.31"</f>
        <v>2.31</v>
      </c>
    </row>
    <row r="1783" s="1" customFormat="1" spans="1:15">
      <c r="A1783" s="1" t="str">
        <f t="shared" si="1240"/>
        <v>202406</v>
      </c>
      <c r="B1783" s="1" t="str">
        <f t="shared" si="1241"/>
        <v>150525100</v>
      </c>
      <c r="C1783" s="1" t="str">
        <f>"1015311503"</f>
        <v>1015311503</v>
      </c>
      <c r="D1783" s="1" t="str">
        <f>"152326195211053311"</f>
        <v>152326195211053311</v>
      </c>
      <c r="E1783" s="1" t="s">
        <v>1853</v>
      </c>
      <c r="F1783" s="1" t="s">
        <v>25</v>
      </c>
      <c r="G1783" s="1" t="s">
        <v>19</v>
      </c>
      <c r="H1783" s="1" t="str">
        <f t="shared" ref="H1783:H1787" si="1256">"72"</f>
        <v>72</v>
      </c>
      <c r="I1783" s="1" t="str">
        <f t="shared" ref="I1783:I1786" si="1257">"162.57"</f>
        <v>162.57</v>
      </c>
      <c r="J1783" s="1" t="str">
        <f t="shared" si="1250"/>
        <v>0</v>
      </c>
      <c r="K1783" s="1" t="str">
        <f t="shared" si="1252"/>
        <v>103</v>
      </c>
      <c r="L1783" s="1" t="str">
        <f t="shared" si="1253"/>
        <v>47</v>
      </c>
      <c r="M1783" s="1" t="str">
        <f t="shared" si="1254"/>
        <v>0</v>
      </c>
      <c r="N1783" s="1" t="str">
        <f t="shared" si="1255"/>
        <v>0</v>
      </c>
      <c r="O1783" s="1" t="str">
        <f t="shared" ref="O1783:O1786" si="1258">"2.57"</f>
        <v>2.57</v>
      </c>
    </row>
    <row r="1784" s="1" customFormat="1" spans="1:15">
      <c r="A1784" s="1" t="str">
        <f t="shared" si="1240"/>
        <v>202406</v>
      </c>
      <c r="B1784" s="1" t="str">
        <f t="shared" si="1241"/>
        <v>150525100</v>
      </c>
      <c r="C1784" s="1" t="str">
        <f>"1015311517"</f>
        <v>1015311517</v>
      </c>
      <c r="D1784" s="1" t="s">
        <v>1854</v>
      </c>
      <c r="E1784" s="1" t="s">
        <v>1855</v>
      </c>
      <c r="F1784" s="1" t="s">
        <v>16</v>
      </c>
      <c r="G1784" s="1" t="s">
        <v>19</v>
      </c>
      <c r="H1784" s="1" t="str">
        <f>"71"</f>
        <v>71</v>
      </c>
      <c r="I1784" s="1" t="str">
        <f t="shared" si="1257"/>
        <v>162.57</v>
      </c>
      <c r="J1784" s="1" t="str">
        <f t="shared" si="1250"/>
        <v>0</v>
      </c>
      <c r="K1784" s="1" t="str">
        <f t="shared" si="1252"/>
        <v>103</v>
      </c>
      <c r="L1784" s="1" t="str">
        <f t="shared" si="1253"/>
        <v>47</v>
      </c>
      <c r="M1784" s="1" t="str">
        <f t="shared" si="1254"/>
        <v>0</v>
      </c>
      <c r="N1784" s="1" t="str">
        <f t="shared" si="1255"/>
        <v>0</v>
      </c>
      <c r="O1784" s="1" t="str">
        <f t="shared" si="1258"/>
        <v>2.57</v>
      </c>
    </row>
    <row r="1785" s="1" customFormat="1" spans="1:15">
      <c r="A1785" s="1" t="str">
        <f t="shared" si="1240"/>
        <v>202406</v>
      </c>
      <c r="B1785" s="1" t="str">
        <f t="shared" si="1241"/>
        <v>150525100</v>
      </c>
      <c r="C1785" s="1" t="str">
        <f>"1015311661"</f>
        <v>1015311661</v>
      </c>
      <c r="D1785" s="1" t="str">
        <f>"152326195207010925"</f>
        <v>152326195207010925</v>
      </c>
      <c r="E1785" s="1" t="s">
        <v>1856</v>
      </c>
      <c r="F1785" s="1" t="s">
        <v>16</v>
      </c>
      <c r="G1785" s="1" t="s">
        <v>19</v>
      </c>
      <c r="H1785" s="1" t="str">
        <f t="shared" si="1256"/>
        <v>72</v>
      </c>
      <c r="I1785" s="1" t="str">
        <f>"161.56"</f>
        <v>161.56</v>
      </c>
      <c r="J1785" s="1" t="str">
        <f t="shared" si="1250"/>
        <v>0</v>
      </c>
      <c r="K1785" s="1" t="str">
        <f t="shared" si="1252"/>
        <v>103</v>
      </c>
      <c r="L1785" s="1" t="str">
        <f t="shared" si="1253"/>
        <v>47</v>
      </c>
      <c r="M1785" s="1" t="str">
        <f t="shared" si="1254"/>
        <v>0</v>
      </c>
      <c r="N1785" s="1" t="str">
        <f t="shared" si="1255"/>
        <v>0</v>
      </c>
      <c r="O1785" s="1" t="str">
        <f>"1.56"</f>
        <v>1.56</v>
      </c>
    </row>
    <row r="1786" s="1" customFormat="1" spans="1:15">
      <c r="A1786" s="1" t="str">
        <f t="shared" si="1240"/>
        <v>202406</v>
      </c>
      <c r="B1786" s="1" t="str">
        <f t="shared" si="1241"/>
        <v>150525100</v>
      </c>
      <c r="C1786" s="1" t="str">
        <f>"1015311665"</f>
        <v>1015311665</v>
      </c>
      <c r="D1786" s="1" t="str">
        <f>"152326195307050924"</f>
        <v>152326195307050924</v>
      </c>
      <c r="E1786" s="1" t="s">
        <v>1857</v>
      </c>
      <c r="F1786" s="1" t="s">
        <v>16</v>
      </c>
      <c r="G1786" s="1" t="s">
        <v>19</v>
      </c>
      <c r="H1786" s="1" t="str">
        <f>"71"</f>
        <v>71</v>
      </c>
      <c r="I1786" s="1" t="str">
        <f t="shared" si="1257"/>
        <v>162.57</v>
      </c>
      <c r="J1786" s="1" t="str">
        <f t="shared" si="1250"/>
        <v>0</v>
      </c>
      <c r="K1786" s="1" t="str">
        <f t="shared" si="1252"/>
        <v>103</v>
      </c>
      <c r="L1786" s="1" t="str">
        <f t="shared" si="1253"/>
        <v>47</v>
      </c>
      <c r="M1786" s="1" t="str">
        <f t="shared" si="1254"/>
        <v>0</v>
      </c>
      <c r="N1786" s="1" t="str">
        <f t="shared" si="1255"/>
        <v>0</v>
      </c>
      <c r="O1786" s="1" t="str">
        <f t="shared" si="1258"/>
        <v>2.57</v>
      </c>
    </row>
    <row r="1787" s="1" customFormat="1" spans="1:15">
      <c r="A1787" s="1" t="str">
        <f t="shared" si="1240"/>
        <v>202406</v>
      </c>
      <c r="B1787" s="1" t="str">
        <f t="shared" si="1241"/>
        <v>150525100</v>
      </c>
      <c r="C1787" s="1" t="str">
        <f>"1015311666"</f>
        <v>1015311666</v>
      </c>
      <c r="D1787" s="1" t="str">
        <f>"152326195210260677"</f>
        <v>152326195210260677</v>
      </c>
      <c r="E1787" s="1" t="s">
        <v>1858</v>
      </c>
      <c r="F1787" s="1" t="s">
        <v>25</v>
      </c>
      <c r="G1787" s="1" t="s">
        <v>17</v>
      </c>
      <c r="H1787" s="1" t="str">
        <f t="shared" si="1256"/>
        <v>72</v>
      </c>
      <c r="I1787" s="1" t="str">
        <f t="shared" ref="I1787:I1792" si="1259">"161.56"</f>
        <v>161.56</v>
      </c>
      <c r="J1787" s="1" t="str">
        <f t="shared" si="1250"/>
        <v>0</v>
      </c>
      <c r="K1787" s="1" t="str">
        <f t="shared" si="1252"/>
        <v>103</v>
      </c>
      <c r="L1787" s="1" t="str">
        <f t="shared" si="1253"/>
        <v>47</v>
      </c>
      <c r="M1787" s="1" t="str">
        <f t="shared" si="1254"/>
        <v>0</v>
      </c>
      <c r="N1787" s="1" t="str">
        <f t="shared" si="1255"/>
        <v>0</v>
      </c>
      <c r="O1787" s="1" t="str">
        <f t="shared" ref="O1787:O1792" si="1260">"1.56"</f>
        <v>1.56</v>
      </c>
    </row>
    <row r="1788" s="1" customFormat="1" spans="1:15">
      <c r="A1788" s="1" t="str">
        <f t="shared" si="1240"/>
        <v>202406</v>
      </c>
      <c r="B1788" s="1" t="str">
        <f t="shared" si="1241"/>
        <v>150525100</v>
      </c>
      <c r="C1788" s="1" t="str">
        <f>"1040833136"</f>
        <v>1040833136</v>
      </c>
      <c r="D1788" s="1" t="str">
        <f>"152326195411120021"</f>
        <v>152326195411120021</v>
      </c>
      <c r="E1788" s="1" t="s">
        <v>1859</v>
      </c>
      <c r="F1788" s="1" t="s">
        <v>16</v>
      </c>
      <c r="G1788" s="1" t="s">
        <v>17</v>
      </c>
      <c r="H1788" s="1" t="str">
        <f>"70"</f>
        <v>70</v>
      </c>
      <c r="I1788" s="1" t="str">
        <f>"153.55"</f>
        <v>153.55</v>
      </c>
      <c r="J1788" s="1" t="str">
        <f t="shared" si="1250"/>
        <v>0</v>
      </c>
      <c r="K1788" s="1" t="str">
        <f t="shared" si="1252"/>
        <v>103</v>
      </c>
      <c r="L1788" s="1" t="str">
        <f t="shared" si="1253"/>
        <v>47</v>
      </c>
      <c r="M1788" s="1" t="str">
        <f t="shared" si="1254"/>
        <v>0</v>
      </c>
      <c r="N1788" s="1" t="str">
        <f t="shared" si="1255"/>
        <v>0</v>
      </c>
      <c r="O1788" s="1" t="str">
        <f>"3.55"</f>
        <v>3.55</v>
      </c>
    </row>
    <row r="1789" s="1" customFormat="1" spans="1:15">
      <c r="A1789" s="1" t="str">
        <f t="shared" si="1240"/>
        <v>202406</v>
      </c>
      <c r="B1789" s="1" t="str">
        <f t="shared" si="1241"/>
        <v>150525100</v>
      </c>
      <c r="C1789" s="1" t="str">
        <f>"1040833137"</f>
        <v>1040833137</v>
      </c>
      <c r="D1789" s="1" t="str">
        <f>"152326195412210010"</f>
        <v>152326195412210010</v>
      </c>
      <c r="E1789" s="1" t="s">
        <v>1860</v>
      </c>
      <c r="F1789" s="1" t="s">
        <v>25</v>
      </c>
      <c r="G1789" s="1" t="s">
        <v>17</v>
      </c>
      <c r="H1789" s="1" t="str">
        <f>"70"</f>
        <v>70</v>
      </c>
      <c r="I1789" s="1" t="str">
        <f>"153.55"</f>
        <v>153.55</v>
      </c>
      <c r="J1789" s="1" t="str">
        <f t="shared" si="1250"/>
        <v>0</v>
      </c>
      <c r="K1789" s="1" t="str">
        <f t="shared" si="1252"/>
        <v>103</v>
      </c>
      <c r="L1789" s="1" t="str">
        <f t="shared" si="1253"/>
        <v>47</v>
      </c>
      <c r="M1789" s="1" t="str">
        <f t="shared" si="1254"/>
        <v>0</v>
      </c>
      <c r="N1789" s="1" t="str">
        <f t="shared" si="1255"/>
        <v>0</v>
      </c>
      <c r="O1789" s="1" t="str">
        <f>"3.55"</f>
        <v>3.55</v>
      </c>
    </row>
    <row r="1790" s="1" customFormat="1" spans="1:15">
      <c r="A1790" s="1" t="str">
        <f t="shared" si="1240"/>
        <v>202406</v>
      </c>
      <c r="B1790" s="1" t="str">
        <f t="shared" si="1241"/>
        <v>150525100</v>
      </c>
      <c r="C1790" s="1" t="str">
        <f>"1040833142"</f>
        <v>1040833142</v>
      </c>
      <c r="D1790" s="1" t="str">
        <f>"152326195504100011"</f>
        <v>152326195504100011</v>
      </c>
      <c r="E1790" s="1" t="s">
        <v>1861</v>
      </c>
      <c r="F1790" s="1" t="s">
        <v>25</v>
      </c>
      <c r="G1790" s="1" t="s">
        <v>17</v>
      </c>
      <c r="H1790" s="1" t="str">
        <f>"69"</f>
        <v>69</v>
      </c>
      <c r="I1790" s="1" t="str">
        <f>"154.51"</f>
        <v>154.51</v>
      </c>
      <c r="J1790" s="1" t="str">
        <f t="shared" si="1250"/>
        <v>0</v>
      </c>
      <c r="K1790" s="1" t="str">
        <f t="shared" si="1252"/>
        <v>103</v>
      </c>
      <c r="L1790" s="1" t="str">
        <f t="shared" si="1253"/>
        <v>47</v>
      </c>
      <c r="M1790" s="1" t="str">
        <f t="shared" si="1254"/>
        <v>0</v>
      </c>
      <c r="N1790" s="1" t="str">
        <f t="shared" si="1255"/>
        <v>0</v>
      </c>
      <c r="O1790" s="1" t="str">
        <f>"4.51"</f>
        <v>4.51</v>
      </c>
    </row>
    <row r="1791" s="1" customFormat="1" spans="1:15">
      <c r="A1791" s="1" t="str">
        <f t="shared" si="1240"/>
        <v>202406</v>
      </c>
      <c r="B1791" s="1" t="str">
        <f t="shared" si="1241"/>
        <v>150525100</v>
      </c>
      <c r="C1791" s="1" t="str">
        <f>"1015311706"</f>
        <v>1015311706</v>
      </c>
      <c r="D1791" s="1" t="str">
        <f>"152326195201133086"</f>
        <v>152326195201133086</v>
      </c>
      <c r="E1791" s="1" t="s">
        <v>1417</v>
      </c>
      <c r="F1791" s="1" t="s">
        <v>16</v>
      </c>
      <c r="G1791" s="1" t="s">
        <v>17</v>
      </c>
      <c r="H1791" s="1" t="str">
        <f t="shared" ref="H1791:H1795" si="1261">"72"</f>
        <v>72</v>
      </c>
      <c r="I1791" s="1" t="str">
        <f t="shared" si="1259"/>
        <v>161.56</v>
      </c>
      <c r="J1791" s="1" t="str">
        <f t="shared" si="1250"/>
        <v>0</v>
      </c>
      <c r="K1791" s="1" t="str">
        <f t="shared" si="1252"/>
        <v>103</v>
      </c>
      <c r="L1791" s="1" t="str">
        <f t="shared" si="1253"/>
        <v>47</v>
      </c>
      <c r="M1791" s="1" t="str">
        <f t="shared" si="1254"/>
        <v>0</v>
      </c>
      <c r="N1791" s="1" t="str">
        <f t="shared" si="1255"/>
        <v>0</v>
      </c>
      <c r="O1791" s="1" t="str">
        <f t="shared" si="1260"/>
        <v>1.56</v>
      </c>
    </row>
    <row r="1792" s="1" customFormat="1" spans="1:15">
      <c r="A1792" s="1" t="str">
        <f t="shared" si="1240"/>
        <v>202406</v>
      </c>
      <c r="B1792" s="1" t="str">
        <f t="shared" si="1241"/>
        <v>150525100</v>
      </c>
      <c r="C1792" s="1" t="str">
        <f>"1015311707"</f>
        <v>1015311707</v>
      </c>
      <c r="D1792" s="1" t="s">
        <v>1862</v>
      </c>
      <c r="E1792" s="1" t="s">
        <v>1863</v>
      </c>
      <c r="F1792" s="1" t="s">
        <v>16</v>
      </c>
      <c r="G1792" s="1" t="s">
        <v>17</v>
      </c>
      <c r="H1792" s="1" t="str">
        <f t="shared" si="1261"/>
        <v>72</v>
      </c>
      <c r="I1792" s="1" t="str">
        <f t="shared" si="1259"/>
        <v>161.56</v>
      </c>
      <c r="J1792" s="1" t="str">
        <f t="shared" si="1250"/>
        <v>0</v>
      </c>
      <c r="K1792" s="1" t="str">
        <f t="shared" si="1252"/>
        <v>103</v>
      </c>
      <c r="L1792" s="1" t="str">
        <f t="shared" si="1253"/>
        <v>47</v>
      </c>
      <c r="M1792" s="1" t="str">
        <f t="shared" si="1254"/>
        <v>0</v>
      </c>
      <c r="N1792" s="1" t="str">
        <f t="shared" si="1255"/>
        <v>0</v>
      </c>
      <c r="O1792" s="1" t="str">
        <f t="shared" si="1260"/>
        <v>1.56</v>
      </c>
    </row>
    <row r="1793" s="1" customFormat="1" spans="1:15">
      <c r="A1793" s="1" t="str">
        <f t="shared" si="1240"/>
        <v>202406</v>
      </c>
      <c r="B1793" s="1" t="str">
        <f t="shared" si="1241"/>
        <v>150525100</v>
      </c>
      <c r="C1793" s="1" t="str">
        <f>"1015311815"</f>
        <v>1015311815</v>
      </c>
      <c r="D1793" s="1" t="str">
        <f>"152326195310073318"</f>
        <v>152326195310073318</v>
      </c>
      <c r="E1793" s="1" t="s">
        <v>1864</v>
      </c>
      <c r="F1793" s="1" t="s">
        <v>25</v>
      </c>
      <c r="G1793" s="1" t="s">
        <v>19</v>
      </c>
      <c r="H1793" s="1" t="str">
        <f t="shared" ref="H1793:H1798" si="1262">"71"</f>
        <v>71</v>
      </c>
      <c r="I1793" s="1" t="str">
        <f t="shared" ref="I1793:I1797" si="1263">"162.58"</f>
        <v>162.58</v>
      </c>
      <c r="J1793" s="1" t="str">
        <f t="shared" si="1250"/>
        <v>0</v>
      </c>
      <c r="K1793" s="1" t="str">
        <f t="shared" si="1252"/>
        <v>103</v>
      </c>
      <c r="L1793" s="1" t="str">
        <f t="shared" si="1253"/>
        <v>47</v>
      </c>
      <c r="M1793" s="1" t="str">
        <f t="shared" si="1254"/>
        <v>0</v>
      </c>
      <c r="N1793" s="1" t="str">
        <f t="shared" si="1255"/>
        <v>0</v>
      </c>
      <c r="O1793" s="1" t="str">
        <f t="shared" ref="O1793:O1797" si="1264">"2.58"</f>
        <v>2.58</v>
      </c>
    </row>
    <row r="1794" s="1" customFormat="1" spans="1:15">
      <c r="A1794" s="1" t="str">
        <f t="shared" ref="A1794:A1857" si="1265">"202406"</f>
        <v>202406</v>
      </c>
      <c r="B1794" s="1" t="str">
        <f t="shared" ref="B1794:B1857" si="1266">"150525100"</f>
        <v>150525100</v>
      </c>
      <c r="C1794" s="1" t="str">
        <f>"1015311352"</f>
        <v>1015311352</v>
      </c>
      <c r="D1794" s="1" t="str">
        <f>"152326195306113815"</f>
        <v>152326195306113815</v>
      </c>
      <c r="E1794" s="1" t="s">
        <v>1865</v>
      </c>
      <c r="F1794" s="1" t="s">
        <v>25</v>
      </c>
      <c r="G1794" s="1" t="s">
        <v>17</v>
      </c>
      <c r="H1794" s="1" t="str">
        <f t="shared" si="1262"/>
        <v>71</v>
      </c>
      <c r="I1794" s="1" t="str">
        <f>"162.3"</f>
        <v>162.3</v>
      </c>
      <c r="J1794" s="1" t="str">
        <f t="shared" si="1250"/>
        <v>0</v>
      </c>
      <c r="K1794" s="1" t="str">
        <f t="shared" si="1252"/>
        <v>103</v>
      </c>
      <c r="L1794" s="1" t="str">
        <f t="shared" si="1253"/>
        <v>47</v>
      </c>
      <c r="M1794" s="1" t="str">
        <f t="shared" si="1254"/>
        <v>0</v>
      </c>
      <c r="N1794" s="1" t="str">
        <f t="shared" si="1255"/>
        <v>0</v>
      </c>
      <c r="O1794" s="1" t="str">
        <f>"2.3"</f>
        <v>2.3</v>
      </c>
    </row>
    <row r="1795" s="1" customFormat="1" spans="1:15">
      <c r="A1795" s="1" t="str">
        <f t="shared" si="1265"/>
        <v>202406</v>
      </c>
      <c r="B1795" s="1" t="str">
        <f t="shared" si="1266"/>
        <v>150525100</v>
      </c>
      <c r="C1795" s="1" t="str">
        <f>"1015311370"</f>
        <v>1015311370</v>
      </c>
      <c r="D1795" s="1" t="str">
        <f>"152326195209203325"</f>
        <v>152326195209203325</v>
      </c>
      <c r="E1795" s="1" t="s">
        <v>1866</v>
      </c>
      <c r="F1795" s="1" t="s">
        <v>16</v>
      </c>
      <c r="G1795" s="1" t="s">
        <v>19</v>
      </c>
      <c r="H1795" s="1" t="str">
        <f t="shared" si="1261"/>
        <v>72</v>
      </c>
      <c r="I1795" s="1" t="str">
        <f>"161.56"</f>
        <v>161.56</v>
      </c>
      <c r="J1795" s="1" t="str">
        <f t="shared" si="1250"/>
        <v>0</v>
      </c>
      <c r="K1795" s="1" t="str">
        <f t="shared" si="1252"/>
        <v>103</v>
      </c>
      <c r="L1795" s="1" t="str">
        <f t="shared" si="1253"/>
        <v>47</v>
      </c>
      <c r="M1795" s="1" t="str">
        <f t="shared" si="1254"/>
        <v>0</v>
      </c>
      <c r="N1795" s="1" t="str">
        <f t="shared" si="1255"/>
        <v>0</v>
      </c>
      <c r="O1795" s="1" t="str">
        <f>"1.56"</f>
        <v>1.56</v>
      </c>
    </row>
    <row r="1796" s="1" customFormat="1" spans="1:15">
      <c r="A1796" s="1" t="str">
        <f t="shared" si="1265"/>
        <v>202406</v>
      </c>
      <c r="B1796" s="1" t="str">
        <f t="shared" si="1266"/>
        <v>150525100</v>
      </c>
      <c r="C1796" s="1" t="str">
        <f>"1015311371"</f>
        <v>1015311371</v>
      </c>
      <c r="D1796" s="1" t="str">
        <f>"152326195308023311"</f>
        <v>152326195308023311</v>
      </c>
      <c r="E1796" s="1" t="s">
        <v>1867</v>
      </c>
      <c r="F1796" s="1" t="s">
        <v>25</v>
      </c>
      <c r="G1796" s="1" t="s">
        <v>17</v>
      </c>
      <c r="H1796" s="1" t="str">
        <f t="shared" si="1262"/>
        <v>71</v>
      </c>
      <c r="I1796" s="1" t="str">
        <f t="shared" si="1263"/>
        <v>162.58</v>
      </c>
      <c r="J1796" s="1" t="str">
        <f t="shared" si="1250"/>
        <v>0</v>
      </c>
      <c r="K1796" s="1" t="str">
        <f t="shared" si="1252"/>
        <v>103</v>
      </c>
      <c r="L1796" s="1" t="str">
        <f t="shared" si="1253"/>
        <v>47</v>
      </c>
      <c r="M1796" s="1" t="str">
        <f t="shared" si="1254"/>
        <v>0</v>
      </c>
      <c r="N1796" s="1" t="str">
        <f t="shared" si="1255"/>
        <v>0</v>
      </c>
      <c r="O1796" s="1" t="str">
        <f t="shared" si="1264"/>
        <v>2.58</v>
      </c>
    </row>
    <row r="1797" s="1" customFormat="1" spans="1:15">
      <c r="A1797" s="1" t="str">
        <f t="shared" si="1265"/>
        <v>202406</v>
      </c>
      <c r="B1797" s="1" t="str">
        <f t="shared" si="1266"/>
        <v>150525100</v>
      </c>
      <c r="C1797" s="1" t="str">
        <f>"1015311374"</f>
        <v>1015311374</v>
      </c>
      <c r="D1797" s="1" t="str">
        <f>"152326195309273312"</f>
        <v>152326195309273312</v>
      </c>
      <c r="E1797" s="1" t="s">
        <v>1868</v>
      </c>
      <c r="F1797" s="1" t="s">
        <v>25</v>
      </c>
      <c r="G1797" s="1" t="s">
        <v>17</v>
      </c>
      <c r="H1797" s="1" t="str">
        <f t="shared" si="1262"/>
        <v>71</v>
      </c>
      <c r="I1797" s="1" t="str">
        <f t="shared" si="1263"/>
        <v>162.58</v>
      </c>
      <c r="J1797" s="1" t="str">
        <f t="shared" si="1250"/>
        <v>0</v>
      </c>
      <c r="K1797" s="1" t="str">
        <f t="shared" si="1252"/>
        <v>103</v>
      </c>
      <c r="L1797" s="1" t="str">
        <f t="shared" si="1253"/>
        <v>47</v>
      </c>
      <c r="M1797" s="1" t="str">
        <f t="shared" si="1254"/>
        <v>0</v>
      </c>
      <c r="N1797" s="1" t="str">
        <f t="shared" si="1255"/>
        <v>0</v>
      </c>
      <c r="O1797" s="1" t="str">
        <f t="shared" si="1264"/>
        <v>2.58</v>
      </c>
    </row>
    <row r="1798" s="1" customFormat="1" spans="1:15">
      <c r="A1798" s="1" t="str">
        <f t="shared" si="1265"/>
        <v>202406</v>
      </c>
      <c r="B1798" s="1" t="str">
        <f t="shared" si="1266"/>
        <v>150525100</v>
      </c>
      <c r="C1798" s="1" t="str">
        <f>"1015311531"</f>
        <v>1015311531</v>
      </c>
      <c r="D1798" s="1" t="s">
        <v>1869</v>
      </c>
      <c r="E1798" s="1" t="s">
        <v>1870</v>
      </c>
      <c r="F1798" s="1" t="s">
        <v>25</v>
      </c>
      <c r="G1798" s="1" t="s">
        <v>17</v>
      </c>
      <c r="H1798" s="1" t="str">
        <f t="shared" si="1262"/>
        <v>71</v>
      </c>
      <c r="I1798" s="1" t="str">
        <f>"162.57"</f>
        <v>162.57</v>
      </c>
      <c r="J1798" s="1" t="str">
        <f t="shared" si="1250"/>
        <v>0</v>
      </c>
      <c r="K1798" s="1" t="str">
        <f t="shared" si="1252"/>
        <v>103</v>
      </c>
      <c r="L1798" s="1" t="str">
        <f t="shared" si="1253"/>
        <v>47</v>
      </c>
      <c r="M1798" s="1" t="str">
        <f t="shared" si="1254"/>
        <v>0</v>
      </c>
      <c r="N1798" s="1" t="str">
        <f t="shared" si="1255"/>
        <v>0</v>
      </c>
      <c r="O1798" s="1" t="str">
        <f>"2.57"</f>
        <v>2.57</v>
      </c>
    </row>
    <row r="1799" s="1" customFormat="1" spans="1:15">
      <c r="A1799" s="1" t="str">
        <f t="shared" si="1265"/>
        <v>202406</v>
      </c>
      <c r="B1799" s="1" t="str">
        <f t="shared" si="1266"/>
        <v>150525100</v>
      </c>
      <c r="C1799" s="1" t="str">
        <f>"1015311572"</f>
        <v>1015311572</v>
      </c>
      <c r="D1799" s="1" t="str">
        <f>"152326195212170675"</f>
        <v>152326195212170675</v>
      </c>
      <c r="E1799" s="1" t="s">
        <v>1871</v>
      </c>
      <c r="F1799" s="1" t="s">
        <v>25</v>
      </c>
      <c r="G1799" s="1" t="s">
        <v>19</v>
      </c>
      <c r="H1799" s="1" t="str">
        <f t="shared" ref="H1799:H1803" si="1267">"72"</f>
        <v>72</v>
      </c>
      <c r="I1799" s="1" t="str">
        <f>"161.54"</f>
        <v>161.54</v>
      </c>
      <c r="J1799" s="1" t="str">
        <f t="shared" si="1250"/>
        <v>0</v>
      </c>
      <c r="K1799" s="1" t="str">
        <f t="shared" si="1252"/>
        <v>103</v>
      </c>
      <c r="L1799" s="1" t="str">
        <f t="shared" si="1253"/>
        <v>47</v>
      </c>
      <c r="M1799" s="1" t="str">
        <f t="shared" si="1254"/>
        <v>0</v>
      </c>
      <c r="N1799" s="1" t="str">
        <f t="shared" si="1255"/>
        <v>0</v>
      </c>
      <c r="O1799" s="1" t="str">
        <f>"1.54"</f>
        <v>1.54</v>
      </c>
    </row>
    <row r="1800" s="1" customFormat="1" spans="1:15">
      <c r="A1800" s="1" t="str">
        <f t="shared" si="1265"/>
        <v>202406</v>
      </c>
      <c r="B1800" s="1" t="str">
        <f t="shared" si="1266"/>
        <v>150525100</v>
      </c>
      <c r="C1800" s="1" t="str">
        <f>"1015311577"</f>
        <v>1015311577</v>
      </c>
      <c r="D1800" s="1" t="str">
        <f>"152326195212010663"</f>
        <v>152326195212010663</v>
      </c>
      <c r="E1800" s="1" t="s">
        <v>1872</v>
      </c>
      <c r="F1800" s="1" t="s">
        <v>16</v>
      </c>
      <c r="G1800" s="1" t="s">
        <v>19</v>
      </c>
      <c r="H1800" s="1" t="str">
        <f t="shared" si="1267"/>
        <v>72</v>
      </c>
      <c r="I1800" s="1" t="str">
        <f>"161.54"</f>
        <v>161.54</v>
      </c>
      <c r="J1800" s="1" t="str">
        <f t="shared" si="1250"/>
        <v>0</v>
      </c>
      <c r="K1800" s="1" t="str">
        <f t="shared" si="1252"/>
        <v>103</v>
      </c>
      <c r="L1800" s="1" t="str">
        <f t="shared" si="1253"/>
        <v>47</v>
      </c>
      <c r="M1800" s="1" t="str">
        <f t="shared" si="1254"/>
        <v>0</v>
      </c>
      <c r="N1800" s="1" t="str">
        <f t="shared" si="1255"/>
        <v>0</v>
      </c>
      <c r="O1800" s="1" t="str">
        <f>"1.54"</f>
        <v>1.54</v>
      </c>
    </row>
    <row r="1801" s="1" customFormat="1" spans="1:15">
      <c r="A1801" s="1" t="str">
        <f t="shared" si="1265"/>
        <v>202406</v>
      </c>
      <c r="B1801" s="1" t="str">
        <f t="shared" si="1266"/>
        <v>150525100</v>
      </c>
      <c r="C1801" s="1" t="str">
        <f>"1015311827"</f>
        <v>1015311827</v>
      </c>
      <c r="D1801" s="1" t="str">
        <f>"152326195301253325"</f>
        <v>152326195301253325</v>
      </c>
      <c r="E1801" s="1" t="s">
        <v>1873</v>
      </c>
      <c r="F1801" s="1" t="s">
        <v>16</v>
      </c>
      <c r="G1801" s="1" t="s">
        <v>17</v>
      </c>
      <c r="H1801" s="1" t="str">
        <f t="shared" ref="H1801:H1807" si="1268">"71"</f>
        <v>71</v>
      </c>
      <c r="I1801" s="1" t="str">
        <f>"162.58"</f>
        <v>162.58</v>
      </c>
      <c r="J1801" s="1" t="str">
        <f t="shared" si="1250"/>
        <v>0</v>
      </c>
      <c r="K1801" s="1" t="str">
        <f t="shared" si="1252"/>
        <v>103</v>
      </c>
      <c r="L1801" s="1" t="str">
        <f t="shared" si="1253"/>
        <v>47</v>
      </c>
      <c r="M1801" s="1" t="str">
        <f t="shared" si="1254"/>
        <v>0</v>
      </c>
      <c r="N1801" s="1" t="str">
        <f t="shared" si="1255"/>
        <v>0</v>
      </c>
      <c r="O1801" s="1" t="str">
        <f>"2.58"</f>
        <v>2.58</v>
      </c>
    </row>
    <row r="1802" s="1" customFormat="1" spans="1:15">
      <c r="A1802" s="1" t="str">
        <f t="shared" si="1265"/>
        <v>202406</v>
      </c>
      <c r="B1802" s="1" t="str">
        <f t="shared" si="1266"/>
        <v>150525100</v>
      </c>
      <c r="C1802" s="1" t="str">
        <f>"1015311384"</f>
        <v>1015311384</v>
      </c>
      <c r="D1802" s="1" t="str">
        <f>"152326195301013815"</f>
        <v>152326195301013815</v>
      </c>
      <c r="E1802" s="1" t="s">
        <v>1874</v>
      </c>
      <c r="F1802" s="1" t="s">
        <v>25</v>
      </c>
      <c r="G1802" s="1" t="s">
        <v>17</v>
      </c>
      <c r="H1802" s="1" t="str">
        <f t="shared" si="1267"/>
        <v>72</v>
      </c>
      <c r="I1802" s="1" t="str">
        <f t="shared" ref="I1802:I1806" si="1269">"162.57"</f>
        <v>162.57</v>
      </c>
      <c r="J1802" s="1" t="str">
        <f t="shared" si="1250"/>
        <v>0</v>
      </c>
      <c r="K1802" s="1" t="str">
        <f t="shared" si="1252"/>
        <v>103</v>
      </c>
      <c r="L1802" s="1" t="str">
        <f t="shared" si="1253"/>
        <v>47</v>
      </c>
      <c r="M1802" s="1" t="str">
        <f t="shared" si="1254"/>
        <v>0</v>
      </c>
      <c r="N1802" s="1" t="str">
        <f t="shared" si="1255"/>
        <v>0</v>
      </c>
      <c r="O1802" s="1" t="str">
        <f t="shared" ref="O1802:O1806" si="1270">"2.57"</f>
        <v>2.57</v>
      </c>
    </row>
    <row r="1803" s="1" customFormat="1" spans="1:15">
      <c r="A1803" s="1" t="str">
        <f t="shared" si="1265"/>
        <v>202406</v>
      </c>
      <c r="B1803" s="1" t="str">
        <f t="shared" si="1266"/>
        <v>150525100</v>
      </c>
      <c r="C1803" s="1" t="str">
        <f>"1015311390"</f>
        <v>1015311390</v>
      </c>
      <c r="D1803" s="1" t="str">
        <f>"152326195203113847"</f>
        <v>152326195203113847</v>
      </c>
      <c r="E1803" s="1" t="s">
        <v>470</v>
      </c>
      <c r="F1803" s="1" t="s">
        <v>16</v>
      </c>
      <c r="G1803" s="1" t="s">
        <v>17</v>
      </c>
      <c r="H1803" s="1" t="str">
        <f t="shared" si="1267"/>
        <v>72</v>
      </c>
      <c r="I1803" s="1" t="str">
        <f>"161.56"</f>
        <v>161.56</v>
      </c>
      <c r="J1803" s="1" t="str">
        <f t="shared" si="1250"/>
        <v>0</v>
      </c>
      <c r="K1803" s="1" t="str">
        <f t="shared" si="1252"/>
        <v>103</v>
      </c>
      <c r="L1803" s="1" t="str">
        <f t="shared" si="1253"/>
        <v>47</v>
      </c>
      <c r="M1803" s="1" t="str">
        <f t="shared" si="1254"/>
        <v>0</v>
      </c>
      <c r="N1803" s="1" t="str">
        <f t="shared" si="1255"/>
        <v>0</v>
      </c>
      <c r="O1803" s="1" t="str">
        <f>"1.56"</f>
        <v>1.56</v>
      </c>
    </row>
    <row r="1804" s="1" customFormat="1" spans="1:15">
      <c r="A1804" s="1" t="str">
        <f t="shared" si="1265"/>
        <v>202406</v>
      </c>
      <c r="B1804" s="1" t="str">
        <f t="shared" si="1266"/>
        <v>150525100</v>
      </c>
      <c r="C1804" s="1" t="str">
        <f>"1015311404"</f>
        <v>1015311404</v>
      </c>
      <c r="D1804" s="1" t="str">
        <f>"152326195309160668"</f>
        <v>152326195309160668</v>
      </c>
      <c r="E1804" s="1" t="s">
        <v>1875</v>
      </c>
      <c r="F1804" s="1" t="s">
        <v>16</v>
      </c>
      <c r="G1804" s="1" t="s">
        <v>17</v>
      </c>
      <c r="H1804" s="1" t="str">
        <f t="shared" si="1268"/>
        <v>71</v>
      </c>
      <c r="I1804" s="1" t="str">
        <f t="shared" si="1269"/>
        <v>162.57</v>
      </c>
      <c r="J1804" s="1" t="str">
        <f t="shared" si="1250"/>
        <v>0</v>
      </c>
      <c r="K1804" s="1" t="str">
        <f t="shared" si="1252"/>
        <v>103</v>
      </c>
      <c r="L1804" s="1" t="str">
        <f t="shared" si="1253"/>
        <v>47</v>
      </c>
      <c r="M1804" s="1" t="str">
        <f t="shared" si="1254"/>
        <v>0</v>
      </c>
      <c r="N1804" s="1" t="str">
        <f t="shared" si="1255"/>
        <v>0</v>
      </c>
      <c r="O1804" s="1" t="str">
        <f t="shared" si="1270"/>
        <v>2.57</v>
      </c>
    </row>
    <row r="1805" s="1" customFormat="1" spans="1:15">
      <c r="A1805" s="1" t="str">
        <f t="shared" si="1265"/>
        <v>202406</v>
      </c>
      <c r="B1805" s="1" t="str">
        <f t="shared" si="1266"/>
        <v>150525100</v>
      </c>
      <c r="C1805" s="1" t="str">
        <f>"1015311416"</f>
        <v>1015311416</v>
      </c>
      <c r="D1805" s="1" t="str">
        <f>"152326195303220025"</f>
        <v>152326195303220025</v>
      </c>
      <c r="E1805" s="1" t="s">
        <v>1876</v>
      </c>
      <c r="F1805" s="1" t="s">
        <v>16</v>
      </c>
      <c r="G1805" s="1" t="s">
        <v>19</v>
      </c>
      <c r="H1805" s="1" t="str">
        <f t="shared" si="1268"/>
        <v>71</v>
      </c>
      <c r="I1805" s="1" t="str">
        <f>"162.3"</f>
        <v>162.3</v>
      </c>
      <c r="J1805" s="1" t="str">
        <f t="shared" si="1250"/>
        <v>0</v>
      </c>
      <c r="K1805" s="1" t="str">
        <f t="shared" si="1252"/>
        <v>103</v>
      </c>
      <c r="L1805" s="1" t="str">
        <f t="shared" si="1253"/>
        <v>47</v>
      </c>
      <c r="M1805" s="1" t="str">
        <f t="shared" si="1254"/>
        <v>0</v>
      </c>
      <c r="N1805" s="1" t="str">
        <f t="shared" si="1255"/>
        <v>0</v>
      </c>
      <c r="O1805" s="1" t="str">
        <f>"2.3"</f>
        <v>2.3</v>
      </c>
    </row>
    <row r="1806" s="1" customFormat="1" spans="1:15">
      <c r="A1806" s="1" t="str">
        <f t="shared" si="1265"/>
        <v>202406</v>
      </c>
      <c r="B1806" s="1" t="str">
        <f t="shared" si="1266"/>
        <v>150525100</v>
      </c>
      <c r="C1806" s="1" t="str">
        <f>"1015311609"</f>
        <v>1015311609</v>
      </c>
      <c r="D1806" s="1" t="str">
        <f>"152326195311060666"</f>
        <v>152326195311060666</v>
      </c>
      <c r="E1806" s="1" t="s">
        <v>1877</v>
      </c>
      <c r="F1806" s="1" t="s">
        <v>16</v>
      </c>
      <c r="G1806" s="1" t="s">
        <v>17</v>
      </c>
      <c r="H1806" s="1" t="str">
        <f t="shared" si="1268"/>
        <v>71</v>
      </c>
      <c r="I1806" s="1" t="str">
        <f t="shared" si="1269"/>
        <v>162.57</v>
      </c>
      <c r="J1806" s="1" t="str">
        <f t="shared" si="1250"/>
        <v>0</v>
      </c>
      <c r="K1806" s="1" t="str">
        <f t="shared" si="1252"/>
        <v>103</v>
      </c>
      <c r="L1806" s="1" t="str">
        <f t="shared" si="1253"/>
        <v>47</v>
      </c>
      <c r="M1806" s="1" t="str">
        <f t="shared" si="1254"/>
        <v>0</v>
      </c>
      <c r="N1806" s="1" t="str">
        <f t="shared" si="1255"/>
        <v>0</v>
      </c>
      <c r="O1806" s="1" t="str">
        <f t="shared" si="1270"/>
        <v>2.57</v>
      </c>
    </row>
    <row r="1807" s="1" customFormat="1" spans="1:15">
      <c r="A1807" s="1" t="str">
        <f t="shared" si="1265"/>
        <v>202406</v>
      </c>
      <c r="B1807" s="1" t="str">
        <f t="shared" si="1266"/>
        <v>150525100</v>
      </c>
      <c r="C1807" s="1" t="str">
        <f>"1015311627"</f>
        <v>1015311627</v>
      </c>
      <c r="D1807" s="1" t="s">
        <v>1878</v>
      </c>
      <c r="E1807" s="1" t="s">
        <v>1879</v>
      </c>
      <c r="F1807" s="1" t="s">
        <v>16</v>
      </c>
      <c r="G1807" s="1" t="s">
        <v>17</v>
      </c>
      <c r="H1807" s="1" t="str">
        <f t="shared" si="1268"/>
        <v>71</v>
      </c>
      <c r="I1807" s="1" t="str">
        <f>"162.31"</f>
        <v>162.31</v>
      </c>
      <c r="J1807" s="1" t="str">
        <f t="shared" si="1250"/>
        <v>0</v>
      </c>
      <c r="K1807" s="1" t="str">
        <f t="shared" si="1252"/>
        <v>103</v>
      </c>
      <c r="L1807" s="1" t="str">
        <f t="shared" si="1253"/>
        <v>47</v>
      </c>
      <c r="M1807" s="1" t="str">
        <f t="shared" si="1254"/>
        <v>0</v>
      </c>
      <c r="N1807" s="1" t="str">
        <f t="shared" si="1255"/>
        <v>0</v>
      </c>
      <c r="O1807" s="1" t="str">
        <f>"2.31"</f>
        <v>2.31</v>
      </c>
    </row>
    <row r="1808" s="1" customFormat="1" spans="1:15">
      <c r="A1808" s="1" t="str">
        <f t="shared" si="1265"/>
        <v>202406</v>
      </c>
      <c r="B1808" s="1" t="str">
        <f t="shared" si="1266"/>
        <v>150525100</v>
      </c>
      <c r="C1808" s="1" t="str">
        <f>"1015311790"</f>
        <v>1015311790</v>
      </c>
      <c r="D1808" s="1" t="str">
        <f>"152326195205250677"</f>
        <v>152326195205250677</v>
      </c>
      <c r="E1808" s="1" t="s">
        <v>1880</v>
      </c>
      <c r="F1808" s="1" t="s">
        <v>25</v>
      </c>
      <c r="G1808" s="1" t="s">
        <v>17</v>
      </c>
      <c r="H1808" s="1" t="str">
        <f>"72"</f>
        <v>72</v>
      </c>
      <c r="I1808" s="1" t="str">
        <f>"161.56"</f>
        <v>161.56</v>
      </c>
      <c r="J1808" s="1" t="str">
        <f t="shared" si="1250"/>
        <v>0</v>
      </c>
      <c r="K1808" s="1" t="str">
        <f t="shared" si="1252"/>
        <v>103</v>
      </c>
      <c r="L1808" s="1" t="str">
        <f t="shared" si="1253"/>
        <v>47</v>
      </c>
      <c r="M1808" s="1" t="str">
        <f t="shared" si="1254"/>
        <v>0</v>
      </c>
      <c r="N1808" s="1" t="str">
        <f t="shared" si="1255"/>
        <v>0</v>
      </c>
      <c r="O1808" s="1" t="str">
        <f>"1.56"</f>
        <v>1.56</v>
      </c>
    </row>
    <row r="1809" s="1" customFormat="1" spans="1:15">
      <c r="A1809" s="1" t="str">
        <f t="shared" si="1265"/>
        <v>202406</v>
      </c>
      <c r="B1809" s="1" t="str">
        <f t="shared" si="1266"/>
        <v>150525100</v>
      </c>
      <c r="C1809" s="1" t="str">
        <f>"1015311808"</f>
        <v>1015311808</v>
      </c>
      <c r="D1809" s="1" t="str">
        <f>"152326195304160677"</f>
        <v>152326195304160677</v>
      </c>
      <c r="E1809" s="1" t="s">
        <v>1881</v>
      </c>
      <c r="F1809" s="1" t="s">
        <v>25</v>
      </c>
      <c r="G1809" s="1" t="s">
        <v>17</v>
      </c>
      <c r="H1809" s="1" t="str">
        <f>"71"</f>
        <v>71</v>
      </c>
      <c r="I1809" s="1" t="str">
        <f>"162.57"</f>
        <v>162.57</v>
      </c>
      <c r="J1809" s="1" t="str">
        <f t="shared" si="1250"/>
        <v>0</v>
      </c>
      <c r="K1809" s="1" t="str">
        <f t="shared" si="1252"/>
        <v>103</v>
      </c>
      <c r="L1809" s="1" t="str">
        <f t="shared" si="1253"/>
        <v>47</v>
      </c>
      <c r="M1809" s="1" t="str">
        <f t="shared" si="1254"/>
        <v>0</v>
      </c>
      <c r="N1809" s="1" t="str">
        <f t="shared" si="1255"/>
        <v>0</v>
      </c>
      <c r="O1809" s="1" t="str">
        <f>"2.57"</f>
        <v>2.57</v>
      </c>
    </row>
    <row r="1810" s="1" customFormat="1" spans="1:15">
      <c r="A1810" s="1" t="str">
        <f t="shared" si="1265"/>
        <v>202406</v>
      </c>
      <c r="B1810" s="1" t="str">
        <f t="shared" si="1266"/>
        <v>150525100</v>
      </c>
      <c r="C1810" s="1" t="str">
        <f>"1015311810"</f>
        <v>1015311810</v>
      </c>
      <c r="D1810" s="1" t="str">
        <f>"152326195208050662"</f>
        <v>152326195208050662</v>
      </c>
      <c r="E1810" s="1" t="s">
        <v>1882</v>
      </c>
      <c r="F1810" s="1" t="s">
        <v>16</v>
      </c>
      <c r="G1810" s="1" t="s">
        <v>17</v>
      </c>
      <c r="H1810" s="1" t="str">
        <f>"72"</f>
        <v>72</v>
      </c>
      <c r="I1810" s="1" t="str">
        <f>"161.56"</f>
        <v>161.56</v>
      </c>
      <c r="J1810" s="1" t="str">
        <f t="shared" si="1250"/>
        <v>0</v>
      </c>
      <c r="K1810" s="1" t="str">
        <f t="shared" si="1252"/>
        <v>103</v>
      </c>
      <c r="L1810" s="1" t="str">
        <f t="shared" si="1253"/>
        <v>47</v>
      </c>
      <c r="M1810" s="1" t="str">
        <f t="shared" si="1254"/>
        <v>0</v>
      </c>
      <c r="N1810" s="1" t="str">
        <f t="shared" si="1255"/>
        <v>0</v>
      </c>
      <c r="O1810" s="1" t="str">
        <f>"1.56"</f>
        <v>1.56</v>
      </c>
    </row>
    <row r="1811" s="1" customFormat="1" spans="1:15">
      <c r="A1811" s="1" t="str">
        <f t="shared" si="1265"/>
        <v>202406</v>
      </c>
      <c r="B1811" s="1" t="str">
        <f t="shared" si="1266"/>
        <v>150525100</v>
      </c>
      <c r="C1811" s="1" t="str">
        <f>"1041078942"</f>
        <v>1041078942</v>
      </c>
      <c r="D1811" s="1" t="str">
        <f>"152326195811190416"</f>
        <v>152326195811190416</v>
      </c>
      <c r="E1811" s="1" t="s">
        <v>1883</v>
      </c>
      <c r="F1811" s="1" t="s">
        <v>25</v>
      </c>
      <c r="G1811" s="1" t="s">
        <v>17</v>
      </c>
      <c r="H1811" s="1" t="str">
        <f>"66"</f>
        <v>66</v>
      </c>
      <c r="I1811" s="1" t="str">
        <f>"156.23"</f>
        <v>156.23</v>
      </c>
      <c r="J1811" s="1" t="str">
        <f t="shared" si="1250"/>
        <v>0</v>
      </c>
      <c r="K1811" s="1" t="str">
        <f t="shared" si="1252"/>
        <v>103</v>
      </c>
      <c r="L1811" s="1" t="str">
        <f t="shared" si="1253"/>
        <v>47</v>
      </c>
      <c r="M1811" s="1" t="str">
        <f t="shared" si="1254"/>
        <v>0</v>
      </c>
      <c r="N1811" s="1" t="str">
        <f t="shared" si="1255"/>
        <v>0</v>
      </c>
      <c r="O1811" s="1" t="str">
        <f>"6.23"</f>
        <v>6.23</v>
      </c>
    </row>
    <row r="1812" s="1" customFormat="1" spans="1:15">
      <c r="A1812" s="1" t="str">
        <f t="shared" si="1265"/>
        <v>202406</v>
      </c>
      <c r="B1812" s="1" t="str">
        <f t="shared" si="1266"/>
        <v>150525100</v>
      </c>
      <c r="C1812" s="1" t="str">
        <f>"1041154919"</f>
        <v>1041154919</v>
      </c>
      <c r="D1812" s="1" t="str">
        <f>"152326195703040939"</f>
        <v>152326195703040939</v>
      </c>
      <c r="E1812" s="1" t="s">
        <v>1884</v>
      </c>
      <c r="F1812" s="1" t="s">
        <v>25</v>
      </c>
      <c r="G1812" s="1" t="s">
        <v>19</v>
      </c>
      <c r="H1812" s="1" t="str">
        <f>"67"</f>
        <v>67</v>
      </c>
      <c r="I1812" s="1" t="str">
        <f>"155.17"</f>
        <v>155.17</v>
      </c>
      <c r="J1812" s="1" t="str">
        <f t="shared" si="1250"/>
        <v>0</v>
      </c>
      <c r="K1812" s="1" t="str">
        <f t="shared" si="1252"/>
        <v>103</v>
      </c>
      <c r="L1812" s="1" t="str">
        <f t="shared" si="1253"/>
        <v>47</v>
      </c>
      <c r="M1812" s="1" t="str">
        <f t="shared" si="1254"/>
        <v>0</v>
      </c>
      <c r="N1812" s="1" t="str">
        <f t="shared" si="1255"/>
        <v>0</v>
      </c>
      <c r="O1812" s="1" t="str">
        <f>"5.17"</f>
        <v>5.17</v>
      </c>
    </row>
    <row r="1813" s="1" customFormat="1" spans="1:15">
      <c r="A1813" s="1" t="str">
        <f t="shared" si="1265"/>
        <v>202406</v>
      </c>
      <c r="B1813" s="1" t="str">
        <f t="shared" si="1266"/>
        <v>150525100</v>
      </c>
      <c r="C1813" s="1" t="str">
        <f>"1040695145"</f>
        <v>1040695145</v>
      </c>
      <c r="D1813" s="1" t="str">
        <f>"152326196201103084"</f>
        <v>152326196201103084</v>
      </c>
      <c r="E1813" s="1" t="s">
        <v>1285</v>
      </c>
      <c r="F1813" s="1" t="s">
        <v>16</v>
      </c>
      <c r="G1813" s="1" t="s">
        <v>17</v>
      </c>
      <c r="H1813" s="1" t="str">
        <f>"62"</f>
        <v>62</v>
      </c>
      <c r="I1813" s="1" t="str">
        <f>"161.29"</f>
        <v>161.29</v>
      </c>
      <c r="J1813" s="1" t="str">
        <f t="shared" si="1250"/>
        <v>0</v>
      </c>
      <c r="K1813" s="1" t="str">
        <f t="shared" si="1252"/>
        <v>103</v>
      </c>
      <c r="L1813" s="1" t="str">
        <f t="shared" si="1253"/>
        <v>47</v>
      </c>
      <c r="M1813" s="1" t="str">
        <f t="shared" si="1254"/>
        <v>0</v>
      </c>
      <c r="N1813" s="1" t="str">
        <f t="shared" si="1255"/>
        <v>0</v>
      </c>
      <c r="O1813" s="1" t="str">
        <f>"11.29"</f>
        <v>11.29</v>
      </c>
    </row>
    <row r="1814" s="1" customFormat="1" spans="1:15">
      <c r="A1814" s="1" t="str">
        <f t="shared" si="1265"/>
        <v>202406</v>
      </c>
      <c r="B1814" s="1" t="str">
        <f t="shared" si="1266"/>
        <v>150525100</v>
      </c>
      <c r="C1814" s="1" t="str">
        <f>"1040653630"</f>
        <v>1040653630</v>
      </c>
      <c r="D1814" s="1" t="str">
        <f>"152326195404050918"</f>
        <v>152326195404050918</v>
      </c>
      <c r="E1814" s="1" t="s">
        <v>1885</v>
      </c>
      <c r="F1814" s="1" t="s">
        <v>25</v>
      </c>
      <c r="G1814" s="1" t="s">
        <v>19</v>
      </c>
      <c r="H1814" s="1" t="str">
        <f>"70"</f>
        <v>70</v>
      </c>
      <c r="I1814" s="1" t="str">
        <f>"163.55"</f>
        <v>163.55</v>
      </c>
      <c r="J1814" s="1" t="str">
        <f t="shared" si="1250"/>
        <v>0</v>
      </c>
      <c r="K1814" s="1" t="str">
        <f t="shared" si="1252"/>
        <v>103</v>
      </c>
      <c r="L1814" s="1" t="str">
        <f t="shared" si="1253"/>
        <v>47</v>
      </c>
      <c r="M1814" s="1" t="str">
        <f t="shared" si="1254"/>
        <v>0</v>
      </c>
      <c r="N1814" s="1" t="str">
        <f t="shared" si="1255"/>
        <v>0</v>
      </c>
      <c r="O1814" s="1" t="str">
        <f>"3.55"</f>
        <v>3.55</v>
      </c>
    </row>
    <row r="1815" s="1" customFormat="1" spans="1:15">
      <c r="A1815" s="1" t="str">
        <f t="shared" si="1265"/>
        <v>202406</v>
      </c>
      <c r="B1815" s="1" t="str">
        <f t="shared" si="1266"/>
        <v>150525100</v>
      </c>
      <c r="C1815" s="1" t="str">
        <f>"1040653639"</f>
        <v>1040653639</v>
      </c>
      <c r="D1815" s="1" t="s">
        <v>1886</v>
      </c>
      <c r="E1815" s="1" t="s">
        <v>1887</v>
      </c>
      <c r="F1815" s="1" t="s">
        <v>16</v>
      </c>
      <c r="G1815" s="1" t="s">
        <v>19</v>
      </c>
      <c r="H1815" s="1" t="str">
        <f>"62"</f>
        <v>62</v>
      </c>
      <c r="I1815" s="1" t="str">
        <f>"162.2"</f>
        <v>162.2</v>
      </c>
      <c r="J1815" s="1" t="str">
        <f t="shared" si="1250"/>
        <v>0</v>
      </c>
      <c r="K1815" s="1" t="str">
        <f t="shared" si="1252"/>
        <v>103</v>
      </c>
      <c r="L1815" s="1" t="str">
        <f t="shared" si="1253"/>
        <v>47</v>
      </c>
      <c r="M1815" s="1" t="str">
        <f t="shared" si="1254"/>
        <v>0</v>
      </c>
      <c r="N1815" s="1" t="str">
        <f t="shared" si="1255"/>
        <v>0</v>
      </c>
      <c r="O1815" s="1" t="str">
        <f>"12.2"</f>
        <v>12.2</v>
      </c>
    </row>
    <row r="1816" s="1" customFormat="1" spans="1:15">
      <c r="A1816" s="1" t="str">
        <f t="shared" si="1265"/>
        <v>202406</v>
      </c>
      <c r="B1816" s="1" t="str">
        <f t="shared" si="1266"/>
        <v>150525100</v>
      </c>
      <c r="C1816" s="1" t="str">
        <f>"1040653657"</f>
        <v>1040653657</v>
      </c>
      <c r="D1816" s="1" t="str">
        <f>"152326195705100923"</f>
        <v>152326195705100923</v>
      </c>
      <c r="E1816" s="1" t="s">
        <v>1888</v>
      </c>
      <c r="F1816" s="1" t="s">
        <v>16</v>
      </c>
      <c r="G1816" s="1" t="s">
        <v>19</v>
      </c>
      <c r="H1816" s="1" t="str">
        <f>"67"</f>
        <v>67</v>
      </c>
      <c r="I1816" s="1" t="str">
        <f>"155.48"</f>
        <v>155.48</v>
      </c>
      <c r="J1816" s="1" t="str">
        <f t="shared" si="1250"/>
        <v>0</v>
      </c>
      <c r="K1816" s="1" t="str">
        <f t="shared" si="1252"/>
        <v>103</v>
      </c>
      <c r="L1816" s="1" t="str">
        <f t="shared" si="1253"/>
        <v>47</v>
      </c>
      <c r="M1816" s="1" t="str">
        <f t="shared" si="1254"/>
        <v>0</v>
      </c>
      <c r="N1816" s="1" t="str">
        <f t="shared" si="1255"/>
        <v>0</v>
      </c>
      <c r="O1816" s="1" t="str">
        <f>"5.48"</f>
        <v>5.48</v>
      </c>
    </row>
    <row r="1817" s="1" customFormat="1" spans="1:15">
      <c r="A1817" s="1" t="str">
        <f t="shared" si="1265"/>
        <v>202406</v>
      </c>
      <c r="B1817" s="1" t="str">
        <f t="shared" si="1266"/>
        <v>150525100</v>
      </c>
      <c r="C1817" s="1" t="str">
        <f>"1040647656"</f>
        <v>1040647656</v>
      </c>
      <c r="D1817" s="1" t="str">
        <f>"152326196104040675"</f>
        <v>152326196104040675</v>
      </c>
      <c r="E1817" s="1" t="s">
        <v>1889</v>
      </c>
      <c r="F1817" s="1" t="s">
        <v>25</v>
      </c>
      <c r="G1817" s="1" t="s">
        <v>17</v>
      </c>
      <c r="H1817" s="1" t="str">
        <f>"63"</f>
        <v>63</v>
      </c>
      <c r="I1817" s="1" t="str">
        <f>"160.4"</f>
        <v>160.4</v>
      </c>
      <c r="J1817" s="1" t="str">
        <f t="shared" si="1250"/>
        <v>0</v>
      </c>
      <c r="K1817" s="1" t="str">
        <f t="shared" si="1252"/>
        <v>103</v>
      </c>
      <c r="L1817" s="1" t="str">
        <f t="shared" si="1253"/>
        <v>47</v>
      </c>
      <c r="M1817" s="1" t="str">
        <f t="shared" si="1254"/>
        <v>0</v>
      </c>
      <c r="N1817" s="1" t="str">
        <f t="shared" si="1255"/>
        <v>0</v>
      </c>
      <c r="O1817" s="1" t="str">
        <f>"10.4"</f>
        <v>10.4</v>
      </c>
    </row>
    <row r="1818" s="1" customFormat="1" spans="1:15">
      <c r="A1818" s="1" t="str">
        <f t="shared" si="1265"/>
        <v>202406</v>
      </c>
      <c r="B1818" s="1" t="str">
        <f t="shared" si="1266"/>
        <v>150525100</v>
      </c>
      <c r="C1818" s="1" t="str">
        <f>"1040647713"</f>
        <v>1040647713</v>
      </c>
      <c r="D1818" s="1" t="str">
        <f>"152326195707170431"</f>
        <v>152326195707170431</v>
      </c>
      <c r="E1818" s="1" t="s">
        <v>1890</v>
      </c>
      <c r="F1818" s="1" t="s">
        <v>25</v>
      </c>
      <c r="G1818" s="1" t="s">
        <v>17</v>
      </c>
      <c r="H1818" s="1" t="str">
        <f>"67"</f>
        <v>67</v>
      </c>
      <c r="I1818" s="1" t="str">
        <f>"156.42"</f>
        <v>156.42</v>
      </c>
      <c r="J1818" s="1" t="str">
        <f t="shared" si="1250"/>
        <v>0</v>
      </c>
      <c r="K1818" s="1" t="str">
        <f t="shared" si="1252"/>
        <v>103</v>
      </c>
      <c r="L1818" s="1" t="str">
        <f t="shared" si="1253"/>
        <v>47</v>
      </c>
      <c r="M1818" s="1" t="str">
        <f t="shared" si="1254"/>
        <v>0</v>
      </c>
      <c r="N1818" s="1" t="str">
        <f t="shared" si="1255"/>
        <v>0</v>
      </c>
      <c r="O1818" s="1" t="str">
        <f>"6.42"</f>
        <v>6.42</v>
      </c>
    </row>
    <row r="1819" s="1" customFormat="1" spans="1:15">
      <c r="A1819" s="1" t="str">
        <f t="shared" si="1265"/>
        <v>202406</v>
      </c>
      <c r="B1819" s="1" t="str">
        <f t="shared" si="1266"/>
        <v>150525100</v>
      </c>
      <c r="C1819" s="1" t="str">
        <f>"1040646023"</f>
        <v>1040646023</v>
      </c>
      <c r="D1819" s="1" t="str">
        <f>"152326195604020684"</f>
        <v>152326195604020684</v>
      </c>
      <c r="E1819" s="1" t="s">
        <v>1891</v>
      </c>
      <c r="F1819" s="1" t="s">
        <v>16</v>
      </c>
      <c r="G1819" s="1" t="s">
        <v>17</v>
      </c>
      <c r="H1819" s="1" t="str">
        <f>"68"</f>
        <v>68</v>
      </c>
      <c r="I1819" s="1" t="str">
        <f>"155.43"</f>
        <v>155.43</v>
      </c>
      <c r="J1819" s="1" t="str">
        <f t="shared" si="1250"/>
        <v>0</v>
      </c>
      <c r="K1819" s="1" t="str">
        <f t="shared" si="1252"/>
        <v>103</v>
      </c>
      <c r="L1819" s="1" t="str">
        <f t="shared" si="1253"/>
        <v>47</v>
      </c>
      <c r="M1819" s="1" t="str">
        <f t="shared" si="1254"/>
        <v>0</v>
      </c>
      <c r="N1819" s="1" t="str">
        <f t="shared" si="1255"/>
        <v>0</v>
      </c>
      <c r="O1819" s="1" t="str">
        <f>"5.43"</f>
        <v>5.43</v>
      </c>
    </row>
    <row r="1820" s="1" customFormat="1" spans="1:15">
      <c r="A1820" s="1" t="str">
        <f t="shared" si="1265"/>
        <v>202406</v>
      </c>
      <c r="B1820" s="1" t="str">
        <f t="shared" si="1266"/>
        <v>150525100</v>
      </c>
      <c r="C1820" s="1" t="str">
        <f>"1040646049"</f>
        <v>1040646049</v>
      </c>
      <c r="D1820" s="1" t="str">
        <f>"152326196209110676"</f>
        <v>152326196209110676</v>
      </c>
      <c r="E1820" s="1" t="s">
        <v>1892</v>
      </c>
      <c r="F1820" s="1" t="s">
        <v>25</v>
      </c>
      <c r="G1820" s="1" t="s">
        <v>17</v>
      </c>
      <c r="H1820" s="1" t="str">
        <f>"62"</f>
        <v>62</v>
      </c>
      <c r="I1820" s="1" t="str">
        <f>"162.49"</f>
        <v>162.49</v>
      </c>
      <c r="J1820" s="1" t="str">
        <f t="shared" si="1250"/>
        <v>0</v>
      </c>
      <c r="K1820" s="1" t="str">
        <f t="shared" si="1252"/>
        <v>103</v>
      </c>
      <c r="L1820" s="1" t="str">
        <f t="shared" si="1253"/>
        <v>47</v>
      </c>
      <c r="M1820" s="1" t="str">
        <f t="shared" si="1254"/>
        <v>0</v>
      </c>
      <c r="N1820" s="1" t="str">
        <f t="shared" si="1255"/>
        <v>0</v>
      </c>
      <c r="O1820" s="1" t="str">
        <f>"12.49"</f>
        <v>12.49</v>
      </c>
    </row>
    <row r="1821" s="1" customFormat="1" spans="1:15">
      <c r="A1821" s="1" t="str">
        <f t="shared" si="1265"/>
        <v>202406</v>
      </c>
      <c r="B1821" s="1" t="str">
        <f t="shared" si="1266"/>
        <v>150525100</v>
      </c>
      <c r="C1821" s="1" t="str">
        <f>"1040646057"</f>
        <v>1040646057</v>
      </c>
      <c r="D1821" s="1" t="str">
        <f>"152326196311240688"</f>
        <v>152326196311240688</v>
      </c>
      <c r="E1821" s="1" t="s">
        <v>1893</v>
      </c>
      <c r="F1821" s="1" t="s">
        <v>16</v>
      </c>
      <c r="G1821" s="1" t="s">
        <v>17</v>
      </c>
      <c r="H1821" s="1" t="str">
        <f>"61"</f>
        <v>61</v>
      </c>
      <c r="I1821" s="1" t="str">
        <f>"164.46"</f>
        <v>164.46</v>
      </c>
      <c r="J1821" s="1" t="str">
        <f t="shared" si="1250"/>
        <v>0</v>
      </c>
      <c r="K1821" s="1" t="str">
        <f t="shared" si="1252"/>
        <v>103</v>
      </c>
      <c r="L1821" s="1" t="str">
        <f t="shared" si="1253"/>
        <v>47</v>
      </c>
      <c r="M1821" s="1" t="str">
        <f t="shared" si="1254"/>
        <v>0</v>
      </c>
      <c r="N1821" s="1" t="str">
        <f t="shared" si="1255"/>
        <v>0</v>
      </c>
      <c r="O1821" s="1" t="str">
        <f>"14.46"</f>
        <v>14.46</v>
      </c>
    </row>
    <row r="1822" s="1" customFormat="1" spans="1:15">
      <c r="A1822" s="1" t="str">
        <f t="shared" si="1265"/>
        <v>202406</v>
      </c>
      <c r="B1822" s="1" t="str">
        <f t="shared" si="1266"/>
        <v>150525100</v>
      </c>
      <c r="C1822" s="1" t="str">
        <f>"1040646058"</f>
        <v>1040646058</v>
      </c>
      <c r="D1822" s="1" t="str">
        <f>"152326196312100660"</f>
        <v>152326196312100660</v>
      </c>
      <c r="E1822" s="1" t="s">
        <v>1894</v>
      </c>
      <c r="F1822" s="1" t="s">
        <v>16</v>
      </c>
      <c r="G1822" s="1" t="s">
        <v>17</v>
      </c>
      <c r="H1822" s="1" t="str">
        <f>"61"</f>
        <v>61</v>
      </c>
      <c r="I1822" s="1" t="str">
        <f>"164.46"</f>
        <v>164.46</v>
      </c>
      <c r="J1822" s="1" t="str">
        <f t="shared" si="1250"/>
        <v>0</v>
      </c>
      <c r="K1822" s="1" t="str">
        <f t="shared" si="1252"/>
        <v>103</v>
      </c>
      <c r="L1822" s="1" t="str">
        <f t="shared" si="1253"/>
        <v>47</v>
      </c>
      <c r="M1822" s="1" t="str">
        <f t="shared" si="1254"/>
        <v>0</v>
      </c>
      <c r="N1822" s="1" t="str">
        <f t="shared" si="1255"/>
        <v>0</v>
      </c>
      <c r="O1822" s="1" t="str">
        <f>"14.46"</f>
        <v>14.46</v>
      </c>
    </row>
    <row r="1823" s="1" customFormat="1" spans="1:15">
      <c r="A1823" s="1" t="str">
        <f t="shared" si="1265"/>
        <v>202406</v>
      </c>
      <c r="B1823" s="1" t="str">
        <f t="shared" si="1266"/>
        <v>150525100</v>
      </c>
      <c r="C1823" s="1" t="str">
        <f>"1040646062"</f>
        <v>1040646062</v>
      </c>
      <c r="D1823" s="1" t="s">
        <v>1895</v>
      </c>
      <c r="E1823" s="1" t="s">
        <v>1896</v>
      </c>
      <c r="F1823" s="1" t="s">
        <v>16</v>
      </c>
      <c r="G1823" s="1" t="s">
        <v>19</v>
      </c>
      <c r="H1823" s="1" t="str">
        <f>"60"</f>
        <v>60</v>
      </c>
      <c r="I1823" s="1" t="str">
        <f>"166.16"</f>
        <v>166.16</v>
      </c>
      <c r="J1823" s="1" t="str">
        <f t="shared" si="1250"/>
        <v>0</v>
      </c>
      <c r="K1823" s="1" t="str">
        <f t="shared" si="1252"/>
        <v>103</v>
      </c>
      <c r="L1823" s="1" t="str">
        <f t="shared" si="1253"/>
        <v>47</v>
      </c>
      <c r="M1823" s="1" t="str">
        <f t="shared" si="1254"/>
        <v>0</v>
      </c>
      <c r="N1823" s="1" t="str">
        <f t="shared" si="1255"/>
        <v>0</v>
      </c>
      <c r="O1823" s="1" t="str">
        <f>"16.16"</f>
        <v>16.16</v>
      </c>
    </row>
    <row r="1824" s="1" customFormat="1" spans="1:15">
      <c r="A1824" s="1" t="str">
        <f t="shared" si="1265"/>
        <v>202406</v>
      </c>
      <c r="B1824" s="1" t="str">
        <f t="shared" si="1266"/>
        <v>150525100</v>
      </c>
      <c r="C1824" s="1" t="str">
        <f>"1040675168"</f>
        <v>1040675168</v>
      </c>
      <c r="D1824" s="1" t="str">
        <f>"152326195812133819"</f>
        <v>152326195812133819</v>
      </c>
      <c r="E1824" s="1" t="s">
        <v>1897</v>
      </c>
      <c r="F1824" s="1" t="s">
        <v>25</v>
      </c>
      <c r="G1824" s="1" t="s">
        <v>19</v>
      </c>
      <c r="H1824" s="1" t="str">
        <f>"66"</f>
        <v>66</v>
      </c>
      <c r="I1824" s="1" t="str">
        <f>"155.64"</f>
        <v>155.64</v>
      </c>
      <c r="J1824" s="1" t="str">
        <f t="shared" si="1250"/>
        <v>0</v>
      </c>
      <c r="K1824" s="1" t="str">
        <f t="shared" si="1252"/>
        <v>103</v>
      </c>
      <c r="L1824" s="1" t="str">
        <f t="shared" si="1253"/>
        <v>47</v>
      </c>
      <c r="M1824" s="1" t="str">
        <f t="shared" si="1254"/>
        <v>0</v>
      </c>
      <c r="N1824" s="1" t="str">
        <f t="shared" si="1255"/>
        <v>0</v>
      </c>
      <c r="O1824" s="1" t="str">
        <f>"5.64"</f>
        <v>5.64</v>
      </c>
    </row>
    <row r="1825" s="1" customFormat="1" spans="1:15">
      <c r="A1825" s="1" t="str">
        <f t="shared" si="1265"/>
        <v>202406</v>
      </c>
      <c r="B1825" s="1" t="str">
        <f t="shared" si="1266"/>
        <v>150525100</v>
      </c>
      <c r="C1825" s="1" t="str">
        <f>"1040675211"</f>
        <v>1040675211</v>
      </c>
      <c r="D1825" s="1" t="str">
        <f>"152326195810183812"</f>
        <v>152326195810183812</v>
      </c>
      <c r="E1825" s="1" t="s">
        <v>1898</v>
      </c>
      <c r="F1825" s="1" t="s">
        <v>25</v>
      </c>
      <c r="G1825" s="1" t="s">
        <v>19</v>
      </c>
      <c r="H1825" s="1" t="str">
        <f>"66"</f>
        <v>66</v>
      </c>
      <c r="I1825" s="1" t="str">
        <f>"156.36"</f>
        <v>156.36</v>
      </c>
      <c r="J1825" s="1" t="str">
        <f t="shared" si="1250"/>
        <v>0</v>
      </c>
      <c r="K1825" s="1" t="str">
        <f t="shared" si="1252"/>
        <v>103</v>
      </c>
      <c r="L1825" s="1" t="str">
        <f t="shared" si="1253"/>
        <v>47</v>
      </c>
      <c r="M1825" s="1" t="str">
        <f t="shared" si="1254"/>
        <v>0</v>
      </c>
      <c r="N1825" s="1" t="str">
        <f t="shared" si="1255"/>
        <v>0</v>
      </c>
      <c r="O1825" s="1" t="str">
        <f>"6.36"</f>
        <v>6.36</v>
      </c>
    </row>
    <row r="1826" s="1" customFormat="1" spans="1:15">
      <c r="A1826" s="1" t="str">
        <f t="shared" si="1265"/>
        <v>202406</v>
      </c>
      <c r="B1826" s="1" t="str">
        <f t="shared" si="1266"/>
        <v>150525100</v>
      </c>
      <c r="C1826" s="1" t="str">
        <f>"1040726798"</f>
        <v>1040726798</v>
      </c>
      <c r="D1826" s="1" t="s">
        <v>1899</v>
      </c>
      <c r="E1826" s="1" t="s">
        <v>1900</v>
      </c>
      <c r="F1826" s="1" t="s">
        <v>25</v>
      </c>
      <c r="G1826" s="1" t="s">
        <v>19</v>
      </c>
      <c r="H1826" s="1" t="str">
        <f>"68"</f>
        <v>68</v>
      </c>
      <c r="I1826" s="1" t="str">
        <f>"154.54"</f>
        <v>154.54</v>
      </c>
      <c r="J1826" s="1" t="str">
        <f t="shared" si="1250"/>
        <v>0</v>
      </c>
      <c r="K1826" s="1" t="str">
        <f t="shared" si="1252"/>
        <v>103</v>
      </c>
      <c r="L1826" s="1" t="str">
        <f t="shared" si="1253"/>
        <v>47</v>
      </c>
      <c r="M1826" s="1" t="str">
        <f t="shared" si="1254"/>
        <v>0</v>
      </c>
      <c r="N1826" s="1" t="str">
        <f t="shared" si="1255"/>
        <v>0</v>
      </c>
      <c r="O1826" s="1" t="str">
        <f>"4.54"</f>
        <v>4.54</v>
      </c>
    </row>
    <row r="1827" s="1" customFormat="1" spans="1:15">
      <c r="A1827" s="1" t="str">
        <f t="shared" si="1265"/>
        <v>202406</v>
      </c>
      <c r="B1827" s="1" t="str">
        <f t="shared" si="1266"/>
        <v>150525100</v>
      </c>
      <c r="C1827" s="1" t="str">
        <f>"1040695110"</f>
        <v>1040695110</v>
      </c>
      <c r="D1827" s="1" t="str">
        <f>"152326195607013316"</f>
        <v>152326195607013316</v>
      </c>
      <c r="E1827" s="1" t="s">
        <v>1901</v>
      </c>
      <c r="F1827" s="1" t="s">
        <v>25</v>
      </c>
      <c r="G1827" s="1" t="s">
        <v>19</v>
      </c>
      <c r="H1827" s="1" t="str">
        <f>"68"</f>
        <v>68</v>
      </c>
      <c r="I1827" s="1" t="str">
        <f>"154.54"</f>
        <v>154.54</v>
      </c>
      <c r="J1827" s="1" t="str">
        <f t="shared" si="1250"/>
        <v>0</v>
      </c>
      <c r="K1827" s="1" t="str">
        <f t="shared" si="1252"/>
        <v>103</v>
      </c>
      <c r="L1827" s="1" t="str">
        <f t="shared" si="1253"/>
        <v>47</v>
      </c>
      <c r="M1827" s="1" t="str">
        <f t="shared" si="1254"/>
        <v>0</v>
      </c>
      <c r="N1827" s="1" t="str">
        <f t="shared" si="1255"/>
        <v>0</v>
      </c>
      <c r="O1827" s="1" t="str">
        <f>"4.54"</f>
        <v>4.54</v>
      </c>
    </row>
    <row r="1828" s="1" customFormat="1" spans="1:15">
      <c r="A1828" s="1" t="str">
        <f t="shared" si="1265"/>
        <v>202406</v>
      </c>
      <c r="B1828" s="1" t="str">
        <f t="shared" si="1266"/>
        <v>150525100</v>
      </c>
      <c r="C1828" s="1" t="str">
        <f>"1040675191"</f>
        <v>1040675191</v>
      </c>
      <c r="D1828" s="1" t="str">
        <f>"152326195901083825"</f>
        <v>152326195901083825</v>
      </c>
      <c r="E1828" s="1" t="s">
        <v>1902</v>
      </c>
      <c r="F1828" s="1" t="s">
        <v>16</v>
      </c>
      <c r="G1828" s="1" t="s">
        <v>19</v>
      </c>
      <c r="H1828" s="1" t="str">
        <f t="shared" ref="H1828:H1833" si="1271">"65"</f>
        <v>65</v>
      </c>
      <c r="I1828" s="1" t="str">
        <f>"156.59"</f>
        <v>156.59</v>
      </c>
      <c r="J1828" s="1" t="str">
        <f t="shared" si="1250"/>
        <v>0</v>
      </c>
      <c r="K1828" s="1" t="str">
        <f t="shared" si="1252"/>
        <v>103</v>
      </c>
      <c r="L1828" s="1" t="str">
        <f t="shared" si="1253"/>
        <v>47</v>
      </c>
      <c r="M1828" s="1" t="str">
        <f t="shared" si="1254"/>
        <v>0</v>
      </c>
      <c r="N1828" s="1" t="str">
        <f t="shared" si="1255"/>
        <v>0</v>
      </c>
      <c r="O1828" s="1" t="str">
        <f>"6.59"</f>
        <v>6.59</v>
      </c>
    </row>
    <row r="1829" s="1" customFormat="1" spans="1:15">
      <c r="A1829" s="1" t="str">
        <f t="shared" si="1265"/>
        <v>202406</v>
      </c>
      <c r="B1829" s="1" t="str">
        <f t="shared" si="1266"/>
        <v>150525100</v>
      </c>
      <c r="C1829" s="1" t="str">
        <f>"1040655168"</f>
        <v>1040655168</v>
      </c>
      <c r="D1829" s="1" t="str">
        <f>"152326196202160443"</f>
        <v>152326196202160443</v>
      </c>
      <c r="E1829" s="1" t="s">
        <v>1903</v>
      </c>
      <c r="F1829" s="1" t="s">
        <v>16</v>
      </c>
      <c r="G1829" s="1" t="s">
        <v>17</v>
      </c>
      <c r="H1829" s="1" t="str">
        <f>"62"</f>
        <v>62</v>
      </c>
      <c r="I1829" s="1" t="str">
        <f>"161.33"</f>
        <v>161.33</v>
      </c>
      <c r="J1829" s="1" t="str">
        <f t="shared" ref="J1829:J1854" si="1272">"0"</f>
        <v>0</v>
      </c>
      <c r="K1829" s="1" t="str">
        <f t="shared" si="1252"/>
        <v>103</v>
      </c>
      <c r="L1829" s="1" t="str">
        <f t="shared" si="1253"/>
        <v>47</v>
      </c>
      <c r="M1829" s="1" t="str">
        <f t="shared" si="1254"/>
        <v>0</v>
      </c>
      <c r="N1829" s="1" t="str">
        <f t="shared" si="1255"/>
        <v>0</v>
      </c>
      <c r="O1829" s="1" t="str">
        <f>"11.33"</f>
        <v>11.33</v>
      </c>
    </row>
    <row r="1830" s="1" customFormat="1" spans="1:15">
      <c r="A1830" s="1" t="str">
        <f t="shared" si="1265"/>
        <v>202406</v>
      </c>
      <c r="B1830" s="1" t="str">
        <f t="shared" si="1266"/>
        <v>150525100</v>
      </c>
      <c r="C1830" s="1" t="str">
        <f>"1040716935"</f>
        <v>1040716935</v>
      </c>
      <c r="D1830" s="1" t="s">
        <v>1904</v>
      </c>
      <c r="E1830" s="1" t="s">
        <v>1905</v>
      </c>
      <c r="F1830" s="1" t="s">
        <v>25</v>
      </c>
      <c r="G1830" s="1" t="s">
        <v>19</v>
      </c>
      <c r="H1830" s="1" t="str">
        <f t="shared" si="1271"/>
        <v>65</v>
      </c>
      <c r="I1830" s="1" t="str">
        <f>"157.7"</f>
        <v>157.7</v>
      </c>
      <c r="J1830" s="1" t="str">
        <f t="shared" si="1272"/>
        <v>0</v>
      </c>
      <c r="K1830" s="1" t="str">
        <f t="shared" si="1252"/>
        <v>103</v>
      </c>
      <c r="L1830" s="1" t="str">
        <f t="shared" si="1253"/>
        <v>47</v>
      </c>
      <c r="M1830" s="1" t="str">
        <f t="shared" si="1254"/>
        <v>0</v>
      </c>
      <c r="N1830" s="1" t="str">
        <f t="shared" si="1255"/>
        <v>0</v>
      </c>
      <c r="O1830" s="1" t="str">
        <f>"7.7"</f>
        <v>7.7</v>
      </c>
    </row>
    <row r="1831" s="1" customFormat="1" spans="1:15">
      <c r="A1831" s="1" t="str">
        <f t="shared" si="1265"/>
        <v>202406</v>
      </c>
      <c r="B1831" s="1" t="str">
        <f t="shared" si="1266"/>
        <v>150525100</v>
      </c>
      <c r="C1831" s="1" t="str">
        <f>"1040735934"</f>
        <v>1040735934</v>
      </c>
      <c r="D1831" s="1" t="str">
        <f>"152326196212043312"</f>
        <v>152326196212043312</v>
      </c>
      <c r="E1831" s="1" t="s">
        <v>1906</v>
      </c>
      <c r="F1831" s="1" t="s">
        <v>25</v>
      </c>
      <c r="G1831" s="1" t="s">
        <v>17</v>
      </c>
      <c r="H1831" s="1" t="str">
        <f>"62"</f>
        <v>62</v>
      </c>
      <c r="I1831" s="1" t="str">
        <f>"161.56"</f>
        <v>161.56</v>
      </c>
      <c r="J1831" s="1" t="str">
        <f t="shared" si="1272"/>
        <v>0</v>
      </c>
      <c r="K1831" s="1" t="str">
        <f t="shared" si="1252"/>
        <v>103</v>
      </c>
      <c r="L1831" s="1" t="str">
        <f t="shared" si="1253"/>
        <v>47</v>
      </c>
      <c r="M1831" s="1" t="str">
        <f t="shared" si="1254"/>
        <v>0</v>
      </c>
      <c r="N1831" s="1" t="str">
        <f t="shared" si="1255"/>
        <v>0</v>
      </c>
      <c r="O1831" s="1" t="str">
        <f>"11.56"</f>
        <v>11.56</v>
      </c>
    </row>
    <row r="1832" s="1" customFormat="1" spans="1:15">
      <c r="A1832" s="1" t="str">
        <f t="shared" si="1265"/>
        <v>202406</v>
      </c>
      <c r="B1832" s="1" t="str">
        <f t="shared" si="1266"/>
        <v>150525100</v>
      </c>
      <c r="C1832" s="1" t="str">
        <f>"1040729046"</f>
        <v>1040729046</v>
      </c>
      <c r="D1832" s="1" t="str">
        <f>"152326195701150675"</f>
        <v>152326195701150675</v>
      </c>
      <c r="E1832" s="1" t="s">
        <v>1907</v>
      </c>
      <c r="F1832" s="1" t="s">
        <v>25</v>
      </c>
      <c r="G1832" s="1" t="s">
        <v>17</v>
      </c>
      <c r="H1832" s="1" t="str">
        <f>"67"</f>
        <v>67</v>
      </c>
      <c r="I1832" s="1" t="str">
        <f>"154.54"</f>
        <v>154.54</v>
      </c>
      <c r="J1832" s="1" t="str">
        <f t="shared" si="1272"/>
        <v>0</v>
      </c>
      <c r="K1832" s="1" t="str">
        <f t="shared" si="1252"/>
        <v>103</v>
      </c>
      <c r="L1832" s="1" t="str">
        <f t="shared" si="1253"/>
        <v>47</v>
      </c>
      <c r="M1832" s="1" t="str">
        <f t="shared" si="1254"/>
        <v>0</v>
      </c>
      <c r="N1832" s="1" t="str">
        <f t="shared" si="1255"/>
        <v>0</v>
      </c>
      <c r="O1832" s="1" t="str">
        <f>"4.54"</f>
        <v>4.54</v>
      </c>
    </row>
    <row r="1833" s="1" customFormat="1" spans="1:15">
      <c r="A1833" s="1" t="str">
        <f t="shared" si="1265"/>
        <v>202406</v>
      </c>
      <c r="B1833" s="1" t="str">
        <f t="shared" si="1266"/>
        <v>150525100</v>
      </c>
      <c r="C1833" s="1" t="str">
        <f>"1040641587"</f>
        <v>1040641587</v>
      </c>
      <c r="D1833" s="1" t="str">
        <f>"152326195903046374"</f>
        <v>152326195903046374</v>
      </c>
      <c r="E1833" s="1" t="s">
        <v>1908</v>
      </c>
      <c r="F1833" s="1" t="s">
        <v>25</v>
      </c>
      <c r="G1833" s="1" t="s">
        <v>17</v>
      </c>
      <c r="H1833" s="1" t="str">
        <f t="shared" si="1271"/>
        <v>65</v>
      </c>
      <c r="I1833" s="1" t="str">
        <f>"156.59"</f>
        <v>156.59</v>
      </c>
      <c r="J1833" s="1" t="str">
        <f t="shared" si="1272"/>
        <v>0</v>
      </c>
      <c r="K1833" s="1" t="str">
        <f t="shared" si="1252"/>
        <v>103</v>
      </c>
      <c r="L1833" s="1" t="str">
        <f t="shared" si="1253"/>
        <v>47</v>
      </c>
      <c r="M1833" s="1" t="str">
        <f t="shared" si="1254"/>
        <v>0</v>
      </c>
      <c r="N1833" s="1" t="str">
        <f t="shared" si="1255"/>
        <v>0</v>
      </c>
      <c r="O1833" s="1" t="str">
        <f>"6.59"</f>
        <v>6.59</v>
      </c>
    </row>
    <row r="1834" s="1" customFormat="1" spans="1:15">
      <c r="A1834" s="1" t="str">
        <f t="shared" si="1265"/>
        <v>202406</v>
      </c>
      <c r="B1834" s="1" t="str">
        <f t="shared" si="1266"/>
        <v>150525100</v>
      </c>
      <c r="C1834" s="1" t="str">
        <f>"1040752564"</f>
        <v>1040752564</v>
      </c>
      <c r="D1834" s="1" t="str">
        <f>"152326195703193820"</f>
        <v>152326195703193820</v>
      </c>
      <c r="E1834" s="1" t="s">
        <v>1909</v>
      </c>
      <c r="F1834" s="1" t="s">
        <v>16</v>
      </c>
      <c r="G1834" s="1" t="s">
        <v>19</v>
      </c>
      <c r="H1834" s="1" t="str">
        <f>"67"</f>
        <v>67</v>
      </c>
      <c r="I1834" s="1" t="str">
        <f>"154.56"</f>
        <v>154.56</v>
      </c>
      <c r="J1834" s="1" t="str">
        <f t="shared" si="1272"/>
        <v>0</v>
      </c>
      <c r="K1834" s="1" t="str">
        <f t="shared" si="1252"/>
        <v>103</v>
      </c>
      <c r="L1834" s="1" t="str">
        <f t="shared" si="1253"/>
        <v>47</v>
      </c>
      <c r="M1834" s="1" t="str">
        <f t="shared" si="1254"/>
        <v>0</v>
      </c>
      <c r="N1834" s="1" t="str">
        <f t="shared" si="1255"/>
        <v>0</v>
      </c>
      <c r="O1834" s="1" t="str">
        <f>"4.56"</f>
        <v>4.56</v>
      </c>
    </row>
    <row r="1835" s="1" customFormat="1" spans="1:15">
      <c r="A1835" s="1" t="str">
        <f t="shared" si="1265"/>
        <v>202406</v>
      </c>
      <c r="B1835" s="1" t="str">
        <f t="shared" si="1266"/>
        <v>150525100</v>
      </c>
      <c r="C1835" s="1" t="str">
        <f>"1040647348"</f>
        <v>1040647348</v>
      </c>
      <c r="D1835" s="1" t="str">
        <f>"152326195402060661"</f>
        <v>152326195402060661</v>
      </c>
      <c r="E1835" s="1" t="s">
        <v>1910</v>
      </c>
      <c r="F1835" s="1" t="s">
        <v>16</v>
      </c>
      <c r="G1835" s="1" t="s">
        <v>19</v>
      </c>
      <c r="H1835" s="1" t="str">
        <f>"70"</f>
        <v>70</v>
      </c>
      <c r="I1835" s="1" t="str">
        <f>"163.33"</f>
        <v>163.33</v>
      </c>
      <c r="J1835" s="1" t="str">
        <f t="shared" si="1272"/>
        <v>0</v>
      </c>
      <c r="K1835" s="1" t="str">
        <f t="shared" si="1252"/>
        <v>103</v>
      </c>
      <c r="L1835" s="1" t="str">
        <f t="shared" si="1253"/>
        <v>47</v>
      </c>
      <c r="M1835" s="1" t="str">
        <f t="shared" si="1254"/>
        <v>0</v>
      </c>
      <c r="N1835" s="1" t="str">
        <f t="shared" si="1255"/>
        <v>0</v>
      </c>
      <c r="O1835" s="1" t="str">
        <f>"3.33"</f>
        <v>3.33</v>
      </c>
    </row>
    <row r="1836" s="1" customFormat="1" spans="1:15">
      <c r="A1836" s="1" t="str">
        <f t="shared" si="1265"/>
        <v>202406</v>
      </c>
      <c r="B1836" s="1" t="str">
        <f t="shared" si="1266"/>
        <v>150525100</v>
      </c>
      <c r="C1836" s="1" t="str">
        <f>"1040739113"</f>
        <v>1040739113</v>
      </c>
      <c r="D1836" s="1" t="str">
        <f>"152326195903150673"</f>
        <v>152326195903150673</v>
      </c>
      <c r="E1836" s="1" t="s">
        <v>1911</v>
      </c>
      <c r="F1836" s="1" t="s">
        <v>25</v>
      </c>
      <c r="G1836" s="1" t="s">
        <v>17</v>
      </c>
      <c r="H1836" s="1" t="str">
        <f>"65"</f>
        <v>65</v>
      </c>
      <c r="I1836" s="1" t="str">
        <f>"156.61"</f>
        <v>156.61</v>
      </c>
      <c r="J1836" s="1" t="str">
        <f t="shared" si="1272"/>
        <v>0</v>
      </c>
      <c r="K1836" s="1" t="str">
        <f t="shared" si="1252"/>
        <v>103</v>
      </c>
      <c r="L1836" s="1" t="str">
        <f t="shared" si="1253"/>
        <v>47</v>
      </c>
      <c r="M1836" s="1" t="str">
        <f t="shared" si="1254"/>
        <v>0</v>
      </c>
      <c r="N1836" s="1" t="str">
        <f t="shared" si="1255"/>
        <v>0</v>
      </c>
      <c r="O1836" s="1" t="str">
        <f>"6.61"</f>
        <v>6.61</v>
      </c>
    </row>
    <row r="1837" s="1" customFormat="1" spans="1:15">
      <c r="A1837" s="1" t="str">
        <f t="shared" si="1265"/>
        <v>202406</v>
      </c>
      <c r="B1837" s="1" t="str">
        <f t="shared" si="1266"/>
        <v>150525100</v>
      </c>
      <c r="C1837" s="1" t="str">
        <f>"1040693097"</f>
        <v>1040693097</v>
      </c>
      <c r="D1837" s="1" t="str">
        <f>"152326196402123073"</f>
        <v>152326196402123073</v>
      </c>
      <c r="E1837" s="1" t="s">
        <v>1912</v>
      </c>
      <c r="F1837" s="1" t="s">
        <v>25</v>
      </c>
      <c r="G1837" s="1" t="s">
        <v>17</v>
      </c>
      <c r="H1837" s="1" t="str">
        <f>"60"</f>
        <v>60</v>
      </c>
      <c r="I1837" s="1" t="str">
        <f>"164.06"</f>
        <v>164.06</v>
      </c>
      <c r="J1837" s="1" t="str">
        <f t="shared" si="1272"/>
        <v>0</v>
      </c>
      <c r="K1837" s="1" t="str">
        <f t="shared" si="1252"/>
        <v>103</v>
      </c>
      <c r="L1837" s="1" t="str">
        <f t="shared" si="1253"/>
        <v>47</v>
      </c>
      <c r="M1837" s="1" t="str">
        <f t="shared" si="1254"/>
        <v>0</v>
      </c>
      <c r="N1837" s="1" t="str">
        <f t="shared" si="1255"/>
        <v>0</v>
      </c>
      <c r="O1837" s="1" t="str">
        <f>"14.06"</f>
        <v>14.06</v>
      </c>
    </row>
    <row r="1838" s="1" customFormat="1" spans="1:15">
      <c r="A1838" s="1" t="str">
        <f t="shared" si="1265"/>
        <v>202406</v>
      </c>
      <c r="B1838" s="1" t="str">
        <f t="shared" si="1266"/>
        <v>150525100</v>
      </c>
      <c r="C1838" s="1" t="str">
        <f>"1040642955"</f>
        <v>1040642955</v>
      </c>
      <c r="D1838" s="1" t="str">
        <f>"152326195610200059"</f>
        <v>152326195610200059</v>
      </c>
      <c r="E1838" s="1" t="s">
        <v>1913</v>
      </c>
      <c r="F1838" s="1" t="s">
        <v>25</v>
      </c>
      <c r="G1838" s="1" t="s">
        <v>17</v>
      </c>
      <c r="H1838" s="1" t="str">
        <f>"68"</f>
        <v>68</v>
      </c>
      <c r="I1838" s="1" t="str">
        <f>"154.54"</f>
        <v>154.54</v>
      </c>
      <c r="J1838" s="1" t="str">
        <f t="shared" si="1272"/>
        <v>0</v>
      </c>
      <c r="K1838" s="1" t="str">
        <f t="shared" si="1252"/>
        <v>103</v>
      </c>
      <c r="L1838" s="1" t="str">
        <f t="shared" si="1253"/>
        <v>47</v>
      </c>
      <c r="M1838" s="1" t="str">
        <f t="shared" si="1254"/>
        <v>0</v>
      </c>
      <c r="N1838" s="1" t="str">
        <f t="shared" si="1255"/>
        <v>0</v>
      </c>
      <c r="O1838" s="1" t="str">
        <f>"4.54"</f>
        <v>4.54</v>
      </c>
    </row>
    <row r="1839" s="1" customFormat="1" spans="1:15">
      <c r="A1839" s="1" t="str">
        <f t="shared" si="1265"/>
        <v>202406</v>
      </c>
      <c r="B1839" s="1" t="str">
        <f t="shared" si="1266"/>
        <v>150525100</v>
      </c>
      <c r="C1839" s="1" t="str">
        <f>"1040684856"</f>
        <v>1040684856</v>
      </c>
      <c r="D1839" s="1" t="str">
        <f>"152326196107160664"</f>
        <v>152326196107160664</v>
      </c>
      <c r="E1839" s="1" t="s">
        <v>1914</v>
      </c>
      <c r="F1839" s="1" t="s">
        <v>16</v>
      </c>
      <c r="G1839" s="1" t="s">
        <v>17</v>
      </c>
      <c r="H1839" s="1" t="str">
        <f>"63"</f>
        <v>63</v>
      </c>
      <c r="I1839" s="1" t="str">
        <f>"159.5"</f>
        <v>159.5</v>
      </c>
      <c r="J1839" s="1" t="str">
        <f t="shared" si="1272"/>
        <v>0</v>
      </c>
      <c r="K1839" s="1" t="str">
        <f t="shared" ref="K1839:K1854" si="1273">"103"</f>
        <v>103</v>
      </c>
      <c r="L1839" s="1" t="str">
        <f t="shared" ref="L1839:L1854" si="1274">"47"</f>
        <v>47</v>
      </c>
      <c r="M1839" s="1" t="str">
        <f t="shared" si="1254"/>
        <v>0</v>
      </c>
      <c r="N1839" s="1" t="str">
        <f t="shared" si="1255"/>
        <v>0</v>
      </c>
      <c r="O1839" s="1" t="str">
        <f>"9.5"</f>
        <v>9.5</v>
      </c>
    </row>
    <row r="1840" s="1" customFormat="1" spans="1:15">
      <c r="A1840" s="1" t="str">
        <f t="shared" si="1265"/>
        <v>202406</v>
      </c>
      <c r="B1840" s="1" t="str">
        <f t="shared" si="1266"/>
        <v>150525100</v>
      </c>
      <c r="C1840" s="1" t="str">
        <f>"1040796954"</f>
        <v>1040796954</v>
      </c>
      <c r="D1840" s="1" t="s">
        <v>1915</v>
      </c>
      <c r="E1840" s="1" t="s">
        <v>1916</v>
      </c>
      <c r="F1840" s="1" t="s">
        <v>25</v>
      </c>
      <c r="G1840" s="1" t="s">
        <v>17</v>
      </c>
      <c r="H1840" s="1" t="str">
        <f>"64"</f>
        <v>64</v>
      </c>
      <c r="I1840" s="1" t="str">
        <f>"157.64"</f>
        <v>157.64</v>
      </c>
      <c r="J1840" s="1" t="str">
        <f t="shared" si="1272"/>
        <v>0</v>
      </c>
      <c r="K1840" s="1" t="str">
        <f t="shared" si="1273"/>
        <v>103</v>
      </c>
      <c r="L1840" s="1" t="str">
        <f t="shared" si="1274"/>
        <v>47</v>
      </c>
      <c r="M1840" s="1" t="str">
        <f t="shared" si="1254"/>
        <v>0</v>
      </c>
      <c r="N1840" s="1" t="str">
        <f t="shared" si="1255"/>
        <v>0</v>
      </c>
      <c r="O1840" s="1" t="str">
        <f>"7.64"</f>
        <v>7.64</v>
      </c>
    </row>
    <row r="1841" s="1" customFormat="1" spans="1:15">
      <c r="A1841" s="1" t="str">
        <f t="shared" si="1265"/>
        <v>202406</v>
      </c>
      <c r="B1841" s="1" t="str">
        <f t="shared" si="1266"/>
        <v>150525100</v>
      </c>
      <c r="C1841" s="1" t="str">
        <f>"1040646554"</f>
        <v>1040646554</v>
      </c>
      <c r="D1841" s="1" t="str">
        <f>"152326196205010715"</f>
        <v>152326196205010715</v>
      </c>
      <c r="E1841" s="1" t="s">
        <v>1917</v>
      </c>
      <c r="F1841" s="1" t="s">
        <v>25</v>
      </c>
      <c r="G1841" s="1" t="s">
        <v>19</v>
      </c>
      <c r="H1841" s="1" t="str">
        <f>"62"</f>
        <v>62</v>
      </c>
      <c r="I1841" s="1" t="str">
        <f>"162.36"</f>
        <v>162.36</v>
      </c>
      <c r="J1841" s="1" t="str">
        <f t="shared" si="1272"/>
        <v>0</v>
      </c>
      <c r="K1841" s="1" t="str">
        <f t="shared" si="1273"/>
        <v>103</v>
      </c>
      <c r="L1841" s="1" t="str">
        <f t="shared" si="1274"/>
        <v>47</v>
      </c>
      <c r="M1841" s="1" t="str">
        <f t="shared" si="1254"/>
        <v>0</v>
      </c>
      <c r="N1841" s="1" t="str">
        <f t="shared" si="1255"/>
        <v>0</v>
      </c>
      <c r="O1841" s="1" t="str">
        <f>"12.36"</f>
        <v>12.36</v>
      </c>
    </row>
    <row r="1842" s="1" customFormat="1" spans="1:15">
      <c r="A1842" s="1" t="str">
        <f t="shared" si="1265"/>
        <v>202406</v>
      </c>
      <c r="B1842" s="1" t="str">
        <f t="shared" si="1266"/>
        <v>150525100</v>
      </c>
      <c r="C1842" s="1" t="str">
        <f>"1040646558"</f>
        <v>1040646558</v>
      </c>
      <c r="D1842" s="1" t="str">
        <f>"152326195910220676"</f>
        <v>152326195910220676</v>
      </c>
      <c r="E1842" s="1" t="s">
        <v>1918</v>
      </c>
      <c r="F1842" s="1" t="s">
        <v>25</v>
      </c>
      <c r="G1842" s="1" t="s">
        <v>17</v>
      </c>
      <c r="H1842" s="1" t="str">
        <f>"65"</f>
        <v>65</v>
      </c>
      <c r="I1842" s="1" t="str">
        <f>"158.66"</f>
        <v>158.66</v>
      </c>
      <c r="J1842" s="1" t="str">
        <f t="shared" si="1272"/>
        <v>0</v>
      </c>
      <c r="K1842" s="1" t="str">
        <f t="shared" si="1273"/>
        <v>103</v>
      </c>
      <c r="L1842" s="1" t="str">
        <f t="shared" si="1274"/>
        <v>47</v>
      </c>
      <c r="M1842" s="1" t="str">
        <f t="shared" si="1254"/>
        <v>0</v>
      </c>
      <c r="N1842" s="1" t="str">
        <f t="shared" si="1255"/>
        <v>0</v>
      </c>
      <c r="O1842" s="1" t="str">
        <f>"8.66"</f>
        <v>8.66</v>
      </c>
    </row>
    <row r="1843" s="1" customFormat="1" spans="1:15">
      <c r="A1843" s="1" t="str">
        <f t="shared" si="1265"/>
        <v>202406</v>
      </c>
      <c r="B1843" s="1" t="str">
        <f t="shared" si="1266"/>
        <v>150525100</v>
      </c>
      <c r="C1843" s="1" t="str">
        <f>"1040646584"</f>
        <v>1040646584</v>
      </c>
      <c r="D1843" s="1" t="str">
        <f>"152326196312090669"</f>
        <v>152326196312090669</v>
      </c>
      <c r="E1843" s="1" t="s">
        <v>1919</v>
      </c>
      <c r="F1843" s="1" t="s">
        <v>16</v>
      </c>
      <c r="G1843" s="1" t="s">
        <v>19</v>
      </c>
      <c r="H1843" s="1" t="str">
        <f>"61"</f>
        <v>61</v>
      </c>
      <c r="I1843" s="1" t="str">
        <f>"163.4"</f>
        <v>163.4</v>
      </c>
      <c r="J1843" s="1" t="str">
        <f t="shared" si="1272"/>
        <v>0</v>
      </c>
      <c r="K1843" s="1" t="str">
        <f t="shared" si="1273"/>
        <v>103</v>
      </c>
      <c r="L1843" s="1" t="str">
        <f t="shared" si="1274"/>
        <v>47</v>
      </c>
      <c r="M1843" s="1" t="str">
        <f t="shared" ref="M1843:M1906" si="1275">"0"</f>
        <v>0</v>
      </c>
      <c r="N1843" s="1" t="str">
        <f t="shared" ref="N1843:N1906" si="1276">"0"</f>
        <v>0</v>
      </c>
      <c r="O1843" s="1" t="str">
        <f>"13.4"</f>
        <v>13.4</v>
      </c>
    </row>
    <row r="1844" s="1" customFormat="1" spans="1:15">
      <c r="A1844" s="1" t="str">
        <f t="shared" si="1265"/>
        <v>202406</v>
      </c>
      <c r="B1844" s="1" t="str">
        <f t="shared" si="1266"/>
        <v>150525100</v>
      </c>
      <c r="C1844" s="1" t="str">
        <f>"1040647866"</f>
        <v>1040647866</v>
      </c>
      <c r="D1844" s="1" t="str">
        <f>"152326196205010731"</f>
        <v>152326196205010731</v>
      </c>
      <c r="E1844" s="1" t="s">
        <v>1920</v>
      </c>
      <c r="F1844" s="1" t="s">
        <v>25</v>
      </c>
      <c r="G1844" s="1" t="s">
        <v>17</v>
      </c>
      <c r="H1844" s="1" t="str">
        <f>"62"</f>
        <v>62</v>
      </c>
      <c r="I1844" s="1" t="str">
        <f>"162.37"</f>
        <v>162.37</v>
      </c>
      <c r="J1844" s="1" t="str">
        <f t="shared" si="1272"/>
        <v>0</v>
      </c>
      <c r="K1844" s="1" t="str">
        <f t="shared" si="1273"/>
        <v>103</v>
      </c>
      <c r="L1844" s="1" t="str">
        <f t="shared" si="1274"/>
        <v>47</v>
      </c>
      <c r="M1844" s="1" t="str">
        <f t="shared" si="1275"/>
        <v>0</v>
      </c>
      <c r="N1844" s="1" t="str">
        <f t="shared" si="1276"/>
        <v>0</v>
      </c>
      <c r="O1844" s="1" t="str">
        <f>"12.37"</f>
        <v>12.37</v>
      </c>
    </row>
    <row r="1845" s="1" customFormat="1" spans="1:15">
      <c r="A1845" s="1" t="str">
        <f t="shared" si="1265"/>
        <v>202406</v>
      </c>
      <c r="B1845" s="1" t="str">
        <f t="shared" si="1266"/>
        <v>150525100</v>
      </c>
      <c r="C1845" s="1" t="str">
        <f>"1040735411"</f>
        <v>1040735411</v>
      </c>
      <c r="D1845" s="1" t="str">
        <f>"152326196001080025"</f>
        <v>152326196001080025</v>
      </c>
      <c r="E1845" s="1" t="s">
        <v>966</v>
      </c>
      <c r="F1845" s="1" t="s">
        <v>16</v>
      </c>
      <c r="G1845" s="1" t="s">
        <v>17</v>
      </c>
      <c r="H1845" s="1" t="str">
        <f>"64"</f>
        <v>64</v>
      </c>
      <c r="I1845" s="1" t="str">
        <f>"157.62"</f>
        <v>157.62</v>
      </c>
      <c r="J1845" s="1" t="str">
        <f t="shared" si="1272"/>
        <v>0</v>
      </c>
      <c r="K1845" s="1" t="str">
        <f t="shared" si="1273"/>
        <v>103</v>
      </c>
      <c r="L1845" s="1" t="str">
        <f t="shared" si="1274"/>
        <v>47</v>
      </c>
      <c r="M1845" s="1" t="str">
        <f t="shared" si="1275"/>
        <v>0</v>
      </c>
      <c r="N1845" s="1" t="str">
        <f t="shared" si="1276"/>
        <v>0</v>
      </c>
      <c r="O1845" s="1" t="str">
        <f>"7.62"</f>
        <v>7.62</v>
      </c>
    </row>
    <row r="1846" s="1" customFormat="1" spans="1:15">
      <c r="A1846" s="1" t="str">
        <f t="shared" si="1265"/>
        <v>202406</v>
      </c>
      <c r="B1846" s="1" t="str">
        <f t="shared" si="1266"/>
        <v>150525100</v>
      </c>
      <c r="C1846" s="1" t="str">
        <f>"1040647948"</f>
        <v>1040647948</v>
      </c>
      <c r="D1846" s="1" t="str">
        <f>"152326196309130674"</f>
        <v>152326196309130674</v>
      </c>
      <c r="E1846" s="1" t="s">
        <v>1921</v>
      </c>
      <c r="F1846" s="1" t="s">
        <v>25</v>
      </c>
      <c r="G1846" s="1" t="s">
        <v>19</v>
      </c>
      <c r="H1846" s="1" t="str">
        <f>"61"</f>
        <v>61</v>
      </c>
      <c r="I1846" s="1" t="str">
        <f>"164.42"</f>
        <v>164.42</v>
      </c>
      <c r="J1846" s="1" t="str">
        <f t="shared" si="1272"/>
        <v>0</v>
      </c>
      <c r="K1846" s="1" t="str">
        <f t="shared" si="1273"/>
        <v>103</v>
      </c>
      <c r="L1846" s="1" t="str">
        <f t="shared" si="1274"/>
        <v>47</v>
      </c>
      <c r="M1846" s="1" t="str">
        <f t="shared" si="1275"/>
        <v>0</v>
      </c>
      <c r="N1846" s="1" t="str">
        <f t="shared" si="1276"/>
        <v>0</v>
      </c>
      <c r="O1846" s="1" t="str">
        <f>"14.42"</f>
        <v>14.42</v>
      </c>
    </row>
    <row r="1847" s="1" customFormat="1" spans="1:15">
      <c r="A1847" s="1" t="str">
        <f t="shared" si="1265"/>
        <v>202406</v>
      </c>
      <c r="B1847" s="1" t="str">
        <f t="shared" si="1266"/>
        <v>150525100</v>
      </c>
      <c r="C1847" s="1" t="str">
        <f>"1040645200"</f>
        <v>1040645200</v>
      </c>
      <c r="D1847" s="1" t="str">
        <f>"152326195701203327"</f>
        <v>152326195701203327</v>
      </c>
      <c r="E1847" s="1" t="s">
        <v>1922</v>
      </c>
      <c r="F1847" s="1" t="s">
        <v>16</v>
      </c>
      <c r="G1847" s="1" t="s">
        <v>19</v>
      </c>
      <c r="H1847" s="1" t="str">
        <f>"67"</f>
        <v>67</v>
      </c>
      <c r="I1847" s="1" t="str">
        <f>"154.55"</f>
        <v>154.55</v>
      </c>
      <c r="J1847" s="1" t="str">
        <f t="shared" si="1272"/>
        <v>0</v>
      </c>
      <c r="K1847" s="1" t="str">
        <f t="shared" si="1273"/>
        <v>103</v>
      </c>
      <c r="L1847" s="1" t="str">
        <f t="shared" si="1274"/>
        <v>47</v>
      </c>
      <c r="M1847" s="1" t="str">
        <f t="shared" si="1275"/>
        <v>0</v>
      </c>
      <c r="N1847" s="1" t="str">
        <f t="shared" si="1276"/>
        <v>0</v>
      </c>
      <c r="O1847" s="1" t="str">
        <f>"4.55"</f>
        <v>4.55</v>
      </c>
    </row>
    <row r="1848" s="1" customFormat="1" spans="1:15">
      <c r="A1848" s="1" t="str">
        <f t="shared" si="1265"/>
        <v>202406</v>
      </c>
      <c r="B1848" s="1" t="str">
        <f t="shared" si="1266"/>
        <v>150525100</v>
      </c>
      <c r="C1848" s="1" t="str">
        <f>"1040695153"</f>
        <v>1040695153</v>
      </c>
      <c r="D1848" s="1" t="str">
        <f>"152326195504203088"</f>
        <v>152326195504203088</v>
      </c>
      <c r="E1848" s="1" t="s">
        <v>1923</v>
      </c>
      <c r="F1848" s="1" t="s">
        <v>16</v>
      </c>
      <c r="G1848" s="1" t="s">
        <v>17</v>
      </c>
      <c r="H1848" s="1" t="str">
        <f>"69"</f>
        <v>69</v>
      </c>
      <c r="I1848" s="1" t="str">
        <f>"153.6"</f>
        <v>153.6</v>
      </c>
      <c r="J1848" s="1" t="str">
        <f t="shared" si="1272"/>
        <v>0</v>
      </c>
      <c r="K1848" s="1" t="str">
        <f t="shared" si="1273"/>
        <v>103</v>
      </c>
      <c r="L1848" s="1" t="str">
        <f t="shared" si="1274"/>
        <v>47</v>
      </c>
      <c r="M1848" s="1" t="str">
        <f t="shared" si="1275"/>
        <v>0</v>
      </c>
      <c r="N1848" s="1" t="str">
        <f t="shared" si="1276"/>
        <v>0</v>
      </c>
      <c r="O1848" s="1" t="str">
        <f>"3.6"</f>
        <v>3.6</v>
      </c>
    </row>
    <row r="1849" s="1" customFormat="1" spans="1:15">
      <c r="A1849" s="1" t="str">
        <f t="shared" si="1265"/>
        <v>202406</v>
      </c>
      <c r="B1849" s="1" t="str">
        <f t="shared" si="1266"/>
        <v>150525100</v>
      </c>
      <c r="C1849" s="1" t="str">
        <f>"1040684855"</f>
        <v>1040684855</v>
      </c>
      <c r="D1849" s="1" t="str">
        <f>"152326196310180679"</f>
        <v>152326196310180679</v>
      </c>
      <c r="E1849" s="1" t="s">
        <v>1924</v>
      </c>
      <c r="F1849" s="1" t="s">
        <v>25</v>
      </c>
      <c r="G1849" s="1" t="s">
        <v>17</v>
      </c>
      <c r="H1849" s="1" t="str">
        <f>"61"</f>
        <v>61</v>
      </c>
      <c r="I1849" s="1" t="str">
        <f>"163.44"</f>
        <v>163.44</v>
      </c>
      <c r="J1849" s="1" t="str">
        <f t="shared" si="1272"/>
        <v>0</v>
      </c>
      <c r="K1849" s="1" t="str">
        <f t="shared" si="1273"/>
        <v>103</v>
      </c>
      <c r="L1849" s="1" t="str">
        <f t="shared" si="1274"/>
        <v>47</v>
      </c>
      <c r="M1849" s="1" t="str">
        <f t="shared" si="1275"/>
        <v>0</v>
      </c>
      <c r="N1849" s="1" t="str">
        <f t="shared" si="1276"/>
        <v>0</v>
      </c>
      <c r="O1849" s="1" t="str">
        <f>"13.44"</f>
        <v>13.44</v>
      </c>
    </row>
    <row r="1850" s="1" customFormat="1" spans="1:15">
      <c r="A1850" s="1" t="str">
        <f t="shared" si="1265"/>
        <v>202406</v>
      </c>
      <c r="B1850" s="1" t="str">
        <f t="shared" si="1266"/>
        <v>150525100</v>
      </c>
      <c r="C1850" s="1" t="str">
        <f>"1040685983"</f>
        <v>1040685983</v>
      </c>
      <c r="D1850" s="1" t="str">
        <f>"152326195601163073"</f>
        <v>152326195601163073</v>
      </c>
      <c r="E1850" s="1" t="s">
        <v>1925</v>
      </c>
      <c r="F1850" s="1" t="s">
        <v>25</v>
      </c>
      <c r="G1850" s="1" t="s">
        <v>19</v>
      </c>
      <c r="H1850" s="1" t="str">
        <f>"68"</f>
        <v>68</v>
      </c>
      <c r="I1850" s="1" t="str">
        <f>"154.54"</f>
        <v>154.54</v>
      </c>
      <c r="J1850" s="1" t="str">
        <f t="shared" si="1272"/>
        <v>0</v>
      </c>
      <c r="K1850" s="1" t="str">
        <f t="shared" si="1273"/>
        <v>103</v>
      </c>
      <c r="L1850" s="1" t="str">
        <f t="shared" si="1274"/>
        <v>47</v>
      </c>
      <c r="M1850" s="1" t="str">
        <f t="shared" si="1275"/>
        <v>0</v>
      </c>
      <c r="N1850" s="1" t="str">
        <f t="shared" si="1276"/>
        <v>0</v>
      </c>
      <c r="O1850" s="1" t="str">
        <f>"4.54"</f>
        <v>4.54</v>
      </c>
    </row>
    <row r="1851" s="1" customFormat="1" spans="1:15">
      <c r="A1851" s="1" t="str">
        <f t="shared" si="1265"/>
        <v>202406</v>
      </c>
      <c r="B1851" s="1" t="str">
        <f t="shared" si="1266"/>
        <v>150525100</v>
      </c>
      <c r="C1851" s="1" t="str">
        <f>"1040655173"</f>
        <v>1040655173</v>
      </c>
      <c r="D1851" s="1" t="str">
        <f>"152326195702270441"</f>
        <v>152326195702270441</v>
      </c>
      <c r="E1851" s="1" t="s">
        <v>1926</v>
      </c>
      <c r="F1851" s="1" t="s">
        <v>16</v>
      </c>
      <c r="G1851" s="1" t="s">
        <v>17</v>
      </c>
      <c r="H1851" s="1" t="str">
        <f>"67"</f>
        <v>67</v>
      </c>
      <c r="I1851" s="1" t="str">
        <f>"155.5"</f>
        <v>155.5</v>
      </c>
      <c r="J1851" s="1" t="str">
        <f t="shared" si="1272"/>
        <v>0</v>
      </c>
      <c r="K1851" s="1" t="str">
        <f t="shared" si="1273"/>
        <v>103</v>
      </c>
      <c r="L1851" s="1" t="str">
        <f t="shared" si="1274"/>
        <v>47</v>
      </c>
      <c r="M1851" s="1" t="str">
        <f t="shared" si="1275"/>
        <v>0</v>
      </c>
      <c r="N1851" s="1" t="str">
        <f t="shared" si="1276"/>
        <v>0</v>
      </c>
      <c r="O1851" s="1" t="str">
        <f>"5.5"</f>
        <v>5.5</v>
      </c>
    </row>
    <row r="1852" s="1" customFormat="1" spans="1:15">
      <c r="A1852" s="1" t="str">
        <f t="shared" si="1265"/>
        <v>202406</v>
      </c>
      <c r="B1852" s="1" t="str">
        <f t="shared" si="1266"/>
        <v>150525100</v>
      </c>
      <c r="C1852" s="1" t="str">
        <f>"1040688300"</f>
        <v>1040688300</v>
      </c>
      <c r="D1852" s="1" t="str">
        <f>"152326195405070662"</f>
        <v>152326195405070662</v>
      </c>
      <c r="E1852" s="1" t="s">
        <v>1927</v>
      </c>
      <c r="F1852" s="1" t="s">
        <v>16</v>
      </c>
      <c r="G1852" s="1" t="s">
        <v>17</v>
      </c>
      <c r="H1852" s="1" t="str">
        <f>"70"</f>
        <v>70</v>
      </c>
      <c r="I1852" s="1" t="str">
        <f>"163.23"</f>
        <v>163.23</v>
      </c>
      <c r="J1852" s="1" t="str">
        <f t="shared" si="1272"/>
        <v>0</v>
      </c>
      <c r="K1852" s="1" t="str">
        <f t="shared" si="1273"/>
        <v>103</v>
      </c>
      <c r="L1852" s="1" t="str">
        <f t="shared" si="1274"/>
        <v>47</v>
      </c>
      <c r="M1852" s="1" t="str">
        <f t="shared" si="1275"/>
        <v>0</v>
      </c>
      <c r="N1852" s="1" t="str">
        <f t="shared" si="1276"/>
        <v>0</v>
      </c>
      <c r="O1852" s="1" t="str">
        <f>"3.23"</f>
        <v>3.23</v>
      </c>
    </row>
    <row r="1853" s="1" customFormat="1" spans="1:15">
      <c r="A1853" s="1" t="str">
        <f t="shared" si="1265"/>
        <v>202406</v>
      </c>
      <c r="B1853" s="1" t="str">
        <f t="shared" si="1266"/>
        <v>150525100</v>
      </c>
      <c r="C1853" s="1" t="str">
        <f>"1040688388"</f>
        <v>1040688388</v>
      </c>
      <c r="D1853" s="1" t="str">
        <f>"152326195901143832"</f>
        <v>152326195901143832</v>
      </c>
      <c r="E1853" s="1" t="s">
        <v>1928</v>
      </c>
      <c r="F1853" s="1" t="s">
        <v>25</v>
      </c>
      <c r="G1853" s="1" t="s">
        <v>17</v>
      </c>
      <c r="H1853" s="1" t="str">
        <f>"65"</f>
        <v>65</v>
      </c>
      <c r="I1853" s="1" t="str">
        <f>"156.48"</f>
        <v>156.48</v>
      </c>
      <c r="J1853" s="1" t="str">
        <f t="shared" si="1272"/>
        <v>0</v>
      </c>
      <c r="K1853" s="1" t="str">
        <f t="shared" si="1273"/>
        <v>103</v>
      </c>
      <c r="L1853" s="1" t="str">
        <f t="shared" si="1274"/>
        <v>47</v>
      </c>
      <c r="M1853" s="1" t="str">
        <f t="shared" si="1275"/>
        <v>0</v>
      </c>
      <c r="N1853" s="1" t="str">
        <f t="shared" si="1276"/>
        <v>0</v>
      </c>
      <c r="O1853" s="1" t="str">
        <f>"6.48"</f>
        <v>6.48</v>
      </c>
    </row>
    <row r="1854" s="1" customFormat="1" spans="1:15">
      <c r="A1854" s="1" t="str">
        <f t="shared" si="1265"/>
        <v>202406</v>
      </c>
      <c r="B1854" s="1" t="str">
        <f t="shared" si="1266"/>
        <v>150525100</v>
      </c>
      <c r="C1854" s="1" t="str">
        <f>"1040688400"</f>
        <v>1040688400</v>
      </c>
      <c r="D1854" s="1" t="str">
        <f>"152326196103213829"</f>
        <v>152326196103213829</v>
      </c>
      <c r="E1854" s="1" t="s">
        <v>1929</v>
      </c>
      <c r="F1854" s="1" t="s">
        <v>16</v>
      </c>
      <c r="G1854" s="1" t="s">
        <v>17</v>
      </c>
      <c r="H1854" s="1" t="str">
        <f>"63"</f>
        <v>63</v>
      </c>
      <c r="I1854" s="1" t="str">
        <f>"162.47"</f>
        <v>162.47</v>
      </c>
      <c r="J1854" s="1" t="str">
        <f t="shared" si="1272"/>
        <v>0</v>
      </c>
      <c r="K1854" s="1" t="str">
        <f t="shared" si="1273"/>
        <v>103</v>
      </c>
      <c r="L1854" s="1" t="str">
        <f t="shared" si="1274"/>
        <v>47</v>
      </c>
      <c r="M1854" s="1" t="str">
        <f t="shared" si="1275"/>
        <v>0</v>
      </c>
      <c r="N1854" s="1" t="str">
        <f t="shared" si="1276"/>
        <v>0</v>
      </c>
      <c r="O1854" s="1" t="str">
        <f>"12.47"</f>
        <v>12.47</v>
      </c>
    </row>
    <row r="1855" s="1" customFormat="1" spans="1:15">
      <c r="A1855" s="1" t="str">
        <f t="shared" si="1265"/>
        <v>202406</v>
      </c>
      <c r="B1855" s="1" t="str">
        <f t="shared" si="1266"/>
        <v>150525100</v>
      </c>
      <c r="C1855" s="1" t="str">
        <f>"1040729041"</f>
        <v>1040729041</v>
      </c>
      <c r="D1855" s="1" t="str">
        <f>"152326196206290667"</f>
        <v>152326196206290667</v>
      </c>
      <c r="E1855" s="1" t="s">
        <v>1930</v>
      </c>
      <c r="F1855" s="1" t="s">
        <v>16</v>
      </c>
      <c r="G1855" s="1" t="s">
        <v>17</v>
      </c>
      <c r="H1855" s="1" t="str">
        <f>"62"</f>
        <v>62</v>
      </c>
      <c r="I1855" s="1" t="str">
        <f>"1452.69"</f>
        <v>1452.69</v>
      </c>
      <c r="J1855" s="1" t="str">
        <f>"1291.28"</f>
        <v>1291.28</v>
      </c>
      <c r="K1855" s="1" t="str">
        <f>"927"</f>
        <v>927</v>
      </c>
      <c r="L1855" s="1" t="str">
        <f>"423"</f>
        <v>423</v>
      </c>
      <c r="M1855" s="1" t="str">
        <f t="shared" si="1275"/>
        <v>0</v>
      </c>
      <c r="N1855" s="1" t="str">
        <f t="shared" si="1276"/>
        <v>0</v>
      </c>
      <c r="O1855" s="1" t="str">
        <f>"102.69"</f>
        <v>102.69</v>
      </c>
    </row>
    <row r="1856" s="1" customFormat="1" spans="1:15">
      <c r="A1856" s="1" t="str">
        <f t="shared" si="1265"/>
        <v>202406</v>
      </c>
      <c r="B1856" s="1" t="str">
        <f t="shared" si="1266"/>
        <v>150525100</v>
      </c>
      <c r="C1856" s="1" t="str">
        <f>"1040688997"</f>
        <v>1040688997</v>
      </c>
      <c r="D1856" s="1" t="str">
        <f>"152326195707073324"</f>
        <v>152326195707073324</v>
      </c>
      <c r="E1856" s="1" t="s">
        <v>1931</v>
      </c>
      <c r="F1856" s="1" t="s">
        <v>16</v>
      </c>
      <c r="G1856" s="1" t="s">
        <v>17</v>
      </c>
      <c r="H1856" s="1" t="str">
        <f>"67"</f>
        <v>67</v>
      </c>
      <c r="I1856" s="1" t="str">
        <f>"154.58"</f>
        <v>154.58</v>
      </c>
      <c r="J1856" s="1" t="str">
        <f t="shared" ref="J1856:J1866" si="1277">"0"</f>
        <v>0</v>
      </c>
      <c r="K1856" s="1" t="str">
        <f t="shared" ref="K1856:K1866" si="1278">"103"</f>
        <v>103</v>
      </c>
      <c r="L1856" s="1" t="str">
        <f t="shared" ref="L1856:L1866" si="1279">"47"</f>
        <v>47</v>
      </c>
      <c r="M1856" s="1" t="str">
        <f t="shared" si="1275"/>
        <v>0</v>
      </c>
      <c r="N1856" s="1" t="str">
        <f t="shared" si="1276"/>
        <v>0</v>
      </c>
      <c r="O1856" s="1" t="str">
        <f>"4.58"</f>
        <v>4.58</v>
      </c>
    </row>
    <row r="1857" s="1" customFormat="1" spans="1:15">
      <c r="A1857" s="1" t="str">
        <f t="shared" si="1265"/>
        <v>202406</v>
      </c>
      <c r="B1857" s="1" t="str">
        <f t="shared" si="1266"/>
        <v>150525100</v>
      </c>
      <c r="C1857" s="1" t="str">
        <f>"1040686939"</f>
        <v>1040686939</v>
      </c>
      <c r="D1857" s="1" t="str">
        <f>"152326195503103819"</f>
        <v>152326195503103819</v>
      </c>
      <c r="E1857" s="1" t="s">
        <v>1932</v>
      </c>
      <c r="F1857" s="1" t="s">
        <v>25</v>
      </c>
      <c r="G1857" s="1" t="s">
        <v>19</v>
      </c>
      <c r="H1857" s="1" t="str">
        <f>"69"</f>
        <v>69</v>
      </c>
      <c r="I1857" s="1" t="str">
        <f>"153.6"</f>
        <v>153.6</v>
      </c>
      <c r="J1857" s="1" t="str">
        <f t="shared" si="1277"/>
        <v>0</v>
      </c>
      <c r="K1857" s="1" t="str">
        <f t="shared" si="1278"/>
        <v>103</v>
      </c>
      <c r="L1857" s="1" t="str">
        <f t="shared" si="1279"/>
        <v>47</v>
      </c>
      <c r="M1857" s="1" t="str">
        <f t="shared" si="1275"/>
        <v>0</v>
      </c>
      <c r="N1857" s="1" t="str">
        <f t="shared" si="1276"/>
        <v>0</v>
      </c>
      <c r="O1857" s="1" t="str">
        <f>"3.6"</f>
        <v>3.6</v>
      </c>
    </row>
    <row r="1858" s="1" customFormat="1" spans="1:15">
      <c r="A1858" s="1" t="str">
        <f t="shared" ref="A1858:A1921" si="1280">"202406"</f>
        <v>202406</v>
      </c>
      <c r="B1858" s="1" t="str">
        <f t="shared" ref="B1858:B1921" si="1281">"150525100"</f>
        <v>150525100</v>
      </c>
      <c r="C1858" s="1" t="str">
        <f>"1040653070"</f>
        <v>1040653070</v>
      </c>
      <c r="D1858" s="1" t="str">
        <f>"152326195411273335"</f>
        <v>152326195411273335</v>
      </c>
      <c r="E1858" s="1" t="s">
        <v>1933</v>
      </c>
      <c r="F1858" s="1" t="s">
        <v>25</v>
      </c>
      <c r="G1858" s="1" t="s">
        <v>19</v>
      </c>
      <c r="H1858" s="1" t="str">
        <f>"70"</f>
        <v>70</v>
      </c>
      <c r="I1858" s="1" t="str">
        <f>"153.56"</f>
        <v>153.56</v>
      </c>
      <c r="J1858" s="1" t="str">
        <f t="shared" si="1277"/>
        <v>0</v>
      </c>
      <c r="K1858" s="1" t="str">
        <f t="shared" si="1278"/>
        <v>103</v>
      </c>
      <c r="L1858" s="1" t="str">
        <f t="shared" si="1279"/>
        <v>47</v>
      </c>
      <c r="M1858" s="1" t="str">
        <f t="shared" si="1275"/>
        <v>0</v>
      </c>
      <c r="N1858" s="1" t="str">
        <f t="shared" si="1276"/>
        <v>0</v>
      </c>
      <c r="O1858" s="1" t="str">
        <f>"3.56"</f>
        <v>3.56</v>
      </c>
    </row>
    <row r="1859" s="1" customFormat="1" spans="1:15">
      <c r="A1859" s="1" t="str">
        <f t="shared" si="1280"/>
        <v>202406</v>
      </c>
      <c r="B1859" s="1" t="str">
        <f t="shared" si="1281"/>
        <v>150525100</v>
      </c>
      <c r="C1859" s="1" t="str">
        <f>"1040688427"</f>
        <v>1040688427</v>
      </c>
      <c r="D1859" s="1" t="str">
        <f>"152326195410300020"</f>
        <v>152326195410300020</v>
      </c>
      <c r="E1859" s="1" t="s">
        <v>1934</v>
      </c>
      <c r="F1859" s="1" t="s">
        <v>16</v>
      </c>
      <c r="G1859" s="1" t="s">
        <v>17</v>
      </c>
      <c r="H1859" s="1" t="str">
        <f>"70"</f>
        <v>70</v>
      </c>
      <c r="I1859" s="1" t="str">
        <f>"153"</f>
        <v>153</v>
      </c>
      <c r="J1859" s="1" t="str">
        <f t="shared" si="1277"/>
        <v>0</v>
      </c>
      <c r="K1859" s="1" t="str">
        <f t="shared" si="1278"/>
        <v>103</v>
      </c>
      <c r="L1859" s="1" t="str">
        <f t="shared" si="1279"/>
        <v>47</v>
      </c>
      <c r="M1859" s="1" t="str">
        <f t="shared" si="1275"/>
        <v>0</v>
      </c>
      <c r="N1859" s="1" t="str">
        <f t="shared" si="1276"/>
        <v>0</v>
      </c>
      <c r="O1859" s="1" t="str">
        <f>"3"</f>
        <v>3</v>
      </c>
    </row>
    <row r="1860" s="1" customFormat="1" spans="1:15">
      <c r="A1860" s="1" t="str">
        <f t="shared" si="1280"/>
        <v>202406</v>
      </c>
      <c r="B1860" s="1" t="str">
        <f t="shared" si="1281"/>
        <v>150525100</v>
      </c>
      <c r="C1860" s="1" t="str">
        <f>"1040688432"</f>
        <v>1040688432</v>
      </c>
      <c r="D1860" s="1" t="str">
        <f>"152326196003290421"</f>
        <v>152326196003290421</v>
      </c>
      <c r="E1860" s="1" t="s">
        <v>1935</v>
      </c>
      <c r="F1860" s="1" t="s">
        <v>16</v>
      </c>
      <c r="G1860" s="1" t="s">
        <v>17</v>
      </c>
      <c r="H1860" s="1" t="str">
        <f>"64"</f>
        <v>64</v>
      </c>
      <c r="I1860" s="1" t="str">
        <f>"158"</f>
        <v>158</v>
      </c>
      <c r="J1860" s="1" t="str">
        <f t="shared" si="1277"/>
        <v>0</v>
      </c>
      <c r="K1860" s="1" t="str">
        <f t="shared" si="1278"/>
        <v>103</v>
      </c>
      <c r="L1860" s="1" t="str">
        <f t="shared" si="1279"/>
        <v>47</v>
      </c>
      <c r="M1860" s="1" t="str">
        <f t="shared" si="1275"/>
        <v>0</v>
      </c>
      <c r="N1860" s="1" t="str">
        <f t="shared" si="1276"/>
        <v>0</v>
      </c>
      <c r="O1860" s="1" t="str">
        <f>"8"</f>
        <v>8</v>
      </c>
    </row>
    <row r="1861" s="1" customFormat="1" spans="1:15">
      <c r="A1861" s="1" t="str">
        <f t="shared" si="1280"/>
        <v>202406</v>
      </c>
      <c r="B1861" s="1" t="str">
        <f t="shared" si="1281"/>
        <v>150525100</v>
      </c>
      <c r="C1861" s="1" t="str">
        <f>"1040688437"</f>
        <v>1040688437</v>
      </c>
      <c r="D1861" s="1" t="str">
        <f>"152326195401020449"</f>
        <v>152326195401020449</v>
      </c>
      <c r="E1861" s="1" t="s">
        <v>1936</v>
      </c>
      <c r="F1861" s="1" t="s">
        <v>16</v>
      </c>
      <c r="G1861" s="1" t="s">
        <v>17</v>
      </c>
      <c r="H1861" s="1" t="str">
        <f>"71"</f>
        <v>71</v>
      </c>
      <c r="I1861" s="1" t="str">
        <f>"163"</f>
        <v>163</v>
      </c>
      <c r="J1861" s="1" t="str">
        <f t="shared" si="1277"/>
        <v>0</v>
      </c>
      <c r="K1861" s="1" t="str">
        <f t="shared" si="1278"/>
        <v>103</v>
      </c>
      <c r="L1861" s="1" t="str">
        <f t="shared" si="1279"/>
        <v>47</v>
      </c>
      <c r="M1861" s="1" t="str">
        <f t="shared" si="1275"/>
        <v>0</v>
      </c>
      <c r="N1861" s="1" t="str">
        <f t="shared" si="1276"/>
        <v>0</v>
      </c>
      <c r="O1861" s="1" t="str">
        <f>"3"</f>
        <v>3</v>
      </c>
    </row>
    <row r="1862" s="1" customFormat="1" spans="1:15">
      <c r="A1862" s="1" t="str">
        <f t="shared" si="1280"/>
        <v>202406</v>
      </c>
      <c r="B1862" s="1" t="str">
        <f t="shared" si="1281"/>
        <v>150525100</v>
      </c>
      <c r="C1862" s="1" t="str">
        <f>"1040688447"</f>
        <v>1040688447</v>
      </c>
      <c r="D1862" s="1" t="str">
        <f>"152326196403280425"</f>
        <v>152326196403280425</v>
      </c>
      <c r="E1862" s="1" t="s">
        <v>1937</v>
      </c>
      <c r="F1862" s="1" t="s">
        <v>16</v>
      </c>
      <c r="G1862" s="1" t="s">
        <v>17</v>
      </c>
      <c r="H1862" s="1" t="str">
        <f>"60"</f>
        <v>60</v>
      </c>
      <c r="I1862" s="1" t="str">
        <f>"165.55"</f>
        <v>165.55</v>
      </c>
      <c r="J1862" s="1" t="str">
        <f t="shared" si="1277"/>
        <v>0</v>
      </c>
      <c r="K1862" s="1" t="str">
        <f t="shared" si="1278"/>
        <v>103</v>
      </c>
      <c r="L1862" s="1" t="str">
        <f t="shared" si="1279"/>
        <v>47</v>
      </c>
      <c r="M1862" s="1" t="str">
        <f t="shared" si="1275"/>
        <v>0</v>
      </c>
      <c r="N1862" s="1" t="str">
        <f t="shared" si="1276"/>
        <v>0</v>
      </c>
      <c r="O1862" s="1" t="str">
        <f>"15.55"</f>
        <v>15.55</v>
      </c>
    </row>
    <row r="1863" s="1" customFormat="1" spans="1:15">
      <c r="A1863" s="1" t="str">
        <f t="shared" si="1280"/>
        <v>202406</v>
      </c>
      <c r="B1863" s="1" t="str">
        <f t="shared" si="1281"/>
        <v>150525100</v>
      </c>
      <c r="C1863" s="1" t="str">
        <f>"1040688453"</f>
        <v>1040688453</v>
      </c>
      <c r="D1863" s="1" t="str">
        <f>"152326196001210424"</f>
        <v>152326196001210424</v>
      </c>
      <c r="E1863" s="1" t="s">
        <v>1938</v>
      </c>
      <c r="F1863" s="1" t="s">
        <v>16</v>
      </c>
      <c r="G1863" s="1" t="s">
        <v>17</v>
      </c>
      <c r="H1863" s="1" t="str">
        <f>"64"</f>
        <v>64</v>
      </c>
      <c r="I1863" s="1" t="str">
        <f>"157.99"</f>
        <v>157.99</v>
      </c>
      <c r="J1863" s="1" t="str">
        <f t="shared" si="1277"/>
        <v>0</v>
      </c>
      <c r="K1863" s="1" t="str">
        <f t="shared" si="1278"/>
        <v>103</v>
      </c>
      <c r="L1863" s="1" t="str">
        <f t="shared" si="1279"/>
        <v>47</v>
      </c>
      <c r="M1863" s="1" t="str">
        <f t="shared" si="1275"/>
        <v>0</v>
      </c>
      <c r="N1863" s="1" t="str">
        <f t="shared" si="1276"/>
        <v>0</v>
      </c>
      <c r="O1863" s="1" t="str">
        <f>"7.99"</f>
        <v>7.99</v>
      </c>
    </row>
    <row r="1864" s="1" customFormat="1" spans="1:15">
      <c r="A1864" s="1" t="str">
        <f t="shared" si="1280"/>
        <v>202406</v>
      </c>
      <c r="B1864" s="1" t="str">
        <f t="shared" si="1281"/>
        <v>150525100</v>
      </c>
      <c r="C1864" s="1" t="str">
        <f>"1040688460"</f>
        <v>1040688460</v>
      </c>
      <c r="D1864" s="1" t="str">
        <f>"152326196307040448"</f>
        <v>152326196307040448</v>
      </c>
      <c r="E1864" s="1" t="s">
        <v>1939</v>
      </c>
      <c r="F1864" s="1" t="s">
        <v>16</v>
      </c>
      <c r="G1864" s="1" t="s">
        <v>17</v>
      </c>
      <c r="H1864" s="1" t="str">
        <f>"61"</f>
        <v>61</v>
      </c>
      <c r="I1864" s="1" t="str">
        <f>"163.77"</f>
        <v>163.77</v>
      </c>
      <c r="J1864" s="1" t="str">
        <f t="shared" si="1277"/>
        <v>0</v>
      </c>
      <c r="K1864" s="1" t="str">
        <f t="shared" si="1278"/>
        <v>103</v>
      </c>
      <c r="L1864" s="1" t="str">
        <f t="shared" si="1279"/>
        <v>47</v>
      </c>
      <c r="M1864" s="1" t="str">
        <f t="shared" si="1275"/>
        <v>0</v>
      </c>
      <c r="N1864" s="1" t="str">
        <f t="shared" si="1276"/>
        <v>0</v>
      </c>
      <c r="O1864" s="1" t="str">
        <f>"13.77"</f>
        <v>13.77</v>
      </c>
    </row>
    <row r="1865" s="1" customFormat="1" spans="1:15">
      <c r="A1865" s="1" t="str">
        <f t="shared" si="1280"/>
        <v>202406</v>
      </c>
      <c r="B1865" s="1" t="str">
        <f t="shared" si="1281"/>
        <v>150525100</v>
      </c>
      <c r="C1865" s="1" t="str">
        <f>"1040688466"</f>
        <v>1040688466</v>
      </c>
      <c r="D1865" s="1" t="str">
        <f>"152326196307200421"</f>
        <v>152326196307200421</v>
      </c>
      <c r="E1865" s="1" t="s">
        <v>1940</v>
      </c>
      <c r="F1865" s="1" t="s">
        <v>16</v>
      </c>
      <c r="G1865" s="1" t="s">
        <v>17</v>
      </c>
      <c r="H1865" s="1" t="str">
        <f>"61"</f>
        <v>61</v>
      </c>
      <c r="I1865" s="1" t="str">
        <f>"165.5"</f>
        <v>165.5</v>
      </c>
      <c r="J1865" s="1" t="str">
        <f t="shared" si="1277"/>
        <v>0</v>
      </c>
      <c r="K1865" s="1" t="str">
        <f t="shared" si="1278"/>
        <v>103</v>
      </c>
      <c r="L1865" s="1" t="str">
        <f t="shared" si="1279"/>
        <v>47</v>
      </c>
      <c r="M1865" s="1" t="str">
        <f t="shared" si="1275"/>
        <v>0</v>
      </c>
      <c r="N1865" s="1" t="str">
        <f t="shared" si="1276"/>
        <v>0</v>
      </c>
      <c r="O1865" s="1" t="str">
        <f>"15.5"</f>
        <v>15.5</v>
      </c>
    </row>
    <row r="1866" s="1" customFormat="1" spans="1:15">
      <c r="A1866" s="1" t="str">
        <f t="shared" si="1280"/>
        <v>202406</v>
      </c>
      <c r="B1866" s="1" t="str">
        <f t="shared" si="1281"/>
        <v>150525100</v>
      </c>
      <c r="C1866" s="1" t="str">
        <f>"1040688473"</f>
        <v>1040688473</v>
      </c>
      <c r="D1866" s="1" t="str">
        <f>"152326195411190417"</f>
        <v>152326195411190417</v>
      </c>
      <c r="E1866" s="1" t="s">
        <v>1941</v>
      </c>
      <c r="F1866" s="1" t="s">
        <v>25</v>
      </c>
      <c r="G1866" s="1" t="s">
        <v>17</v>
      </c>
      <c r="H1866" s="1" t="str">
        <f>"70"</f>
        <v>70</v>
      </c>
      <c r="I1866" s="1" t="str">
        <f>"153"</f>
        <v>153</v>
      </c>
      <c r="J1866" s="1" t="str">
        <f t="shared" si="1277"/>
        <v>0</v>
      </c>
      <c r="K1866" s="1" t="str">
        <f t="shared" si="1278"/>
        <v>103</v>
      </c>
      <c r="L1866" s="1" t="str">
        <f t="shared" si="1279"/>
        <v>47</v>
      </c>
      <c r="M1866" s="1" t="str">
        <f t="shared" si="1275"/>
        <v>0</v>
      </c>
      <c r="N1866" s="1" t="str">
        <f t="shared" si="1276"/>
        <v>0</v>
      </c>
      <c r="O1866" s="1" t="str">
        <f>"3"</f>
        <v>3</v>
      </c>
    </row>
    <row r="1867" s="1" customFormat="1" spans="1:15">
      <c r="A1867" s="1" t="str">
        <f t="shared" si="1280"/>
        <v>202406</v>
      </c>
      <c r="B1867" s="1" t="str">
        <f t="shared" si="1281"/>
        <v>150525100</v>
      </c>
      <c r="C1867" s="1" t="str">
        <f>"1040688485"</f>
        <v>1040688485</v>
      </c>
      <c r="D1867" s="1" t="str">
        <f>"152326196210020459"</f>
        <v>152326196210020459</v>
      </c>
      <c r="E1867" s="1" t="s">
        <v>1711</v>
      </c>
      <c r="F1867" s="1" t="s">
        <v>25</v>
      </c>
      <c r="G1867" s="1" t="s">
        <v>17</v>
      </c>
      <c r="H1867" s="1" t="str">
        <f>"62"</f>
        <v>62</v>
      </c>
      <c r="I1867" s="1" t="str">
        <f>"971.4"</f>
        <v>971.4</v>
      </c>
      <c r="J1867" s="1" t="str">
        <f>"809.5"</f>
        <v>809.5</v>
      </c>
      <c r="K1867" s="1" t="str">
        <f>"618"</f>
        <v>618</v>
      </c>
      <c r="L1867" s="1" t="str">
        <f>"282"</f>
        <v>282</v>
      </c>
      <c r="M1867" s="1" t="str">
        <f t="shared" si="1275"/>
        <v>0</v>
      </c>
      <c r="N1867" s="1" t="str">
        <f t="shared" si="1276"/>
        <v>0</v>
      </c>
      <c r="O1867" s="1" t="str">
        <f>"71.4"</f>
        <v>71.4</v>
      </c>
    </row>
    <row r="1868" s="1" customFormat="1" spans="1:15">
      <c r="A1868" s="1" t="str">
        <f t="shared" si="1280"/>
        <v>202406</v>
      </c>
      <c r="B1868" s="1" t="str">
        <f t="shared" si="1281"/>
        <v>150525100</v>
      </c>
      <c r="C1868" s="1" t="str">
        <f>"1040688492"</f>
        <v>1040688492</v>
      </c>
      <c r="D1868" s="1" t="str">
        <f>"152326195207100445"</f>
        <v>152326195207100445</v>
      </c>
      <c r="E1868" s="1" t="s">
        <v>1942</v>
      </c>
      <c r="F1868" s="1" t="s">
        <v>16</v>
      </c>
      <c r="G1868" s="1" t="s">
        <v>17</v>
      </c>
      <c r="H1868" s="1" t="str">
        <f>"72"</f>
        <v>72</v>
      </c>
      <c r="I1868" s="1" t="str">
        <f>"161.5"</f>
        <v>161.5</v>
      </c>
      <c r="J1868" s="1" t="str">
        <f t="shared" ref="J1868:J1890" si="1282">"0"</f>
        <v>0</v>
      </c>
      <c r="K1868" s="1" t="str">
        <f t="shared" ref="K1868:K1890" si="1283">"103"</f>
        <v>103</v>
      </c>
      <c r="L1868" s="1" t="str">
        <f t="shared" ref="L1868:L1890" si="1284">"47"</f>
        <v>47</v>
      </c>
      <c r="M1868" s="1" t="str">
        <f t="shared" si="1275"/>
        <v>0</v>
      </c>
      <c r="N1868" s="1" t="str">
        <f t="shared" si="1276"/>
        <v>0</v>
      </c>
      <c r="O1868" s="1" t="str">
        <f>"1.5"</f>
        <v>1.5</v>
      </c>
    </row>
    <row r="1869" s="1" customFormat="1" spans="1:15">
      <c r="A1869" s="1" t="str">
        <f t="shared" si="1280"/>
        <v>202406</v>
      </c>
      <c r="B1869" s="1" t="str">
        <f t="shared" si="1281"/>
        <v>150525100</v>
      </c>
      <c r="C1869" s="1" t="str">
        <f>"1040646602"</f>
        <v>1040646602</v>
      </c>
      <c r="D1869" s="1" t="str">
        <f>"152326195611230671"</f>
        <v>152326195611230671</v>
      </c>
      <c r="E1869" s="1" t="s">
        <v>1943</v>
      </c>
      <c r="F1869" s="1" t="s">
        <v>25</v>
      </c>
      <c r="G1869" s="1" t="s">
        <v>17</v>
      </c>
      <c r="H1869" s="1" t="str">
        <f>"68"</f>
        <v>68</v>
      </c>
      <c r="I1869" s="1" t="str">
        <f>"156.27"</f>
        <v>156.27</v>
      </c>
      <c r="J1869" s="1" t="str">
        <f t="shared" si="1282"/>
        <v>0</v>
      </c>
      <c r="K1869" s="1" t="str">
        <f t="shared" si="1283"/>
        <v>103</v>
      </c>
      <c r="L1869" s="1" t="str">
        <f t="shared" si="1284"/>
        <v>47</v>
      </c>
      <c r="M1869" s="1" t="str">
        <f t="shared" si="1275"/>
        <v>0</v>
      </c>
      <c r="N1869" s="1" t="str">
        <f t="shared" si="1276"/>
        <v>0</v>
      </c>
      <c r="O1869" s="1" t="str">
        <f>"6.27"</f>
        <v>6.27</v>
      </c>
    </row>
    <row r="1870" s="1" customFormat="1" spans="1:15">
      <c r="A1870" s="1" t="str">
        <f t="shared" si="1280"/>
        <v>202406</v>
      </c>
      <c r="B1870" s="1" t="str">
        <f t="shared" si="1281"/>
        <v>150525100</v>
      </c>
      <c r="C1870" s="1" t="str">
        <f>"1040646604"</f>
        <v>1040646604</v>
      </c>
      <c r="D1870" s="1" t="str">
        <f>"152326196203150677"</f>
        <v>152326196203150677</v>
      </c>
      <c r="E1870" s="1" t="s">
        <v>1718</v>
      </c>
      <c r="F1870" s="1" t="s">
        <v>25</v>
      </c>
      <c r="G1870" s="1" t="s">
        <v>17</v>
      </c>
      <c r="H1870" s="1" t="str">
        <f>"62"</f>
        <v>62</v>
      </c>
      <c r="I1870" s="1" t="str">
        <f>"164.09"</f>
        <v>164.09</v>
      </c>
      <c r="J1870" s="1" t="str">
        <f t="shared" si="1282"/>
        <v>0</v>
      </c>
      <c r="K1870" s="1" t="str">
        <f t="shared" si="1283"/>
        <v>103</v>
      </c>
      <c r="L1870" s="1" t="str">
        <f t="shared" si="1284"/>
        <v>47</v>
      </c>
      <c r="M1870" s="1" t="str">
        <f t="shared" si="1275"/>
        <v>0</v>
      </c>
      <c r="N1870" s="1" t="str">
        <f t="shared" si="1276"/>
        <v>0</v>
      </c>
      <c r="O1870" s="1" t="str">
        <f>"14.09"</f>
        <v>14.09</v>
      </c>
    </row>
    <row r="1871" s="1" customFormat="1" spans="1:15">
      <c r="A1871" s="1" t="str">
        <f t="shared" si="1280"/>
        <v>202406</v>
      </c>
      <c r="B1871" s="1" t="str">
        <f t="shared" si="1281"/>
        <v>150525100</v>
      </c>
      <c r="C1871" s="1" t="str">
        <f>"1040728972"</f>
        <v>1040728972</v>
      </c>
      <c r="D1871" s="1" t="str">
        <f>"152326195812100662"</f>
        <v>152326195812100662</v>
      </c>
      <c r="E1871" s="1" t="s">
        <v>1944</v>
      </c>
      <c r="F1871" s="1" t="s">
        <v>16</v>
      </c>
      <c r="G1871" s="1" t="s">
        <v>17</v>
      </c>
      <c r="H1871" s="1" t="str">
        <f>"66"</f>
        <v>66</v>
      </c>
      <c r="I1871" s="1" t="str">
        <f>"156.34"</f>
        <v>156.34</v>
      </c>
      <c r="J1871" s="1" t="str">
        <f t="shared" si="1282"/>
        <v>0</v>
      </c>
      <c r="K1871" s="1" t="str">
        <f t="shared" si="1283"/>
        <v>103</v>
      </c>
      <c r="L1871" s="1" t="str">
        <f t="shared" si="1284"/>
        <v>47</v>
      </c>
      <c r="M1871" s="1" t="str">
        <f t="shared" si="1275"/>
        <v>0</v>
      </c>
      <c r="N1871" s="1" t="str">
        <f t="shared" si="1276"/>
        <v>0</v>
      </c>
      <c r="O1871" s="1" t="str">
        <f>"6.34"</f>
        <v>6.34</v>
      </c>
    </row>
    <row r="1872" s="1" customFormat="1" spans="1:15">
      <c r="A1872" s="1" t="str">
        <f t="shared" si="1280"/>
        <v>202406</v>
      </c>
      <c r="B1872" s="1" t="str">
        <f t="shared" si="1281"/>
        <v>150525100</v>
      </c>
      <c r="C1872" s="1" t="str">
        <f>"1040645536"</f>
        <v>1040645536</v>
      </c>
      <c r="D1872" s="1" t="str">
        <f>"152326196109160422"</f>
        <v>152326196109160422</v>
      </c>
      <c r="E1872" s="1" t="s">
        <v>1945</v>
      </c>
      <c r="F1872" s="1" t="s">
        <v>16</v>
      </c>
      <c r="G1872" s="1" t="s">
        <v>17</v>
      </c>
      <c r="H1872" s="1" t="str">
        <f>"63"</f>
        <v>63</v>
      </c>
      <c r="I1872" s="1" t="str">
        <f>"159.54"</f>
        <v>159.54</v>
      </c>
      <c r="J1872" s="1" t="str">
        <f t="shared" si="1282"/>
        <v>0</v>
      </c>
      <c r="K1872" s="1" t="str">
        <f t="shared" si="1283"/>
        <v>103</v>
      </c>
      <c r="L1872" s="1" t="str">
        <f t="shared" si="1284"/>
        <v>47</v>
      </c>
      <c r="M1872" s="1" t="str">
        <f t="shared" si="1275"/>
        <v>0</v>
      </c>
      <c r="N1872" s="1" t="str">
        <f t="shared" si="1276"/>
        <v>0</v>
      </c>
      <c r="O1872" s="1" t="str">
        <f>"9.54"</f>
        <v>9.54</v>
      </c>
    </row>
    <row r="1873" s="1" customFormat="1" spans="1:15">
      <c r="A1873" s="1" t="str">
        <f t="shared" si="1280"/>
        <v>202406</v>
      </c>
      <c r="B1873" s="1" t="str">
        <f t="shared" si="1281"/>
        <v>150525100</v>
      </c>
      <c r="C1873" s="1" t="str">
        <f>"1040653247"</f>
        <v>1040653247</v>
      </c>
      <c r="D1873" s="1" t="s">
        <v>1946</v>
      </c>
      <c r="E1873" s="1" t="s">
        <v>1947</v>
      </c>
      <c r="F1873" s="1" t="s">
        <v>25</v>
      </c>
      <c r="G1873" s="1" t="s">
        <v>17</v>
      </c>
      <c r="H1873" s="1" t="str">
        <f>"69"</f>
        <v>69</v>
      </c>
      <c r="I1873" s="1" t="str">
        <f>"154.52"</f>
        <v>154.52</v>
      </c>
      <c r="J1873" s="1" t="str">
        <f t="shared" si="1282"/>
        <v>0</v>
      </c>
      <c r="K1873" s="1" t="str">
        <f t="shared" si="1283"/>
        <v>103</v>
      </c>
      <c r="L1873" s="1" t="str">
        <f t="shared" si="1284"/>
        <v>47</v>
      </c>
      <c r="M1873" s="1" t="str">
        <f t="shared" si="1275"/>
        <v>0</v>
      </c>
      <c r="N1873" s="1" t="str">
        <f t="shared" si="1276"/>
        <v>0</v>
      </c>
      <c r="O1873" s="1" t="str">
        <f>"4.52"</f>
        <v>4.52</v>
      </c>
    </row>
    <row r="1874" s="1" customFormat="1" spans="1:15">
      <c r="A1874" s="1" t="str">
        <f t="shared" si="1280"/>
        <v>202406</v>
      </c>
      <c r="B1874" s="1" t="str">
        <f t="shared" si="1281"/>
        <v>150525100</v>
      </c>
      <c r="C1874" s="1" t="str">
        <f>"1040653276"</f>
        <v>1040653276</v>
      </c>
      <c r="D1874" s="1" t="str">
        <f>"152326196402043321"</f>
        <v>152326196402043321</v>
      </c>
      <c r="E1874" s="1" t="s">
        <v>1948</v>
      </c>
      <c r="F1874" s="1" t="s">
        <v>16</v>
      </c>
      <c r="G1874" s="1" t="s">
        <v>17</v>
      </c>
      <c r="H1874" s="1" t="str">
        <f>"60"</f>
        <v>60</v>
      </c>
      <c r="I1874" s="1" t="str">
        <f>"166.17"</f>
        <v>166.17</v>
      </c>
      <c r="J1874" s="1" t="str">
        <f t="shared" si="1282"/>
        <v>0</v>
      </c>
      <c r="K1874" s="1" t="str">
        <f t="shared" si="1283"/>
        <v>103</v>
      </c>
      <c r="L1874" s="1" t="str">
        <f t="shared" si="1284"/>
        <v>47</v>
      </c>
      <c r="M1874" s="1" t="str">
        <f t="shared" si="1275"/>
        <v>0</v>
      </c>
      <c r="N1874" s="1" t="str">
        <f t="shared" si="1276"/>
        <v>0</v>
      </c>
      <c r="O1874" s="1" t="str">
        <f>"16.17"</f>
        <v>16.17</v>
      </c>
    </row>
    <row r="1875" s="1" customFormat="1" spans="1:15">
      <c r="A1875" s="1" t="str">
        <f t="shared" si="1280"/>
        <v>202406</v>
      </c>
      <c r="B1875" s="1" t="str">
        <f t="shared" si="1281"/>
        <v>150525100</v>
      </c>
      <c r="C1875" s="1" t="str">
        <f>"1040653405"</f>
        <v>1040653405</v>
      </c>
      <c r="D1875" s="1" t="str">
        <f>"152326196008063316"</f>
        <v>152326196008063316</v>
      </c>
      <c r="E1875" s="1" t="s">
        <v>1949</v>
      </c>
      <c r="F1875" s="1" t="s">
        <v>25</v>
      </c>
      <c r="G1875" s="1" t="s">
        <v>17</v>
      </c>
      <c r="H1875" s="1" t="str">
        <f>"64"</f>
        <v>64</v>
      </c>
      <c r="I1875" s="1" t="str">
        <f>"158.64"</f>
        <v>158.64</v>
      </c>
      <c r="J1875" s="1" t="str">
        <f t="shared" si="1282"/>
        <v>0</v>
      </c>
      <c r="K1875" s="1" t="str">
        <f t="shared" si="1283"/>
        <v>103</v>
      </c>
      <c r="L1875" s="1" t="str">
        <f t="shared" si="1284"/>
        <v>47</v>
      </c>
      <c r="M1875" s="1" t="str">
        <f t="shared" si="1275"/>
        <v>0</v>
      </c>
      <c r="N1875" s="1" t="str">
        <f t="shared" si="1276"/>
        <v>0</v>
      </c>
      <c r="O1875" s="1" t="str">
        <f>"8.64"</f>
        <v>8.64</v>
      </c>
    </row>
    <row r="1876" s="1" customFormat="1" spans="1:15">
      <c r="A1876" s="1" t="str">
        <f t="shared" si="1280"/>
        <v>202406</v>
      </c>
      <c r="B1876" s="1" t="str">
        <f t="shared" si="1281"/>
        <v>150525100</v>
      </c>
      <c r="C1876" s="1" t="str">
        <f>"1040758897"</f>
        <v>1040758897</v>
      </c>
      <c r="D1876" s="1" t="str">
        <f>"152326196211100418"</f>
        <v>152326196211100418</v>
      </c>
      <c r="E1876" s="1" t="s">
        <v>1950</v>
      </c>
      <c r="F1876" s="1" t="s">
        <v>25</v>
      </c>
      <c r="G1876" s="1" t="s">
        <v>19</v>
      </c>
      <c r="H1876" s="1" t="str">
        <f>"62"</f>
        <v>62</v>
      </c>
      <c r="I1876" s="1" t="str">
        <f>"165.61"</f>
        <v>165.61</v>
      </c>
      <c r="J1876" s="1" t="str">
        <f t="shared" si="1282"/>
        <v>0</v>
      </c>
      <c r="K1876" s="1" t="str">
        <f t="shared" si="1283"/>
        <v>103</v>
      </c>
      <c r="L1876" s="1" t="str">
        <f t="shared" si="1284"/>
        <v>47</v>
      </c>
      <c r="M1876" s="1" t="str">
        <f t="shared" si="1275"/>
        <v>0</v>
      </c>
      <c r="N1876" s="1" t="str">
        <f t="shared" si="1276"/>
        <v>0</v>
      </c>
      <c r="O1876" s="1" t="str">
        <f>"15.61"</f>
        <v>15.61</v>
      </c>
    </row>
    <row r="1877" s="1" customFormat="1" spans="1:15">
      <c r="A1877" s="1" t="str">
        <f t="shared" si="1280"/>
        <v>202406</v>
      </c>
      <c r="B1877" s="1" t="str">
        <f t="shared" si="1281"/>
        <v>150525100</v>
      </c>
      <c r="C1877" s="1" t="str">
        <f>"1040758873"</f>
        <v>1040758873</v>
      </c>
      <c r="D1877" s="1" t="str">
        <f>"152326195806130435"</f>
        <v>152326195806130435</v>
      </c>
      <c r="E1877" s="1" t="s">
        <v>1951</v>
      </c>
      <c r="F1877" s="1" t="s">
        <v>25</v>
      </c>
      <c r="G1877" s="1" t="s">
        <v>17</v>
      </c>
      <c r="H1877" s="1" t="str">
        <f t="shared" ref="H1877:H1880" si="1285">"66"</f>
        <v>66</v>
      </c>
      <c r="I1877" s="1" t="str">
        <f>"155.59"</f>
        <v>155.59</v>
      </c>
      <c r="J1877" s="1" t="str">
        <f t="shared" si="1282"/>
        <v>0</v>
      </c>
      <c r="K1877" s="1" t="str">
        <f t="shared" si="1283"/>
        <v>103</v>
      </c>
      <c r="L1877" s="1" t="str">
        <f t="shared" si="1284"/>
        <v>47</v>
      </c>
      <c r="M1877" s="1" t="str">
        <f t="shared" si="1275"/>
        <v>0</v>
      </c>
      <c r="N1877" s="1" t="str">
        <f t="shared" si="1276"/>
        <v>0</v>
      </c>
      <c r="O1877" s="1" t="str">
        <f>"5.59"</f>
        <v>5.59</v>
      </c>
    </row>
    <row r="1878" s="1" customFormat="1" spans="1:15">
      <c r="A1878" s="1" t="str">
        <f t="shared" si="1280"/>
        <v>202406</v>
      </c>
      <c r="B1878" s="1" t="str">
        <f t="shared" si="1281"/>
        <v>150525100</v>
      </c>
      <c r="C1878" s="1" t="str">
        <f>"1040653545"</f>
        <v>1040653545</v>
      </c>
      <c r="D1878" s="1" t="str">
        <f>"152326195501053328"</f>
        <v>152326195501053328</v>
      </c>
      <c r="E1878" s="1" t="s">
        <v>1952</v>
      </c>
      <c r="F1878" s="1" t="s">
        <v>16</v>
      </c>
      <c r="G1878" s="1" t="s">
        <v>19</v>
      </c>
      <c r="H1878" s="1" t="str">
        <f>"70"</f>
        <v>70</v>
      </c>
      <c r="I1878" s="1" t="str">
        <f>"154.52"</f>
        <v>154.52</v>
      </c>
      <c r="J1878" s="1" t="str">
        <f t="shared" si="1282"/>
        <v>0</v>
      </c>
      <c r="K1878" s="1" t="str">
        <f t="shared" si="1283"/>
        <v>103</v>
      </c>
      <c r="L1878" s="1" t="str">
        <f t="shared" si="1284"/>
        <v>47</v>
      </c>
      <c r="M1878" s="1" t="str">
        <f t="shared" si="1275"/>
        <v>0</v>
      </c>
      <c r="N1878" s="1" t="str">
        <f t="shared" si="1276"/>
        <v>0</v>
      </c>
      <c r="O1878" s="1" t="str">
        <f>"4.52"</f>
        <v>4.52</v>
      </c>
    </row>
    <row r="1879" s="1" customFormat="1" spans="1:15">
      <c r="A1879" s="1" t="str">
        <f t="shared" si="1280"/>
        <v>202406</v>
      </c>
      <c r="B1879" s="1" t="str">
        <f t="shared" si="1281"/>
        <v>150525100</v>
      </c>
      <c r="C1879" s="1" t="str">
        <f>"1040693075"</f>
        <v>1040693075</v>
      </c>
      <c r="D1879" s="1" t="str">
        <f>"152326195810043086"</f>
        <v>152326195810043086</v>
      </c>
      <c r="E1879" s="1" t="s">
        <v>1953</v>
      </c>
      <c r="F1879" s="1" t="s">
        <v>16</v>
      </c>
      <c r="G1879" s="1" t="s">
        <v>17</v>
      </c>
      <c r="H1879" s="1" t="str">
        <f t="shared" si="1285"/>
        <v>66</v>
      </c>
      <c r="I1879" s="1" t="str">
        <f>"155.62"</f>
        <v>155.62</v>
      </c>
      <c r="J1879" s="1" t="str">
        <f t="shared" si="1282"/>
        <v>0</v>
      </c>
      <c r="K1879" s="1" t="str">
        <f t="shared" si="1283"/>
        <v>103</v>
      </c>
      <c r="L1879" s="1" t="str">
        <f t="shared" si="1284"/>
        <v>47</v>
      </c>
      <c r="M1879" s="1" t="str">
        <f t="shared" si="1275"/>
        <v>0</v>
      </c>
      <c r="N1879" s="1" t="str">
        <f t="shared" si="1276"/>
        <v>0</v>
      </c>
      <c r="O1879" s="1" t="str">
        <f>"5.62"</f>
        <v>5.62</v>
      </c>
    </row>
    <row r="1880" s="1" customFormat="1" spans="1:15">
      <c r="A1880" s="1" t="str">
        <f t="shared" si="1280"/>
        <v>202406</v>
      </c>
      <c r="B1880" s="1" t="str">
        <f t="shared" si="1281"/>
        <v>150525100</v>
      </c>
      <c r="C1880" s="1" t="str">
        <f>"1040676048"</f>
        <v>1040676048</v>
      </c>
      <c r="D1880" s="1" t="str">
        <f>"152326195808243847"</f>
        <v>152326195808243847</v>
      </c>
      <c r="E1880" s="1" t="s">
        <v>1954</v>
      </c>
      <c r="F1880" s="1" t="s">
        <v>16</v>
      </c>
      <c r="G1880" s="1" t="s">
        <v>19</v>
      </c>
      <c r="H1880" s="1" t="str">
        <f t="shared" si="1285"/>
        <v>66</v>
      </c>
      <c r="I1880" s="1" t="str">
        <f>"156.37"</f>
        <v>156.37</v>
      </c>
      <c r="J1880" s="1" t="str">
        <f t="shared" si="1282"/>
        <v>0</v>
      </c>
      <c r="K1880" s="1" t="str">
        <f t="shared" si="1283"/>
        <v>103</v>
      </c>
      <c r="L1880" s="1" t="str">
        <f t="shared" si="1284"/>
        <v>47</v>
      </c>
      <c r="M1880" s="1" t="str">
        <f t="shared" si="1275"/>
        <v>0</v>
      </c>
      <c r="N1880" s="1" t="str">
        <f t="shared" si="1276"/>
        <v>0</v>
      </c>
      <c r="O1880" s="1" t="str">
        <f>"6.37"</f>
        <v>6.37</v>
      </c>
    </row>
    <row r="1881" s="1" customFormat="1" spans="1:15">
      <c r="A1881" s="1" t="str">
        <f t="shared" si="1280"/>
        <v>202406</v>
      </c>
      <c r="B1881" s="1" t="str">
        <f t="shared" si="1281"/>
        <v>150525100</v>
      </c>
      <c r="C1881" s="1" t="str">
        <f>"1040733251"</f>
        <v>1040733251</v>
      </c>
      <c r="D1881" s="1" t="str">
        <f>"152326196008310014"</f>
        <v>152326196008310014</v>
      </c>
      <c r="E1881" s="1" t="s">
        <v>1955</v>
      </c>
      <c r="F1881" s="1" t="s">
        <v>25</v>
      </c>
      <c r="G1881" s="1" t="s">
        <v>17</v>
      </c>
      <c r="H1881" s="1" t="str">
        <f>"64"</f>
        <v>64</v>
      </c>
      <c r="I1881" s="1" t="str">
        <f>"157.69"</f>
        <v>157.69</v>
      </c>
      <c r="J1881" s="1" t="str">
        <f t="shared" si="1282"/>
        <v>0</v>
      </c>
      <c r="K1881" s="1" t="str">
        <f t="shared" si="1283"/>
        <v>103</v>
      </c>
      <c r="L1881" s="1" t="str">
        <f t="shared" si="1284"/>
        <v>47</v>
      </c>
      <c r="M1881" s="1" t="str">
        <f t="shared" si="1275"/>
        <v>0</v>
      </c>
      <c r="N1881" s="1" t="str">
        <f t="shared" si="1276"/>
        <v>0</v>
      </c>
      <c r="O1881" s="1" t="str">
        <f>"7.69"</f>
        <v>7.69</v>
      </c>
    </row>
    <row r="1882" s="1" customFormat="1" spans="1:15">
      <c r="A1882" s="1" t="str">
        <f t="shared" si="1280"/>
        <v>202406</v>
      </c>
      <c r="B1882" s="1" t="str">
        <f t="shared" si="1281"/>
        <v>150525100</v>
      </c>
      <c r="C1882" s="1" t="str">
        <f>"1040751553"</f>
        <v>1040751553</v>
      </c>
      <c r="D1882" s="1" t="str">
        <f>"152326195908293083"</f>
        <v>152326195908293083</v>
      </c>
      <c r="E1882" s="1" t="s">
        <v>1956</v>
      </c>
      <c r="F1882" s="1" t="s">
        <v>16</v>
      </c>
      <c r="G1882" s="1" t="s">
        <v>17</v>
      </c>
      <c r="H1882" s="1" t="str">
        <f>"65"</f>
        <v>65</v>
      </c>
      <c r="I1882" s="1" t="str">
        <f>"156.65"</f>
        <v>156.65</v>
      </c>
      <c r="J1882" s="1" t="str">
        <f t="shared" si="1282"/>
        <v>0</v>
      </c>
      <c r="K1882" s="1" t="str">
        <f t="shared" si="1283"/>
        <v>103</v>
      </c>
      <c r="L1882" s="1" t="str">
        <f t="shared" si="1284"/>
        <v>47</v>
      </c>
      <c r="M1882" s="1" t="str">
        <f t="shared" si="1275"/>
        <v>0</v>
      </c>
      <c r="N1882" s="1" t="str">
        <f t="shared" si="1276"/>
        <v>0</v>
      </c>
      <c r="O1882" s="1" t="str">
        <f>"6.65"</f>
        <v>6.65</v>
      </c>
    </row>
    <row r="1883" s="1" customFormat="1" spans="1:15">
      <c r="A1883" s="1" t="str">
        <f t="shared" si="1280"/>
        <v>202406</v>
      </c>
      <c r="B1883" s="1" t="str">
        <f t="shared" si="1281"/>
        <v>150525100</v>
      </c>
      <c r="C1883" s="1" t="str">
        <f>"1040647056"</f>
        <v>1040647056</v>
      </c>
      <c r="D1883" s="1" t="s">
        <v>1957</v>
      </c>
      <c r="E1883" s="1" t="s">
        <v>1958</v>
      </c>
      <c r="F1883" s="1" t="s">
        <v>16</v>
      </c>
      <c r="G1883" s="1" t="s">
        <v>17</v>
      </c>
      <c r="H1883" s="1" t="str">
        <f>"69"</f>
        <v>69</v>
      </c>
      <c r="I1883" s="1" t="str">
        <f>"154.51"</f>
        <v>154.51</v>
      </c>
      <c r="J1883" s="1" t="str">
        <f t="shared" si="1282"/>
        <v>0</v>
      </c>
      <c r="K1883" s="1" t="str">
        <f t="shared" si="1283"/>
        <v>103</v>
      </c>
      <c r="L1883" s="1" t="str">
        <f t="shared" si="1284"/>
        <v>47</v>
      </c>
      <c r="M1883" s="1" t="str">
        <f t="shared" si="1275"/>
        <v>0</v>
      </c>
      <c r="N1883" s="1" t="str">
        <f t="shared" si="1276"/>
        <v>0</v>
      </c>
      <c r="O1883" s="1" t="str">
        <f>"4.51"</f>
        <v>4.51</v>
      </c>
    </row>
    <row r="1884" s="1" customFormat="1" spans="1:15">
      <c r="A1884" s="1" t="str">
        <f t="shared" si="1280"/>
        <v>202406</v>
      </c>
      <c r="B1884" s="1" t="str">
        <f t="shared" si="1281"/>
        <v>150525100</v>
      </c>
      <c r="C1884" s="1" t="str">
        <f>"1040647064"</f>
        <v>1040647064</v>
      </c>
      <c r="D1884" s="1" t="str">
        <f>"152326196005173827"</f>
        <v>152326196005173827</v>
      </c>
      <c r="E1884" s="1" t="s">
        <v>1959</v>
      </c>
      <c r="F1884" s="1" t="s">
        <v>16</v>
      </c>
      <c r="G1884" s="1" t="s">
        <v>96</v>
      </c>
      <c r="H1884" s="1" t="str">
        <f>"64"</f>
        <v>64</v>
      </c>
      <c r="I1884" s="1" t="str">
        <f>"158.6"</f>
        <v>158.6</v>
      </c>
      <c r="J1884" s="1" t="str">
        <f t="shared" si="1282"/>
        <v>0</v>
      </c>
      <c r="K1884" s="1" t="str">
        <f t="shared" si="1283"/>
        <v>103</v>
      </c>
      <c r="L1884" s="1" t="str">
        <f t="shared" si="1284"/>
        <v>47</v>
      </c>
      <c r="M1884" s="1" t="str">
        <f t="shared" si="1275"/>
        <v>0</v>
      </c>
      <c r="N1884" s="1" t="str">
        <f t="shared" si="1276"/>
        <v>0</v>
      </c>
      <c r="O1884" s="1" t="str">
        <f>"8.6"</f>
        <v>8.6</v>
      </c>
    </row>
    <row r="1885" s="1" customFormat="1" spans="1:15">
      <c r="A1885" s="1" t="str">
        <f t="shared" si="1280"/>
        <v>202406</v>
      </c>
      <c r="B1885" s="1" t="str">
        <f t="shared" si="1281"/>
        <v>150525100</v>
      </c>
      <c r="C1885" s="1" t="str">
        <f>"1040646371"</f>
        <v>1040646371</v>
      </c>
      <c r="D1885" s="1" t="str">
        <f>"152326195711050424"</f>
        <v>152326195711050424</v>
      </c>
      <c r="E1885" s="1" t="s">
        <v>1960</v>
      </c>
      <c r="F1885" s="1" t="s">
        <v>16</v>
      </c>
      <c r="G1885" s="1" t="s">
        <v>17</v>
      </c>
      <c r="H1885" s="1" t="str">
        <f>"67"</f>
        <v>67</v>
      </c>
      <c r="I1885" s="1" t="str">
        <f>"155.51"</f>
        <v>155.51</v>
      </c>
      <c r="J1885" s="1" t="str">
        <f t="shared" si="1282"/>
        <v>0</v>
      </c>
      <c r="K1885" s="1" t="str">
        <f t="shared" si="1283"/>
        <v>103</v>
      </c>
      <c r="L1885" s="1" t="str">
        <f t="shared" si="1284"/>
        <v>47</v>
      </c>
      <c r="M1885" s="1" t="str">
        <f t="shared" si="1275"/>
        <v>0</v>
      </c>
      <c r="N1885" s="1" t="str">
        <f t="shared" si="1276"/>
        <v>0</v>
      </c>
      <c r="O1885" s="1" t="str">
        <f>"5.51"</f>
        <v>5.51</v>
      </c>
    </row>
    <row r="1886" s="1" customFormat="1" spans="1:15">
      <c r="A1886" s="1" t="str">
        <f t="shared" si="1280"/>
        <v>202406</v>
      </c>
      <c r="B1886" s="1" t="str">
        <f t="shared" si="1281"/>
        <v>150525100</v>
      </c>
      <c r="C1886" s="1" t="str">
        <f>"1040646383"</f>
        <v>1040646383</v>
      </c>
      <c r="D1886" s="1" t="str">
        <f>"152326195910110434"</f>
        <v>152326195910110434</v>
      </c>
      <c r="E1886" s="1" t="s">
        <v>1431</v>
      </c>
      <c r="F1886" s="1" t="s">
        <v>25</v>
      </c>
      <c r="G1886" s="1" t="s">
        <v>19</v>
      </c>
      <c r="H1886" s="1" t="str">
        <f>"65"</f>
        <v>65</v>
      </c>
      <c r="I1886" s="1" t="str">
        <f>"164.03"</f>
        <v>164.03</v>
      </c>
      <c r="J1886" s="1" t="str">
        <f t="shared" si="1282"/>
        <v>0</v>
      </c>
      <c r="K1886" s="1" t="str">
        <f t="shared" si="1283"/>
        <v>103</v>
      </c>
      <c r="L1886" s="1" t="str">
        <f t="shared" si="1284"/>
        <v>47</v>
      </c>
      <c r="M1886" s="1" t="str">
        <f t="shared" si="1275"/>
        <v>0</v>
      </c>
      <c r="N1886" s="1" t="str">
        <f t="shared" si="1276"/>
        <v>0</v>
      </c>
      <c r="O1886" s="1" t="str">
        <f>"14.03"</f>
        <v>14.03</v>
      </c>
    </row>
    <row r="1887" s="1" customFormat="1" spans="1:15">
      <c r="A1887" s="1" t="str">
        <f t="shared" si="1280"/>
        <v>202406</v>
      </c>
      <c r="B1887" s="1" t="str">
        <f t="shared" si="1281"/>
        <v>150525100</v>
      </c>
      <c r="C1887" s="1" t="str">
        <f>"1040647274"</f>
        <v>1040647274</v>
      </c>
      <c r="D1887" s="1" t="str">
        <f>"152326195402090959"</f>
        <v>152326195402090959</v>
      </c>
      <c r="E1887" s="1" t="s">
        <v>1961</v>
      </c>
      <c r="F1887" s="1" t="s">
        <v>25</v>
      </c>
      <c r="G1887" s="1" t="s">
        <v>19</v>
      </c>
      <c r="H1887" s="1" t="str">
        <f t="shared" ref="H1887:H1891" si="1286">"70"</f>
        <v>70</v>
      </c>
      <c r="I1887" s="1" t="str">
        <f>"163.52"</f>
        <v>163.52</v>
      </c>
      <c r="J1887" s="1" t="str">
        <f t="shared" si="1282"/>
        <v>0</v>
      </c>
      <c r="K1887" s="1" t="str">
        <f t="shared" si="1283"/>
        <v>103</v>
      </c>
      <c r="L1887" s="1" t="str">
        <f t="shared" si="1284"/>
        <v>47</v>
      </c>
      <c r="M1887" s="1" t="str">
        <f t="shared" si="1275"/>
        <v>0</v>
      </c>
      <c r="N1887" s="1" t="str">
        <f t="shared" si="1276"/>
        <v>0</v>
      </c>
      <c r="O1887" s="1" t="str">
        <f>"3.52"</f>
        <v>3.52</v>
      </c>
    </row>
    <row r="1888" s="1" customFormat="1" spans="1:15">
      <c r="A1888" s="1" t="str">
        <f t="shared" si="1280"/>
        <v>202406</v>
      </c>
      <c r="B1888" s="1" t="str">
        <f t="shared" si="1281"/>
        <v>150525100</v>
      </c>
      <c r="C1888" s="1" t="str">
        <f>"1040647290"</f>
        <v>1040647290</v>
      </c>
      <c r="D1888" s="1" t="str">
        <f>"152326195312210910"</f>
        <v>152326195312210910</v>
      </c>
      <c r="E1888" s="1" t="s">
        <v>1962</v>
      </c>
      <c r="F1888" s="1" t="s">
        <v>25</v>
      </c>
      <c r="G1888" s="1" t="s">
        <v>19</v>
      </c>
      <c r="H1888" s="1" t="str">
        <f>"71"</f>
        <v>71</v>
      </c>
      <c r="I1888" s="1" t="str">
        <f>"162.54"</f>
        <v>162.54</v>
      </c>
      <c r="J1888" s="1" t="str">
        <f t="shared" si="1282"/>
        <v>0</v>
      </c>
      <c r="K1888" s="1" t="str">
        <f t="shared" si="1283"/>
        <v>103</v>
      </c>
      <c r="L1888" s="1" t="str">
        <f t="shared" si="1284"/>
        <v>47</v>
      </c>
      <c r="M1888" s="1" t="str">
        <f t="shared" si="1275"/>
        <v>0</v>
      </c>
      <c r="N1888" s="1" t="str">
        <f t="shared" si="1276"/>
        <v>0</v>
      </c>
      <c r="O1888" s="1" t="str">
        <f>"2.54"</f>
        <v>2.54</v>
      </c>
    </row>
    <row r="1889" s="1" customFormat="1" spans="1:15">
      <c r="A1889" s="1" t="str">
        <f t="shared" si="1280"/>
        <v>202406</v>
      </c>
      <c r="B1889" s="1" t="str">
        <f t="shared" si="1281"/>
        <v>150525100</v>
      </c>
      <c r="C1889" s="1" t="str">
        <f>"1040647309"</f>
        <v>1040647309</v>
      </c>
      <c r="D1889" s="1" t="str">
        <f>"152326195605060928"</f>
        <v>152326195605060928</v>
      </c>
      <c r="E1889" s="1" t="s">
        <v>1963</v>
      </c>
      <c r="F1889" s="1" t="s">
        <v>16</v>
      </c>
      <c r="G1889" s="1" t="s">
        <v>19</v>
      </c>
      <c r="H1889" s="1" t="str">
        <f>"68"</f>
        <v>68</v>
      </c>
      <c r="I1889" s="1" t="str">
        <f>"155.4"</f>
        <v>155.4</v>
      </c>
      <c r="J1889" s="1" t="str">
        <f t="shared" si="1282"/>
        <v>0</v>
      </c>
      <c r="K1889" s="1" t="str">
        <f t="shared" si="1283"/>
        <v>103</v>
      </c>
      <c r="L1889" s="1" t="str">
        <f t="shared" si="1284"/>
        <v>47</v>
      </c>
      <c r="M1889" s="1" t="str">
        <f t="shared" si="1275"/>
        <v>0</v>
      </c>
      <c r="N1889" s="1" t="str">
        <f t="shared" si="1276"/>
        <v>0</v>
      </c>
      <c r="O1889" s="1" t="str">
        <f>"5.4"</f>
        <v>5.4</v>
      </c>
    </row>
    <row r="1890" s="1" customFormat="1" spans="1:15">
      <c r="A1890" s="1" t="str">
        <f t="shared" si="1280"/>
        <v>202406</v>
      </c>
      <c r="B1890" s="1" t="str">
        <f t="shared" si="1281"/>
        <v>150525100</v>
      </c>
      <c r="C1890" s="1" t="str">
        <f>"1040647371"</f>
        <v>1040647371</v>
      </c>
      <c r="D1890" s="1" t="str">
        <f>"152326195409123821"</f>
        <v>152326195409123821</v>
      </c>
      <c r="E1890" s="1" t="s">
        <v>1964</v>
      </c>
      <c r="F1890" s="1" t="s">
        <v>16</v>
      </c>
      <c r="G1890" s="1" t="s">
        <v>17</v>
      </c>
      <c r="H1890" s="1" t="str">
        <f t="shared" si="1286"/>
        <v>70</v>
      </c>
      <c r="I1890" s="1" t="str">
        <f>"153.55"</f>
        <v>153.55</v>
      </c>
      <c r="J1890" s="1" t="str">
        <f t="shared" si="1282"/>
        <v>0</v>
      </c>
      <c r="K1890" s="1" t="str">
        <f t="shared" si="1283"/>
        <v>103</v>
      </c>
      <c r="L1890" s="1" t="str">
        <f t="shared" si="1284"/>
        <v>47</v>
      </c>
      <c r="M1890" s="1" t="str">
        <f t="shared" si="1275"/>
        <v>0</v>
      </c>
      <c r="N1890" s="1" t="str">
        <f t="shared" si="1276"/>
        <v>0</v>
      </c>
      <c r="O1890" s="1" t="str">
        <f>"3.55"</f>
        <v>3.55</v>
      </c>
    </row>
    <row r="1891" s="1" customFormat="1" spans="1:15">
      <c r="A1891" s="1" t="str">
        <f t="shared" si="1280"/>
        <v>202406</v>
      </c>
      <c r="B1891" s="1" t="str">
        <f t="shared" si="1281"/>
        <v>150525100</v>
      </c>
      <c r="C1891" s="1" t="str">
        <f>"1040647382"</f>
        <v>1040647382</v>
      </c>
      <c r="D1891" s="1" t="str">
        <f>"152326195403113825"</f>
        <v>152326195403113825</v>
      </c>
      <c r="E1891" s="1" t="s">
        <v>1965</v>
      </c>
      <c r="F1891" s="1" t="s">
        <v>16</v>
      </c>
      <c r="G1891" s="1" t="s">
        <v>17</v>
      </c>
      <c r="H1891" s="1" t="str">
        <f t="shared" si="1286"/>
        <v>70</v>
      </c>
      <c r="I1891" s="1" t="str">
        <f>"1565.5"</f>
        <v>1565.5</v>
      </c>
      <c r="J1891" s="1" t="str">
        <f>"1401.95"</f>
        <v>1401.95</v>
      </c>
      <c r="K1891" s="1" t="str">
        <f>"1030"</f>
        <v>1030</v>
      </c>
      <c r="L1891" s="1" t="str">
        <f>"470"</f>
        <v>470</v>
      </c>
      <c r="M1891" s="1" t="str">
        <f t="shared" si="1275"/>
        <v>0</v>
      </c>
      <c r="N1891" s="1" t="str">
        <f t="shared" si="1276"/>
        <v>0</v>
      </c>
      <c r="O1891" s="1" t="str">
        <f>"35.5"</f>
        <v>35.5</v>
      </c>
    </row>
    <row r="1892" s="1" customFormat="1" spans="1:15">
      <c r="A1892" s="1" t="str">
        <f t="shared" si="1280"/>
        <v>202406</v>
      </c>
      <c r="B1892" s="1" t="str">
        <f t="shared" si="1281"/>
        <v>150525100</v>
      </c>
      <c r="C1892" s="1" t="str">
        <f>"1040647392"</f>
        <v>1040647392</v>
      </c>
      <c r="D1892" s="1" t="str">
        <f>"152326195511133815"</f>
        <v>152326195511133815</v>
      </c>
      <c r="E1892" s="1" t="s">
        <v>1966</v>
      </c>
      <c r="F1892" s="1" t="s">
        <v>25</v>
      </c>
      <c r="G1892" s="1" t="s">
        <v>19</v>
      </c>
      <c r="H1892" s="1" t="str">
        <f>"69"</f>
        <v>69</v>
      </c>
      <c r="I1892" s="1" t="str">
        <f>"154.51"</f>
        <v>154.51</v>
      </c>
      <c r="J1892" s="1" t="str">
        <f t="shared" ref="J1892:J1921" si="1287">"0"</f>
        <v>0</v>
      </c>
      <c r="K1892" s="1" t="str">
        <f t="shared" ref="K1892:K1921" si="1288">"103"</f>
        <v>103</v>
      </c>
      <c r="L1892" s="1" t="str">
        <f t="shared" ref="L1892:L1921" si="1289">"47"</f>
        <v>47</v>
      </c>
      <c r="M1892" s="1" t="str">
        <f t="shared" si="1275"/>
        <v>0</v>
      </c>
      <c r="N1892" s="1" t="str">
        <f t="shared" si="1276"/>
        <v>0</v>
      </c>
      <c r="O1892" s="1" t="str">
        <f>"4.51"</f>
        <v>4.51</v>
      </c>
    </row>
    <row r="1893" s="1" customFormat="1" spans="1:15">
      <c r="A1893" s="1" t="str">
        <f t="shared" si="1280"/>
        <v>202406</v>
      </c>
      <c r="B1893" s="1" t="str">
        <f t="shared" si="1281"/>
        <v>150525100</v>
      </c>
      <c r="C1893" s="1" t="str">
        <f>"1040647400"</f>
        <v>1040647400</v>
      </c>
      <c r="D1893" s="1" t="str">
        <f>"152326195902280660"</f>
        <v>152326195902280660</v>
      </c>
      <c r="E1893" s="1" t="s">
        <v>1967</v>
      </c>
      <c r="F1893" s="1" t="s">
        <v>16</v>
      </c>
      <c r="G1893" s="1" t="s">
        <v>19</v>
      </c>
      <c r="H1893" s="1" t="str">
        <f>"65"</f>
        <v>65</v>
      </c>
      <c r="I1893" s="1" t="str">
        <f>"157.51"</f>
        <v>157.51</v>
      </c>
      <c r="J1893" s="1" t="str">
        <f t="shared" si="1287"/>
        <v>0</v>
      </c>
      <c r="K1893" s="1" t="str">
        <f t="shared" si="1288"/>
        <v>103</v>
      </c>
      <c r="L1893" s="1" t="str">
        <f t="shared" si="1289"/>
        <v>47</v>
      </c>
      <c r="M1893" s="1" t="str">
        <f t="shared" si="1275"/>
        <v>0</v>
      </c>
      <c r="N1893" s="1" t="str">
        <f t="shared" si="1276"/>
        <v>0</v>
      </c>
      <c r="O1893" s="1" t="str">
        <f>"7.51"</f>
        <v>7.51</v>
      </c>
    </row>
    <row r="1894" s="1" customFormat="1" spans="1:15">
      <c r="A1894" s="1" t="str">
        <f t="shared" si="1280"/>
        <v>202406</v>
      </c>
      <c r="B1894" s="1" t="str">
        <f t="shared" si="1281"/>
        <v>150525100</v>
      </c>
      <c r="C1894" s="1" t="str">
        <f>"1040647401"</f>
        <v>1040647401</v>
      </c>
      <c r="D1894" s="1" t="str">
        <f>"152326196110260666"</f>
        <v>152326196110260666</v>
      </c>
      <c r="E1894" s="1" t="s">
        <v>1968</v>
      </c>
      <c r="F1894" s="1" t="s">
        <v>16</v>
      </c>
      <c r="G1894" s="1" t="s">
        <v>17</v>
      </c>
      <c r="H1894" s="1" t="str">
        <f>"63"</f>
        <v>63</v>
      </c>
      <c r="I1894" s="1" t="str">
        <f>"160.49"</f>
        <v>160.49</v>
      </c>
      <c r="J1894" s="1" t="str">
        <f t="shared" si="1287"/>
        <v>0</v>
      </c>
      <c r="K1894" s="1" t="str">
        <f t="shared" si="1288"/>
        <v>103</v>
      </c>
      <c r="L1894" s="1" t="str">
        <f t="shared" si="1289"/>
        <v>47</v>
      </c>
      <c r="M1894" s="1" t="str">
        <f t="shared" si="1275"/>
        <v>0</v>
      </c>
      <c r="N1894" s="1" t="str">
        <f t="shared" si="1276"/>
        <v>0</v>
      </c>
      <c r="O1894" s="1" t="str">
        <f>"10.49"</f>
        <v>10.49</v>
      </c>
    </row>
    <row r="1895" s="1" customFormat="1" spans="1:15">
      <c r="A1895" s="1" t="str">
        <f t="shared" si="1280"/>
        <v>202406</v>
      </c>
      <c r="B1895" s="1" t="str">
        <f t="shared" si="1281"/>
        <v>150525100</v>
      </c>
      <c r="C1895" s="1" t="str">
        <f>"1040647452"</f>
        <v>1040647452</v>
      </c>
      <c r="D1895" s="1" t="str">
        <f>"152326196401140664"</f>
        <v>152326196401140664</v>
      </c>
      <c r="E1895" s="1" t="s">
        <v>1969</v>
      </c>
      <c r="F1895" s="1" t="s">
        <v>16</v>
      </c>
      <c r="G1895" s="1" t="s">
        <v>17</v>
      </c>
      <c r="H1895" s="1" t="str">
        <f>"60"</f>
        <v>60</v>
      </c>
      <c r="I1895" s="1" t="str">
        <f>"166.18"</f>
        <v>166.18</v>
      </c>
      <c r="J1895" s="1" t="str">
        <f t="shared" si="1287"/>
        <v>0</v>
      </c>
      <c r="K1895" s="1" t="str">
        <f t="shared" si="1288"/>
        <v>103</v>
      </c>
      <c r="L1895" s="1" t="str">
        <f t="shared" si="1289"/>
        <v>47</v>
      </c>
      <c r="M1895" s="1" t="str">
        <f t="shared" si="1275"/>
        <v>0</v>
      </c>
      <c r="N1895" s="1" t="str">
        <f t="shared" si="1276"/>
        <v>0</v>
      </c>
      <c r="O1895" s="1" t="str">
        <f>"16.18"</f>
        <v>16.18</v>
      </c>
    </row>
    <row r="1896" s="1" customFormat="1" spans="1:15">
      <c r="A1896" s="1" t="str">
        <f t="shared" si="1280"/>
        <v>202406</v>
      </c>
      <c r="B1896" s="1" t="str">
        <f t="shared" si="1281"/>
        <v>150525100</v>
      </c>
      <c r="C1896" s="1" t="str">
        <f>"1040647455"</f>
        <v>1040647455</v>
      </c>
      <c r="D1896" s="1" t="s">
        <v>1970</v>
      </c>
      <c r="E1896" s="1" t="s">
        <v>1971</v>
      </c>
      <c r="F1896" s="1" t="s">
        <v>16</v>
      </c>
      <c r="G1896" s="1" t="s">
        <v>19</v>
      </c>
      <c r="H1896" s="1" t="str">
        <f>"64"</f>
        <v>64</v>
      </c>
      <c r="I1896" s="1" t="str">
        <f>"158.6"</f>
        <v>158.6</v>
      </c>
      <c r="J1896" s="1" t="str">
        <f t="shared" si="1287"/>
        <v>0</v>
      </c>
      <c r="K1896" s="1" t="str">
        <f t="shared" si="1288"/>
        <v>103</v>
      </c>
      <c r="L1896" s="1" t="str">
        <f t="shared" si="1289"/>
        <v>47</v>
      </c>
      <c r="M1896" s="1" t="str">
        <f t="shared" si="1275"/>
        <v>0</v>
      </c>
      <c r="N1896" s="1" t="str">
        <f t="shared" si="1276"/>
        <v>0</v>
      </c>
      <c r="O1896" s="1" t="str">
        <f>"8.6"</f>
        <v>8.6</v>
      </c>
    </row>
    <row r="1897" s="1" customFormat="1" spans="1:15">
      <c r="A1897" s="1" t="str">
        <f t="shared" si="1280"/>
        <v>202406</v>
      </c>
      <c r="B1897" s="1" t="str">
        <f t="shared" si="1281"/>
        <v>150525100</v>
      </c>
      <c r="C1897" s="1" t="str">
        <f>"1040647476"</f>
        <v>1040647476</v>
      </c>
      <c r="D1897" s="1" t="str">
        <f>"152326195712140667"</f>
        <v>152326195712140667</v>
      </c>
      <c r="E1897" s="1" t="s">
        <v>1972</v>
      </c>
      <c r="F1897" s="1" t="s">
        <v>16</v>
      </c>
      <c r="G1897" s="1" t="s">
        <v>19</v>
      </c>
      <c r="H1897" s="1" t="str">
        <f>"67"</f>
        <v>67</v>
      </c>
      <c r="I1897" s="1" t="str">
        <f>"155.52"</f>
        <v>155.52</v>
      </c>
      <c r="J1897" s="1" t="str">
        <f t="shared" si="1287"/>
        <v>0</v>
      </c>
      <c r="K1897" s="1" t="str">
        <f t="shared" si="1288"/>
        <v>103</v>
      </c>
      <c r="L1897" s="1" t="str">
        <f t="shared" si="1289"/>
        <v>47</v>
      </c>
      <c r="M1897" s="1" t="str">
        <f t="shared" si="1275"/>
        <v>0</v>
      </c>
      <c r="N1897" s="1" t="str">
        <f t="shared" si="1276"/>
        <v>0</v>
      </c>
      <c r="O1897" s="1" t="str">
        <f>"5.52"</f>
        <v>5.52</v>
      </c>
    </row>
    <row r="1898" s="1" customFormat="1" spans="1:15">
      <c r="A1898" s="1" t="str">
        <f t="shared" si="1280"/>
        <v>202406</v>
      </c>
      <c r="B1898" s="1" t="str">
        <f t="shared" si="1281"/>
        <v>150525100</v>
      </c>
      <c r="C1898" s="1" t="str">
        <f>"1040647499"</f>
        <v>1040647499</v>
      </c>
      <c r="D1898" s="1" t="str">
        <f>"152326195609180695"</f>
        <v>152326195609180695</v>
      </c>
      <c r="E1898" s="1" t="s">
        <v>1973</v>
      </c>
      <c r="F1898" s="1" t="s">
        <v>25</v>
      </c>
      <c r="G1898" s="1" t="s">
        <v>17</v>
      </c>
      <c r="H1898" s="1" t="str">
        <f>"68"</f>
        <v>68</v>
      </c>
      <c r="I1898" s="1" t="str">
        <f>"160.16"</f>
        <v>160.16</v>
      </c>
      <c r="J1898" s="1" t="str">
        <f t="shared" si="1287"/>
        <v>0</v>
      </c>
      <c r="K1898" s="1" t="str">
        <f t="shared" si="1288"/>
        <v>103</v>
      </c>
      <c r="L1898" s="1" t="str">
        <f t="shared" si="1289"/>
        <v>47</v>
      </c>
      <c r="M1898" s="1" t="str">
        <f t="shared" si="1275"/>
        <v>0</v>
      </c>
      <c r="N1898" s="1" t="str">
        <f t="shared" si="1276"/>
        <v>0</v>
      </c>
      <c r="O1898" s="1" t="str">
        <f>"10.16"</f>
        <v>10.16</v>
      </c>
    </row>
    <row r="1899" s="1" customFormat="1" spans="1:15">
      <c r="A1899" s="1" t="str">
        <f t="shared" si="1280"/>
        <v>202406</v>
      </c>
      <c r="B1899" s="1" t="str">
        <f t="shared" si="1281"/>
        <v>150525100</v>
      </c>
      <c r="C1899" s="1" t="str">
        <f>"1040647541"</f>
        <v>1040647541</v>
      </c>
      <c r="D1899" s="1" t="str">
        <f>"152326195305040677"</f>
        <v>152326195305040677</v>
      </c>
      <c r="E1899" s="1" t="s">
        <v>1974</v>
      </c>
      <c r="F1899" s="1" t="s">
        <v>25</v>
      </c>
      <c r="G1899" s="1" t="s">
        <v>17</v>
      </c>
      <c r="H1899" s="1" t="str">
        <f>"71"</f>
        <v>71</v>
      </c>
      <c r="I1899" s="1" t="str">
        <f>"162.57"</f>
        <v>162.57</v>
      </c>
      <c r="J1899" s="1" t="str">
        <f t="shared" si="1287"/>
        <v>0</v>
      </c>
      <c r="K1899" s="1" t="str">
        <f t="shared" si="1288"/>
        <v>103</v>
      </c>
      <c r="L1899" s="1" t="str">
        <f t="shared" si="1289"/>
        <v>47</v>
      </c>
      <c r="M1899" s="1" t="str">
        <f t="shared" si="1275"/>
        <v>0</v>
      </c>
      <c r="N1899" s="1" t="str">
        <f t="shared" si="1276"/>
        <v>0</v>
      </c>
      <c r="O1899" s="1" t="str">
        <f>"2.57"</f>
        <v>2.57</v>
      </c>
    </row>
    <row r="1900" s="1" customFormat="1" spans="1:15">
      <c r="A1900" s="1" t="str">
        <f t="shared" si="1280"/>
        <v>202406</v>
      </c>
      <c r="B1900" s="1" t="str">
        <f t="shared" si="1281"/>
        <v>150525100</v>
      </c>
      <c r="C1900" s="1" t="str">
        <f>"1040647554"</f>
        <v>1040647554</v>
      </c>
      <c r="D1900" s="1" t="str">
        <f>"152326195612296111"</f>
        <v>152326195612296111</v>
      </c>
      <c r="E1900" s="1" t="s">
        <v>1975</v>
      </c>
      <c r="F1900" s="1" t="s">
        <v>25</v>
      </c>
      <c r="G1900" s="1" t="s">
        <v>17</v>
      </c>
      <c r="H1900" s="1" t="str">
        <f>"68"</f>
        <v>68</v>
      </c>
      <c r="I1900" s="1" t="str">
        <f>"155.43"</f>
        <v>155.43</v>
      </c>
      <c r="J1900" s="1" t="str">
        <f t="shared" si="1287"/>
        <v>0</v>
      </c>
      <c r="K1900" s="1" t="str">
        <f t="shared" si="1288"/>
        <v>103</v>
      </c>
      <c r="L1900" s="1" t="str">
        <f t="shared" si="1289"/>
        <v>47</v>
      </c>
      <c r="M1900" s="1" t="str">
        <f t="shared" si="1275"/>
        <v>0</v>
      </c>
      <c r="N1900" s="1" t="str">
        <f t="shared" si="1276"/>
        <v>0</v>
      </c>
      <c r="O1900" s="1" t="str">
        <f>"5.43"</f>
        <v>5.43</v>
      </c>
    </row>
    <row r="1901" s="1" customFormat="1" spans="1:15">
      <c r="A1901" s="1" t="str">
        <f t="shared" si="1280"/>
        <v>202406</v>
      </c>
      <c r="B1901" s="1" t="str">
        <f t="shared" si="1281"/>
        <v>150525100</v>
      </c>
      <c r="C1901" s="1" t="str">
        <f>"1040647555"</f>
        <v>1040647555</v>
      </c>
      <c r="D1901" s="1" t="str">
        <f>"152326195803186126"</f>
        <v>152326195803186126</v>
      </c>
      <c r="E1901" s="1" t="s">
        <v>1976</v>
      </c>
      <c r="F1901" s="1" t="s">
        <v>16</v>
      </c>
      <c r="G1901" s="1" t="s">
        <v>19</v>
      </c>
      <c r="H1901" s="1" t="str">
        <f>"66"</f>
        <v>66</v>
      </c>
      <c r="I1901" s="1" t="str">
        <f>"156.48"</f>
        <v>156.48</v>
      </c>
      <c r="J1901" s="1" t="str">
        <f t="shared" si="1287"/>
        <v>0</v>
      </c>
      <c r="K1901" s="1" t="str">
        <f t="shared" si="1288"/>
        <v>103</v>
      </c>
      <c r="L1901" s="1" t="str">
        <f t="shared" si="1289"/>
        <v>47</v>
      </c>
      <c r="M1901" s="1" t="str">
        <f t="shared" si="1275"/>
        <v>0</v>
      </c>
      <c r="N1901" s="1" t="str">
        <f t="shared" si="1276"/>
        <v>0</v>
      </c>
      <c r="O1901" s="1" t="str">
        <f>"6.48"</f>
        <v>6.48</v>
      </c>
    </row>
    <row r="1902" s="1" customFormat="1" spans="1:15">
      <c r="A1902" s="1" t="str">
        <f t="shared" si="1280"/>
        <v>202406</v>
      </c>
      <c r="B1902" s="1" t="str">
        <f t="shared" si="1281"/>
        <v>150525100</v>
      </c>
      <c r="C1902" s="1" t="str">
        <f>"1040647556"</f>
        <v>1040647556</v>
      </c>
      <c r="D1902" s="1" t="str">
        <f>"152326195406146382"</f>
        <v>152326195406146382</v>
      </c>
      <c r="E1902" s="1" t="s">
        <v>1977</v>
      </c>
      <c r="F1902" s="1" t="s">
        <v>16</v>
      </c>
      <c r="G1902" s="1" t="s">
        <v>17</v>
      </c>
      <c r="H1902" s="1" t="str">
        <f>"70"</f>
        <v>70</v>
      </c>
      <c r="I1902" s="1" t="str">
        <f>"153.55"</f>
        <v>153.55</v>
      </c>
      <c r="J1902" s="1" t="str">
        <f t="shared" si="1287"/>
        <v>0</v>
      </c>
      <c r="K1902" s="1" t="str">
        <f t="shared" si="1288"/>
        <v>103</v>
      </c>
      <c r="L1902" s="1" t="str">
        <f t="shared" si="1289"/>
        <v>47</v>
      </c>
      <c r="M1902" s="1" t="str">
        <f t="shared" si="1275"/>
        <v>0</v>
      </c>
      <c r="N1902" s="1" t="str">
        <f t="shared" si="1276"/>
        <v>0</v>
      </c>
      <c r="O1902" s="1" t="str">
        <f>"3.55"</f>
        <v>3.55</v>
      </c>
    </row>
    <row r="1903" s="1" customFormat="1" spans="1:15">
      <c r="A1903" s="1" t="str">
        <f t="shared" si="1280"/>
        <v>202406</v>
      </c>
      <c r="B1903" s="1" t="str">
        <f t="shared" si="1281"/>
        <v>150525100</v>
      </c>
      <c r="C1903" s="1" t="str">
        <f>"1040647569"</f>
        <v>1040647569</v>
      </c>
      <c r="D1903" s="1" t="str">
        <f>"152326195407156128"</f>
        <v>152326195407156128</v>
      </c>
      <c r="E1903" s="1" t="s">
        <v>1978</v>
      </c>
      <c r="F1903" s="1" t="s">
        <v>16</v>
      </c>
      <c r="G1903" s="1" t="s">
        <v>17</v>
      </c>
      <c r="H1903" s="1" t="str">
        <f>"70"</f>
        <v>70</v>
      </c>
      <c r="I1903" s="1" t="str">
        <f>"153.55"</f>
        <v>153.55</v>
      </c>
      <c r="J1903" s="1" t="str">
        <f t="shared" si="1287"/>
        <v>0</v>
      </c>
      <c r="K1903" s="1" t="str">
        <f t="shared" si="1288"/>
        <v>103</v>
      </c>
      <c r="L1903" s="1" t="str">
        <f t="shared" si="1289"/>
        <v>47</v>
      </c>
      <c r="M1903" s="1" t="str">
        <f t="shared" si="1275"/>
        <v>0</v>
      </c>
      <c r="N1903" s="1" t="str">
        <f t="shared" si="1276"/>
        <v>0</v>
      </c>
      <c r="O1903" s="1" t="str">
        <f>"3.55"</f>
        <v>3.55</v>
      </c>
    </row>
    <row r="1904" s="1" customFormat="1" spans="1:15">
      <c r="A1904" s="1" t="str">
        <f t="shared" si="1280"/>
        <v>202406</v>
      </c>
      <c r="B1904" s="1" t="str">
        <f t="shared" si="1281"/>
        <v>150525100</v>
      </c>
      <c r="C1904" s="1" t="str">
        <f>"1040647599"</f>
        <v>1040647599</v>
      </c>
      <c r="D1904" s="1" t="str">
        <f>"152326196112096142"</f>
        <v>152326196112096142</v>
      </c>
      <c r="E1904" s="1" t="s">
        <v>1979</v>
      </c>
      <c r="F1904" s="1" t="s">
        <v>16</v>
      </c>
      <c r="G1904" s="1" t="s">
        <v>19</v>
      </c>
      <c r="H1904" s="1" t="str">
        <f>"63"</f>
        <v>63</v>
      </c>
      <c r="I1904" s="1" t="str">
        <f>"160.56"</f>
        <v>160.56</v>
      </c>
      <c r="J1904" s="1" t="str">
        <f t="shared" si="1287"/>
        <v>0</v>
      </c>
      <c r="K1904" s="1" t="str">
        <f t="shared" si="1288"/>
        <v>103</v>
      </c>
      <c r="L1904" s="1" t="str">
        <f t="shared" si="1289"/>
        <v>47</v>
      </c>
      <c r="M1904" s="1" t="str">
        <f t="shared" si="1275"/>
        <v>0</v>
      </c>
      <c r="N1904" s="1" t="str">
        <f t="shared" si="1276"/>
        <v>0</v>
      </c>
      <c r="O1904" s="1" t="str">
        <f>"10.56"</f>
        <v>10.56</v>
      </c>
    </row>
    <row r="1905" s="1" customFormat="1" spans="1:15">
      <c r="A1905" s="1" t="str">
        <f t="shared" si="1280"/>
        <v>202406</v>
      </c>
      <c r="B1905" s="1" t="str">
        <f t="shared" si="1281"/>
        <v>150525100</v>
      </c>
      <c r="C1905" s="1" t="str">
        <f>"1040687615"</f>
        <v>1040687615</v>
      </c>
      <c r="D1905" s="1" t="str">
        <f>"152326196112240669"</f>
        <v>152326196112240669</v>
      </c>
      <c r="E1905" s="1" t="s">
        <v>1980</v>
      </c>
      <c r="F1905" s="1" t="s">
        <v>16</v>
      </c>
      <c r="G1905" s="1" t="s">
        <v>17</v>
      </c>
      <c r="H1905" s="1" t="str">
        <f>"63"</f>
        <v>63</v>
      </c>
      <c r="I1905" s="1" t="str">
        <f>"160.22"</f>
        <v>160.22</v>
      </c>
      <c r="J1905" s="1" t="str">
        <f t="shared" si="1287"/>
        <v>0</v>
      </c>
      <c r="K1905" s="1" t="str">
        <f t="shared" si="1288"/>
        <v>103</v>
      </c>
      <c r="L1905" s="1" t="str">
        <f t="shared" si="1289"/>
        <v>47</v>
      </c>
      <c r="M1905" s="1" t="str">
        <f t="shared" si="1275"/>
        <v>0</v>
      </c>
      <c r="N1905" s="1" t="str">
        <f t="shared" si="1276"/>
        <v>0</v>
      </c>
      <c r="O1905" s="1" t="str">
        <f>"10.22"</f>
        <v>10.22</v>
      </c>
    </row>
    <row r="1906" s="1" customFormat="1" spans="1:15">
      <c r="A1906" s="1" t="str">
        <f t="shared" si="1280"/>
        <v>202406</v>
      </c>
      <c r="B1906" s="1" t="str">
        <f t="shared" si="1281"/>
        <v>150525100</v>
      </c>
      <c r="C1906" s="1" t="str">
        <f>"1040687640"</f>
        <v>1040687640</v>
      </c>
      <c r="D1906" s="1" t="str">
        <f>"152326195506020672"</f>
        <v>152326195506020672</v>
      </c>
      <c r="E1906" s="1" t="s">
        <v>1981</v>
      </c>
      <c r="F1906" s="1" t="s">
        <v>25</v>
      </c>
      <c r="G1906" s="1" t="s">
        <v>17</v>
      </c>
      <c r="H1906" s="1" t="str">
        <f>"69"</f>
        <v>69</v>
      </c>
      <c r="I1906" s="1" t="str">
        <f>"154.21"</f>
        <v>154.21</v>
      </c>
      <c r="J1906" s="1" t="str">
        <f t="shared" si="1287"/>
        <v>0</v>
      </c>
      <c r="K1906" s="1" t="str">
        <f t="shared" si="1288"/>
        <v>103</v>
      </c>
      <c r="L1906" s="1" t="str">
        <f t="shared" si="1289"/>
        <v>47</v>
      </c>
      <c r="M1906" s="1" t="str">
        <f t="shared" si="1275"/>
        <v>0</v>
      </c>
      <c r="N1906" s="1" t="str">
        <f t="shared" si="1276"/>
        <v>0</v>
      </c>
      <c r="O1906" s="1" t="str">
        <f>"4.21"</f>
        <v>4.21</v>
      </c>
    </row>
    <row r="1907" s="1" customFormat="1" spans="1:15">
      <c r="A1907" s="1" t="str">
        <f t="shared" si="1280"/>
        <v>202406</v>
      </c>
      <c r="B1907" s="1" t="str">
        <f t="shared" si="1281"/>
        <v>150525100</v>
      </c>
      <c r="C1907" s="1" t="str">
        <f>"1040687653"</f>
        <v>1040687653</v>
      </c>
      <c r="D1907" s="1" t="str">
        <f>"152326195712280678"</f>
        <v>152326195712280678</v>
      </c>
      <c r="E1907" s="1" t="s">
        <v>1982</v>
      </c>
      <c r="F1907" s="1" t="s">
        <v>25</v>
      </c>
      <c r="G1907" s="1" t="s">
        <v>17</v>
      </c>
      <c r="H1907" s="1" t="str">
        <f>"67"</f>
        <v>67</v>
      </c>
      <c r="I1907" s="1" t="str">
        <f>"155.22"</f>
        <v>155.22</v>
      </c>
      <c r="J1907" s="1" t="str">
        <f t="shared" si="1287"/>
        <v>0</v>
      </c>
      <c r="K1907" s="1" t="str">
        <f t="shared" si="1288"/>
        <v>103</v>
      </c>
      <c r="L1907" s="1" t="str">
        <f t="shared" si="1289"/>
        <v>47</v>
      </c>
      <c r="M1907" s="1" t="str">
        <f t="shared" ref="M1907:M1970" si="1290">"0"</f>
        <v>0</v>
      </c>
      <c r="N1907" s="1" t="str">
        <f t="shared" ref="N1907:N1970" si="1291">"0"</f>
        <v>0</v>
      </c>
      <c r="O1907" s="1" t="str">
        <f>"5.22"</f>
        <v>5.22</v>
      </c>
    </row>
    <row r="1908" s="1" customFormat="1" spans="1:15">
      <c r="A1908" s="1" t="str">
        <f t="shared" si="1280"/>
        <v>202406</v>
      </c>
      <c r="B1908" s="1" t="str">
        <f t="shared" si="1281"/>
        <v>150525100</v>
      </c>
      <c r="C1908" s="1" t="str">
        <f>"1040687684"</f>
        <v>1040687684</v>
      </c>
      <c r="D1908" s="1" t="s">
        <v>1983</v>
      </c>
      <c r="E1908" s="1" t="s">
        <v>1984</v>
      </c>
      <c r="F1908" s="1" t="s">
        <v>25</v>
      </c>
      <c r="G1908" s="1" t="s">
        <v>17</v>
      </c>
      <c r="H1908" s="1" t="str">
        <f>"61"</f>
        <v>61</v>
      </c>
      <c r="I1908" s="1" t="str">
        <f>"164.09"</f>
        <v>164.09</v>
      </c>
      <c r="J1908" s="1" t="str">
        <f t="shared" si="1287"/>
        <v>0</v>
      </c>
      <c r="K1908" s="1" t="str">
        <f t="shared" si="1288"/>
        <v>103</v>
      </c>
      <c r="L1908" s="1" t="str">
        <f t="shared" si="1289"/>
        <v>47</v>
      </c>
      <c r="M1908" s="1" t="str">
        <f t="shared" si="1290"/>
        <v>0</v>
      </c>
      <c r="N1908" s="1" t="str">
        <f t="shared" si="1291"/>
        <v>0</v>
      </c>
      <c r="O1908" s="1" t="str">
        <f>"14.09"</f>
        <v>14.09</v>
      </c>
    </row>
    <row r="1909" s="1" customFormat="1" spans="1:15">
      <c r="A1909" s="1" t="str">
        <f t="shared" si="1280"/>
        <v>202406</v>
      </c>
      <c r="B1909" s="1" t="str">
        <f t="shared" si="1281"/>
        <v>150525100</v>
      </c>
      <c r="C1909" s="1" t="str">
        <f>"1040687730"</f>
        <v>1040687730</v>
      </c>
      <c r="D1909" s="1" t="str">
        <f>"152326195504063310"</f>
        <v>152326195504063310</v>
      </c>
      <c r="E1909" s="1" t="s">
        <v>1985</v>
      </c>
      <c r="F1909" s="1" t="s">
        <v>25</v>
      </c>
      <c r="G1909" s="1" t="s">
        <v>19</v>
      </c>
      <c r="H1909" s="1" t="str">
        <f>"69"</f>
        <v>69</v>
      </c>
      <c r="I1909" s="1" t="str">
        <f>"154.2"</f>
        <v>154.2</v>
      </c>
      <c r="J1909" s="1" t="str">
        <f t="shared" si="1287"/>
        <v>0</v>
      </c>
      <c r="K1909" s="1" t="str">
        <f t="shared" si="1288"/>
        <v>103</v>
      </c>
      <c r="L1909" s="1" t="str">
        <f t="shared" si="1289"/>
        <v>47</v>
      </c>
      <c r="M1909" s="1" t="str">
        <f t="shared" si="1290"/>
        <v>0</v>
      </c>
      <c r="N1909" s="1" t="str">
        <f t="shared" si="1291"/>
        <v>0</v>
      </c>
      <c r="O1909" s="1" t="str">
        <f>"4.2"</f>
        <v>4.2</v>
      </c>
    </row>
    <row r="1910" s="1" customFormat="1" spans="1:15">
      <c r="A1910" s="1" t="str">
        <f t="shared" si="1280"/>
        <v>202406</v>
      </c>
      <c r="B1910" s="1" t="str">
        <f t="shared" si="1281"/>
        <v>150525100</v>
      </c>
      <c r="C1910" s="1" t="str">
        <f>"1040647784"</f>
        <v>1040647784</v>
      </c>
      <c r="D1910" s="1" t="str">
        <f>"152326195411153317"</f>
        <v>152326195411153317</v>
      </c>
      <c r="E1910" s="1" t="s">
        <v>1986</v>
      </c>
      <c r="F1910" s="1" t="s">
        <v>25</v>
      </c>
      <c r="G1910" s="1" t="s">
        <v>17</v>
      </c>
      <c r="H1910" s="1" t="str">
        <f>"70"</f>
        <v>70</v>
      </c>
      <c r="I1910" s="1" t="str">
        <f>"153.56"</f>
        <v>153.56</v>
      </c>
      <c r="J1910" s="1" t="str">
        <f t="shared" si="1287"/>
        <v>0</v>
      </c>
      <c r="K1910" s="1" t="str">
        <f t="shared" si="1288"/>
        <v>103</v>
      </c>
      <c r="L1910" s="1" t="str">
        <f t="shared" si="1289"/>
        <v>47</v>
      </c>
      <c r="M1910" s="1" t="str">
        <f t="shared" si="1290"/>
        <v>0</v>
      </c>
      <c r="N1910" s="1" t="str">
        <f t="shared" si="1291"/>
        <v>0</v>
      </c>
      <c r="O1910" s="1" t="str">
        <f>"3.56"</f>
        <v>3.56</v>
      </c>
    </row>
    <row r="1911" s="1" customFormat="1" spans="1:15">
      <c r="A1911" s="1" t="str">
        <f t="shared" si="1280"/>
        <v>202406</v>
      </c>
      <c r="B1911" s="1" t="str">
        <f t="shared" si="1281"/>
        <v>150525100</v>
      </c>
      <c r="C1911" s="1" t="str">
        <f>"1040647794"</f>
        <v>1040647794</v>
      </c>
      <c r="D1911" s="1" t="str">
        <f>"152326196011103315"</f>
        <v>152326196011103315</v>
      </c>
      <c r="E1911" s="1" t="s">
        <v>1987</v>
      </c>
      <c r="F1911" s="1" t="s">
        <v>25</v>
      </c>
      <c r="G1911" s="1" t="s">
        <v>17</v>
      </c>
      <c r="H1911" s="1" t="str">
        <f>"64"</f>
        <v>64</v>
      </c>
      <c r="I1911" s="1" t="str">
        <f>"193.01"</f>
        <v>193.01</v>
      </c>
      <c r="J1911" s="1" t="str">
        <f t="shared" si="1287"/>
        <v>0</v>
      </c>
      <c r="K1911" s="1" t="str">
        <f t="shared" si="1288"/>
        <v>103</v>
      </c>
      <c r="L1911" s="1" t="str">
        <f t="shared" si="1289"/>
        <v>47</v>
      </c>
      <c r="M1911" s="1" t="str">
        <f t="shared" si="1290"/>
        <v>0</v>
      </c>
      <c r="N1911" s="1" t="str">
        <f t="shared" si="1291"/>
        <v>0</v>
      </c>
      <c r="O1911" s="1" t="str">
        <f>"43.01"</f>
        <v>43.01</v>
      </c>
    </row>
    <row r="1912" s="1" customFormat="1" spans="1:15">
      <c r="A1912" s="1" t="str">
        <f t="shared" si="1280"/>
        <v>202406</v>
      </c>
      <c r="B1912" s="1" t="str">
        <f t="shared" si="1281"/>
        <v>150525100</v>
      </c>
      <c r="C1912" s="1" t="str">
        <f>"1040647799"</f>
        <v>1040647799</v>
      </c>
      <c r="D1912" s="1" t="str">
        <f>"152326195503183329"</f>
        <v>152326195503183329</v>
      </c>
      <c r="E1912" s="1" t="s">
        <v>1988</v>
      </c>
      <c r="F1912" s="1" t="s">
        <v>16</v>
      </c>
      <c r="G1912" s="1" t="s">
        <v>17</v>
      </c>
      <c r="H1912" s="1" t="str">
        <f>"69"</f>
        <v>69</v>
      </c>
      <c r="I1912" s="1" t="str">
        <f>"154.52"</f>
        <v>154.52</v>
      </c>
      <c r="J1912" s="1" t="str">
        <f t="shared" si="1287"/>
        <v>0</v>
      </c>
      <c r="K1912" s="1" t="str">
        <f t="shared" si="1288"/>
        <v>103</v>
      </c>
      <c r="L1912" s="1" t="str">
        <f t="shared" si="1289"/>
        <v>47</v>
      </c>
      <c r="M1912" s="1" t="str">
        <f t="shared" si="1290"/>
        <v>0</v>
      </c>
      <c r="N1912" s="1" t="str">
        <f t="shared" si="1291"/>
        <v>0</v>
      </c>
      <c r="O1912" s="1" t="str">
        <f>"4.52"</f>
        <v>4.52</v>
      </c>
    </row>
    <row r="1913" s="1" customFormat="1" spans="1:15">
      <c r="A1913" s="1" t="str">
        <f t="shared" si="1280"/>
        <v>202406</v>
      </c>
      <c r="B1913" s="1" t="str">
        <f t="shared" si="1281"/>
        <v>150525100</v>
      </c>
      <c r="C1913" s="1" t="str">
        <f>"1040648111"</f>
        <v>1040648111</v>
      </c>
      <c r="D1913" s="1" t="str">
        <f>"152326196205040420"</f>
        <v>152326196205040420</v>
      </c>
      <c r="E1913" s="1" t="s">
        <v>1989</v>
      </c>
      <c r="F1913" s="1" t="s">
        <v>16</v>
      </c>
      <c r="G1913" s="1" t="s">
        <v>17</v>
      </c>
      <c r="H1913" s="1" t="str">
        <f>"62"</f>
        <v>62</v>
      </c>
      <c r="I1913" s="1" t="str">
        <f>"164.17"</f>
        <v>164.17</v>
      </c>
      <c r="J1913" s="1" t="str">
        <f t="shared" si="1287"/>
        <v>0</v>
      </c>
      <c r="K1913" s="1" t="str">
        <f t="shared" si="1288"/>
        <v>103</v>
      </c>
      <c r="L1913" s="1" t="str">
        <f t="shared" si="1289"/>
        <v>47</v>
      </c>
      <c r="M1913" s="1" t="str">
        <f t="shared" si="1290"/>
        <v>0</v>
      </c>
      <c r="N1913" s="1" t="str">
        <f t="shared" si="1291"/>
        <v>0</v>
      </c>
      <c r="O1913" s="1" t="str">
        <f>"14.17"</f>
        <v>14.17</v>
      </c>
    </row>
    <row r="1914" s="1" customFormat="1" spans="1:15">
      <c r="A1914" s="1" t="str">
        <f t="shared" si="1280"/>
        <v>202406</v>
      </c>
      <c r="B1914" s="1" t="str">
        <f t="shared" si="1281"/>
        <v>150525100</v>
      </c>
      <c r="C1914" s="1" t="str">
        <f>"1040648128"</f>
        <v>1040648128</v>
      </c>
      <c r="D1914" s="1" t="str">
        <f>"152326195812020427"</f>
        <v>152326195812020427</v>
      </c>
      <c r="E1914" s="1" t="s">
        <v>1990</v>
      </c>
      <c r="F1914" s="1" t="s">
        <v>16</v>
      </c>
      <c r="G1914" s="1" t="s">
        <v>17</v>
      </c>
      <c r="H1914" s="1" t="str">
        <f>"66"</f>
        <v>66</v>
      </c>
      <c r="I1914" s="1" t="str">
        <f>"154.59"</f>
        <v>154.59</v>
      </c>
      <c r="J1914" s="1" t="str">
        <f t="shared" si="1287"/>
        <v>0</v>
      </c>
      <c r="K1914" s="1" t="str">
        <f t="shared" si="1288"/>
        <v>103</v>
      </c>
      <c r="L1914" s="1" t="str">
        <f t="shared" si="1289"/>
        <v>47</v>
      </c>
      <c r="M1914" s="1" t="str">
        <f t="shared" si="1290"/>
        <v>0</v>
      </c>
      <c r="N1914" s="1" t="str">
        <f t="shared" si="1291"/>
        <v>0</v>
      </c>
      <c r="O1914" s="1" t="str">
        <f>"4.59"</f>
        <v>4.59</v>
      </c>
    </row>
    <row r="1915" s="1" customFormat="1" spans="1:15">
      <c r="A1915" s="1" t="str">
        <f t="shared" si="1280"/>
        <v>202406</v>
      </c>
      <c r="B1915" s="1" t="str">
        <f t="shared" si="1281"/>
        <v>150525100</v>
      </c>
      <c r="C1915" s="1" t="str">
        <f>"1040648145"</f>
        <v>1040648145</v>
      </c>
      <c r="D1915" s="1" t="str">
        <f>"152326195701200425"</f>
        <v>152326195701200425</v>
      </c>
      <c r="E1915" s="1" t="s">
        <v>1124</v>
      </c>
      <c r="F1915" s="1" t="s">
        <v>16</v>
      </c>
      <c r="G1915" s="1" t="s">
        <v>17</v>
      </c>
      <c r="H1915" s="1" t="str">
        <f>"67"</f>
        <v>67</v>
      </c>
      <c r="I1915" s="1" t="str">
        <f>"155.19"</f>
        <v>155.19</v>
      </c>
      <c r="J1915" s="1" t="str">
        <f t="shared" si="1287"/>
        <v>0</v>
      </c>
      <c r="K1915" s="1" t="str">
        <f t="shared" si="1288"/>
        <v>103</v>
      </c>
      <c r="L1915" s="1" t="str">
        <f t="shared" si="1289"/>
        <v>47</v>
      </c>
      <c r="M1915" s="1" t="str">
        <f t="shared" si="1290"/>
        <v>0</v>
      </c>
      <c r="N1915" s="1" t="str">
        <f t="shared" si="1291"/>
        <v>0</v>
      </c>
      <c r="O1915" s="1" t="str">
        <f>"5.19"</f>
        <v>5.19</v>
      </c>
    </row>
    <row r="1916" s="1" customFormat="1" spans="1:15">
      <c r="A1916" s="1" t="str">
        <f t="shared" si="1280"/>
        <v>202406</v>
      </c>
      <c r="B1916" s="1" t="str">
        <f t="shared" si="1281"/>
        <v>150525100</v>
      </c>
      <c r="C1916" s="1" t="str">
        <f>"1040648148"</f>
        <v>1040648148</v>
      </c>
      <c r="D1916" s="1" t="str">
        <f>"152326196104250429"</f>
        <v>152326196104250429</v>
      </c>
      <c r="E1916" s="1" t="s">
        <v>1991</v>
      </c>
      <c r="F1916" s="1" t="s">
        <v>16</v>
      </c>
      <c r="G1916" s="1" t="s">
        <v>19</v>
      </c>
      <c r="H1916" s="1" t="str">
        <f>"63"</f>
        <v>63</v>
      </c>
      <c r="I1916" s="1" t="str">
        <f>"160.42"</f>
        <v>160.42</v>
      </c>
      <c r="J1916" s="1" t="str">
        <f t="shared" si="1287"/>
        <v>0</v>
      </c>
      <c r="K1916" s="1" t="str">
        <f t="shared" si="1288"/>
        <v>103</v>
      </c>
      <c r="L1916" s="1" t="str">
        <f t="shared" si="1289"/>
        <v>47</v>
      </c>
      <c r="M1916" s="1" t="str">
        <f t="shared" si="1290"/>
        <v>0</v>
      </c>
      <c r="N1916" s="1" t="str">
        <f t="shared" si="1291"/>
        <v>0</v>
      </c>
      <c r="O1916" s="1" t="str">
        <f>"10.42"</f>
        <v>10.42</v>
      </c>
    </row>
    <row r="1917" s="1" customFormat="1" spans="1:15">
      <c r="A1917" s="1" t="str">
        <f t="shared" si="1280"/>
        <v>202406</v>
      </c>
      <c r="B1917" s="1" t="str">
        <f t="shared" si="1281"/>
        <v>150525100</v>
      </c>
      <c r="C1917" s="1" t="str">
        <f>"1040687758"</f>
        <v>1040687758</v>
      </c>
      <c r="D1917" s="1" t="str">
        <f>"152326195407043318"</f>
        <v>152326195407043318</v>
      </c>
      <c r="E1917" s="1" t="s">
        <v>1992</v>
      </c>
      <c r="F1917" s="1" t="s">
        <v>25</v>
      </c>
      <c r="G1917" s="1" t="s">
        <v>19</v>
      </c>
      <c r="H1917" s="1" t="str">
        <f>"70"</f>
        <v>70</v>
      </c>
      <c r="I1917" s="1" t="str">
        <f>"153.25"</f>
        <v>153.25</v>
      </c>
      <c r="J1917" s="1" t="str">
        <f t="shared" si="1287"/>
        <v>0</v>
      </c>
      <c r="K1917" s="1" t="str">
        <f t="shared" si="1288"/>
        <v>103</v>
      </c>
      <c r="L1917" s="1" t="str">
        <f t="shared" si="1289"/>
        <v>47</v>
      </c>
      <c r="M1917" s="1" t="str">
        <f t="shared" si="1290"/>
        <v>0</v>
      </c>
      <c r="N1917" s="1" t="str">
        <f t="shared" si="1291"/>
        <v>0</v>
      </c>
      <c r="O1917" s="1" t="str">
        <f>"3.25"</f>
        <v>3.25</v>
      </c>
    </row>
    <row r="1918" s="1" customFormat="1" spans="1:15">
      <c r="A1918" s="1" t="str">
        <f t="shared" si="1280"/>
        <v>202406</v>
      </c>
      <c r="B1918" s="1" t="str">
        <f t="shared" si="1281"/>
        <v>150525100</v>
      </c>
      <c r="C1918" s="1" t="str">
        <f>"1040687780"</f>
        <v>1040687780</v>
      </c>
      <c r="D1918" s="1" t="str">
        <f>"152326195402170668"</f>
        <v>152326195402170668</v>
      </c>
      <c r="E1918" s="1" t="s">
        <v>1993</v>
      </c>
      <c r="F1918" s="1" t="s">
        <v>16</v>
      </c>
      <c r="G1918" s="1" t="s">
        <v>17</v>
      </c>
      <c r="H1918" s="1" t="str">
        <f>"70"</f>
        <v>70</v>
      </c>
      <c r="I1918" s="1" t="str">
        <f>"163.25"</f>
        <v>163.25</v>
      </c>
      <c r="J1918" s="1" t="str">
        <f t="shared" si="1287"/>
        <v>0</v>
      </c>
      <c r="K1918" s="1" t="str">
        <f t="shared" si="1288"/>
        <v>103</v>
      </c>
      <c r="L1918" s="1" t="str">
        <f t="shared" si="1289"/>
        <v>47</v>
      </c>
      <c r="M1918" s="1" t="str">
        <f t="shared" si="1290"/>
        <v>0</v>
      </c>
      <c r="N1918" s="1" t="str">
        <f t="shared" si="1291"/>
        <v>0</v>
      </c>
      <c r="O1918" s="1" t="str">
        <f>"3.25"</f>
        <v>3.25</v>
      </c>
    </row>
    <row r="1919" s="1" customFormat="1" spans="1:15">
      <c r="A1919" s="1" t="str">
        <f t="shared" si="1280"/>
        <v>202406</v>
      </c>
      <c r="B1919" s="1" t="str">
        <f t="shared" si="1281"/>
        <v>150525100</v>
      </c>
      <c r="C1919" s="1" t="str">
        <f>"1040687781"</f>
        <v>1040687781</v>
      </c>
      <c r="D1919" s="1" t="str">
        <f>"152326196203050684"</f>
        <v>152326196203050684</v>
      </c>
      <c r="E1919" s="1" t="s">
        <v>1994</v>
      </c>
      <c r="F1919" s="1" t="s">
        <v>16</v>
      </c>
      <c r="G1919" s="1" t="s">
        <v>17</v>
      </c>
      <c r="H1919" s="1" t="str">
        <f>"62"</f>
        <v>62</v>
      </c>
      <c r="I1919" s="1" t="str">
        <f>"161.73"</f>
        <v>161.73</v>
      </c>
      <c r="J1919" s="1" t="str">
        <f t="shared" si="1287"/>
        <v>0</v>
      </c>
      <c r="K1919" s="1" t="str">
        <f t="shared" si="1288"/>
        <v>103</v>
      </c>
      <c r="L1919" s="1" t="str">
        <f t="shared" si="1289"/>
        <v>47</v>
      </c>
      <c r="M1919" s="1" t="str">
        <f t="shared" si="1290"/>
        <v>0</v>
      </c>
      <c r="N1919" s="1" t="str">
        <f t="shared" si="1291"/>
        <v>0</v>
      </c>
      <c r="O1919" s="1" t="str">
        <f>"11.73"</f>
        <v>11.73</v>
      </c>
    </row>
    <row r="1920" s="1" customFormat="1" spans="1:15">
      <c r="A1920" s="1" t="str">
        <f t="shared" si="1280"/>
        <v>202406</v>
      </c>
      <c r="B1920" s="1" t="str">
        <f t="shared" si="1281"/>
        <v>150525100</v>
      </c>
      <c r="C1920" s="1" t="str">
        <f>"1040687787"</f>
        <v>1040687787</v>
      </c>
      <c r="D1920" s="1" t="str">
        <f>"152326196204010676"</f>
        <v>152326196204010676</v>
      </c>
      <c r="E1920" s="1" t="s">
        <v>1995</v>
      </c>
      <c r="F1920" s="1" t="s">
        <v>25</v>
      </c>
      <c r="G1920" s="1" t="s">
        <v>17</v>
      </c>
      <c r="H1920" s="1" t="str">
        <f>"62"</f>
        <v>62</v>
      </c>
      <c r="I1920" s="1" t="str">
        <f>"162.08"</f>
        <v>162.08</v>
      </c>
      <c r="J1920" s="1" t="str">
        <f t="shared" si="1287"/>
        <v>0</v>
      </c>
      <c r="K1920" s="1" t="str">
        <f t="shared" si="1288"/>
        <v>103</v>
      </c>
      <c r="L1920" s="1" t="str">
        <f t="shared" si="1289"/>
        <v>47</v>
      </c>
      <c r="M1920" s="1" t="str">
        <f t="shared" si="1290"/>
        <v>0</v>
      </c>
      <c r="N1920" s="1" t="str">
        <f t="shared" si="1291"/>
        <v>0</v>
      </c>
      <c r="O1920" s="1" t="str">
        <f>"12.08"</f>
        <v>12.08</v>
      </c>
    </row>
    <row r="1921" s="1" customFormat="1" spans="1:15">
      <c r="A1921" s="1" t="str">
        <f t="shared" si="1280"/>
        <v>202406</v>
      </c>
      <c r="B1921" s="1" t="str">
        <f t="shared" si="1281"/>
        <v>150525100</v>
      </c>
      <c r="C1921" s="1" t="str">
        <f>"1040648163"</f>
        <v>1040648163</v>
      </c>
      <c r="D1921" s="1" t="str">
        <f>"152326196401240446"</f>
        <v>152326196401240446</v>
      </c>
      <c r="E1921" s="1" t="s">
        <v>1996</v>
      </c>
      <c r="F1921" s="1" t="s">
        <v>16</v>
      </c>
      <c r="G1921" s="1" t="s">
        <v>17</v>
      </c>
      <c r="H1921" s="1" t="str">
        <f>"60"</f>
        <v>60</v>
      </c>
      <c r="I1921" s="1" t="str">
        <f>"166.19"</f>
        <v>166.19</v>
      </c>
      <c r="J1921" s="1" t="str">
        <f t="shared" si="1287"/>
        <v>0</v>
      </c>
      <c r="K1921" s="1" t="str">
        <f t="shared" si="1288"/>
        <v>103</v>
      </c>
      <c r="L1921" s="1" t="str">
        <f t="shared" si="1289"/>
        <v>47</v>
      </c>
      <c r="M1921" s="1" t="str">
        <f t="shared" si="1290"/>
        <v>0</v>
      </c>
      <c r="N1921" s="1" t="str">
        <f t="shared" si="1291"/>
        <v>0</v>
      </c>
      <c r="O1921" s="1" t="str">
        <f>"16.19"</f>
        <v>16.19</v>
      </c>
    </row>
    <row r="1922" s="1" customFormat="1" spans="1:15">
      <c r="A1922" s="1" t="str">
        <f t="shared" ref="A1922:A1985" si="1292">"202406"</f>
        <v>202406</v>
      </c>
      <c r="B1922" s="1" t="str">
        <f t="shared" ref="B1922:B1985" si="1293">"150525100"</f>
        <v>150525100</v>
      </c>
      <c r="C1922" s="1" t="str">
        <f>"1040648177"</f>
        <v>1040648177</v>
      </c>
      <c r="D1922" s="1" t="str">
        <f>"152326196310010426"</f>
        <v>152326196310010426</v>
      </c>
      <c r="E1922" s="1" t="s">
        <v>1997</v>
      </c>
      <c r="F1922" s="1" t="s">
        <v>16</v>
      </c>
      <c r="G1922" s="1" t="s">
        <v>19</v>
      </c>
      <c r="H1922" s="1" t="str">
        <f>"61"</f>
        <v>61</v>
      </c>
      <c r="I1922" s="1" t="str">
        <f>"986.64"</f>
        <v>986.64</v>
      </c>
      <c r="J1922" s="1" t="str">
        <f>"822.2"</f>
        <v>822.2</v>
      </c>
      <c r="K1922" s="1" t="str">
        <f>"618"</f>
        <v>618</v>
      </c>
      <c r="L1922" s="1" t="str">
        <f>"282"</f>
        <v>282</v>
      </c>
      <c r="M1922" s="1" t="str">
        <f t="shared" si="1290"/>
        <v>0</v>
      </c>
      <c r="N1922" s="1" t="str">
        <f t="shared" si="1291"/>
        <v>0</v>
      </c>
      <c r="O1922" s="1" t="str">
        <f>"86.64"</f>
        <v>86.64</v>
      </c>
    </row>
    <row r="1923" s="1" customFormat="1" spans="1:15">
      <c r="A1923" s="1" t="str">
        <f t="shared" si="1292"/>
        <v>202406</v>
      </c>
      <c r="B1923" s="1" t="str">
        <f t="shared" si="1293"/>
        <v>150525100</v>
      </c>
      <c r="C1923" s="1" t="str">
        <f>"1040687820"</f>
        <v>1040687820</v>
      </c>
      <c r="D1923" s="1" t="str">
        <f>"152326195812163313"</f>
        <v>152326195812163313</v>
      </c>
      <c r="E1923" s="1" t="s">
        <v>1998</v>
      </c>
      <c r="F1923" s="1" t="s">
        <v>25</v>
      </c>
      <c r="G1923" s="1" t="s">
        <v>17</v>
      </c>
      <c r="H1923" s="1" t="str">
        <f>"66"</f>
        <v>66</v>
      </c>
      <c r="I1923" s="1" t="str">
        <f>"159.62"</f>
        <v>159.62</v>
      </c>
      <c r="J1923" s="1" t="str">
        <f t="shared" ref="J1923:J1930" si="1294">"0"</f>
        <v>0</v>
      </c>
      <c r="K1923" s="1" t="str">
        <f t="shared" ref="K1923:K1930" si="1295">"103"</f>
        <v>103</v>
      </c>
      <c r="L1923" s="1" t="str">
        <f t="shared" ref="L1923:L1930" si="1296">"47"</f>
        <v>47</v>
      </c>
      <c r="M1923" s="1" t="str">
        <f t="shared" si="1290"/>
        <v>0</v>
      </c>
      <c r="N1923" s="1" t="str">
        <f t="shared" si="1291"/>
        <v>0</v>
      </c>
      <c r="O1923" s="1" t="str">
        <f>"9.62"</f>
        <v>9.62</v>
      </c>
    </row>
    <row r="1924" s="1" customFormat="1" spans="1:15">
      <c r="A1924" s="1" t="str">
        <f t="shared" si="1292"/>
        <v>202406</v>
      </c>
      <c r="B1924" s="1" t="str">
        <f t="shared" si="1293"/>
        <v>150525100</v>
      </c>
      <c r="C1924" s="1" t="str">
        <f>"1040687890"</f>
        <v>1040687890</v>
      </c>
      <c r="D1924" s="1" t="str">
        <f>"152326196106210420"</f>
        <v>152326196106210420</v>
      </c>
      <c r="E1924" s="1" t="s">
        <v>1999</v>
      </c>
      <c r="F1924" s="1" t="s">
        <v>16</v>
      </c>
      <c r="G1924" s="1" t="s">
        <v>17</v>
      </c>
      <c r="H1924" s="1" t="str">
        <f>"63"</f>
        <v>63</v>
      </c>
      <c r="I1924" s="1" t="str">
        <f>"160.12"</f>
        <v>160.12</v>
      </c>
      <c r="J1924" s="1" t="str">
        <f t="shared" si="1294"/>
        <v>0</v>
      </c>
      <c r="K1924" s="1" t="str">
        <f t="shared" si="1295"/>
        <v>103</v>
      </c>
      <c r="L1924" s="1" t="str">
        <f t="shared" si="1296"/>
        <v>47</v>
      </c>
      <c r="M1924" s="1" t="str">
        <f t="shared" si="1290"/>
        <v>0</v>
      </c>
      <c r="N1924" s="1" t="str">
        <f t="shared" si="1291"/>
        <v>0</v>
      </c>
      <c r="O1924" s="1" t="str">
        <f>"10.12"</f>
        <v>10.12</v>
      </c>
    </row>
    <row r="1925" s="1" customFormat="1" spans="1:15">
      <c r="A1925" s="1" t="str">
        <f t="shared" si="1292"/>
        <v>202406</v>
      </c>
      <c r="B1925" s="1" t="str">
        <f t="shared" si="1293"/>
        <v>150525100</v>
      </c>
      <c r="C1925" s="1" t="str">
        <f>"1040653679"</f>
        <v>1040653679</v>
      </c>
      <c r="D1925" s="1" t="str">
        <f>"152326195605273085"</f>
        <v>152326195605273085</v>
      </c>
      <c r="E1925" s="1" t="s">
        <v>2000</v>
      </c>
      <c r="F1925" s="1" t="s">
        <v>16</v>
      </c>
      <c r="G1925" s="1" t="s">
        <v>19</v>
      </c>
      <c r="H1925" s="1" t="str">
        <f>"68"</f>
        <v>68</v>
      </c>
      <c r="I1925" s="1" t="str">
        <f>"155.43"</f>
        <v>155.43</v>
      </c>
      <c r="J1925" s="1" t="str">
        <f t="shared" si="1294"/>
        <v>0</v>
      </c>
      <c r="K1925" s="1" t="str">
        <f t="shared" si="1295"/>
        <v>103</v>
      </c>
      <c r="L1925" s="1" t="str">
        <f t="shared" si="1296"/>
        <v>47</v>
      </c>
      <c r="M1925" s="1" t="str">
        <f t="shared" si="1290"/>
        <v>0</v>
      </c>
      <c r="N1925" s="1" t="str">
        <f t="shared" si="1291"/>
        <v>0</v>
      </c>
      <c r="O1925" s="1" t="str">
        <f>"5.43"</f>
        <v>5.43</v>
      </c>
    </row>
    <row r="1926" s="1" customFormat="1" spans="1:15">
      <c r="A1926" s="1" t="str">
        <f t="shared" si="1292"/>
        <v>202406</v>
      </c>
      <c r="B1926" s="1" t="str">
        <f t="shared" si="1293"/>
        <v>150525100</v>
      </c>
      <c r="C1926" s="1" t="str">
        <f>"1040653684"</f>
        <v>1040653684</v>
      </c>
      <c r="D1926" s="1" t="s">
        <v>2001</v>
      </c>
      <c r="E1926" s="1" t="s">
        <v>2002</v>
      </c>
      <c r="F1926" s="1" t="s">
        <v>25</v>
      </c>
      <c r="G1926" s="1" t="s">
        <v>19</v>
      </c>
      <c r="H1926" s="1" t="str">
        <f>"65"</f>
        <v>65</v>
      </c>
      <c r="I1926" s="1" t="str">
        <f>"157.74"</f>
        <v>157.74</v>
      </c>
      <c r="J1926" s="1" t="str">
        <f t="shared" si="1294"/>
        <v>0</v>
      </c>
      <c r="K1926" s="1" t="str">
        <f t="shared" si="1295"/>
        <v>103</v>
      </c>
      <c r="L1926" s="1" t="str">
        <f t="shared" si="1296"/>
        <v>47</v>
      </c>
      <c r="M1926" s="1" t="str">
        <f t="shared" si="1290"/>
        <v>0</v>
      </c>
      <c r="N1926" s="1" t="str">
        <f t="shared" si="1291"/>
        <v>0</v>
      </c>
      <c r="O1926" s="1" t="str">
        <f>"7.74"</f>
        <v>7.74</v>
      </c>
    </row>
    <row r="1927" s="1" customFormat="1" spans="1:15">
      <c r="A1927" s="1" t="str">
        <f t="shared" si="1292"/>
        <v>202406</v>
      </c>
      <c r="B1927" s="1" t="str">
        <f t="shared" si="1293"/>
        <v>150525100</v>
      </c>
      <c r="C1927" s="1" t="str">
        <f>"1040653689"</f>
        <v>1040653689</v>
      </c>
      <c r="D1927" s="1" t="str">
        <f>"152326196110053106"</f>
        <v>152326196110053106</v>
      </c>
      <c r="E1927" s="1" t="s">
        <v>2003</v>
      </c>
      <c r="F1927" s="1" t="s">
        <v>16</v>
      </c>
      <c r="G1927" s="1" t="s">
        <v>19</v>
      </c>
      <c r="H1927" s="1" t="str">
        <f>"63"</f>
        <v>63</v>
      </c>
      <c r="I1927" s="1" t="str">
        <f>"160.74"</f>
        <v>160.74</v>
      </c>
      <c r="J1927" s="1" t="str">
        <f t="shared" si="1294"/>
        <v>0</v>
      </c>
      <c r="K1927" s="1" t="str">
        <f t="shared" si="1295"/>
        <v>103</v>
      </c>
      <c r="L1927" s="1" t="str">
        <f t="shared" si="1296"/>
        <v>47</v>
      </c>
      <c r="M1927" s="1" t="str">
        <f t="shared" si="1290"/>
        <v>0</v>
      </c>
      <c r="N1927" s="1" t="str">
        <f t="shared" si="1291"/>
        <v>0</v>
      </c>
      <c r="O1927" s="1" t="str">
        <f>"10.74"</f>
        <v>10.74</v>
      </c>
    </row>
    <row r="1928" s="1" customFormat="1" spans="1:15">
      <c r="A1928" s="1" t="str">
        <f t="shared" si="1292"/>
        <v>202406</v>
      </c>
      <c r="B1928" s="1" t="str">
        <f t="shared" si="1293"/>
        <v>150525100</v>
      </c>
      <c r="C1928" s="1" t="str">
        <f>"1040687898"</f>
        <v>1040687898</v>
      </c>
      <c r="D1928" s="1" t="s">
        <v>2004</v>
      </c>
      <c r="E1928" s="1" t="s">
        <v>2005</v>
      </c>
      <c r="F1928" s="1" t="s">
        <v>16</v>
      </c>
      <c r="G1928" s="1" t="s">
        <v>17</v>
      </c>
      <c r="H1928" s="1" t="str">
        <f>"60"</f>
        <v>60</v>
      </c>
      <c r="I1928" s="1" t="str">
        <f>"165.87"</f>
        <v>165.87</v>
      </c>
      <c r="J1928" s="1" t="str">
        <f t="shared" si="1294"/>
        <v>0</v>
      </c>
      <c r="K1928" s="1" t="str">
        <f t="shared" si="1295"/>
        <v>103</v>
      </c>
      <c r="L1928" s="1" t="str">
        <f t="shared" si="1296"/>
        <v>47</v>
      </c>
      <c r="M1928" s="1" t="str">
        <f t="shared" si="1290"/>
        <v>0</v>
      </c>
      <c r="N1928" s="1" t="str">
        <f t="shared" si="1291"/>
        <v>0</v>
      </c>
      <c r="O1928" s="1" t="str">
        <f>"15.87"</f>
        <v>15.87</v>
      </c>
    </row>
    <row r="1929" s="1" customFormat="1" spans="1:15">
      <c r="A1929" s="1" t="str">
        <f t="shared" si="1292"/>
        <v>202406</v>
      </c>
      <c r="B1929" s="1" t="str">
        <f t="shared" si="1293"/>
        <v>150525100</v>
      </c>
      <c r="C1929" s="1" t="str">
        <f>"1040729120"</f>
        <v>1040729120</v>
      </c>
      <c r="D1929" s="1" t="str">
        <f>"152326196312253819"</f>
        <v>152326196312253819</v>
      </c>
      <c r="E1929" s="1" t="s">
        <v>2006</v>
      </c>
      <c r="F1929" s="1" t="s">
        <v>25</v>
      </c>
      <c r="G1929" s="1" t="s">
        <v>17</v>
      </c>
      <c r="H1929" s="1" t="str">
        <f>"61"</f>
        <v>61</v>
      </c>
      <c r="I1929" s="1" t="str">
        <f>"164.46"</f>
        <v>164.46</v>
      </c>
      <c r="J1929" s="1" t="str">
        <f t="shared" si="1294"/>
        <v>0</v>
      </c>
      <c r="K1929" s="1" t="str">
        <f t="shared" si="1295"/>
        <v>103</v>
      </c>
      <c r="L1929" s="1" t="str">
        <f t="shared" si="1296"/>
        <v>47</v>
      </c>
      <c r="M1929" s="1" t="str">
        <f t="shared" si="1290"/>
        <v>0</v>
      </c>
      <c r="N1929" s="1" t="str">
        <f t="shared" si="1291"/>
        <v>0</v>
      </c>
      <c r="O1929" s="1" t="str">
        <f>"14.46"</f>
        <v>14.46</v>
      </c>
    </row>
    <row r="1930" s="1" customFormat="1" spans="1:15">
      <c r="A1930" s="1" t="str">
        <f t="shared" si="1292"/>
        <v>202406</v>
      </c>
      <c r="B1930" s="1" t="str">
        <f t="shared" si="1293"/>
        <v>150525100</v>
      </c>
      <c r="C1930" s="1" t="str">
        <f>"1040688112"</f>
        <v>1040688112</v>
      </c>
      <c r="D1930" s="1" t="str">
        <f>"152326196211130422"</f>
        <v>152326196211130422</v>
      </c>
      <c r="E1930" s="1" t="s">
        <v>2007</v>
      </c>
      <c r="F1930" s="1" t="s">
        <v>16</v>
      </c>
      <c r="G1930" s="1" t="s">
        <v>17</v>
      </c>
      <c r="H1930" s="1" t="str">
        <f t="shared" ref="H1930:H1935" si="1297">"62"</f>
        <v>62</v>
      </c>
      <c r="I1930" s="1" t="str">
        <f>"169.78"</f>
        <v>169.78</v>
      </c>
      <c r="J1930" s="1" t="str">
        <f t="shared" si="1294"/>
        <v>0</v>
      </c>
      <c r="K1930" s="1" t="str">
        <f t="shared" si="1295"/>
        <v>103</v>
      </c>
      <c r="L1930" s="1" t="str">
        <f t="shared" si="1296"/>
        <v>47</v>
      </c>
      <c r="M1930" s="1" t="str">
        <f t="shared" si="1290"/>
        <v>0</v>
      </c>
      <c r="N1930" s="1" t="str">
        <f t="shared" si="1291"/>
        <v>0</v>
      </c>
      <c r="O1930" s="1" t="str">
        <f>"19.78"</f>
        <v>19.78</v>
      </c>
    </row>
    <row r="1931" s="1" customFormat="1" spans="1:15">
      <c r="A1931" s="1" t="str">
        <f t="shared" si="1292"/>
        <v>202406</v>
      </c>
      <c r="B1931" s="1" t="str">
        <f t="shared" si="1293"/>
        <v>150525100</v>
      </c>
      <c r="C1931" s="1" t="str">
        <f>"1040688155"</f>
        <v>1040688155</v>
      </c>
      <c r="D1931" s="1" t="str">
        <f>"152326195409090433"</f>
        <v>152326195409090433</v>
      </c>
      <c r="E1931" s="1" t="s">
        <v>2008</v>
      </c>
      <c r="F1931" s="1" t="s">
        <v>25</v>
      </c>
      <c r="G1931" s="1" t="s">
        <v>17</v>
      </c>
      <c r="H1931" s="1" t="str">
        <f>"70"</f>
        <v>70</v>
      </c>
      <c r="I1931" s="1" t="str">
        <f>"2344.88"</f>
        <v>2344.88</v>
      </c>
      <c r="J1931" s="1" t="str">
        <f>"2164.12"</f>
        <v>2164.12</v>
      </c>
      <c r="K1931" s="1" t="str">
        <f>"1334"</f>
        <v>1334</v>
      </c>
      <c r="L1931" s="1" t="str">
        <f>"611"</f>
        <v>611</v>
      </c>
      <c r="M1931" s="1" t="str">
        <f t="shared" si="1290"/>
        <v>0</v>
      </c>
      <c r="N1931" s="1" t="str">
        <f t="shared" si="1291"/>
        <v>0</v>
      </c>
      <c r="O1931" s="1" t="str">
        <f>"399.88"</f>
        <v>399.88</v>
      </c>
    </row>
    <row r="1932" s="1" customFormat="1" spans="1:15">
      <c r="A1932" s="1" t="str">
        <f t="shared" si="1292"/>
        <v>202406</v>
      </c>
      <c r="B1932" s="1" t="str">
        <f t="shared" si="1293"/>
        <v>150525100</v>
      </c>
      <c r="C1932" s="1" t="str">
        <f>"1040688177"</f>
        <v>1040688177</v>
      </c>
      <c r="D1932" s="1" t="str">
        <f>"152326196206040019"</f>
        <v>152326196206040019</v>
      </c>
      <c r="E1932" s="1" t="s">
        <v>2009</v>
      </c>
      <c r="F1932" s="1" t="s">
        <v>25</v>
      </c>
      <c r="G1932" s="1" t="s">
        <v>17</v>
      </c>
      <c r="H1932" s="1" t="str">
        <f t="shared" si="1297"/>
        <v>62</v>
      </c>
      <c r="I1932" s="1" t="str">
        <f>"162.04"</f>
        <v>162.04</v>
      </c>
      <c r="J1932" s="1" t="str">
        <f t="shared" ref="J1932:J1948" si="1298">"0"</f>
        <v>0</v>
      </c>
      <c r="K1932" s="1" t="str">
        <f t="shared" ref="K1932:K1948" si="1299">"103"</f>
        <v>103</v>
      </c>
      <c r="L1932" s="1" t="str">
        <f t="shared" ref="L1932:L1948" si="1300">"47"</f>
        <v>47</v>
      </c>
      <c r="M1932" s="1" t="str">
        <f t="shared" si="1290"/>
        <v>0</v>
      </c>
      <c r="N1932" s="1" t="str">
        <f t="shared" si="1291"/>
        <v>0</v>
      </c>
      <c r="O1932" s="1" t="str">
        <f>"12.04"</f>
        <v>12.04</v>
      </c>
    </row>
    <row r="1933" s="1" customFormat="1" spans="1:15">
      <c r="A1933" s="1" t="str">
        <f t="shared" si="1292"/>
        <v>202406</v>
      </c>
      <c r="B1933" s="1" t="str">
        <f t="shared" si="1293"/>
        <v>150525100</v>
      </c>
      <c r="C1933" s="1" t="str">
        <f>"1040688180"</f>
        <v>1040688180</v>
      </c>
      <c r="D1933" s="1" t="str">
        <f>"152326196111240042"</f>
        <v>152326196111240042</v>
      </c>
      <c r="E1933" s="1" t="s">
        <v>2010</v>
      </c>
      <c r="F1933" s="1" t="s">
        <v>16</v>
      </c>
      <c r="G1933" s="1" t="s">
        <v>17</v>
      </c>
      <c r="H1933" s="1" t="str">
        <f>"63"</f>
        <v>63</v>
      </c>
      <c r="I1933" s="1" t="str">
        <f>"161.91"</f>
        <v>161.91</v>
      </c>
      <c r="J1933" s="1" t="str">
        <f t="shared" si="1298"/>
        <v>0</v>
      </c>
      <c r="K1933" s="1" t="str">
        <f t="shared" si="1299"/>
        <v>103</v>
      </c>
      <c r="L1933" s="1" t="str">
        <f t="shared" si="1300"/>
        <v>47</v>
      </c>
      <c r="M1933" s="1" t="str">
        <f t="shared" si="1290"/>
        <v>0</v>
      </c>
      <c r="N1933" s="1" t="str">
        <f t="shared" si="1291"/>
        <v>0</v>
      </c>
      <c r="O1933" s="1" t="str">
        <f>"11.91"</f>
        <v>11.91</v>
      </c>
    </row>
    <row r="1934" s="1" customFormat="1" spans="1:15">
      <c r="A1934" s="1" t="str">
        <f t="shared" si="1292"/>
        <v>202406</v>
      </c>
      <c r="B1934" s="1" t="str">
        <f t="shared" si="1293"/>
        <v>150525100</v>
      </c>
      <c r="C1934" s="1" t="str">
        <f>"1040688211"</f>
        <v>1040688211</v>
      </c>
      <c r="D1934" s="1" t="str">
        <f>"152326195602180027"</f>
        <v>152326195602180027</v>
      </c>
      <c r="E1934" s="1" t="s">
        <v>2011</v>
      </c>
      <c r="F1934" s="1" t="s">
        <v>16</v>
      </c>
      <c r="G1934" s="1" t="s">
        <v>17</v>
      </c>
      <c r="H1934" s="1" t="str">
        <f>"68"</f>
        <v>68</v>
      </c>
      <c r="I1934" s="1" t="str">
        <f>"155.12"</f>
        <v>155.12</v>
      </c>
      <c r="J1934" s="1" t="str">
        <f t="shared" si="1298"/>
        <v>0</v>
      </c>
      <c r="K1934" s="1" t="str">
        <f t="shared" si="1299"/>
        <v>103</v>
      </c>
      <c r="L1934" s="1" t="str">
        <f t="shared" si="1300"/>
        <v>47</v>
      </c>
      <c r="M1934" s="1" t="str">
        <f t="shared" si="1290"/>
        <v>0</v>
      </c>
      <c r="N1934" s="1" t="str">
        <f t="shared" si="1291"/>
        <v>0</v>
      </c>
      <c r="O1934" s="1" t="str">
        <f>"5.12"</f>
        <v>5.12</v>
      </c>
    </row>
    <row r="1935" s="1" customFormat="1" spans="1:15">
      <c r="A1935" s="1" t="str">
        <f t="shared" si="1292"/>
        <v>202406</v>
      </c>
      <c r="B1935" s="1" t="str">
        <f t="shared" si="1293"/>
        <v>150525100</v>
      </c>
      <c r="C1935" s="1" t="str">
        <f>"1040688225"</f>
        <v>1040688225</v>
      </c>
      <c r="D1935" s="1" t="str">
        <f>"152326196203130027"</f>
        <v>152326196203130027</v>
      </c>
      <c r="E1935" s="1" t="s">
        <v>2012</v>
      </c>
      <c r="F1935" s="1" t="s">
        <v>16</v>
      </c>
      <c r="G1935" s="1" t="s">
        <v>17</v>
      </c>
      <c r="H1935" s="1" t="str">
        <f t="shared" si="1297"/>
        <v>62</v>
      </c>
      <c r="I1935" s="1" t="str">
        <f>"161.96"</f>
        <v>161.96</v>
      </c>
      <c r="J1935" s="1" t="str">
        <f t="shared" si="1298"/>
        <v>0</v>
      </c>
      <c r="K1935" s="1" t="str">
        <f t="shared" si="1299"/>
        <v>103</v>
      </c>
      <c r="L1935" s="1" t="str">
        <f t="shared" si="1300"/>
        <v>47</v>
      </c>
      <c r="M1935" s="1" t="str">
        <f t="shared" si="1290"/>
        <v>0</v>
      </c>
      <c r="N1935" s="1" t="str">
        <f t="shared" si="1291"/>
        <v>0</v>
      </c>
      <c r="O1935" s="1" t="str">
        <f>"11.96"</f>
        <v>11.96</v>
      </c>
    </row>
    <row r="1936" s="1" customFormat="1" spans="1:15">
      <c r="A1936" s="1" t="str">
        <f t="shared" si="1292"/>
        <v>202406</v>
      </c>
      <c r="B1936" s="1" t="str">
        <f t="shared" si="1293"/>
        <v>150525100</v>
      </c>
      <c r="C1936" s="1" t="str">
        <f>"1040688226"</f>
        <v>1040688226</v>
      </c>
      <c r="D1936" s="1" t="str">
        <f>"152326195605060047"</f>
        <v>152326195605060047</v>
      </c>
      <c r="E1936" s="1" t="s">
        <v>2013</v>
      </c>
      <c r="F1936" s="1" t="s">
        <v>16</v>
      </c>
      <c r="G1936" s="1" t="s">
        <v>17</v>
      </c>
      <c r="H1936" s="1" t="str">
        <f>"68"</f>
        <v>68</v>
      </c>
      <c r="I1936" s="1" t="str">
        <f>"155.12"</f>
        <v>155.12</v>
      </c>
      <c r="J1936" s="1" t="str">
        <f t="shared" si="1298"/>
        <v>0</v>
      </c>
      <c r="K1936" s="1" t="str">
        <f t="shared" si="1299"/>
        <v>103</v>
      </c>
      <c r="L1936" s="1" t="str">
        <f t="shared" si="1300"/>
        <v>47</v>
      </c>
      <c r="M1936" s="1" t="str">
        <f t="shared" si="1290"/>
        <v>0</v>
      </c>
      <c r="N1936" s="1" t="str">
        <f t="shared" si="1291"/>
        <v>0</v>
      </c>
      <c r="O1936" s="1" t="str">
        <f>"5.12"</f>
        <v>5.12</v>
      </c>
    </row>
    <row r="1937" s="1" customFormat="1" spans="1:15">
      <c r="A1937" s="1" t="str">
        <f t="shared" si="1292"/>
        <v>202406</v>
      </c>
      <c r="B1937" s="1" t="str">
        <f t="shared" si="1293"/>
        <v>150525100</v>
      </c>
      <c r="C1937" s="1" t="str">
        <f>"1040935323"</f>
        <v>1040935323</v>
      </c>
      <c r="D1937" s="1" t="str">
        <f>"152326195506230020"</f>
        <v>152326195506230020</v>
      </c>
      <c r="E1937" s="1" t="s">
        <v>235</v>
      </c>
      <c r="F1937" s="1" t="s">
        <v>16</v>
      </c>
      <c r="G1937" s="1" t="s">
        <v>17</v>
      </c>
      <c r="H1937" s="1" t="str">
        <f>"69"</f>
        <v>69</v>
      </c>
      <c r="I1937" s="1" t="str">
        <f>"153.6"</f>
        <v>153.6</v>
      </c>
      <c r="J1937" s="1" t="str">
        <f t="shared" si="1298"/>
        <v>0</v>
      </c>
      <c r="K1937" s="1" t="str">
        <f t="shared" si="1299"/>
        <v>103</v>
      </c>
      <c r="L1937" s="1" t="str">
        <f t="shared" si="1300"/>
        <v>47</v>
      </c>
      <c r="M1937" s="1" t="str">
        <f t="shared" si="1290"/>
        <v>0</v>
      </c>
      <c r="N1937" s="1" t="str">
        <f t="shared" si="1291"/>
        <v>0</v>
      </c>
      <c r="O1937" s="1" t="str">
        <f>"3.6"</f>
        <v>3.6</v>
      </c>
    </row>
    <row r="1938" s="1" customFormat="1" spans="1:15">
      <c r="A1938" s="1" t="str">
        <f t="shared" si="1292"/>
        <v>202406</v>
      </c>
      <c r="B1938" s="1" t="str">
        <f t="shared" si="1293"/>
        <v>150525100</v>
      </c>
      <c r="C1938" s="1" t="str">
        <f>"1040935381"</f>
        <v>1040935381</v>
      </c>
      <c r="D1938" s="1" t="str">
        <f>"152326195707110017"</f>
        <v>152326195707110017</v>
      </c>
      <c r="E1938" s="1" t="s">
        <v>2014</v>
      </c>
      <c r="F1938" s="1" t="s">
        <v>25</v>
      </c>
      <c r="G1938" s="1" t="s">
        <v>17</v>
      </c>
      <c r="H1938" s="1" t="str">
        <f>"67"</f>
        <v>67</v>
      </c>
      <c r="I1938" s="1" t="str">
        <f>"155.48"</f>
        <v>155.48</v>
      </c>
      <c r="J1938" s="1" t="str">
        <f t="shared" si="1298"/>
        <v>0</v>
      </c>
      <c r="K1938" s="1" t="str">
        <f t="shared" si="1299"/>
        <v>103</v>
      </c>
      <c r="L1938" s="1" t="str">
        <f t="shared" si="1300"/>
        <v>47</v>
      </c>
      <c r="M1938" s="1" t="str">
        <f t="shared" si="1290"/>
        <v>0</v>
      </c>
      <c r="N1938" s="1" t="str">
        <f t="shared" si="1291"/>
        <v>0</v>
      </c>
      <c r="O1938" s="1" t="str">
        <f>"5.48"</f>
        <v>5.48</v>
      </c>
    </row>
    <row r="1939" s="1" customFormat="1" spans="1:15">
      <c r="A1939" s="1" t="str">
        <f t="shared" si="1292"/>
        <v>202406</v>
      </c>
      <c r="B1939" s="1" t="str">
        <f t="shared" si="1293"/>
        <v>150525100</v>
      </c>
      <c r="C1939" s="1" t="str">
        <f>"1040935393"</f>
        <v>1040935393</v>
      </c>
      <c r="D1939" s="1" t="str">
        <f>"152326195902040018"</f>
        <v>152326195902040018</v>
      </c>
      <c r="E1939" s="1" t="s">
        <v>2015</v>
      </c>
      <c r="F1939" s="1" t="s">
        <v>25</v>
      </c>
      <c r="G1939" s="1" t="s">
        <v>17</v>
      </c>
      <c r="H1939" s="1" t="str">
        <f>"65"</f>
        <v>65</v>
      </c>
      <c r="I1939" s="1" t="str">
        <f>"215.1"</f>
        <v>215.1</v>
      </c>
      <c r="J1939" s="1" t="str">
        <f t="shared" si="1298"/>
        <v>0</v>
      </c>
      <c r="K1939" s="1" t="str">
        <f t="shared" si="1299"/>
        <v>103</v>
      </c>
      <c r="L1939" s="1" t="str">
        <f t="shared" si="1300"/>
        <v>47</v>
      </c>
      <c r="M1939" s="1" t="str">
        <f t="shared" si="1290"/>
        <v>0</v>
      </c>
      <c r="N1939" s="1" t="str">
        <f t="shared" si="1291"/>
        <v>0</v>
      </c>
      <c r="O1939" s="1" t="str">
        <f>"65.1"</f>
        <v>65.1</v>
      </c>
    </row>
    <row r="1940" s="1" customFormat="1" spans="1:15">
      <c r="A1940" s="1" t="str">
        <f t="shared" si="1292"/>
        <v>202406</v>
      </c>
      <c r="B1940" s="1" t="str">
        <f t="shared" si="1293"/>
        <v>150525100</v>
      </c>
      <c r="C1940" s="1" t="str">
        <f>"1040935500"</f>
        <v>1040935500</v>
      </c>
      <c r="D1940" s="1" t="str">
        <f>"152326195611233311"</f>
        <v>152326195611233311</v>
      </c>
      <c r="E1940" s="1" t="s">
        <v>2016</v>
      </c>
      <c r="F1940" s="1" t="s">
        <v>25</v>
      </c>
      <c r="G1940" s="1" t="s">
        <v>17</v>
      </c>
      <c r="H1940" s="1" t="str">
        <f>"68"</f>
        <v>68</v>
      </c>
      <c r="I1940" s="1" t="str">
        <f>"154.55"</f>
        <v>154.55</v>
      </c>
      <c r="J1940" s="1" t="str">
        <f t="shared" si="1298"/>
        <v>0</v>
      </c>
      <c r="K1940" s="1" t="str">
        <f t="shared" si="1299"/>
        <v>103</v>
      </c>
      <c r="L1940" s="1" t="str">
        <f t="shared" si="1300"/>
        <v>47</v>
      </c>
      <c r="M1940" s="1" t="str">
        <f t="shared" si="1290"/>
        <v>0</v>
      </c>
      <c r="N1940" s="1" t="str">
        <f t="shared" si="1291"/>
        <v>0</v>
      </c>
      <c r="O1940" s="1" t="str">
        <f>"4.55"</f>
        <v>4.55</v>
      </c>
    </row>
    <row r="1941" s="1" customFormat="1" spans="1:15">
      <c r="A1941" s="1" t="str">
        <f t="shared" si="1292"/>
        <v>202406</v>
      </c>
      <c r="B1941" s="1" t="str">
        <f t="shared" si="1293"/>
        <v>150525100</v>
      </c>
      <c r="C1941" s="1" t="str">
        <f>"1040910900"</f>
        <v>1040910900</v>
      </c>
      <c r="D1941" s="1" t="str">
        <f>"152326196303253315"</f>
        <v>152326196303253315</v>
      </c>
      <c r="E1941" s="1" t="s">
        <v>2017</v>
      </c>
      <c r="F1941" s="1" t="s">
        <v>25</v>
      </c>
      <c r="G1941" s="1" t="s">
        <v>17</v>
      </c>
      <c r="H1941" s="1" t="str">
        <f t="shared" ref="H1941:H1945" si="1301">"61"</f>
        <v>61</v>
      </c>
      <c r="I1941" s="1" t="str">
        <f>"163.01"</f>
        <v>163.01</v>
      </c>
      <c r="J1941" s="1" t="str">
        <f t="shared" si="1298"/>
        <v>0</v>
      </c>
      <c r="K1941" s="1" t="str">
        <f t="shared" si="1299"/>
        <v>103</v>
      </c>
      <c r="L1941" s="1" t="str">
        <f t="shared" si="1300"/>
        <v>47</v>
      </c>
      <c r="M1941" s="1" t="str">
        <f t="shared" si="1290"/>
        <v>0</v>
      </c>
      <c r="N1941" s="1" t="str">
        <f t="shared" si="1291"/>
        <v>0</v>
      </c>
      <c r="O1941" s="1" t="str">
        <f>"13.01"</f>
        <v>13.01</v>
      </c>
    </row>
    <row r="1942" s="1" customFormat="1" spans="1:15">
      <c r="A1942" s="1" t="str">
        <f t="shared" si="1292"/>
        <v>202406</v>
      </c>
      <c r="B1942" s="1" t="str">
        <f t="shared" si="1293"/>
        <v>150525100</v>
      </c>
      <c r="C1942" s="1" t="str">
        <f>"1040906650"</f>
        <v>1040906650</v>
      </c>
      <c r="D1942" s="1" t="str">
        <f>"152326196203133324"</f>
        <v>152326196203133324</v>
      </c>
      <c r="E1942" s="1" t="s">
        <v>77</v>
      </c>
      <c r="F1942" s="1" t="s">
        <v>16</v>
      </c>
      <c r="G1942" s="1" t="s">
        <v>17</v>
      </c>
      <c r="H1942" s="1" t="str">
        <f>"62"</f>
        <v>62</v>
      </c>
      <c r="I1942" s="1" t="str">
        <f>"161.05"</f>
        <v>161.05</v>
      </c>
      <c r="J1942" s="1" t="str">
        <f t="shared" si="1298"/>
        <v>0</v>
      </c>
      <c r="K1942" s="1" t="str">
        <f t="shared" si="1299"/>
        <v>103</v>
      </c>
      <c r="L1942" s="1" t="str">
        <f t="shared" si="1300"/>
        <v>47</v>
      </c>
      <c r="M1942" s="1" t="str">
        <f t="shared" si="1290"/>
        <v>0</v>
      </c>
      <c r="N1942" s="1" t="str">
        <f t="shared" si="1291"/>
        <v>0</v>
      </c>
      <c r="O1942" s="1" t="str">
        <f>"11.05"</f>
        <v>11.05</v>
      </c>
    </row>
    <row r="1943" s="1" customFormat="1" spans="1:15">
      <c r="A1943" s="1" t="str">
        <f t="shared" si="1292"/>
        <v>202406</v>
      </c>
      <c r="B1943" s="1" t="str">
        <f t="shared" si="1293"/>
        <v>150525100</v>
      </c>
      <c r="C1943" s="1" t="str">
        <f>"1040934618"</f>
        <v>1040934618</v>
      </c>
      <c r="D1943" s="1" t="str">
        <f>"152326195410173084"</f>
        <v>152326195410173084</v>
      </c>
      <c r="E1943" s="1" t="s">
        <v>2018</v>
      </c>
      <c r="F1943" s="1" t="s">
        <v>16</v>
      </c>
      <c r="G1943" s="1" t="s">
        <v>19</v>
      </c>
      <c r="H1943" s="1" t="str">
        <f>"70"</f>
        <v>70</v>
      </c>
      <c r="I1943" s="1" t="str">
        <f>"152.88"</f>
        <v>152.88</v>
      </c>
      <c r="J1943" s="1" t="str">
        <f t="shared" si="1298"/>
        <v>0</v>
      </c>
      <c r="K1943" s="1" t="str">
        <f t="shared" si="1299"/>
        <v>103</v>
      </c>
      <c r="L1943" s="1" t="str">
        <f t="shared" si="1300"/>
        <v>47</v>
      </c>
      <c r="M1943" s="1" t="str">
        <f t="shared" si="1290"/>
        <v>0</v>
      </c>
      <c r="N1943" s="1" t="str">
        <f t="shared" si="1291"/>
        <v>0</v>
      </c>
      <c r="O1943" s="1" t="str">
        <f>"2.88"</f>
        <v>2.88</v>
      </c>
    </row>
    <row r="1944" s="1" customFormat="1" spans="1:15">
      <c r="A1944" s="1" t="str">
        <f t="shared" si="1292"/>
        <v>202406</v>
      </c>
      <c r="B1944" s="1" t="str">
        <f t="shared" si="1293"/>
        <v>150525100</v>
      </c>
      <c r="C1944" s="1" t="str">
        <f>"1040938648"</f>
        <v>1040938648</v>
      </c>
      <c r="D1944" s="1" t="str">
        <f>"152326196304043846"</f>
        <v>152326196304043846</v>
      </c>
      <c r="E1944" s="1" t="s">
        <v>2019</v>
      </c>
      <c r="F1944" s="1" t="s">
        <v>16</v>
      </c>
      <c r="G1944" s="1" t="s">
        <v>17</v>
      </c>
      <c r="H1944" s="1" t="str">
        <f t="shared" si="1301"/>
        <v>61</v>
      </c>
      <c r="I1944" s="1" t="str">
        <f>"162.81"</f>
        <v>162.81</v>
      </c>
      <c r="J1944" s="1" t="str">
        <f t="shared" si="1298"/>
        <v>0</v>
      </c>
      <c r="K1944" s="1" t="str">
        <f t="shared" si="1299"/>
        <v>103</v>
      </c>
      <c r="L1944" s="1" t="str">
        <f t="shared" si="1300"/>
        <v>47</v>
      </c>
      <c r="M1944" s="1" t="str">
        <f t="shared" si="1290"/>
        <v>0</v>
      </c>
      <c r="N1944" s="1" t="str">
        <f t="shared" si="1291"/>
        <v>0</v>
      </c>
      <c r="O1944" s="1" t="str">
        <f>"12.81"</f>
        <v>12.81</v>
      </c>
    </row>
    <row r="1945" s="1" customFormat="1" spans="1:15">
      <c r="A1945" s="1" t="str">
        <f t="shared" si="1292"/>
        <v>202406</v>
      </c>
      <c r="B1945" s="1" t="str">
        <f t="shared" si="1293"/>
        <v>150525100</v>
      </c>
      <c r="C1945" s="1" t="str">
        <f>"1040924314"</f>
        <v>1040924314</v>
      </c>
      <c r="D1945" s="1" t="str">
        <f>"152326196308013329"</f>
        <v>152326196308013329</v>
      </c>
      <c r="E1945" s="1" t="s">
        <v>2020</v>
      </c>
      <c r="F1945" s="1" t="s">
        <v>16</v>
      </c>
      <c r="G1945" s="1" t="s">
        <v>19</v>
      </c>
      <c r="H1945" s="1" t="str">
        <f t="shared" si="1301"/>
        <v>61</v>
      </c>
      <c r="I1945" s="1" t="str">
        <f>"163.07"</f>
        <v>163.07</v>
      </c>
      <c r="J1945" s="1" t="str">
        <f t="shared" si="1298"/>
        <v>0</v>
      </c>
      <c r="K1945" s="1" t="str">
        <f t="shared" si="1299"/>
        <v>103</v>
      </c>
      <c r="L1945" s="1" t="str">
        <f t="shared" si="1300"/>
        <v>47</v>
      </c>
      <c r="M1945" s="1" t="str">
        <f t="shared" si="1290"/>
        <v>0</v>
      </c>
      <c r="N1945" s="1" t="str">
        <f t="shared" si="1291"/>
        <v>0</v>
      </c>
      <c r="O1945" s="1" t="str">
        <f>"13.07"</f>
        <v>13.07</v>
      </c>
    </row>
    <row r="1946" s="1" customFormat="1" spans="1:15">
      <c r="A1946" s="1" t="str">
        <f t="shared" si="1292"/>
        <v>202406</v>
      </c>
      <c r="B1946" s="1" t="str">
        <f t="shared" si="1293"/>
        <v>150525100</v>
      </c>
      <c r="C1946" s="1" t="str">
        <f>"1040940165"</f>
        <v>1040940165</v>
      </c>
      <c r="D1946" s="1" t="str">
        <f>"152326196401083321"</f>
        <v>152326196401083321</v>
      </c>
      <c r="E1946" s="1" t="s">
        <v>2021</v>
      </c>
      <c r="F1946" s="1" t="s">
        <v>16</v>
      </c>
      <c r="G1946" s="1" t="s">
        <v>17</v>
      </c>
      <c r="H1946" s="1" t="str">
        <f>"60"</f>
        <v>60</v>
      </c>
      <c r="I1946" s="1" t="str">
        <f>"164.83"</f>
        <v>164.83</v>
      </c>
      <c r="J1946" s="1" t="str">
        <f t="shared" si="1298"/>
        <v>0</v>
      </c>
      <c r="K1946" s="1" t="str">
        <f t="shared" si="1299"/>
        <v>103</v>
      </c>
      <c r="L1946" s="1" t="str">
        <f t="shared" si="1300"/>
        <v>47</v>
      </c>
      <c r="M1946" s="1" t="str">
        <f t="shared" si="1290"/>
        <v>0</v>
      </c>
      <c r="N1946" s="1" t="str">
        <f t="shared" si="1291"/>
        <v>0</v>
      </c>
      <c r="O1946" s="1" t="str">
        <f>"14.83"</f>
        <v>14.83</v>
      </c>
    </row>
    <row r="1947" s="1" customFormat="1" spans="1:15">
      <c r="A1947" s="1" t="str">
        <f t="shared" si="1292"/>
        <v>202406</v>
      </c>
      <c r="B1947" s="1" t="str">
        <f t="shared" si="1293"/>
        <v>150525100</v>
      </c>
      <c r="C1947" s="1" t="str">
        <f>"1040983812"</f>
        <v>1040983812</v>
      </c>
      <c r="D1947" s="1" t="str">
        <f>"152326196111183092"</f>
        <v>152326196111183092</v>
      </c>
      <c r="E1947" s="1" t="s">
        <v>2022</v>
      </c>
      <c r="F1947" s="1" t="s">
        <v>25</v>
      </c>
      <c r="G1947" s="1" t="s">
        <v>17</v>
      </c>
      <c r="H1947" s="1" t="str">
        <f>"63"</f>
        <v>63</v>
      </c>
      <c r="I1947" s="1" t="str">
        <f>"159.25"</f>
        <v>159.25</v>
      </c>
      <c r="J1947" s="1" t="str">
        <f t="shared" si="1298"/>
        <v>0</v>
      </c>
      <c r="K1947" s="1" t="str">
        <f t="shared" si="1299"/>
        <v>103</v>
      </c>
      <c r="L1947" s="1" t="str">
        <f t="shared" si="1300"/>
        <v>47</v>
      </c>
      <c r="M1947" s="1" t="str">
        <f t="shared" si="1290"/>
        <v>0</v>
      </c>
      <c r="N1947" s="1" t="str">
        <f t="shared" si="1291"/>
        <v>0</v>
      </c>
      <c r="O1947" s="1" t="str">
        <f>"9.25"</f>
        <v>9.25</v>
      </c>
    </row>
    <row r="1948" s="1" customFormat="1" spans="1:15">
      <c r="A1948" s="1" t="str">
        <f t="shared" si="1292"/>
        <v>202406</v>
      </c>
      <c r="B1948" s="1" t="str">
        <f t="shared" si="1293"/>
        <v>150525100</v>
      </c>
      <c r="C1948" s="1" t="str">
        <f>"1040980044"</f>
        <v>1040980044</v>
      </c>
      <c r="D1948" s="1" t="str">
        <f>"152326195805113078"</f>
        <v>152326195805113078</v>
      </c>
      <c r="E1948" s="1" t="s">
        <v>2023</v>
      </c>
      <c r="F1948" s="1" t="s">
        <v>25</v>
      </c>
      <c r="G1948" s="1" t="s">
        <v>17</v>
      </c>
      <c r="H1948" s="1" t="str">
        <f t="shared" ref="H1948:H1952" si="1302">"66"</f>
        <v>66</v>
      </c>
      <c r="I1948" s="1" t="str">
        <f>"155.3"</f>
        <v>155.3</v>
      </c>
      <c r="J1948" s="1" t="str">
        <f t="shared" si="1298"/>
        <v>0</v>
      </c>
      <c r="K1948" s="1" t="str">
        <f t="shared" si="1299"/>
        <v>103</v>
      </c>
      <c r="L1948" s="1" t="str">
        <f t="shared" si="1300"/>
        <v>47</v>
      </c>
      <c r="M1948" s="1" t="str">
        <f t="shared" si="1290"/>
        <v>0</v>
      </c>
      <c r="N1948" s="1" t="str">
        <f t="shared" si="1291"/>
        <v>0</v>
      </c>
      <c r="O1948" s="1" t="str">
        <f>"5.3"</f>
        <v>5.3</v>
      </c>
    </row>
    <row r="1949" s="1" customFormat="1" spans="1:15">
      <c r="A1949" s="1" t="str">
        <f t="shared" si="1292"/>
        <v>202406</v>
      </c>
      <c r="B1949" s="1" t="str">
        <f t="shared" si="1293"/>
        <v>150525100</v>
      </c>
      <c r="C1949" s="1" t="str">
        <f>"1040991528"</f>
        <v>1040991528</v>
      </c>
      <c r="D1949" s="1" t="str">
        <f>"152326196209266371"</f>
        <v>152326196209266371</v>
      </c>
      <c r="E1949" s="1" t="s">
        <v>2024</v>
      </c>
      <c r="F1949" s="1" t="s">
        <v>25</v>
      </c>
      <c r="G1949" s="1" t="s">
        <v>17</v>
      </c>
      <c r="H1949" s="1" t="str">
        <f>"62"</f>
        <v>62</v>
      </c>
      <c r="I1949" s="1" t="str">
        <f>"1139.32"</f>
        <v>1139.32</v>
      </c>
      <c r="J1949" s="1" t="str">
        <f>"976.56"</f>
        <v>976.56</v>
      </c>
      <c r="K1949" s="1" t="str">
        <f>"721"</f>
        <v>721</v>
      </c>
      <c r="L1949" s="1" t="str">
        <f>"329"</f>
        <v>329</v>
      </c>
      <c r="M1949" s="1" t="str">
        <f t="shared" si="1290"/>
        <v>0</v>
      </c>
      <c r="N1949" s="1" t="str">
        <f t="shared" si="1291"/>
        <v>0</v>
      </c>
      <c r="O1949" s="1" t="str">
        <f>"89.32"</f>
        <v>89.32</v>
      </c>
    </row>
    <row r="1950" s="1" customFormat="1" spans="1:15">
      <c r="A1950" s="1" t="str">
        <f t="shared" si="1292"/>
        <v>202406</v>
      </c>
      <c r="B1950" s="1" t="str">
        <f t="shared" si="1293"/>
        <v>150525100</v>
      </c>
      <c r="C1950" s="1" t="str">
        <f>"1040953641"</f>
        <v>1040953641</v>
      </c>
      <c r="D1950" s="1" t="str">
        <f>"152326195805050927"</f>
        <v>152326195805050927</v>
      </c>
      <c r="E1950" s="1" t="s">
        <v>2025</v>
      </c>
      <c r="F1950" s="1" t="s">
        <v>16</v>
      </c>
      <c r="G1950" s="1" t="s">
        <v>19</v>
      </c>
      <c r="H1950" s="1" t="str">
        <f t="shared" si="1302"/>
        <v>66</v>
      </c>
      <c r="I1950" s="1" t="str">
        <f>"155.29"</f>
        <v>155.29</v>
      </c>
      <c r="J1950" s="1" t="str">
        <f t="shared" ref="J1950:J1958" si="1303">"0"</f>
        <v>0</v>
      </c>
      <c r="K1950" s="1" t="str">
        <f t="shared" ref="K1950:K1958" si="1304">"103"</f>
        <v>103</v>
      </c>
      <c r="L1950" s="1" t="str">
        <f t="shared" ref="L1950:L1958" si="1305">"47"</f>
        <v>47</v>
      </c>
      <c r="M1950" s="1" t="str">
        <f t="shared" si="1290"/>
        <v>0</v>
      </c>
      <c r="N1950" s="1" t="str">
        <f t="shared" si="1291"/>
        <v>0</v>
      </c>
      <c r="O1950" s="1" t="str">
        <f>"5.29"</f>
        <v>5.29</v>
      </c>
    </row>
    <row r="1951" s="1" customFormat="1" spans="1:15">
      <c r="A1951" s="1" t="str">
        <f t="shared" si="1292"/>
        <v>202406</v>
      </c>
      <c r="B1951" s="1" t="str">
        <f t="shared" si="1293"/>
        <v>150525100</v>
      </c>
      <c r="C1951" s="1" t="str">
        <f>"1040832568"</f>
        <v>1040832568</v>
      </c>
      <c r="D1951" s="1" t="str">
        <f>"152326194112270666"</f>
        <v>152326194112270666</v>
      </c>
      <c r="E1951" s="1" t="s">
        <v>2026</v>
      </c>
      <c r="F1951" s="1" t="s">
        <v>16</v>
      </c>
      <c r="G1951" s="1" t="s">
        <v>17</v>
      </c>
      <c r="H1951" s="1" t="str">
        <f>"83"</f>
        <v>83</v>
      </c>
      <c r="I1951" s="1" t="str">
        <f t="shared" ref="I1951:I1957" si="1306">"170"</f>
        <v>170</v>
      </c>
      <c r="J1951" s="1" t="str">
        <f t="shared" si="1303"/>
        <v>0</v>
      </c>
      <c r="K1951" s="1" t="str">
        <f t="shared" si="1304"/>
        <v>103</v>
      </c>
      <c r="L1951" s="1" t="str">
        <f t="shared" si="1305"/>
        <v>47</v>
      </c>
      <c r="M1951" s="1" t="str">
        <f t="shared" si="1290"/>
        <v>0</v>
      </c>
      <c r="N1951" s="1" t="str">
        <f t="shared" si="1291"/>
        <v>0</v>
      </c>
      <c r="O1951" s="1" t="str">
        <f t="shared" ref="O1951:O1966" si="1307">"0"</f>
        <v>0</v>
      </c>
    </row>
    <row r="1952" s="1" customFormat="1" spans="1:15">
      <c r="A1952" s="1" t="str">
        <f t="shared" si="1292"/>
        <v>202406</v>
      </c>
      <c r="B1952" s="1" t="str">
        <f t="shared" si="1293"/>
        <v>150525100</v>
      </c>
      <c r="C1952" s="1" t="str">
        <f>"1040953636"</f>
        <v>1040953636</v>
      </c>
      <c r="D1952" s="1" t="s">
        <v>2027</v>
      </c>
      <c r="E1952" s="1" t="s">
        <v>2028</v>
      </c>
      <c r="F1952" s="1" t="s">
        <v>16</v>
      </c>
      <c r="G1952" s="1" t="s">
        <v>19</v>
      </c>
      <c r="H1952" s="1" t="str">
        <f t="shared" si="1302"/>
        <v>66</v>
      </c>
      <c r="I1952" s="1" t="str">
        <f>"155.29"</f>
        <v>155.29</v>
      </c>
      <c r="J1952" s="1" t="str">
        <f t="shared" si="1303"/>
        <v>0</v>
      </c>
      <c r="K1952" s="1" t="str">
        <f t="shared" si="1304"/>
        <v>103</v>
      </c>
      <c r="L1952" s="1" t="str">
        <f t="shared" si="1305"/>
        <v>47</v>
      </c>
      <c r="M1952" s="1" t="str">
        <f t="shared" si="1290"/>
        <v>0</v>
      </c>
      <c r="N1952" s="1" t="str">
        <f t="shared" si="1291"/>
        <v>0</v>
      </c>
      <c r="O1952" s="1" t="str">
        <f>"5.29"</f>
        <v>5.29</v>
      </c>
    </row>
    <row r="1953" s="1" customFormat="1" spans="1:15">
      <c r="A1953" s="1" t="str">
        <f t="shared" si="1292"/>
        <v>202406</v>
      </c>
      <c r="B1953" s="1" t="str">
        <f t="shared" si="1293"/>
        <v>150525100</v>
      </c>
      <c r="C1953" s="1" t="str">
        <f>"1040832638"</f>
        <v>1040832638</v>
      </c>
      <c r="D1953" s="1" t="str">
        <f>"152326194011270034"</f>
        <v>152326194011270034</v>
      </c>
      <c r="E1953" s="1" t="s">
        <v>2029</v>
      </c>
      <c r="F1953" s="1" t="s">
        <v>25</v>
      </c>
      <c r="G1953" s="1" t="s">
        <v>17</v>
      </c>
      <c r="H1953" s="1" t="str">
        <f>"84"</f>
        <v>84</v>
      </c>
      <c r="I1953" s="1" t="str">
        <f t="shared" si="1306"/>
        <v>170</v>
      </c>
      <c r="J1953" s="1" t="str">
        <f t="shared" si="1303"/>
        <v>0</v>
      </c>
      <c r="K1953" s="1" t="str">
        <f t="shared" si="1304"/>
        <v>103</v>
      </c>
      <c r="L1953" s="1" t="str">
        <f t="shared" si="1305"/>
        <v>47</v>
      </c>
      <c r="M1953" s="1" t="str">
        <f t="shared" si="1290"/>
        <v>0</v>
      </c>
      <c r="N1953" s="1" t="str">
        <f t="shared" si="1291"/>
        <v>0</v>
      </c>
      <c r="O1953" s="1" t="str">
        <f t="shared" si="1307"/>
        <v>0</v>
      </c>
    </row>
    <row r="1954" s="1" customFormat="1" spans="1:15">
      <c r="A1954" s="1" t="str">
        <f t="shared" si="1292"/>
        <v>202406</v>
      </c>
      <c r="B1954" s="1" t="str">
        <f t="shared" si="1293"/>
        <v>150525100</v>
      </c>
      <c r="C1954" s="1" t="str">
        <f>"1040832646"</f>
        <v>1040832646</v>
      </c>
      <c r="D1954" s="1" t="str">
        <f>"152326194209082581"</f>
        <v>152326194209082581</v>
      </c>
      <c r="E1954" s="1" t="s">
        <v>2030</v>
      </c>
      <c r="F1954" s="1" t="s">
        <v>16</v>
      </c>
      <c r="G1954" s="1" t="s">
        <v>17</v>
      </c>
      <c r="H1954" s="1" t="str">
        <f t="shared" ref="H1954:H1956" si="1308">"82"</f>
        <v>82</v>
      </c>
      <c r="I1954" s="1" t="str">
        <f t="shared" si="1306"/>
        <v>170</v>
      </c>
      <c r="J1954" s="1" t="str">
        <f t="shared" si="1303"/>
        <v>0</v>
      </c>
      <c r="K1954" s="1" t="str">
        <f t="shared" si="1304"/>
        <v>103</v>
      </c>
      <c r="L1954" s="1" t="str">
        <f t="shared" si="1305"/>
        <v>47</v>
      </c>
      <c r="M1954" s="1" t="str">
        <f t="shared" si="1290"/>
        <v>0</v>
      </c>
      <c r="N1954" s="1" t="str">
        <f t="shared" si="1291"/>
        <v>0</v>
      </c>
      <c r="O1954" s="1" t="str">
        <f t="shared" si="1307"/>
        <v>0</v>
      </c>
    </row>
    <row r="1955" s="1" customFormat="1" spans="1:15">
      <c r="A1955" s="1" t="str">
        <f t="shared" si="1292"/>
        <v>202406</v>
      </c>
      <c r="B1955" s="1" t="str">
        <f t="shared" si="1293"/>
        <v>150525100</v>
      </c>
      <c r="C1955" s="1" t="str">
        <f>"1040832648"</f>
        <v>1040832648</v>
      </c>
      <c r="D1955" s="1" t="s">
        <v>2031</v>
      </c>
      <c r="E1955" s="1" t="s">
        <v>2032</v>
      </c>
      <c r="F1955" s="1" t="s">
        <v>16</v>
      </c>
      <c r="G1955" s="1" t="s">
        <v>17</v>
      </c>
      <c r="H1955" s="1" t="str">
        <f t="shared" si="1308"/>
        <v>82</v>
      </c>
      <c r="I1955" s="1" t="str">
        <f t="shared" si="1306"/>
        <v>170</v>
      </c>
      <c r="J1955" s="1" t="str">
        <f t="shared" si="1303"/>
        <v>0</v>
      </c>
      <c r="K1955" s="1" t="str">
        <f t="shared" si="1304"/>
        <v>103</v>
      </c>
      <c r="L1955" s="1" t="str">
        <f t="shared" si="1305"/>
        <v>47</v>
      </c>
      <c r="M1955" s="1" t="str">
        <f t="shared" si="1290"/>
        <v>0</v>
      </c>
      <c r="N1955" s="1" t="str">
        <f t="shared" si="1291"/>
        <v>0</v>
      </c>
      <c r="O1955" s="1" t="str">
        <f t="shared" si="1307"/>
        <v>0</v>
      </c>
    </row>
    <row r="1956" s="1" customFormat="1" spans="1:15">
      <c r="A1956" s="1" t="str">
        <f t="shared" si="1292"/>
        <v>202406</v>
      </c>
      <c r="B1956" s="1" t="str">
        <f t="shared" si="1293"/>
        <v>150525100</v>
      </c>
      <c r="C1956" s="1" t="str">
        <f>"1040832650"</f>
        <v>1040832650</v>
      </c>
      <c r="D1956" s="1" t="s">
        <v>2033</v>
      </c>
      <c r="E1956" s="1" t="s">
        <v>2034</v>
      </c>
      <c r="F1956" s="1" t="s">
        <v>16</v>
      </c>
      <c r="G1956" s="1" t="s">
        <v>17</v>
      </c>
      <c r="H1956" s="1" t="str">
        <f t="shared" si="1308"/>
        <v>82</v>
      </c>
      <c r="I1956" s="1" t="str">
        <f t="shared" si="1306"/>
        <v>170</v>
      </c>
      <c r="J1956" s="1" t="str">
        <f t="shared" si="1303"/>
        <v>0</v>
      </c>
      <c r="K1956" s="1" t="str">
        <f t="shared" si="1304"/>
        <v>103</v>
      </c>
      <c r="L1956" s="1" t="str">
        <f t="shared" si="1305"/>
        <v>47</v>
      </c>
      <c r="M1956" s="1" t="str">
        <f t="shared" si="1290"/>
        <v>0</v>
      </c>
      <c r="N1956" s="1" t="str">
        <f t="shared" si="1291"/>
        <v>0</v>
      </c>
      <c r="O1956" s="1" t="str">
        <f t="shared" si="1307"/>
        <v>0</v>
      </c>
    </row>
    <row r="1957" s="1" customFormat="1" spans="1:15">
      <c r="A1957" s="1" t="str">
        <f t="shared" si="1292"/>
        <v>202406</v>
      </c>
      <c r="B1957" s="1" t="str">
        <f t="shared" si="1293"/>
        <v>150525100</v>
      </c>
      <c r="C1957" s="1" t="str">
        <f>"1040832658"</f>
        <v>1040832658</v>
      </c>
      <c r="D1957" s="1" t="str">
        <f>"152326194401130045"</f>
        <v>152326194401130045</v>
      </c>
      <c r="E1957" s="1" t="s">
        <v>2035</v>
      </c>
      <c r="F1957" s="1" t="s">
        <v>16</v>
      </c>
      <c r="G1957" s="1" t="s">
        <v>17</v>
      </c>
      <c r="H1957" s="1" t="str">
        <f t="shared" ref="H1957:H1959" si="1309">"80"</f>
        <v>80</v>
      </c>
      <c r="I1957" s="1" t="str">
        <f t="shared" si="1306"/>
        <v>170</v>
      </c>
      <c r="J1957" s="1" t="str">
        <f t="shared" si="1303"/>
        <v>0</v>
      </c>
      <c r="K1957" s="1" t="str">
        <f t="shared" si="1304"/>
        <v>103</v>
      </c>
      <c r="L1957" s="1" t="str">
        <f t="shared" si="1305"/>
        <v>47</v>
      </c>
      <c r="M1957" s="1" t="str">
        <f t="shared" si="1290"/>
        <v>0</v>
      </c>
      <c r="N1957" s="1" t="str">
        <f t="shared" si="1291"/>
        <v>0</v>
      </c>
      <c r="O1957" s="1" t="str">
        <f t="shared" si="1307"/>
        <v>0</v>
      </c>
    </row>
    <row r="1958" s="1" customFormat="1" spans="1:15">
      <c r="A1958" s="1" t="str">
        <f t="shared" si="1292"/>
        <v>202406</v>
      </c>
      <c r="B1958" s="1" t="str">
        <f t="shared" si="1293"/>
        <v>150525100</v>
      </c>
      <c r="C1958" s="1" t="str">
        <f>"1040832662"</f>
        <v>1040832662</v>
      </c>
      <c r="D1958" s="1" t="str">
        <f>"152326194407290023"</f>
        <v>152326194407290023</v>
      </c>
      <c r="E1958" s="1" t="s">
        <v>2036</v>
      </c>
      <c r="F1958" s="1" t="s">
        <v>16</v>
      </c>
      <c r="G1958" s="1" t="s">
        <v>96</v>
      </c>
      <c r="H1958" s="1" t="str">
        <f t="shared" si="1309"/>
        <v>80</v>
      </c>
      <c r="I1958" s="1" t="str">
        <f t="shared" ref="I1958:I1966" si="1310">"160"</f>
        <v>160</v>
      </c>
      <c r="J1958" s="1" t="str">
        <f t="shared" si="1303"/>
        <v>0</v>
      </c>
      <c r="K1958" s="1" t="str">
        <f t="shared" si="1304"/>
        <v>103</v>
      </c>
      <c r="L1958" s="1" t="str">
        <f t="shared" si="1305"/>
        <v>47</v>
      </c>
      <c r="M1958" s="1" t="str">
        <f t="shared" si="1290"/>
        <v>0</v>
      </c>
      <c r="N1958" s="1" t="str">
        <f t="shared" si="1291"/>
        <v>0</v>
      </c>
      <c r="O1958" s="1" t="str">
        <f t="shared" si="1307"/>
        <v>0</v>
      </c>
    </row>
    <row r="1959" s="1" customFormat="1" spans="1:15">
      <c r="A1959" s="1" t="str">
        <f t="shared" si="1292"/>
        <v>202406</v>
      </c>
      <c r="B1959" s="1" t="str">
        <f t="shared" si="1293"/>
        <v>150525100</v>
      </c>
      <c r="C1959" s="1" t="str">
        <f>"1040832673"</f>
        <v>1040832673</v>
      </c>
      <c r="D1959" s="1" t="str">
        <f>"152326194501060021"</f>
        <v>152326194501060021</v>
      </c>
      <c r="E1959" s="1" t="s">
        <v>2037</v>
      </c>
      <c r="F1959" s="1" t="s">
        <v>16</v>
      </c>
      <c r="G1959" s="1" t="s">
        <v>17</v>
      </c>
      <c r="H1959" s="1" t="str">
        <f t="shared" si="1309"/>
        <v>80</v>
      </c>
      <c r="I1959" s="1" t="str">
        <f>"960"</f>
        <v>960</v>
      </c>
      <c r="J1959" s="1" t="str">
        <f>"800"</f>
        <v>800</v>
      </c>
      <c r="K1959" s="1" t="str">
        <f>"618"</f>
        <v>618</v>
      </c>
      <c r="L1959" s="1" t="str">
        <f>"282"</f>
        <v>282</v>
      </c>
      <c r="M1959" s="1" t="str">
        <f t="shared" si="1290"/>
        <v>0</v>
      </c>
      <c r="N1959" s="1" t="str">
        <f t="shared" si="1291"/>
        <v>0</v>
      </c>
      <c r="O1959" s="1" t="str">
        <f t="shared" si="1307"/>
        <v>0</v>
      </c>
    </row>
    <row r="1960" s="1" customFormat="1" spans="1:15">
      <c r="A1960" s="1" t="str">
        <f t="shared" si="1292"/>
        <v>202406</v>
      </c>
      <c r="B1960" s="1" t="str">
        <f t="shared" si="1293"/>
        <v>150525100</v>
      </c>
      <c r="C1960" s="1" t="str">
        <f>"1040832674"</f>
        <v>1040832674</v>
      </c>
      <c r="D1960" s="1" t="str">
        <f>"152326194501300021"</f>
        <v>152326194501300021</v>
      </c>
      <c r="E1960" s="1" t="s">
        <v>2038</v>
      </c>
      <c r="F1960" s="1" t="s">
        <v>16</v>
      </c>
      <c r="G1960" s="1" t="s">
        <v>17</v>
      </c>
      <c r="H1960" s="1" t="str">
        <f>"79"</f>
        <v>79</v>
      </c>
      <c r="I1960" s="1" t="str">
        <f t="shared" si="1310"/>
        <v>160</v>
      </c>
      <c r="J1960" s="1" t="str">
        <f t="shared" ref="J1960:J1979" si="1311">"0"</f>
        <v>0</v>
      </c>
      <c r="K1960" s="1" t="str">
        <f t="shared" ref="K1960:K1979" si="1312">"103"</f>
        <v>103</v>
      </c>
      <c r="L1960" s="1" t="str">
        <f t="shared" ref="L1960:L1979" si="1313">"47"</f>
        <v>47</v>
      </c>
      <c r="M1960" s="1" t="str">
        <f t="shared" si="1290"/>
        <v>0</v>
      </c>
      <c r="N1960" s="1" t="str">
        <f t="shared" si="1291"/>
        <v>0</v>
      </c>
      <c r="O1960" s="1" t="str">
        <f t="shared" si="1307"/>
        <v>0</v>
      </c>
    </row>
    <row r="1961" s="1" customFormat="1" spans="1:15">
      <c r="A1961" s="1" t="str">
        <f t="shared" si="1292"/>
        <v>202406</v>
      </c>
      <c r="B1961" s="1" t="str">
        <f t="shared" si="1293"/>
        <v>150525100</v>
      </c>
      <c r="C1961" s="1" t="str">
        <f>"1040832675"</f>
        <v>1040832675</v>
      </c>
      <c r="D1961" s="1" t="str">
        <f>"152326194503247121"</f>
        <v>152326194503247121</v>
      </c>
      <c r="E1961" s="1" t="s">
        <v>2032</v>
      </c>
      <c r="F1961" s="1" t="s">
        <v>16</v>
      </c>
      <c r="G1961" s="1" t="s">
        <v>17</v>
      </c>
      <c r="H1961" s="1" t="str">
        <f>"79"</f>
        <v>79</v>
      </c>
      <c r="I1961" s="1" t="str">
        <f t="shared" si="1310"/>
        <v>160</v>
      </c>
      <c r="J1961" s="1" t="str">
        <f t="shared" si="1311"/>
        <v>0</v>
      </c>
      <c r="K1961" s="1" t="str">
        <f t="shared" si="1312"/>
        <v>103</v>
      </c>
      <c r="L1961" s="1" t="str">
        <f t="shared" si="1313"/>
        <v>47</v>
      </c>
      <c r="M1961" s="1" t="str">
        <f t="shared" si="1290"/>
        <v>0</v>
      </c>
      <c r="N1961" s="1" t="str">
        <f t="shared" si="1291"/>
        <v>0</v>
      </c>
      <c r="O1961" s="1" t="str">
        <f t="shared" si="1307"/>
        <v>0</v>
      </c>
    </row>
    <row r="1962" s="1" customFormat="1" spans="1:15">
      <c r="A1962" s="1" t="str">
        <f t="shared" si="1292"/>
        <v>202406</v>
      </c>
      <c r="B1962" s="1" t="str">
        <f t="shared" si="1293"/>
        <v>150525100</v>
      </c>
      <c r="C1962" s="1" t="str">
        <f>"1040832696"</f>
        <v>1040832696</v>
      </c>
      <c r="D1962" s="1" t="s">
        <v>2039</v>
      </c>
      <c r="E1962" s="1" t="s">
        <v>2040</v>
      </c>
      <c r="F1962" s="1" t="s">
        <v>16</v>
      </c>
      <c r="G1962" s="1" t="s">
        <v>17</v>
      </c>
      <c r="H1962" s="1" t="str">
        <f>"77"</f>
        <v>77</v>
      </c>
      <c r="I1962" s="1" t="str">
        <f t="shared" si="1310"/>
        <v>160</v>
      </c>
      <c r="J1962" s="1" t="str">
        <f t="shared" si="1311"/>
        <v>0</v>
      </c>
      <c r="K1962" s="1" t="str">
        <f t="shared" si="1312"/>
        <v>103</v>
      </c>
      <c r="L1962" s="1" t="str">
        <f t="shared" si="1313"/>
        <v>47</v>
      </c>
      <c r="M1962" s="1" t="str">
        <f t="shared" si="1290"/>
        <v>0</v>
      </c>
      <c r="N1962" s="1" t="str">
        <f t="shared" si="1291"/>
        <v>0</v>
      </c>
      <c r="O1962" s="1" t="str">
        <f t="shared" si="1307"/>
        <v>0</v>
      </c>
    </row>
    <row r="1963" s="1" customFormat="1" spans="1:15">
      <c r="A1963" s="1" t="str">
        <f t="shared" si="1292"/>
        <v>202406</v>
      </c>
      <c r="B1963" s="1" t="str">
        <f t="shared" si="1293"/>
        <v>150525100</v>
      </c>
      <c r="C1963" s="1" t="str">
        <f>"1040832715"</f>
        <v>1040832715</v>
      </c>
      <c r="D1963" s="1" t="str">
        <f>"152326194903050010"</f>
        <v>152326194903050010</v>
      </c>
      <c r="E1963" s="1" t="s">
        <v>2041</v>
      </c>
      <c r="F1963" s="1" t="s">
        <v>25</v>
      </c>
      <c r="G1963" s="1" t="s">
        <v>17</v>
      </c>
      <c r="H1963" s="1" t="str">
        <f t="shared" ref="H1963:H1965" si="1314">"75"</f>
        <v>75</v>
      </c>
      <c r="I1963" s="1" t="str">
        <f t="shared" si="1310"/>
        <v>160</v>
      </c>
      <c r="J1963" s="1" t="str">
        <f t="shared" si="1311"/>
        <v>0</v>
      </c>
      <c r="K1963" s="1" t="str">
        <f t="shared" si="1312"/>
        <v>103</v>
      </c>
      <c r="L1963" s="1" t="str">
        <f t="shared" si="1313"/>
        <v>47</v>
      </c>
      <c r="M1963" s="1" t="str">
        <f t="shared" si="1290"/>
        <v>0</v>
      </c>
      <c r="N1963" s="1" t="str">
        <f t="shared" si="1291"/>
        <v>0</v>
      </c>
      <c r="O1963" s="1" t="str">
        <f t="shared" si="1307"/>
        <v>0</v>
      </c>
    </row>
    <row r="1964" s="1" customFormat="1" spans="1:15">
      <c r="A1964" s="1" t="str">
        <f t="shared" si="1292"/>
        <v>202406</v>
      </c>
      <c r="B1964" s="1" t="str">
        <f t="shared" si="1293"/>
        <v>150525100</v>
      </c>
      <c r="C1964" s="1" t="str">
        <f>"1040832719"</f>
        <v>1040832719</v>
      </c>
      <c r="D1964" s="1" t="str">
        <f>"152326194906031181"</f>
        <v>152326194906031181</v>
      </c>
      <c r="E1964" s="1" t="s">
        <v>2042</v>
      </c>
      <c r="F1964" s="1" t="s">
        <v>16</v>
      </c>
      <c r="G1964" s="1" t="s">
        <v>17</v>
      </c>
      <c r="H1964" s="1" t="str">
        <f t="shared" si="1314"/>
        <v>75</v>
      </c>
      <c r="I1964" s="1" t="str">
        <f t="shared" si="1310"/>
        <v>160</v>
      </c>
      <c r="J1964" s="1" t="str">
        <f t="shared" si="1311"/>
        <v>0</v>
      </c>
      <c r="K1964" s="1" t="str">
        <f t="shared" si="1312"/>
        <v>103</v>
      </c>
      <c r="L1964" s="1" t="str">
        <f t="shared" si="1313"/>
        <v>47</v>
      </c>
      <c r="M1964" s="1" t="str">
        <f t="shared" si="1290"/>
        <v>0</v>
      </c>
      <c r="N1964" s="1" t="str">
        <f t="shared" si="1291"/>
        <v>0</v>
      </c>
      <c r="O1964" s="1" t="str">
        <f t="shared" si="1307"/>
        <v>0</v>
      </c>
    </row>
    <row r="1965" s="1" customFormat="1" spans="1:15">
      <c r="A1965" s="1" t="str">
        <f t="shared" si="1292"/>
        <v>202406</v>
      </c>
      <c r="B1965" s="1" t="str">
        <f t="shared" si="1293"/>
        <v>150525100</v>
      </c>
      <c r="C1965" s="1" t="str">
        <f>"1040832720"</f>
        <v>1040832720</v>
      </c>
      <c r="D1965" s="1" t="str">
        <f>"152326194906100028"</f>
        <v>152326194906100028</v>
      </c>
      <c r="E1965" s="1" t="s">
        <v>2043</v>
      </c>
      <c r="F1965" s="1" t="s">
        <v>16</v>
      </c>
      <c r="G1965" s="1" t="s">
        <v>17</v>
      </c>
      <c r="H1965" s="1" t="str">
        <f t="shared" si="1314"/>
        <v>75</v>
      </c>
      <c r="I1965" s="1" t="str">
        <f t="shared" si="1310"/>
        <v>160</v>
      </c>
      <c r="J1965" s="1" t="str">
        <f t="shared" si="1311"/>
        <v>0</v>
      </c>
      <c r="K1965" s="1" t="str">
        <f t="shared" si="1312"/>
        <v>103</v>
      </c>
      <c r="L1965" s="1" t="str">
        <f t="shared" si="1313"/>
        <v>47</v>
      </c>
      <c r="M1965" s="1" t="str">
        <f t="shared" si="1290"/>
        <v>0</v>
      </c>
      <c r="N1965" s="1" t="str">
        <f t="shared" si="1291"/>
        <v>0</v>
      </c>
      <c r="O1965" s="1" t="str">
        <f t="shared" si="1307"/>
        <v>0</v>
      </c>
    </row>
    <row r="1966" s="1" customFormat="1" spans="1:15">
      <c r="A1966" s="1" t="str">
        <f t="shared" si="1292"/>
        <v>202406</v>
      </c>
      <c r="B1966" s="1" t="str">
        <f t="shared" si="1293"/>
        <v>150525100</v>
      </c>
      <c r="C1966" s="1" t="str">
        <f>"1040832751"</f>
        <v>1040832751</v>
      </c>
      <c r="D1966" s="1" t="str">
        <f>"152326195105060032"</f>
        <v>152326195105060032</v>
      </c>
      <c r="E1966" s="1" t="s">
        <v>2044</v>
      </c>
      <c r="F1966" s="1" t="s">
        <v>25</v>
      </c>
      <c r="G1966" s="1" t="s">
        <v>17</v>
      </c>
      <c r="H1966" s="1" t="str">
        <f>"73"</f>
        <v>73</v>
      </c>
      <c r="I1966" s="1" t="str">
        <f t="shared" si="1310"/>
        <v>160</v>
      </c>
      <c r="J1966" s="1" t="str">
        <f t="shared" si="1311"/>
        <v>0</v>
      </c>
      <c r="K1966" s="1" t="str">
        <f t="shared" si="1312"/>
        <v>103</v>
      </c>
      <c r="L1966" s="1" t="str">
        <f t="shared" si="1313"/>
        <v>47</v>
      </c>
      <c r="M1966" s="1" t="str">
        <f t="shared" si="1290"/>
        <v>0</v>
      </c>
      <c r="N1966" s="1" t="str">
        <f t="shared" si="1291"/>
        <v>0</v>
      </c>
      <c r="O1966" s="1" t="str">
        <f t="shared" si="1307"/>
        <v>0</v>
      </c>
    </row>
    <row r="1967" s="1" customFormat="1" spans="1:15">
      <c r="A1967" s="1" t="str">
        <f t="shared" si="1292"/>
        <v>202406</v>
      </c>
      <c r="B1967" s="1" t="str">
        <f t="shared" si="1293"/>
        <v>150525100</v>
      </c>
      <c r="C1967" s="1" t="str">
        <f>"1040953623"</f>
        <v>1040953623</v>
      </c>
      <c r="D1967" s="1" t="str">
        <f>"152326195705290915"</f>
        <v>152326195705290915</v>
      </c>
      <c r="E1967" s="1" t="s">
        <v>2045</v>
      </c>
      <c r="F1967" s="1" t="s">
        <v>25</v>
      </c>
      <c r="G1967" s="1" t="s">
        <v>19</v>
      </c>
      <c r="H1967" s="1" t="str">
        <f>"67"</f>
        <v>67</v>
      </c>
      <c r="I1967" s="1" t="str">
        <f>"154.32"</f>
        <v>154.32</v>
      </c>
      <c r="J1967" s="1" t="str">
        <f t="shared" si="1311"/>
        <v>0</v>
      </c>
      <c r="K1967" s="1" t="str">
        <f t="shared" si="1312"/>
        <v>103</v>
      </c>
      <c r="L1967" s="1" t="str">
        <f t="shared" si="1313"/>
        <v>47</v>
      </c>
      <c r="M1967" s="1" t="str">
        <f t="shared" si="1290"/>
        <v>0</v>
      </c>
      <c r="N1967" s="1" t="str">
        <f t="shared" si="1291"/>
        <v>0</v>
      </c>
      <c r="O1967" s="1" t="str">
        <f>"4.32"</f>
        <v>4.32</v>
      </c>
    </row>
    <row r="1968" s="1" customFormat="1" spans="1:15">
      <c r="A1968" s="1" t="str">
        <f t="shared" si="1292"/>
        <v>202406</v>
      </c>
      <c r="B1968" s="1" t="str">
        <f t="shared" si="1293"/>
        <v>150525100</v>
      </c>
      <c r="C1968" s="1" t="str">
        <f>"1040990041"</f>
        <v>1040990041</v>
      </c>
      <c r="D1968" s="1" t="str">
        <f>"152326195812303822"</f>
        <v>152326195812303822</v>
      </c>
      <c r="E1968" s="1" t="s">
        <v>2046</v>
      </c>
      <c r="F1968" s="1" t="s">
        <v>16</v>
      </c>
      <c r="G1968" s="1" t="s">
        <v>17</v>
      </c>
      <c r="H1968" s="1" t="str">
        <f>"66"</f>
        <v>66</v>
      </c>
      <c r="I1968" s="1" t="str">
        <f>"155.35"</f>
        <v>155.35</v>
      </c>
      <c r="J1968" s="1" t="str">
        <f t="shared" si="1311"/>
        <v>0</v>
      </c>
      <c r="K1968" s="1" t="str">
        <f t="shared" si="1312"/>
        <v>103</v>
      </c>
      <c r="L1968" s="1" t="str">
        <f t="shared" si="1313"/>
        <v>47</v>
      </c>
      <c r="M1968" s="1" t="str">
        <f t="shared" si="1290"/>
        <v>0</v>
      </c>
      <c r="N1968" s="1" t="str">
        <f t="shared" si="1291"/>
        <v>0</v>
      </c>
      <c r="O1968" s="1" t="str">
        <f>"5.35"</f>
        <v>5.35</v>
      </c>
    </row>
    <row r="1969" s="1" customFormat="1" spans="1:15">
      <c r="A1969" s="1" t="str">
        <f t="shared" si="1292"/>
        <v>202406</v>
      </c>
      <c r="B1969" s="1" t="str">
        <f t="shared" si="1293"/>
        <v>150525100</v>
      </c>
      <c r="C1969" s="1" t="str">
        <f>"1041153464"</f>
        <v>1041153464</v>
      </c>
      <c r="D1969" s="1" t="s">
        <v>2047</v>
      </c>
      <c r="E1969" s="1" t="s">
        <v>2048</v>
      </c>
      <c r="F1969" s="1" t="s">
        <v>16</v>
      </c>
      <c r="G1969" s="1" t="s">
        <v>17</v>
      </c>
      <c r="H1969" s="1" t="str">
        <f>"63"</f>
        <v>63</v>
      </c>
      <c r="I1969" s="1" t="str">
        <f>"233.56"</f>
        <v>233.56</v>
      </c>
      <c r="J1969" s="1" t="str">
        <f t="shared" si="1311"/>
        <v>0</v>
      </c>
      <c r="K1969" s="1" t="str">
        <f t="shared" si="1312"/>
        <v>103</v>
      </c>
      <c r="L1969" s="1" t="str">
        <f t="shared" si="1313"/>
        <v>47</v>
      </c>
      <c r="M1969" s="1" t="str">
        <f t="shared" si="1290"/>
        <v>0</v>
      </c>
      <c r="N1969" s="1" t="str">
        <f t="shared" si="1291"/>
        <v>0</v>
      </c>
      <c r="O1969" s="1" t="str">
        <f>"83.56"</f>
        <v>83.56</v>
      </c>
    </row>
    <row r="1970" s="1" customFormat="1" spans="1:15">
      <c r="A1970" s="1" t="str">
        <f t="shared" si="1292"/>
        <v>202406</v>
      </c>
      <c r="B1970" s="1" t="str">
        <f t="shared" si="1293"/>
        <v>150525100</v>
      </c>
      <c r="C1970" s="1" t="str">
        <f>"1041153479"</f>
        <v>1041153479</v>
      </c>
      <c r="D1970" s="1" t="str">
        <f>"152326196308110014"</f>
        <v>152326196308110014</v>
      </c>
      <c r="E1970" s="1" t="s">
        <v>2049</v>
      </c>
      <c r="F1970" s="1" t="s">
        <v>25</v>
      </c>
      <c r="G1970" s="1" t="s">
        <v>17</v>
      </c>
      <c r="H1970" s="1" t="str">
        <f>"61"</f>
        <v>61</v>
      </c>
      <c r="I1970" s="1" t="str">
        <f>"253.16"</f>
        <v>253.16</v>
      </c>
      <c r="J1970" s="1" t="str">
        <f t="shared" si="1311"/>
        <v>0</v>
      </c>
      <c r="K1970" s="1" t="str">
        <f t="shared" si="1312"/>
        <v>103</v>
      </c>
      <c r="L1970" s="1" t="str">
        <f t="shared" si="1313"/>
        <v>47</v>
      </c>
      <c r="M1970" s="1" t="str">
        <f t="shared" si="1290"/>
        <v>0</v>
      </c>
      <c r="N1970" s="1" t="str">
        <f t="shared" si="1291"/>
        <v>0</v>
      </c>
      <c r="O1970" s="1" t="str">
        <f>"103.16"</f>
        <v>103.16</v>
      </c>
    </row>
    <row r="1971" s="1" customFormat="1" spans="1:15">
      <c r="A1971" s="1" t="str">
        <f t="shared" si="1292"/>
        <v>202406</v>
      </c>
      <c r="B1971" s="1" t="str">
        <f t="shared" si="1293"/>
        <v>150525100</v>
      </c>
      <c r="C1971" s="1" t="str">
        <f>"1041153480"</f>
        <v>1041153480</v>
      </c>
      <c r="D1971" s="1" t="str">
        <f>"152326196111160026"</f>
        <v>152326196111160026</v>
      </c>
      <c r="E1971" s="1" t="s">
        <v>2050</v>
      </c>
      <c r="F1971" s="1" t="s">
        <v>16</v>
      </c>
      <c r="G1971" s="1" t="s">
        <v>17</v>
      </c>
      <c r="H1971" s="1" t="str">
        <f>"63"</f>
        <v>63</v>
      </c>
      <c r="I1971" s="1" t="str">
        <f>"233.88"</f>
        <v>233.88</v>
      </c>
      <c r="J1971" s="1" t="str">
        <f t="shared" si="1311"/>
        <v>0</v>
      </c>
      <c r="K1971" s="1" t="str">
        <f t="shared" si="1312"/>
        <v>103</v>
      </c>
      <c r="L1971" s="1" t="str">
        <f t="shared" si="1313"/>
        <v>47</v>
      </c>
      <c r="M1971" s="1" t="str">
        <f t="shared" ref="M1971:M2034" si="1315">"0"</f>
        <v>0</v>
      </c>
      <c r="N1971" s="1" t="str">
        <f t="shared" ref="N1971:N2034" si="1316">"0"</f>
        <v>0</v>
      </c>
      <c r="O1971" s="1" t="str">
        <f>"83.88"</f>
        <v>83.88</v>
      </c>
    </row>
    <row r="1972" s="1" customFormat="1" spans="1:15">
      <c r="A1972" s="1" t="str">
        <f t="shared" si="1292"/>
        <v>202406</v>
      </c>
      <c r="B1972" s="1" t="str">
        <f t="shared" si="1293"/>
        <v>150525100</v>
      </c>
      <c r="C1972" s="1" t="str">
        <f>"1041153494"</f>
        <v>1041153494</v>
      </c>
      <c r="D1972" s="1" t="str">
        <f>"152326195602110010"</f>
        <v>152326195602110010</v>
      </c>
      <c r="E1972" s="1" t="s">
        <v>2051</v>
      </c>
      <c r="F1972" s="1" t="s">
        <v>25</v>
      </c>
      <c r="G1972" s="1" t="s">
        <v>17</v>
      </c>
      <c r="H1972" s="1" t="str">
        <f>"68"</f>
        <v>68</v>
      </c>
      <c r="I1972" s="1" t="str">
        <f>"155.13"</f>
        <v>155.13</v>
      </c>
      <c r="J1972" s="1" t="str">
        <f t="shared" si="1311"/>
        <v>0</v>
      </c>
      <c r="K1972" s="1" t="str">
        <f t="shared" si="1312"/>
        <v>103</v>
      </c>
      <c r="L1972" s="1" t="str">
        <f t="shared" si="1313"/>
        <v>47</v>
      </c>
      <c r="M1972" s="1" t="str">
        <f t="shared" si="1315"/>
        <v>0</v>
      </c>
      <c r="N1972" s="1" t="str">
        <f t="shared" si="1316"/>
        <v>0</v>
      </c>
      <c r="O1972" s="1" t="str">
        <f>"5.13"</f>
        <v>5.13</v>
      </c>
    </row>
    <row r="1973" s="1" customFormat="1" spans="1:15">
      <c r="A1973" s="1" t="str">
        <f t="shared" si="1292"/>
        <v>202406</v>
      </c>
      <c r="B1973" s="1" t="str">
        <f t="shared" si="1293"/>
        <v>150525100</v>
      </c>
      <c r="C1973" s="1" t="str">
        <f>"1040952007"</f>
        <v>1040952007</v>
      </c>
      <c r="D1973" s="1" t="str">
        <f>"152326195912160427"</f>
        <v>152326195912160427</v>
      </c>
      <c r="E1973" s="1" t="s">
        <v>2052</v>
      </c>
      <c r="F1973" s="1" t="s">
        <v>16</v>
      </c>
      <c r="G1973" s="1" t="s">
        <v>17</v>
      </c>
      <c r="H1973" s="1" t="str">
        <f>"65"</f>
        <v>65</v>
      </c>
      <c r="I1973" s="1" t="str">
        <f>"156.38"</f>
        <v>156.38</v>
      </c>
      <c r="J1973" s="1" t="str">
        <f t="shared" si="1311"/>
        <v>0</v>
      </c>
      <c r="K1973" s="1" t="str">
        <f t="shared" si="1312"/>
        <v>103</v>
      </c>
      <c r="L1973" s="1" t="str">
        <f t="shared" si="1313"/>
        <v>47</v>
      </c>
      <c r="M1973" s="1" t="str">
        <f t="shared" si="1315"/>
        <v>0</v>
      </c>
      <c r="N1973" s="1" t="str">
        <f t="shared" si="1316"/>
        <v>0</v>
      </c>
      <c r="O1973" s="1" t="str">
        <f>"6.38"</f>
        <v>6.38</v>
      </c>
    </row>
    <row r="1974" s="1" customFormat="1" spans="1:15">
      <c r="A1974" s="1" t="str">
        <f t="shared" si="1292"/>
        <v>202406</v>
      </c>
      <c r="B1974" s="1" t="str">
        <f t="shared" si="1293"/>
        <v>150525100</v>
      </c>
      <c r="C1974" s="1" t="str">
        <f>"1040991533"</f>
        <v>1040991533</v>
      </c>
      <c r="D1974" s="1" t="str">
        <f>"152326196211236112"</f>
        <v>152326196211236112</v>
      </c>
      <c r="E1974" s="1" t="s">
        <v>2053</v>
      </c>
      <c r="F1974" s="1" t="s">
        <v>25</v>
      </c>
      <c r="G1974" s="1" t="s">
        <v>17</v>
      </c>
      <c r="H1974" s="1" t="str">
        <f>"62"</f>
        <v>62</v>
      </c>
      <c r="I1974" s="1" t="str">
        <f>"161.23"</f>
        <v>161.23</v>
      </c>
      <c r="J1974" s="1" t="str">
        <f t="shared" si="1311"/>
        <v>0</v>
      </c>
      <c r="K1974" s="1" t="str">
        <f t="shared" si="1312"/>
        <v>103</v>
      </c>
      <c r="L1974" s="1" t="str">
        <f t="shared" si="1313"/>
        <v>47</v>
      </c>
      <c r="M1974" s="1" t="str">
        <f t="shared" si="1315"/>
        <v>0</v>
      </c>
      <c r="N1974" s="1" t="str">
        <f t="shared" si="1316"/>
        <v>0</v>
      </c>
      <c r="O1974" s="1" t="str">
        <f>"11.23"</f>
        <v>11.23</v>
      </c>
    </row>
    <row r="1975" s="1" customFormat="1" spans="1:15">
      <c r="A1975" s="1" t="str">
        <f t="shared" si="1292"/>
        <v>202406</v>
      </c>
      <c r="B1975" s="1" t="str">
        <f t="shared" si="1293"/>
        <v>150525100</v>
      </c>
      <c r="C1975" s="1" t="str">
        <f>"1040958101"</f>
        <v>1040958101</v>
      </c>
      <c r="D1975" s="1" t="str">
        <f>"152326195803170423"</f>
        <v>152326195803170423</v>
      </c>
      <c r="E1975" s="1" t="s">
        <v>2054</v>
      </c>
      <c r="F1975" s="1" t="s">
        <v>16</v>
      </c>
      <c r="G1975" s="1" t="s">
        <v>17</v>
      </c>
      <c r="H1975" s="1" t="str">
        <f>"66"</f>
        <v>66</v>
      </c>
      <c r="I1975" s="1" t="str">
        <f>"155.29"</f>
        <v>155.29</v>
      </c>
      <c r="J1975" s="1" t="str">
        <f t="shared" si="1311"/>
        <v>0</v>
      </c>
      <c r="K1975" s="1" t="str">
        <f t="shared" si="1312"/>
        <v>103</v>
      </c>
      <c r="L1975" s="1" t="str">
        <f t="shared" si="1313"/>
        <v>47</v>
      </c>
      <c r="M1975" s="1" t="str">
        <f t="shared" si="1315"/>
        <v>0</v>
      </c>
      <c r="N1975" s="1" t="str">
        <f t="shared" si="1316"/>
        <v>0</v>
      </c>
      <c r="O1975" s="1" t="str">
        <f>"5.29"</f>
        <v>5.29</v>
      </c>
    </row>
    <row r="1976" s="1" customFormat="1" spans="1:15">
      <c r="A1976" s="1" t="str">
        <f t="shared" si="1292"/>
        <v>202406</v>
      </c>
      <c r="B1976" s="1" t="str">
        <f t="shared" si="1293"/>
        <v>150525100</v>
      </c>
      <c r="C1976" s="1" t="str">
        <f>"1040948492"</f>
        <v>1040948492</v>
      </c>
      <c r="D1976" s="1" t="str">
        <f>"152326195707100425"</f>
        <v>152326195707100425</v>
      </c>
      <c r="E1976" s="1" t="s">
        <v>2055</v>
      </c>
      <c r="F1976" s="1" t="s">
        <v>16</v>
      </c>
      <c r="G1976" s="1" t="s">
        <v>17</v>
      </c>
      <c r="H1976" s="1" t="str">
        <f>"67"</f>
        <v>67</v>
      </c>
      <c r="I1976" s="1" t="str">
        <f>"154.32"</f>
        <v>154.32</v>
      </c>
      <c r="J1976" s="1" t="str">
        <f t="shared" si="1311"/>
        <v>0</v>
      </c>
      <c r="K1976" s="1" t="str">
        <f t="shared" si="1312"/>
        <v>103</v>
      </c>
      <c r="L1976" s="1" t="str">
        <f t="shared" si="1313"/>
        <v>47</v>
      </c>
      <c r="M1976" s="1" t="str">
        <f t="shared" si="1315"/>
        <v>0</v>
      </c>
      <c r="N1976" s="1" t="str">
        <f t="shared" si="1316"/>
        <v>0</v>
      </c>
      <c r="O1976" s="1" t="str">
        <f>"4.32"</f>
        <v>4.32</v>
      </c>
    </row>
    <row r="1977" s="1" customFormat="1" spans="1:15">
      <c r="A1977" s="1" t="str">
        <f t="shared" si="1292"/>
        <v>202406</v>
      </c>
      <c r="B1977" s="1" t="str">
        <f t="shared" si="1293"/>
        <v>150525100</v>
      </c>
      <c r="C1977" s="1" t="str">
        <f>"1041168948"</f>
        <v>1041168948</v>
      </c>
      <c r="D1977" s="1" t="str">
        <f>"152326195602160691"</f>
        <v>152326195602160691</v>
      </c>
      <c r="E1977" s="1" t="s">
        <v>2056</v>
      </c>
      <c r="F1977" s="1" t="s">
        <v>25</v>
      </c>
      <c r="G1977" s="1" t="s">
        <v>19</v>
      </c>
      <c r="H1977" s="1" t="str">
        <f t="shared" ref="H1977:H1981" si="1317">"68"</f>
        <v>68</v>
      </c>
      <c r="I1977" s="1" t="str">
        <f>"154.32"</f>
        <v>154.32</v>
      </c>
      <c r="J1977" s="1" t="str">
        <f t="shared" si="1311"/>
        <v>0</v>
      </c>
      <c r="K1977" s="1" t="str">
        <f t="shared" si="1312"/>
        <v>103</v>
      </c>
      <c r="L1977" s="1" t="str">
        <f t="shared" si="1313"/>
        <v>47</v>
      </c>
      <c r="M1977" s="1" t="str">
        <f t="shared" si="1315"/>
        <v>0</v>
      </c>
      <c r="N1977" s="1" t="str">
        <f t="shared" si="1316"/>
        <v>0</v>
      </c>
      <c r="O1977" s="1" t="str">
        <f>"4.32"</f>
        <v>4.32</v>
      </c>
    </row>
    <row r="1978" s="1" customFormat="1" spans="1:15">
      <c r="A1978" s="1" t="str">
        <f t="shared" si="1292"/>
        <v>202406</v>
      </c>
      <c r="B1978" s="1" t="str">
        <f t="shared" si="1293"/>
        <v>150525100</v>
      </c>
      <c r="C1978" s="1" t="str">
        <f>"1041077776"</f>
        <v>1041077776</v>
      </c>
      <c r="D1978" s="1" t="str">
        <f>"152326195805203815"</f>
        <v>152326195805203815</v>
      </c>
      <c r="E1978" s="1" t="s">
        <v>2057</v>
      </c>
      <c r="F1978" s="1" t="s">
        <v>25</v>
      </c>
      <c r="G1978" s="1" t="s">
        <v>17</v>
      </c>
      <c r="H1978" s="1" t="str">
        <f>"66"</f>
        <v>66</v>
      </c>
      <c r="I1978" s="1" t="str">
        <f>"157.44"</f>
        <v>157.44</v>
      </c>
      <c r="J1978" s="1" t="str">
        <f t="shared" si="1311"/>
        <v>0</v>
      </c>
      <c r="K1978" s="1" t="str">
        <f t="shared" si="1312"/>
        <v>103</v>
      </c>
      <c r="L1978" s="1" t="str">
        <f t="shared" si="1313"/>
        <v>47</v>
      </c>
      <c r="M1978" s="1" t="str">
        <f t="shared" si="1315"/>
        <v>0</v>
      </c>
      <c r="N1978" s="1" t="str">
        <f t="shared" si="1316"/>
        <v>0</v>
      </c>
      <c r="O1978" s="1" t="str">
        <f>"7.44"</f>
        <v>7.44</v>
      </c>
    </row>
    <row r="1979" s="1" customFormat="1" spans="1:15">
      <c r="A1979" s="1" t="str">
        <f t="shared" si="1292"/>
        <v>202406</v>
      </c>
      <c r="B1979" s="1" t="str">
        <f t="shared" si="1293"/>
        <v>150525100</v>
      </c>
      <c r="C1979" s="1" t="str">
        <f>"1040833830"</f>
        <v>1040833830</v>
      </c>
      <c r="D1979" s="1" t="str">
        <f>"152326195201166398"</f>
        <v>152326195201166398</v>
      </c>
      <c r="E1979" s="1" t="s">
        <v>2058</v>
      </c>
      <c r="F1979" s="1" t="s">
        <v>25</v>
      </c>
      <c r="G1979" s="1" t="s">
        <v>17</v>
      </c>
      <c r="H1979" s="1" t="str">
        <f>"72"</f>
        <v>72</v>
      </c>
      <c r="I1979" s="1" t="str">
        <f>"161.56"</f>
        <v>161.56</v>
      </c>
      <c r="J1979" s="1" t="str">
        <f t="shared" si="1311"/>
        <v>0</v>
      </c>
      <c r="K1979" s="1" t="str">
        <f t="shared" si="1312"/>
        <v>103</v>
      </c>
      <c r="L1979" s="1" t="str">
        <f t="shared" si="1313"/>
        <v>47</v>
      </c>
      <c r="M1979" s="1" t="str">
        <f t="shared" si="1315"/>
        <v>0</v>
      </c>
      <c r="N1979" s="1" t="str">
        <f t="shared" si="1316"/>
        <v>0</v>
      </c>
      <c r="O1979" s="1" t="str">
        <f>"1.56"</f>
        <v>1.56</v>
      </c>
    </row>
    <row r="1980" s="1" customFormat="1" spans="1:15">
      <c r="A1980" s="1" t="str">
        <f t="shared" si="1292"/>
        <v>202406</v>
      </c>
      <c r="B1980" s="1" t="str">
        <f t="shared" si="1293"/>
        <v>150525100</v>
      </c>
      <c r="C1980" s="1" t="str">
        <f>"1040833832"</f>
        <v>1040833832</v>
      </c>
      <c r="D1980" s="1" t="str">
        <f>"152326195610180422"</f>
        <v>152326195610180422</v>
      </c>
      <c r="E1980" s="1" t="s">
        <v>2059</v>
      </c>
      <c r="F1980" s="1" t="s">
        <v>16</v>
      </c>
      <c r="G1980" s="1" t="s">
        <v>17</v>
      </c>
      <c r="H1980" s="1" t="str">
        <f t="shared" si="1317"/>
        <v>68</v>
      </c>
      <c r="I1980" s="1" t="str">
        <f>"2001.16"</f>
        <v>2001.16</v>
      </c>
      <c r="J1980" s="1" t="str">
        <f>"1846.84"</f>
        <v>1846.84</v>
      </c>
      <c r="K1980" s="1" t="str">
        <f>"1334"</f>
        <v>1334</v>
      </c>
      <c r="L1980" s="1" t="str">
        <f>"611"</f>
        <v>611</v>
      </c>
      <c r="M1980" s="1" t="str">
        <f t="shared" si="1315"/>
        <v>0</v>
      </c>
      <c r="N1980" s="1" t="str">
        <f t="shared" si="1316"/>
        <v>0</v>
      </c>
      <c r="O1980" s="1" t="str">
        <f>"56.16"</f>
        <v>56.16</v>
      </c>
    </row>
    <row r="1981" s="1" customFormat="1" spans="1:15">
      <c r="A1981" s="1" t="str">
        <f t="shared" si="1292"/>
        <v>202406</v>
      </c>
      <c r="B1981" s="1" t="str">
        <f t="shared" si="1293"/>
        <v>150525100</v>
      </c>
      <c r="C1981" s="1" t="str">
        <f>"1041146025"</f>
        <v>1041146025</v>
      </c>
      <c r="D1981" s="1" t="str">
        <f>"152326195605090027"</f>
        <v>152326195605090027</v>
      </c>
      <c r="E1981" s="1" t="s">
        <v>2060</v>
      </c>
      <c r="F1981" s="1" t="s">
        <v>16</v>
      </c>
      <c r="G1981" s="1" t="s">
        <v>17</v>
      </c>
      <c r="H1981" s="1" t="str">
        <f t="shared" si="1317"/>
        <v>68</v>
      </c>
      <c r="I1981" s="1" t="str">
        <f>"155.44"</f>
        <v>155.44</v>
      </c>
      <c r="J1981" s="1" t="str">
        <f t="shared" ref="J1981:J1999" si="1318">"0"</f>
        <v>0</v>
      </c>
      <c r="K1981" s="1" t="str">
        <f t="shared" ref="K1981:K1999" si="1319">"103"</f>
        <v>103</v>
      </c>
      <c r="L1981" s="1" t="str">
        <f t="shared" ref="L1981:L1999" si="1320">"47"</f>
        <v>47</v>
      </c>
      <c r="M1981" s="1" t="str">
        <f t="shared" si="1315"/>
        <v>0</v>
      </c>
      <c r="N1981" s="1" t="str">
        <f t="shared" si="1316"/>
        <v>0</v>
      </c>
      <c r="O1981" s="1" t="str">
        <f>"5.44"</f>
        <v>5.44</v>
      </c>
    </row>
    <row r="1982" s="1" customFormat="1" spans="1:15">
      <c r="A1982" s="1" t="str">
        <f t="shared" si="1292"/>
        <v>202406</v>
      </c>
      <c r="B1982" s="1" t="str">
        <f t="shared" si="1293"/>
        <v>150525100</v>
      </c>
      <c r="C1982" s="1" t="str">
        <f>"1040991421"</f>
        <v>1040991421</v>
      </c>
      <c r="D1982" s="1" t="str">
        <f>"152326196209180420"</f>
        <v>152326196209180420</v>
      </c>
      <c r="E1982" s="1" t="s">
        <v>2061</v>
      </c>
      <c r="F1982" s="1" t="s">
        <v>16</v>
      </c>
      <c r="G1982" s="1" t="s">
        <v>17</v>
      </c>
      <c r="H1982" s="1" t="str">
        <f t="shared" ref="H1982:H1988" si="1321">"62"</f>
        <v>62</v>
      </c>
      <c r="I1982" s="1" t="str">
        <f>"161.19"</f>
        <v>161.19</v>
      </c>
      <c r="J1982" s="1" t="str">
        <f t="shared" si="1318"/>
        <v>0</v>
      </c>
      <c r="K1982" s="1" t="str">
        <f t="shared" si="1319"/>
        <v>103</v>
      </c>
      <c r="L1982" s="1" t="str">
        <f t="shared" si="1320"/>
        <v>47</v>
      </c>
      <c r="M1982" s="1" t="str">
        <f t="shared" si="1315"/>
        <v>0</v>
      </c>
      <c r="N1982" s="1" t="str">
        <f t="shared" si="1316"/>
        <v>0</v>
      </c>
      <c r="O1982" s="1" t="str">
        <f>"11.19"</f>
        <v>11.19</v>
      </c>
    </row>
    <row r="1983" s="1" customFormat="1" spans="1:15">
      <c r="A1983" s="1" t="str">
        <f t="shared" si="1292"/>
        <v>202406</v>
      </c>
      <c r="B1983" s="1" t="str">
        <f t="shared" si="1293"/>
        <v>150525100</v>
      </c>
      <c r="C1983" s="1" t="str">
        <f>"1041077447"</f>
        <v>1041077447</v>
      </c>
      <c r="D1983" s="1" t="str">
        <f>"152326196103120665"</f>
        <v>152326196103120665</v>
      </c>
      <c r="E1983" s="1" t="s">
        <v>2062</v>
      </c>
      <c r="F1983" s="1" t="s">
        <v>16</v>
      </c>
      <c r="G1983" s="1" t="s">
        <v>17</v>
      </c>
      <c r="H1983" s="1" t="str">
        <f>"63"</f>
        <v>63</v>
      </c>
      <c r="I1983" s="1" t="str">
        <f>"160.47"</f>
        <v>160.47</v>
      </c>
      <c r="J1983" s="1" t="str">
        <f t="shared" si="1318"/>
        <v>0</v>
      </c>
      <c r="K1983" s="1" t="str">
        <f t="shared" si="1319"/>
        <v>103</v>
      </c>
      <c r="L1983" s="1" t="str">
        <f t="shared" si="1320"/>
        <v>47</v>
      </c>
      <c r="M1983" s="1" t="str">
        <f t="shared" si="1315"/>
        <v>0</v>
      </c>
      <c r="N1983" s="1" t="str">
        <f t="shared" si="1316"/>
        <v>0</v>
      </c>
      <c r="O1983" s="1" t="str">
        <f>"10.47"</f>
        <v>10.47</v>
      </c>
    </row>
    <row r="1984" s="1" customFormat="1" spans="1:15">
      <c r="A1984" s="1" t="str">
        <f t="shared" si="1292"/>
        <v>202406</v>
      </c>
      <c r="B1984" s="1" t="str">
        <f t="shared" si="1293"/>
        <v>150525100</v>
      </c>
      <c r="C1984" s="1" t="str">
        <f>"1040982936"</f>
        <v>1040982936</v>
      </c>
      <c r="D1984" s="1" t="str">
        <f>"152326196301053838"</f>
        <v>152326196301053838</v>
      </c>
      <c r="E1984" s="1" t="s">
        <v>2063</v>
      </c>
      <c r="F1984" s="1" t="s">
        <v>25</v>
      </c>
      <c r="G1984" s="1" t="s">
        <v>19</v>
      </c>
      <c r="H1984" s="1" t="str">
        <f t="shared" si="1321"/>
        <v>62</v>
      </c>
      <c r="I1984" s="1" t="str">
        <f>"162.66"</f>
        <v>162.66</v>
      </c>
      <c r="J1984" s="1" t="str">
        <f t="shared" si="1318"/>
        <v>0</v>
      </c>
      <c r="K1984" s="1" t="str">
        <f t="shared" si="1319"/>
        <v>103</v>
      </c>
      <c r="L1984" s="1" t="str">
        <f t="shared" si="1320"/>
        <v>47</v>
      </c>
      <c r="M1984" s="1" t="str">
        <f t="shared" si="1315"/>
        <v>0</v>
      </c>
      <c r="N1984" s="1" t="str">
        <f t="shared" si="1316"/>
        <v>0</v>
      </c>
      <c r="O1984" s="1" t="str">
        <f>"12.66"</f>
        <v>12.66</v>
      </c>
    </row>
    <row r="1985" s="1" customFormat="1" spans="1:15">
      <c r="A1985" s="1" t="str">
        <f t="shared" si="1292"/>
        <v>202406</v>
      </c>
      <c r="B1985" s="1" t="str">
        <f t="shared" si="1293"/>
        <v>150525100</v>
      </c>
      <c r="C1985" s="1" t="str">
        <f>"1040937605"</f>
        <v>1040937605</v>
      </c>
      <c r="D1985" s="1" t="str">
        <f>"152326195702143821"</f>
        <v>152326195702143821</v>
      </c>
      <c r="E1985" s="1" t="s">
        <v>539</v>
      </c>
      <c r="F1985" s="1" t="s">
        <v>16</v>
      </c>
      <c r="G1985" s="1" t="s">
        <v>17</v>
      </c>
      <c r="H1985" s="1" t="str">
        <f>"67"</f>
        <v>67</v>
      </c>
      <c r="I1985" s="1" t="str">
        <f>"154.55"</f>
        <v>154.55</v>
      </c>
      <c r="J1985" s="1" t="str">
        <f t="shared" si="1318"/>
        <v>0</v>
      </c>
      <c r="K1985" s="1" t="str">
        <f t="shared" si="1319"/>
        <v>103</v>
      </c>
      <c r="L1985" s="1" t="str">
        <f t="shared" si="1320"/>
        <v>47</v>
      </c>
      <c r="M1985" s="1" t="str">
        <f t="shared" si="1315"/>
        <v>0</v>
      </c>
      <c r="N1985" s="1" t="str">
        <f t="shared" si="1316"/>
        <v>0</v>
      </c>
      <c r="O1985" s="1" t="str">
        <f>"4.55"</f>
        <v>4.55</v>
      </c>
    </row>
    <row r="1986" s="1" customFormat="1" spans="1:15">
      <c r="A1986" s="1" t="str">
        <f t="shared" ref="A1986:A2049" si="1322">"202406"</f>
        <v>202406</v>
      </c>
      <c r="B1986" s="1" t="str">
        <f t="shared" ref="B1986:B2049" si="1323">"150525100"</f>
        <v>150525100</v>
      </c>
      <c r="C1986" s="1" t="str">
        <f>"1040937624"</f>
        <v>1040937624</v>
      </c>
      <c r="D1986" s="1" t="str">
        <f>"152326196211126378"</f>
        <v>152326196211126378</v>
      </c>
      <c r="E1986" s="1" t="s">
        <v>2064</v>
      </c>
      <c r="F1986" s="1" t="s">
        <v>25</v>
      </c>
      <c r="G1986" s="1" t="s">
        <v>17</v>
      </c>
      <c r="H1986" s="1" t="str">
        <f t="shared" si="1321"/>
        <v>62</v>
      </c>
      <c r="I1986" s="1" t="str">
        <f>"164.06"</f>
        <v>164.06</v>
      </c>
      <c r="J1986" s="1" t="str">
        <f t="shared" si="1318"/>
        <v>0</v>
      </c>
      <c r="K1986" s="1" t="str">
        <f t="shared" si="1319"/>
        <v>103</v>
      </c>
      <c r="L1986" s="1" t="str">
        <f t="shared" si="1320"/>
        <v>47</v>
      </c>
      <c r="M1986" s="1" t="str">
        <f t="shared" si="1315"/>
        <v>0</v>
      </c>
      <c r="N1986" s="1" t="str">
        <f t="shared" si="1316"/>
        <v>0</v>
      </c>
      <c r="O1986" s="1" t="str">
        <f>"14.06"</f>
        <v>14.06</v>
      </c>
    </row>
    <row r="1987" s="1" customFormat="1" spans="1:15">
      <c r="A1987" s="1" t="str">
        <f t="shared" si="1322"/>
        <v>202406</v>
      </c>
      <c r="B1987" s="1" t="str">
        <f t="shared" si="1323"/>
        <v>150525100</v>
      </c>
      <c r="C1987" s="1" t="str">
        <f>"1040990019"</f>
        <v>1040990019</v>
      </c>
      <c r="D1987" s="1" t="str">
        <f>"152326196212033819"</f>
        <v>152326196212033819</v>
      </c>
      <c r="E1987" s="1" t="s">
        <v>334</v>
      </c>
      <c r="F1987" s="1" t="s">
        <v>25</v>
      </c>
      <c r="G1987" s="1" t="s">
        <v>17</v>
      </c>
      <c r="H1987" s="1" t="str">
        <f t="shared" si="1321"/>
        <v>62</v>
      </c>
      <c r="I1987" s="1" t="str">
        <f>"169.12"</f>
        <v>169.12</v>
      </c>
      <c r="J1987" s="1" t="str">
        <f t="shared" si="1318"/>
        <v>0</v>
      </c>
      <c r="K1987" s="1" t="str">
        <f t="shared" si="1319"/>
        <v>103</v>
      </c>
      <c r="L1987" s="1" t="str">
        <f t="shared" si="1320"/>
        <v>47</v>
      </c>
      <c r="M1987" s="1" t="str">
        <f t="shared" si="1315"/>
        <v>0</v>
      </c>
      <c r="N1987" s="1" t="str">
        <f t="shared" si="1316"/>
        <v>0</v>
      </c>
      <c r="O1987" s="1" t="str">
        <f>"19.12"</f>
        <v>19.12</v>
      </c>
    </row>
    <row r="1988" s="1" customFormat="1" spans="1:15">
      <c r="A1988" s="1" t="str">
        <f t="shared" si="1322"/>
        <v>202406</v>
      </c>
      <c r="B1988" s="1" t="str">
        <f t="shared" si="1323"/>
        <v>150525100</v>
      </c>
      <c r="C1988" s="1" t="str">
        <f>"1040984062"</f>
        <v>1040984062</v>
      </c>
      <c r="D1988" s="1" t="str">
        <f>"152326196206133848"</f>
        <v>152326196206133848</v>
      </c>
      <c r="E1988" s="1" t="s">
        <v>2065</v>
      </c>
      <c r="F1988" s="1" t="s">
        <v>16</v>
      </c>
      <c r="G1988" s="1" t="s">
        <v>17</v>
      </c>
      <c r="H1988" s="1" t="str">
        <f t="shared" si="1321"/>
        <v>62</v>
      </c>
      <c r="I1988" s="1" t="str">
        <f>"161.12"</f>
        <v>161.12</v>
      </c>
      <c r="J1988" s="1" t="str">
        <f t="shared" si="1318"/>
        <v>0</v>
      </c>
      <c r="K1988" s="1" t="str">
        <f t="shared" si="1319"/>
        <v>103</v>
      </c>
      <c r="L1988" s="1" t="str">
        <f t="shared" si="1320"/>
        <v>47</v>
      </c>
      <c r="M1988" s="1" t="str">
        <f t="shared" si="1315"/>
        <v>0</v>
      </c>
      <c r="N1988" s="1" t="str">
        <f t="shared" si="1316"/>
        <v>0</v>
      </c>
      <c r="O1988" s="1" t="str">
        <f>"11.12"</f>
        <v>11.12</v>
      </c>
    </row>
    <row r="1989" s="1" customFormat="1" spans="1:15">
      <c r="A1989" s="1" t="str">
        <f t="shared" si="1322"/>
        <v>202406</v>
      </c>
      <c r="B1989" s="1" t="str">
        <f t="shared" si="1323"/>
        <v>150525100</v>
      </c>
      <c r="C1989" s="1" t="str">
        <f>"1040937052"</f>
        <v>1040937052</v>
      </c>
      <c r="D1989" s="1" t="str">
        <f>"152326195809160920"</f>
        <v>152326195809160920</v>
      </c>
      <c r="E1989" s="1" t="s">
        <v>2066</v>
      </c>
      <c r="F1989" s="1" t="s">
        <v>16</v>
      </c>
      <c r="G1989" s="1" t="s">
        <v>19</v>
      </c>
      <c r="H1989" s="1" t="str">
        <f>"66"</f>
        <v>66</v>
      </c>
      <c r="I1989" s="1" t="str">
        <f>"157.21"</f>
        <v>157.21</v>
      </c>
      <c r="J1989" s="1" t="str">
        <f t="shared" si="1318"/>
        <v>0</v>
      </c>
      <c r="K1989" s="1" t="str">
        <f t="shared" si="1319"/>
        <v>103</v>
      </c>
      <c r="L1989" s="1" t="str">
        <f t="shared" si="1320"/>
        <v>47</v>
      </c>
      <c r="M1989" s="1" t="str">
        <f t="shared" si="1315"/>
        <v>0</v>
      </c>
      <c r="N1989" s="1" t="str">
        <f t="shared" si="1316"/>
        <v>0</v>
      </c>
      <c r="O1989" s="1" t="str">
        <f>"7.21"</f>
        <v>7.21</v>
      </c>
    </row>
    <row r="1990" s="1" customFormat="1" spans="1:15">
      <c r="A1990" s="1" t="str">
        <f t="shared" si="1322"/>
        <v>202406</v>
      </c>
      <c r="B1990" s="1" t="str">
        <f t="shared" si="1323"/>
        <v>150525100</v>
      </c>
      <c r="C1990" s="1" t="str">
        <f>"1040937055"</f>
        <v>1040937055</v>
      </c>
      <c r="D1990" s="1" t="str">
        <f>"152326195908080926"</f>
        <v>152326195908080926</v>
      </c>
      <c r="E1990" s="1" t="s">
        <v>2067</v>
      </c>
      <c r="F1990" s="1" t="s">
        <v>16</v>
      </c>
      <c r="G1990" s="1" t="s">
        <v>19</v>
      </c>
      <c r="H1990" s="1" t="str">
        <f>"65"</f>
        <v>65</v>
      </c>
      <c r="I1990" s="1" t="str">
        <f>"157.27"</f>
        <v>157.27</v>
      </c>
      <c r="J1990" s="1" t="str">
        <f t="shared" si="1318"/>
        <v>0</v>
      </c>
      <c r="K1990" s="1" t="str">
        <f t="shared" si="1319"/>
        <v>103</v>
      </c>
      <c r="L1990" s="1" t="str">
        <f t="shared" si="1320"/>
        <v>47</v>
      </c>
      <c r="M1990" s="1" t="str">
        <f t="shared" si="1315"/>
        <v>0</v>
      </c>
      <c r="N1990" s="1" t="str">
        <f t="shared" si="1316"/>
        <v>0</v>
      </c>
      <c r="O1990" s="1" t="str">
        <f>"7.27"</f>
        <v>7.27</v>
      </c>
    </row>
    <row r="1991" s="1" customFormat="1" spans="1:15">
      <c r="A1991" s="1" t="str">
        <f t="shared" si="1322"/>
        <v>202406</v>
      </c>
      <c r="B1991" s="1" t="str">
        <f t="shared" si="1323"/>
        <v>150525100</v>
      </c>
      <c r="C1991" s="1" t="str">
        <f>"1040937072"</f>
        <v>1040937072</v>
      </c>
      <c r="D1991" s="1" t="str">
        <f>"152326195703060665"</f>
        <v>152326195703060665</v>
      </c>
      <c r="E1991" s="1" t="s">
        <v>2068</v>
      </c>
      <c r="F1991" s="1" t="s">
        <v>16</v>
      </c>
      <c r="G1991" s="1" t="s">
        <v>19</v>
      </c>
      <c r="H1991" s="1" t="str">
        <f>"67"</f>
        <v>67</v>
      </c>
      <c r="I1991" s="1" t="str">
        <f>"155.46"</f>
        <v>155.46</v>
      </c>
      <c r="J1991" s="1" t="str">
        <f t="shared" si="1318"/>
        <v>0</v>
      </c>
      <c r="K1991" s="1" t="str">
        <f t="shared" si="1319"/>
        <v>103</v>
      </c>
      <c r="L1991" s="1" t="str">
        <f t="shared" si="1320"/>
        <v>47</v>
      </c>
      <c r="M1991" s="1" t="str">
        <f t="shared" si="1315"/>
        <v>0</v>
      </c>
      <c r="N1991" s="1" t="str">
        <f t="shared" si="1316"/>
        <v>0</v>
      </c>
      <c r="O1991" s="1" t="str">
        <f>"5.46"</f>
        <v>5.46</v>
      </c>
    </row>
    <row r="1992" s="1" customFormat="1" spans="1:15">
      <c r="A1992" s="1" t="str">
        <f t="shared" si="1322"/>
        <v>202406</v>
      </c>
      <c r="B1992" s="1" t="str">
        <f t="shared" si="1323"/>
        <v>150525100</v>
      </c>
      <c r="C1992" s="1" t="str">
        <f>"1040937105"</f>
        <v>1040937105</v>
      </c>
      <c r="D1992" s="1" t="str">
        <f>"152326196201250666"</f>
        <v>152326196201250666</v>
      </c>
      <c r="E1992" s="1" t="s">
        <v>2069</v>
      </c>
      <c r="F1992" s="1" t="s">
        <v>16</v>
      </c>
      <c r="G1992" s="1" t="s">
        <v>17</v>
      </c>
      <c r="H1992" s="1" t="str">
        <f>"62"</f>
        <v>62</v>
      </c>
      <c r="I1992" s="1" t="str">
        <f>"162.27"</f>
        <v>162.27</v>
      </c>
      <c r="J1992" s="1" t="str">
        <f t="shared" si="1318"/>
        <v>0</v>
      </c>
      <c r="K1992" s="1" t="str">
        <f t="shared" si="1319"/>
        <v>103</v>
      </c>
      <c r="L1992" s="1" t="str">
        <f t="shared" si="1320"/>
        <v>47</v>
      </c>
      <c r="M1992" s="1" t="str">
        <f t="shared" si="1315"/>
        <v>0</v>
      </c>
      <c r="N1992" s="1" t="str">
        <f t="shared" si="1316"/>
        <v>0</v>
      </c>
      <c r="O1992" s="1" t="str">
        <f>"12.27"</f>
        <v>12.27</v>
      </c>
    </row>
    <row r="1993" s="1" customFormat="1" spans="1:15">
      <c r="A1993" s="1" t="str">
        <f t="shared" si="1322"/>
        <v>202406</v>
      </c>
      <c r="B1993" s="1" t="str">
        <f t="shared" si="1323"/>
        <v>150525100</v>
      </c>
      <c r="C1993" s="1" t="str">
        <f>"1040937116"</f>
        <v>1040937116</v>
      </c>
      <c r="D1993" s="1" t="str">
        <f>"152326196007250662"</f>
        <v>152326196007250662</v>
      </c>
      <c r="E1993" s="1" t="s">
        <v>2070</v>
      </c>
      <c r="F1993" s="1" t="s">
        <v>16</v>
      </c>
      <c r="G1993" s="1" t="s">
        <v>19</v>
      </c>
      <c r="H1993" s="1" t="str">
        <f>"64"</f>
        <v>64</v>
      </c>
      <c r="I1993" s="1" t="str">
        <f>"158.62"</f>
        <v>158.62</v>
      </c>
      <c r="J1993" s="1" t="str">
        <f t="shared" si="1318"/>
        <v>0</v>
      </c>
      <c r="K1993" s="1" t="str">
        <f t="shared" si="1319"/>
        <v>103</v>
      </c>
      <c r="L1993" s="1" t="str">
        <f t="shared" si="1320"/>
        <v>47</v>
      </c>
      <c r="M1993" s="1" t="str">
        <f t="shared" si="1315"/>
        <v>0</v>
      </c>
      <c r="N1993" s="1" t="str">
        <f t="shared" si="1316"/>
        <v>0</v>
      </c>
      <c r="O1993" s="1" t="str">
        <f>"8.62"</f>
        <v>8.62</v>
      </c>
    </row>
    <row r="1994" s="1" customFormat="1" spans="1:15">
      <c r="A1994" s="1" t="str">
        <f t="shared" si="1322"/>
        <v>202406</v>
      </c>
      <c r="B1994" s="1" t="str">
        <f t="shared" si="1323"/>
        <v>150525100</v>
      </c>
      <c r="C1994" s="1" t="str">
        <f>"1040937124"</f>
        <v>1040937124</v>
      </c>
      <c r="D1994" s="1" t="str">
        <f>"152326196201070673"</f>
        <v>152326196201070673</v>
      </c>
      <c r="E1994" s="1" t="s">
        <v>2071</v>
      </c>
      <c r="F1994" s="1" t="s">
        <v>25</v>
      </c>
      <c r="G1994" s="1" t="s">
        <v>17</v>
      </c>
      <c r="H1994" s="1" t="str">
        <f>"63"</f>
        <v>63</v>
      </c>
      <c r="I1994" s="1" t="str">
        <f>"162.27"</f>
        <v>162.27</v>
      </c>
      <c r="J1994" s="1" t="str">
        <f t="shared" si="1318"/>
        <v>0</v>
      </c>
      <c r="K1994" s="1" t="str">
        <f t="shared" si="1319"/>
        <v>103</v>
      </c>
      <c r="L1994" s="1" t="str">
        <f t="shared" si="1320"/>
        <v>47</v>
      </c>
      <c r="M1994" s="1" t="str">
        <f t="shared" si="1315"/>
        <v>0</v>
      </c>
      <c r="N1994" s="1" t="str">
        <f t="shared" si="1316"/>
        <v>0</v>
      </c>
      <c r="O1994" s="1" t="str">
        <f>"12.27"</f>
        <v>12.27</v>
      </c>
    </row>
    <row r="1995" s="1" customFormat="1" spans="1:15">
      <c r="A1995" s="1" t="str">
        <f t="shared" si="1322"/>
        <v>202406</v>
      </c>
      <c r="B1995" s="1" t="str">
        <f t="shared" si="1323"/>
        <v>150525100</v>
      </c>
      <c r="C1995" s="1" t="str">
        <f>"1040937167"</f>
        <v>1040937167</v>
      </c>
      <c r="D1995" s="1" t="str">
        <f>"152326195808080662"</f>
        <v>152326195808080662</v>
      </c>
      <c r="E1995" s="1" t="s">
        <v>2072</v>
      </c>
      <c r="F1995" s="1" t="s">
        <v>16</v>
      </c>
      <c r="G1995" s="1" t="s">
        <v>17</v>
      </c>
      <c r="H1995" s="1" t="str">
        <f>"66"</f>
        <v>66</v>
      </c>
      <c r="I1995" s="1" t="str">
        <f>"156.53"</f>
        <v>156.53</v>
      </c>
      <c r="J1995" s="1" t="str">
        <f t="shared" si="1318"/>
        <v>0</v>
      </c>
      <c r="K1995" s="1" t="str">
        <f t="shared" si="1319"/>
        <v>103</v>
      </c>
      <c r="L1995" s="1" t="str">
        <f t="shared" si="1320"/>
        <v>47</v>
      </c>
      <c r="M1995" s="1" t="str">
        <f t="shared" si="1315"/>
        <v>0</v>
      </c>
      <c r="N1995" s="1" t="str">
        <f t="shared" si="1316"/>
        <v>0</v>
      </c>
      <c r="O1995" s="1" t="str">
        <f>"6.53"</f>
        <v>6.53</v>
      </c>
    </row>
    <row r="1996" s="1" customFormat="1" spans="1:15">
      <c r="A1996" s="1" t="str">
        <f t="shared" si="1322"/>
        <v>202406</v>
      </c>
      <c r="B1996" s="1" t="str">
        <f t="shared" si="1323"/>
        <v>150525100</v>
      </c>
      <c r="C1996" s="1" t="str">
        <f>"1040937198"</f>
        <v>1040937198</v>
      </c>
      <c r="D1996" s="1" t="str">
        <f>"152326195703070679"</f>
        <v>152326195703070679</v>
      </c>
      <c r="E1996" s="1" t="s">
        <v>2073</v>
      </c>
      <c r="F1996" s="1" t="s">
        <v>25</v>
      </c>
      <c r="G1996" s="1" t="s">
        <v>17</v>
      </c>
      <c r="H1996" s="1" t="str">
        <f t="shared" ref="H1996:H2001" si="1324">"67"</f>
        <v>67</v>
      </c>
      <c r="I1996" s="1" t="str">
        <f>"155.46"</f>
        <v>155.46</v>
      </c>
      <c r="J1996" s="1" t="str">
        <f t="shared" si="1318"/>
        <v>0</v>
      </c>
      <c r="K1996" s="1" t="str">
        <f t="shared" si="1319"/>
        <v>103</v>
      </c>
      <c r="L1996" s="1" t="str">
        <f t="shared" si="1320"/>
        <v>47</v>
      </c>
      <c r="M1996" s="1" t="str">
        <f t="shared" si="1315"/>
        <v>0</v>
      </c>
      <c r="N1996" s="1" t="str">
        <f t="shared" si="1316"/>
        <v>0</v>
      </c>
      <c r="O1996" s="1" t="str">
        <f>"5.46"</f>
        <v>5.46</v>
      </c>
    </row>
    <row r="1997" s="1" customFormat="1" spans="1:15">
      <c r="A1997" s="1" t="str">
        <f t="shared" si="1322"/>
        <v>202406</v>
      </c>
      <c r="B1997" s="1" t="str">
        <f t="shared" si="1323"/>
        <v>150525100</v>
      </c>
      <c r="C1997" s="1" t="str">
        <f>"1040937216"</f>
        <v>1040937216</v>
      </c>
      <c r="D1997" s="1" t="str">
        <f>"152326195801220677"</f>
        <v>152326195801220677</v>
      </c>
      <c r="E1997" s="1" t="s">
        <v>2074</v>
      </c>
      <c r="F1997" s="1" t="s">
        <v>25</v>
      </c>
      <c r="G1997" s="1" t="s">
        <v>17</v>
      </c>
      <c r="H1997" s="1" t="str">
        <f>"66"</f>
        <v>66</v>
      </c>
      <c r="I1997" s="1" t="str">
        <f>"156.47"</f>
        <v>156.47</v>
      </c>
      <c r="J1997" s="1" t="str">
        <f t="shared" si="1318"/>
        <v>0</v>
      </c>
      <c r="K1997" s="1" t="str">
        <f t="shared" si="1319"/>
        <v>103</v>
      </c>
      <c r="L1997" s="1" t="str">
        <f t="shared" si="1320"/>
        <v>47</v>
      </c>
      <c r="M1997" s="1" t="str">
        <f t="shared" si="1315"/>
        <v>0</v>
      </c>
      <c r="N1997" s="1" t="str">
        <f t="shared" si="1316"/>
        <v>0</v>
      </c>
      <c r="O1997" s="1" t="str">
        <f>"6.47"</f>
        <v>6.47</v>
      </c>
    </row>
    <row r="1998" s="1" customFormat="1" spans="1:15">
      <c r="A1998" s="1" t="str">
        <f t="shared" si="1322"/>
        <v>202406</v>
      </c>
      <c r="B1998" s="1" t="str">
        <f t="shared" si="1323"/>
        <v>150525100</v>
      </c>
      <c r="C1998" s="1" t="str">
        <f>"1040937229"</f>
        <v>1040937229</v>
      </c>
      <c r="D1998" s="1" t="str">
        <f>"152326195705150664"</f>
        <v>152326195705150664</v>
      </c>
      <c r="E1998" s="1" t="s">
        <v>2075</v>
      </c>
      <c r="F1998" s="1" t="s">
        <v>16</v>
      </c>
      <c r="G1998" s="1" t="s">
        <v>17</v>
      </c>
      <c r="H1998" s="1" t="str">
        <f t="shared" si="1324"/>
        <v>67</v>
      </c>
      <c r="I1998" s="1" t="str">
        <f>"155.48"</f>
        <v>155.48</v>
      </c>
      <c r="J1998" s="1" t="str">
        <f t="shared" si="1318"/>
        <v>0</v>
      </c>
      <c r="K1998" s="1" t="str">
        <f t="shared" si="1319"/>
        <v>103</v>
      </c>
      <c r="L1998" s="1" t="str">
        <f t="shared" si="1320"/>
        <v>47</v>
      </c>
      <c r="M1998" s="1" t="str">
        <f t="shared" si="1315"/>
        <v>0</v>
      </c>
      <c r="N1998" s="1" t="str">
        <f t="shared" si="1316"/>
        <v>0</v>
      </c>
      <c r="O1998" s="1" t="str">
        <f>"5.48"</f>
        <v>5.48</v>
      </c>
    </row>
    <row r="1999" s="1" customFormat="1" spans="1:15">
      <c r="A1999" s="1" t="str">
        <f t="shared" si="1322"/>
        <v>202406</v>
      </c>
      <c r="B1999" s="1" t="str">
        <f t="shared" si="1323"/>
        <v>150525100</v>
      </c>
      <c r="C1999" s="1" t="str">
        <f>"1040937231"</f>
        <v>1040937231</v>
      </c>
      <c r="D1999" s="1" t="str">
        <f>"152326196001230679"</f>
        <v>152326196001230679</v>
      </c>
      <c r="E1999" s="1" t="s">
        <v>2076</v>
      </c>
      <c r="F1999" s="1" t="s">
        <v>25</v>
      </c>
      <c r="G1999" s="1" t="s">
        <v>17</v>
      </c>
      <c r="H1999" s="1" t="str">
        <f>"64"</f>
        <v>64</v>
      </c>
      <c r="I1999" s="1" t="str">
        <f>"158.56"</f>
        <v>158.56</v>
      </c>
      <c r="J1999" s="1" t="str">
        <f t="shared" si="1318"/>
        <v>0</v>
      </c>
      <c r="K1999" s="1" t="str">
        <f t="shared" si="1319"/>
        <v>103</v>
      </c>
      <c r="L1999" s="1" t="str">
        <f t="shared" si="1320"/>
        <v>47</v>
      </c>
      <c r="M1999" s="1" t="str">
        <f t="shared" si="1315"/>
        <v>0</v>
      </c>
      <c r="N1999" s="1" t="str">
        <f t="shared" si="1316"/>
        <v>0</v>
      </c>
      <c r="O1999" s="1" t="str">
        <f>"8.56"</f>
        <v>8.56</v>
      </c>
    </row>
    <row r="2000" s="1" customFormat="1" spans="1:15">
      <c r="A2000" s="1" t="str">
        <f t="shared" si="1322"/>
        <v>202406</v>
      </c>
      <c r="B2000" s="1" t="str">
        <f t="shared" si="1323"/>
        <v>150525100</v>
      </c>
      <c r="C2000" s="1" t="str">
        <f>"1040937710"</f>
        <v>1040937710</v>
      </c>
      <c r="D2000" s="1" t="str">
        <f>"152326195602250419"</f>
        <v>152326195602250419</v>
      </c>
      <c r="E2000" s="1" t="s">
        <v>2077</v>
      </c>
      <c r="F2000" s="1" t="s">
        <v>25</v>
      </c>
      <c r="G2000" s="1" t="s">
        <v>17</v>
      </c>
      <c r="H2000" s="1" t="str">
        <f>"68"</f>
        <v>68</v>
      </c>
      <c r="I2000" s="1" t="str">
        <f>"958.92"</f>
        <v>958.92</v>
      </c>
      <c r="J2000" s="1" t="str">
        <f>"799.1"</f>
        <v>799.1</v>
      </c>
      <c r="K2000" s="1" t="str">
        <f>"618"</f>
        <v>618</v>
      </c>
      <c r="L2000" s="1" t="str">
        <f>"282"</f>
        <v>282</v>
      </c>
      <c r="M2000" s="1" t="str">
        <f t="shared" si="1315"/>
        <v>0</v>
      </c>
      <c r="N2000" s="1" t="str">
        <f t="shared" si="1316"/>
        <v>0</v>
      </c>
      <c r="O2000" s="1" t="str">
        <f>"58.92"</f>
        <v>58.92</v>
      </c>
    </row>
    <row r="2001" s="1" customFormat="1" spans="1:15">
      <c r="A2001" s="1" t="str">
        <f t="shared" si="1322"/>
        <v>202406</v>
      </c>
      <c r="B2001" s="1" t="str">
        <f t="shared" si="1323"/>
        <v>150525100</v>
      </c>
      <c r="C2001" s="1" t="str">
        <f>"1040937711"</f>
        <v>1040937711</v>
      </c>
      <c r="D2001" s="1" t="str">
        <f>"152326195710110413"</f>
        <v>152326195710110413</v>
      </c>
      <c r="E2001" s="1" t="s">
        <v>2078</v>
      </c>
      <c r="F2001" s="1" t="s">
        <v>25</v>
      </c>
      <c r="G2001" s="1" t="s">
        <v>17</v>
      </c>
      <c r="H2001" s="1" t="str">
        <f t="shared" si="1324"/>
        <v>67</v>
      </c>
      <c r="I2001" s="1" t="str">
        <f>"174.15"</f>
        <v>174.15</v>
      </c>
      <c r="J2001" s="1" t="str">
        <f t="shared" ref="J2001:J2014" si="1325">"0"</f>
        <v>0</v>
      </c>
      <c r="K2001" s="1" t="str">
        <f t="shared" ref="K2001:K2014" si="1326">"103"</f>
        <v>103</v>
      </c>
      <c r="L2001" s="1" t="str">
        <f t="shared" ref="L2001:L2014" si="1327">"47"</f>
        <v>47</v>
      </c>
      <c r="M2001" s="1" t="str">
        <f t="shared" si="1315"/>
        <v>0</v>
      </c>
      <c r="N2001" s="1" t="str">
        <f t="shared" si="1316"/>
        <v>0</v>
      </c>
      <c r="O2001" s="1" t="str">
        <f>"24.15"</f>
        <v>24.15</v>
      </c>
    </row>
    <row r="2002" s="1" customFormat="1" spans="1:15">
      <c r="A2002" s="1" t="str">
        <f t="shared" si="1322"/>
        <v>202406</v>
      </c>
      <c r="B2002" s="1" t="str">
        <f t="shared" si="1323"/>
        <v>150525100</v>
      </c>
      <c r="C2002" s="1" t="str">
        <f>"1040937713"</f>
        <v>1040937713</v>
      </c>
      <c r="D2002" s="1" t="str">
        <f>"152326195807273323"</f>
        <v>152326195807273323</v>
      </c>
      <c r="E2002" s="1" t="s">
        <v>2079</v>
      </c>
      <c r="F2002" s="1" t="s">
        <v>16</v>
      </c>
      <c r="G2002" s="1" t="s">
        <v>17</v>
      </c>
      <c r="H2002" s="1" t="str">
        <f>"66"</f>
        <v>66</v>
      </c>
      <c r="I2002" s="1" t="str">
        <f>"155.6"</f>
        <v>155.6</v>
      </c>
      <c r="J2002" s="1" t="str">
        <f t="shared" si="1325"/>
        <v>0</v>
      </c>
      <c r="K2002" s="1" t="str">
        <f t="shared" si="1326"/>
        <v>103</v>
      </c>
      <c r="L2002" s="1" t="str">
        <f t="shared" si="1327"/>
        <v>47</v>
      </c>
      <c r="M2002" s="1" t="str">
        <f t="shared" si="1315"/>
        <v>0</v>
      </c>
      <c r="N2002" s="1" t="str">
        <f t="shared" si="1316"/>
        <v>0</v>
      </c>
      <c r="O2002" s="1" t="str">
        <f>"5.6"</f>
        <v>5.6</v>
      </c>
    </row>
    <row r="2003" s="1" customFormat="1" spans="1:15">
      <c r="A2003" s="1" t="str">
        <f t="shared" si="1322"/>
        <v>202406</v>
      </c>
      <c r="B2003" s="1" t="str">
        <f t="shared" si="1323"/>
        <v>150525100</v>
      </c>
      <c r="C2003" s="1" t="str">
        <f>"1040937254"</f>
        <v>1040937254</v>
      </c>
      <c r="D2003" s="1" t="str">
        <f>"152326195702010682"</f>
        <v>152326195702010682</v>
      </c>
      <c r="E2003" s="1" t="s">
        <v>2080</v>
      </c>
      <c r="F2003" s="1" t="s">
        <v>16</v>
      </c>
      <c r="G2003" s="1" t="s">
        <v>17</v>
      </c>
      <c r="H2003" s="1" t="str">
        <f>"67"</f>
        <v>67</v>
      </c>
      <c r="I2003" s="1" t="str">
        <f>"155.46"</f>
        <v>155.46</v>
      </c>
      <c r="J2003" s="1" t="str">
        <f t="shared" si="1325"/>
        <v>0</v>
      </c>
      <c r="K2003" s="1" t="str">
        <f t="shared" si="1326"/>
        <v>103</v>
      </c>
      <c r="L2003" s="1" t="str">
        <f t="shared" si="1327"/>
        <v>47</v>
      </c>
      <c r="M2003" s="1" t="str">
        <f t="shared" si="1315"/>
        <v>0</v>
      </c>
      <c r="N2003" s="1" t="str">
        <f t="shared" si="1316"/>
        <v>0</v>
      </c>
      <c r="O2003" s="1" t="str">
        <f>"5.46"</f>
        <v>5.46</v>
      </c>
    </row>
    <row r="2004" s="1" customFormat="1" spans="1:15">
      <c r="A2004" s="1" t="str">
        <f t="shared" si="1322"/>
        <v>202406</v>
      </c>
      <c r="B2004" s="1" t="str">
        <f t="shared" si="1323"/>
        <v>150525100</v>
      </c>
      <c r="C2004" s="1" t="str">
        <f>"1041161483"</f>
        <v>1041161483</v>
      </c>
      <c r="D2004" s="1" t="str">
        <f>"152326196306230426"</f>
        <v>152326196306230426</v>
      </c>
      <c r="E2004" s="1" t="s">
        <v>413</v>
      </c>
      <c r="F2004" s="1" t="s">
        <v>16</v>
      </c>
      <c r="G2004" s="1" t="s">
        <v>17</v>
      </c>
      <c r="H2004" s="1" t="str">
        <f>"61"</f>
        <v>61</v>
      </c>
      <c r="I2004" s="1" t="str">
        <f>"165.21"</f>
        <v>165.21</v>
      </c>
      <c r="J2004" s="1" t="str">
        <f t="shared" si="1325"/>
        <v>0</v>
      </c>
      <c r="K2004" s="1" t="str">
        <f t="shared" si="1326"/>
        <v>103</v>
      </c>
      <c r="L2004" s="1" t="str">
        <f t="shared" si="1327"/>
        <v>47</v>
      </c>
      <c r="M2004" s="1" t="str">
        <f t="shared" si="1315"/>
        <v>0</v>
      </c>
      <c r="N2004" s="1" t="str">
        <f t="shared" si="1316"/>
        <v>0</v>
      </c>
      <c r="O2004" s="1" t="str">
        <f>"15.21"</f>
        <v>15.21</v>
      </c>
    </row>
    <row r="2005" s="1" customFormat="1" spans="1:15">
      <c r="A2005" s="1" t="str">
        <f t="shared" si="1322"/>
        <v>202406</v>
      </c>
      <c r="B2005" s="1" t="str">
        <f t="shared" si="1323"/>
        <v>150525100</v>
      </c>
      <c r="C2005" s="1" t="str">
        <f>"1041127794"</f>
        <v>1041127794</v>
      </c>
      <c r="D2005" s="1" t="str">
        <f>"152326195605030673"</f>
        <v>152326195605030673</v>
      </c>
      <c r="E2005" s="1" t="s">
        <v>2081</v>
      </c>
      <c r="F2005" s="1" t="s">
        <v>25</v>
      </c>
      <c r="G2005" s="1" t="s">
        <v>17</v>
      </c>
      <c r="H2005" s="1" t="str">
        <f>"68"</f>
        <v>68</v>
      </c>
      <c r="I2005" s="1" t="str">
        <f>"155.4"</f>
        <v>155.4</v>
      </c>
      <c r="J2005" s="1" t="str">
        <f t="shared" si="1325"/>
        <v>0</v>
      </c>
      <c r="K2005" s="1" t="str">
        <f t="shared" si="1326"/>
        <v>103</v>
      </c>
      <c r="L2005" s="1" t="str">
        <f t="shared" si="1327"/>
        <v>47</v>
      </c>
      <c r="M2005" s="1" t="str">
        <f t="shared" si="1315"/>
        <v>0</v>
      </c>
      <c r="N2005" s="1" t="str">
        <f t="shared" si="1316"/>
        <v>0</v>
      </c>
      <c r="O2005" s="1" t="str">
        <f>"5.4"</f>
        <v>5.4</v>
      </c>
    </row>
    <row r="2006" s="1" customFormat="1" spans="1:15">
      <c r="A2006" s="1" t="str">
        <f t="shared" si="1322"/>
        <v>202406</v>
      </c>
      <c r="B2006" s="1" t="str">
        <f t="shared" si="1323"/>
        <v>150525100</v>
      </c>
      <c r="C2006" s="1" t="str">
        <f>"1041352078"</f>
        <v>1041352078</v>
      </c>
      <c r="D2006" s="1" t="str">
        <f>"152326196209170425"</f>
        <v>152326196209170425</v>
      </c>
      <c r="E2006" s="1" t="s">
        <v>1177</v>
      </c>
      <c r="F2006" s="1" t="s">
        <v>16</v>
      </c>
      <c r="G2006" s="1" t="s">
        <v>17</v>
      </c>
      <c r="H2006" s="1" t="str">
        <f>"62"</f>
        <v>62</v>
      </c>
      <c r="I2006" s="1" t="str">
        <f>"160.87"</f>
        <v>160.87</v>
      </c>
      <c r="J2006" s="1" t="str">
        <f t="shared" si="1325"/>
        <v>0</v>
      </c>
      <c r="K2006" s="1" t="str">
        <f t="shared" si="1326"/>
        <v>103</v>
      </c>
      <c r="L2006" s="1" t="str">
        <f t="shared" si="1327"/>
        <v>47</v>
      </c>
      <c r="M2006" s="1" t="str">
        <f t="shared" si="1315"/>
        <v>0</v>
      </c>
      <c r="N2006" s="1" t="str">
        <f t="shared" si="1316"/>
        <v>0</v>
      </c>
      <c r="O2006" s="1" t="str">
        <f>"10.87"</f>
        <v>10.87</v>
      </c>
    </row>
    <row r="2007" s="1" customFormat="1" spans="1:15">
      <c r="A2007" s="1" t="str">
        <f t="shared" si="1322"/>
        <v>202406</v>
      </c>
      <c r="B2007" s="1" t="str">
        <f t="shared" si="1323"/>
        <v>150525100</v>
      </c>
      <c r="C2007" s="1" t="str">
        <f>"1041339996"</f>
        <v>1041339996</v>
      </c>
      <c r="D2007" s="1" t="str">
        <f>"152326195703073087"</f>
        <v>152326195703073087</v>
      </c>
      <c r="E2007" s="1" t="s">
        <v>2082</v>
      </c>
      <c r="F2007" s="1" t="s">
        <v>16</v>
      </c>
      <c r="G2007" s="1" t="s">
        <v>17</v>
      </c>
      <c r="H2007" s="1" t="str">
        <f>"67"</f>
        <v>67</v>
      </c>
      <c r="I2007" s="1" t="str">
        <f t="shared" ref="I2007:I2012" si="1328">"155.04"</f>
        <v>155.04</v>
      </c>
      <c r="J2007" s="1" t="str">
        <f t="shared" si="1325"/>
        <v>0</v>
      </c>
      <c r="K2007" s="1" t="str">
        <f t="shared" si="1326"/>
        <v>103</v>
      </c>
      <c r="L2007" s="1" t="str">
        <f t="shared" si="1327"/>
        <v>47</v>
      </c>
      <c r="M2007" s="1" t="str">
        <f t="shared" si="1315"/>
        <v>0</v>
      </c>
      <c r="N2007" s="1" t="str">
        <f t="shared" si="1316"/>
        <v>0</v>
      </c>
      <c r="O2007" s="1" t="str">
        <f t="shared" ref="O2007:O2012" si="1329">"5.04"</f>
        <v>5.04</v>
      </c>
    </row>
    <row r="2008" s="1" customFormat="1" spans="1:15">
      <c r="A2008" s="1" t="str">
        <f t="shared" si="1322"/>
        <v>202406</v>
      </c>
      <c r="B2008" s="1" t="str">
        <f t="shared" si="1323"/>
        <v>150525100</v>
      </c>
      <c r="C2008" s="1" t="str">
        <f>"1041351993"</f>
        <v>1041351993</v>
      </c>
      <c r="D2008" s="1" t="str">
        <f>"152326196109190429"</f>
        <v>152326196109190429</v>
      </c>
      <c r="E2008" s="1" t="s">
        <v>364</v>
      </c>
      <c r="F2008" s="1" t="s">
        <v>16</v>
      </c>
      <c r="G2008" s="1" t="s">
        <v>19</v>
      </c>
      <c r="H2008" s="1" t="str">
        <f>"63"</f>
        <v>63</v>
      </c>
      <c r="I2008" s="1" t="str">
        <f>"158.91"</f>
        <v>158.91</v>
      </c>
      <c r="J2008" s="1" t="str">
        <f t="shared" si="1325"/>
        <v>0</v>
      </c>
      <c r="K2008" s="1" t="str">
        <f t="shared" si="1326"/>
        <v>103</v>
      </c>
      <c r="L2008" s="1" t="str">
        <f t="shared" si="1327"/>
        <v>47</v>
      </c>
      <c r="M2008" s="1" t="str">
        <f t="shared" si="1315"/>
        <v>0</v>
      </c>
      <c r="N2008" s="1" t="str">
        <f t="shared" si="1316"/>
        <v>0</v>
      </c>
      <c r="O2008" s="1" t="str">
        <f>"8.91"</f>
        <v>8.91</v>
      </c>
    </row>
    <row r="2009" s="1" customFormat="1" spans="1:15">
      <c r="A2009" s="1" t="str">
        <f t="shared" si="1322"/>
        <v>202406</v>
      </c>
      <c r="B2009" s="1" t="str">
        <f t="shared" si="1323"/>
        <v>150525100</v>
      </c>
      <c r="C2009" s="1" t="str">
        <f>"1041363142"</f>
        <v>1041363142</v>
      </c>
      <c r="D2009" s="1" t="str">
        <f>"152326196209190661"</f>
        <v>152326196209190661</v>
      </c>
      <c r="E2009" s="1" t="s">
        <v>2083</v>
      </c>
      <c r="F2009" s="1" t="s">
        <v>16</v>
      </c>
      <c r="G2009" s="1" t="s">
        <v>17</v>
      </c>
      <c r="H2009" s="1" t="str">
        <f>"62"</f>
        <v>62</v>
      </c>
      <c r="I2009" s="1" t="str">
        <f>"161.48"</f>
        <v>161.48</v>
      </c>
      <c r="J2009" s="1" t="str">
        <f t="shared" si="1325"/>
        <v>0</v>
      </c>
      <c r="K2009" s="1" t="str">
        <f t="shared" si="1326"/>
        <v>103</v>
      </c>
      <c r="L2009" s="1" t="str">
        <f t="shared" si="1327"/>
        <v>47</v>
      </c>
      <c r="M2009" s="1" t="str">
        <f t="shared" si="1315"/>
        <v>0</v>
      </c>
      <c r="N2009" s="1" t="str">
        <f t="shared" si="1316"/>
        <v>0</v>
      </c>
      <c r="O2009" s="1" t="str">
        <f>"11.48"</f>
        <v>11.48</v>
      </c>
    </row>
    <row r="2010" s="1" customFormat="1" spans="1:15">
      <c r="A2010" s="1" t="str">
        <f t="shared" si="1322"/>
        <v>202406</v>
      </c>
      <c r="B2010" s="1" t="str">
        <f t="shared" si="1323"/>
        <v>150525100</v>
      </c>
      <c r="C2010" s="1" t="str">
        <f>"1041288463"</f>
        <v>1041288463</v>
      </c>
      <c r="D2010" s="1" t="str">
        <f>"152326196010160676"</f>
        <v>152326196010160676</v>
      </c>
      <c r="E2010" s="1" t="s">
        <v>2084</v>
      </c>
      <c r="F2010" s="1" t="s">
        <v>25</v>
      </c>
      <c r="G2010" s="1" t="s">
        <v>17</v>
      </c>
      <c r="H2010" s="1" t="str">
        <f t="shared" ref="H2010:H2014" si="1330">"64"</f>
        <v>64</v>
      </c>
      <c r="I2010" s="1" t="str">
        <f>"157.09"</f>
        <v>157.09</v>
      </c>
      <c r="J2010" s="1" t="str">
        <f t="shared" si="1325"/>
        <v>0</v>
      </c>
      <c r="K2010" s="1" t="str">
        <f t="shared" si="1326"/>
        <v>103</v>
      </c>
      <c r="L2010" s="1" t="str">
        <f t="shared" si="1327"/>
        <v>47</v>
      </c>
      <c r="M2010" s="1" t="str">
        <f t="shared" si="1315"/>
        <v>0</v>
      </c>
      <c r="N2010" s="1" t="str">
        <f t="shared" si="1316"/>
        <v>0</v>
      </c>
      <c r="O2010" s="1" t="str">
        <f>"7.09"</f>
        <v>7.09</v>
      </c>
    </row>
    <row r="2011" s="1" customFormat="1" spans="1:15">
      <c r="A2011" s="1" t="str">
        <f t="shared" si="1322"/>
        <v>202406</v>
      </c>
      <c r="B2011" s="1" t="str">
        <f t="shared" si="1323"/>
        <v>150525100</v>
      </c>
      <c r="C2011" s="1" t="str">
        <f>"1041530842"</f>
        <v>1041530842</v>
      </c>
      <c r="D2011" s="1" t="str">
        <f>"152326195810120678"</f>
        <v>152326195810120678</v>
      </c>
      <c r="E2011" s="1" t="s">
        <v>2085</v>
      </c>
      <c r="F2011" s="1" t="s">
        <v>25</v>
      </c>
      <c r="G2011" s="1" t="s">
        <v>17</v>
      </c>
      <c r="H2011" s="1" t="str">
        <f>"66"</f>
        <v>66</v>
      </c>
      <c r="I2011" s="1" t="str">
        <f t="shared" si="1328"/>
        <v>155.04</v>
      </c>
      <c r="J2011" s="1" t="str">
        <f t="shared" si="1325"/>
        <v>0</v>
      </c>
      <c r="K2011" s="1" t="str">
        <f t="shared" si="1326"/>
        <v>103</v>
      </c>
      <c r="L2011" s="1" t="str">
        <f t="shared" si="1327"/>
        <v>47</v>
      </c>
      <c r="M2011" s="1" t="str">
        <f t="shared" si="1315"/>
        <v>0</v>
      </c>
      <c r="N2011" s="1" t="str">
        <f t="shared" si="1316"/>
        <v>0</v>
      </c>
      <c r="O2011" s="1" t="str">
        <f t="shared" si="1329"/>
        <v>5.04</v>
      </c>
    </row>
    <row r="2012" s="1" customFormat="1" spans="1:15">
      <c r="A2012" s="1" t="str">
        <f t="shared" si="1322"/>
        <v>202406</v>
      </c>
      <c r="B2012" s="1" t="str">
        <f t="shared" si="1323"/>
        <v>150525100</v>
      </c>
      <c r="C2012" s="1" t="str">
        <f>"1041457819"</f>
        <v>1041457819</v>
      </c>
      <c r="D2012" s="1" t="str">
        <f>"152326195701100045"</f>
        <v>152326195701100045</v>
      </c>
      <c r="E2012" s="1" t="s">
        <v>2086</v>
      </c>
      <c r="F2012" s="1" t="s">
        <v>16</v>
      </c>
      <c r="G2012" s="1" t="s">
        <v>17</v>
      </c>
      <c r="H2012" s="1" t="str">
        <f>"67"</f>
        <v>67</v>
      </c>
      <c r="I2012" s="1" t="str">
        <f t="shared" si="1328"/>
        <v>155.04</v>
      </c>
      <c r="J2012" s="1" t="str">
        <f t="shared" si="1325"/>
        <v>0</v>
      </c>
      <c r="K2012" s="1" t="str">
        <f t="shared" si="1326"/>
        <v>103</v>
      </c>
      <c r="L2012" s="1" t="str">
        <f t="shared" si="1327"/>
        <v>47</v>
      </c>
      <c r="M2012" s="1" t="str">
        <f t="shared" si="1315"/>
        <v>0</v>
      </c>
      <c r="N2012" s="1" t="str">
        <f t="shared" si="1316"/>
        <v>0</v>
      </c>
      <c r="O2012" s="1" t="str">
        <f t="shared" si="1329"/>
        <v>5.04</v>
      </c>
    </row>
    <row r="2013" s="1" customFormat="1" spans="1:15">
      <c r="A2013" s="1" t="str">
        <f t="shared" si="1322"/>
        <v>202406</v>
      </c>
      <c r="B2013" s="1" t="str">
        <f t="shared" si="1323"/>
        <v>150525100</v>
      </c>
      <c r="C2013" s="1" t="str">
        <f>"1041310770"</f>
        <v>1041310770</v>
      </c>
      <c r="D2013" s="1" t="str">
        <f>"152326196003270412"</f>
        <v>152326196003270412</v>
      </c>
      <c r="E2013" s="1" t="s">
        <v>2087</v>
      </c>
      <c r="F2013" s="1" t="s">
        <v>25</v>
      </c>
      <c r="G2013" s="1" t="s">
        <v>17</v>
      </c>
      <c r="H2013" s="1" t="str">
        <f t="shared" si="1330"/>
        <v>64</v>
      </c>
      <c r="I2013" s="1" t="str">
        <f>"157.06"</f>
        <v>157.06</v>
      </c>
      <c r="J2013" s="1" t="str">
        <f t="shared" si="1325"/>
        <v>0</v>
      </c>
      <c r="K2013" s="1" t="str">
        <f t="shared" si="1326"/>
        <v>103</v>
      </c>
      <c r="L2013" s="1" t="str">
        <f t="shared" si="1327"/>
        <v>47</v>
      </c>
      <c r="M2013" s="1" t="str">
        <f t="shared" si="1315"/>
        <v>0</v>
      </c>
      <c r="N2013" s="1" t="str">
        <f t="shared" si="1316"/>
        <v>0</v>
      </c>
      <c r="O2013" s="1" t="str">
        <f>"7.06"</f>
        <v>7.06</v>
      </c>
    </row>
    <row r="2014" s="1" customFormat="1" spans="1:15">
      <c r="A2014" s="1" t="str">
        <f t="shared" si="1322"/>
        <v>202406</v>
      </c>
      <c r="B2014" s="1" t="str">
        <f t="shared" si="1323"/>
        <v>150525100</v>
      </c>
      <c r="C2014" s="1" t="str">
        <f>"1041288369"</f>
        <v>1041288369</v>
      </c>
      <c r="D2014" s="1" t="s">
        <v>2088</v>
      </c>
      <c r="E2014" s="1" t="s">
        <v>2089</v>
      </c>
      <c r="F2014" s="1" t="s">
        <v>16</v>
      </c>
      <c r="G2014" s="1" t="s">
        <v>19</v>
      </c>
      <c r="H2014" s="1" t="str">
        <f t="shared" si="1330"/>
        <v>64</v>
      </c>
      <c r="I2014" s="1" t="str">
        <f>"157.02"</f>
        <v>157.02</v>
      </c>
      <c r="J2014" s="1" t="str">
        <f t="shared" si="1325"/>
        <v>0</v>
      </c>
      <c r="K2014" s="1" t="str">
        <f t="shared" si="1326"/>
        <v>103</v>
      </c>
      <c r="L2014" s="1" t="str">
        <f t="shared" si="1327"/>
        <v>47</v>
      </c>
      <c r="M2014" s="1" t="str">
        <f t="shared" si="1315"/>
        <v>0</v>
      </c>
      <c r="N2014" s="1" t="str">
        <f t="shared" si="1316"/>
        <v>0</v>
      </c>
      <c r="O2014" s="1" t="str">
        <f>"7.02"</f>
        <v>7.02</v>
      </c>
    </row>
    <row r="2015" s="1" customFormat="1" spans="1:15">
      <c r="A2015" s="1" t="str">
        <f t="shared" si="1322"/>
        <v>202406</v>
      </c>
      <c r="B2015" s="1" t="str">
        <f t="shared" si="1323"/>
        <v>150525100</v>
      </c>
      <c r="C2015" s="1" t="str">
        <f>"1041401463"</f>
        <v>1041401463</v>
      </c>
      <c r="D2015" s="1" t="s">
        <v>2090</v>
      </c>
      <c r="E2015" s="1" t="s">
        <v>2091</v>
      </c>
      <c r="F2015" s="1" t="s">
        <v>16</v>
      </c>
      <c r="G2015" s="1" t="s">
        <v>17</v>
      </c>
      <c r="H2015" s="1" t="str">
        <f>"68"</f>
        <v>68</v>
      </c>
      <c r="I2015" s="1" t="str">
        <f>"1543.2"</f>
        <v>1543.2</v>
      </c>
      <c r="J2015" s="1" t="str">
        <f>"1388.88"</f>
        <v>1388.88</v>
      </c>
      <c r="K2015" s="1" t="str">
        <f>"1030"</f>
        <v>1030</v>
      </c>
      <c r="L2015" s="1" t="str">
        <f>"470"</f>
        <v>470</v>
      </c>
      <c r="M2015" s="1" t="str">
        <f t="shared" si="1315"/>
        <v>0</v>
      </c>
      <c r="N2015" s="1" t="str">
        <f t="shared" si="1316"/>
        <v>0</v>
      </c>
      <c r="O2015" s="1" t="str">
        <f>"43.2"</f>
        <v>43.2</v>
      </c>
    </row>
    <row r="2016" s="1" customFormat="1" spans="1:15">
      <c r="A2016" s="1" t="str">
        <f t="shared" si="1322"/>
        <v>202406</v>
      </c>
      <c r="B2016" s="1" t="str">
        <f t="shared" si="1323"/>
        <v>150525100</v>
      </c>
      <c r="C2016" s="1" t="str">
        <f>"1041287124"</f>
        <v>1041287124</v>
      </c>
      <c r="D2016" s="1" t="str">
        <f>"152326196110043821"</f>
        <v>152326196110043821</v>
      </c>
      <c r="E2016" s="1" t="s">
        <v>2092</v>
      </c>
      <c r="F2016" s="1" t="s">
        <v>16</v>
      </c>
      <c r="G2016" s="1" t="s">
        <v>17</v>
      </c>
      <c r="H2016" s="1" t="str">
        <f>"63"</f>
        <v>63</v>
      </c>
      <c r="I2016" s="1" t="str">
        <f>"158.8"</f>
        <v>158.8</v>
      </c>
      <c r="J2016" s="1" t="str">
        <f t="shared" ref="J2016:J2034" si="1331">"0"</f>
        <v>0</v>
      </c>
      <c r="K2016" s="1" t="str">
        <f t="shared" ref="K2016:K2034" si="1332">"103"</f>
        <v>103</v>
      </c>
      <c r="L2016" s="1" t="str">
        <f t="shared" ref="L2016:L2034" si="1333">"47"</f>
        <v>47</v>
      </c>
      <c r="M2016" s="1" t="str">
        <f t="shared" si="1315"/>
        <v>0</v>
      </c>
      <c r="N2016" s="1" t="str">
        <f t="shared" si="1316"/>
        <v>0</v>
      </c>
      <c r="O2016" s="1" t="str">
        <f>"8.8"</f>
        <v>8.8</v>
      </c>
    </row>
    <row r="2017" s="1" customFormat="1" spans="1:15">
      <c r="A2017" s="1" t="str">
        <f t="shared" si="1322"/>
        <v>202406</v>
      </c>
      <c r="B2017" s="1" t="str">
        <f t="shared" si="1323"/>
        <v>150525100</v>
      </c>
      <c r="C2017" s="1" t="str">
        <f>"1041290404"</f>
        <v>1041290404</v>
      </c>
      <c r="D2017" s="1" t="s">
        <v>2093</v>
      </c>
      <c r="E2017" s="1" t="s">
        <v>2094</v>
      </c>
      <c r="F2017" s="1" t="s">
        <v>16</v>
      </c>
      <c r="G2017" s="1" t="s">
        <v>17</v>
      </c>
      <c r="H2017" s="1" t="str">
        <f>"65"</f>
        <v>65</v>
      </c>
      <c r="I2017" s="1" t="str">
        <f>"156.05"</f>
        <v>156.05</v>
      </c>
      <c r="J2017" s="1" t="str">
        <f t="shared" si="1331"/>
        <v>0</v>
      </c>
      <c r="K2017" s="1" t="str">
        <f t="shared" si="1332"/>
        <v>103</v>
      </c>
      <c r="L2017" s="1" t="str">
        <f t="shared" si="1333"/>
        <v>47</v>
      </c>
      <c r="M2017" s="1" t="str">
        <f t="shared" si="1315"/>
        <v>0</v>
      </c>
      <c r="N2017" s="1" t="str">
        <f t="shared" si="1316"/>
        <v>0</v>
      </c>
      <c r="O2017" s="1" t="str">
        <f>"6.05"</f>
        <v>6.05</v>
      </c>
    </row>
    <row r="2018" s="1" customFormat="1" spans="1:15">
      <c r="A2018" s="1" t="str">
        <f t="shared" si="1322"/>
        <v>202406</v>
      </c>
      <c r="B2018" s="1" t="str">
        <f t="shared" si="1323"/>
        <v>150525100</v>
      </c>
      <c r="C2018" s="1" t="str">
        <f>"1041287140"</f>
        <v>1041287140</v>
      </c>
      <c r="D2018" s="1" t="str">
        <f>"152326196210013849"</f>
        <v>152326196210013849</v>
      </c>
      <c r="E2018" s="1" t="s">
        <v>2095</v>
      </c>
      <c r="F2018" s="1" t="s">
        <v>16</v>
      </c>
      <c r="G2018" s="1" t="s">
        <v>17</v>
      </c>
      <c r="H2018" s="1" t="str">
        <f t="shared" ref="H2018:H2021" si="1334">"62"</f>
        <v>62</v>
      </c>
      <c r="I2018" s="1" t="str">
        <f>"168.34"</f>
        <v>168.34</v>
      </c>
      <c r="J2018" s="1" t="str">
        <f t="shared" si="1331"/>
        <v>0</v>
      </c>
      <c r="K2018" s="1" t="str">
        <f t="shared" si="1332"/>
        <v>103</v>
      </c>
      <c r="L2018" s="1" t="str">
        <f t="shared" si="1333"/>
        <v>47</v>
      </c>
      <c r="M2018" s="1" t="str">
        <f t="shared" si="1315"/>
        <v>0</v>
      </c>
      <c r="N2018" s="1" t="str">
        <f t="shared" si="1316"/>
        <v>0</v>
      </c>
      <c r="O2018" s="1" t="str">
        <f>"18.34"</f>
        <v>18.34</v>
      </c>
    </row>
    <row r="2019" s="1" customFormat="1" spans="1:15">
      <c r="A2019" s="1" t="str">
        <f t="shared" si="1322"/>
        <v>202406</v>
      </c>
      <c r="B2019" s="1" t="str">
        <f t="shared" si="1323"/>
        <v>150525100</v>
      </c>
      <c r="C2019" s="1" t="str">
        <f>"1041290403"</f>
        <v>1041290403</v>
      </c>
      <c r="D2019" s="1" t="str">
        <f>"152326195903090666"</f>
        <v>152326195903090666</v>
      </c>
      <c r="E2019" s="1" t="s">
        <v>2096</v>
      </c>
      <c r="F2019" s="1" t="s">
        <v>16</v>
      </c>
      <c r="G2019" s="1" t="s">
        <v>17</v>
      </c>
      <c r="H2019" s="1" t="str">
        <f>"65"</f>
        <v>65</v>
      </c>
      <c r="I2019" s="1" t="str">
        <f>"156"</f>
        <v>156</v>
      </c>
      <c r="J2019" s="1" t="str">
        <f t="shared" si="1331"/>
        <v>0</v>
      </c>
      <c r="K2019" s="1" t="str">
        <f t="shared" si="1332"/>
        <v>103</v>
      </c>
      <c r="L2019" s="1" t="str">
        <f t="shared" si="1333"/>
        <v>47</v>
      </c>
      <c r="M2019" s="1" t="str">
        <f t="shared" si="1315"/>
        <v>0</v>
      </c>
      <c r="N2019" s="1" t="str">
        <f t="shared" si="1316"/>
        <v>0</v>
      </c>
      <c r="O2019" s="1" t="str">
        <f>"6"</f>
        <v>6</v>
      </c>
    </row>
    <row r="2020" s="1" customFormat="1" spans="1:15">
      <c r="A2020" s="1" t="str">
        <f t="shared" si="1322"/>
        <v>202406</v>
      </c>
      <c r="B2020" s="1" t="str">
        <f t="shared" si="1323"/>
        <v>150525100</v>
      </c>
      <c r="C2020" s="1" t="str">
        <f>"1041403230"</f>
        <v>1041403230</v>
      </c>
      <c r="D2020" s="1" t="str">
        <f>"152326196206063341"</f>
        <v>152326196206063341</v>
      </c>
      <c r="E2020" s="1" t="s">
        <v>2097</v>
      </c>
      <c r="F2020" s="1" t="s">
        <v>16</v>
      </c>
      <c r="G2020" s="1" t="s">
        <v>17</v>
      </c>
      <c r="H2020" s="1" t="str">
        <f t="shared" si="1334"/>
        <v>62</v>
      </c>
      <c r="I2020" s="1" t="str">
        <f>"162.15"</f>
        <v>162.15</v>
      </c>
      <c r="J2020" s="1" t="str">
        <f t="shared" si="1331"/>
        <v>0</v>
      </c>
      <c r="K2020" s="1" t="str">
        <f t="shared" si="1332"/>
        <v>103</v>
      </c>
      <c r="L2020" s="1" t="str">
        <f t="shared" si="1333"/>
        <v>47</v>
      </c>
      <c r="M2020" s="1" t="str">
        <f t="shared" si="1315"/>
        <v>0</v>
      </c>
      <c r="N2020" s="1" t="str">
        <f t="shared" si="1316"/>
        <v>0</v>
      </c>
      <c r="O2020" s="1" t="str">
        <f>"12.15"</f>
        <v>12.15</v>
      </c>
    </row>
    <row r="2021" s="1" customFormat="1" spans="1:15">
      <c r="A2021" s="1" t="str">
        <f t="shared" si="1322"/>
        <v>202406</v>
      </c>
      <c r="B2021" s="1" t="str">
        <f t="shared" si="1323"/>
        <v>150525100</v>
      </c>
      <c r="C2021" s="1" t="str">
        <f>"1041403262"</f>
        <v>1041403262</v>
      </c>
      <c r="D2021" s="1" t="str">
        <f>"152326196212100014"</f>
        <v>152326196212100014</v>
      </c>
      <c r="E2021" s="1" t="s">
        <v>2098</v>
      </c>
      <c r="F2021" s="1" t="s">
        <v>25</v>
      </c>
      <c r="G2021" s="1" t="s">
        <v>17</v>
      </c>
      <c r="H2021" s="1" t="str">
        <f t="shared" si="1334"/>
        <v>62</v>
      </c>
      <c r="I2021" s="1" t="str">
        <f>"164.47"</f>
        <v>164.47</v>
      </c>
      <c r="J2021" s="1" t="str">
        <f t="shared" si="1331"/>
        <v>0</v>
      </c>
      <c r="K2021" s="1" t="str">
        <f t="shared" si="1332"/>
        <v>103</v>
      </c>
      <c r="L2021" s="1" t="str">
        <f t="shared" si="1333"/>
        <v>47</v>
      </c>
      <c r="M2021" s="1" t="str">
        <f t="shared" si="1315"/>
        <v>0</v>
      </c>
      <c r="N2021" s="1" t="str">
        <f t="shared" si="1316"/>
        <v>0</v>
      </c>
      <c r="O2021" s="1" t="str">
        <f>"14.47"</f>
        <v>14.47</v>
      </c>
    </row>
    <row r="2022" s="1" customFormat="1" spans="1:15">
      <c r="A2022" s="1" t="str">
        <f t="shared" si="1322"/>
        <v>202406</v>
      </c>
      <c r="B2022" s="1" t="str">
        <f t="shared" si="1323"/>
        <v>150525100</v>
      </c>
      <c r="C2022" s="1" t="str">
        <f>"1041403319"</f>
        <v>1041403319</v>
      </c>
      <c r="D2022" s="1" t="str">
        <f>"152326196304090423"</f>
        <v>152326196304090423</v>
      </c>
      <c r="E2022" s="1" t="s">
        <v>2099</v>
      </c>
      <c r="F2022" s="1" t="s">
        <v>16</v>
      </c>
      <c r="G2022" s="1" t="s">
        <v>17</v>
      </c>
      <c r="H2022" s="1" t="str">
        <f t="shared" ref="H2022:H2026" si="1335">"61"</f>
        <v>61</v>
      </c>
      <c r="I2022" s="1" t="str">
        <f>"161.95"</f>
        <v>161.95</v>
      </c>
      <c r="J2022" s="1" t="str">
        <f t="shared" si="1331"/>
        <v>0</v>
      </c>
      <c r="K2022" s="1" t="str">
        <f t="shared" si="1332"/>
        <v>103</v>
      </c>
      <c r="L2022" s="1" t="str">
        <f t="shared" si="1333"/>
        <v>47</v>
      </c>
      <c r="M2022" s="1" t="str">
        <f t="shared" si="1315"/>
        <v>0</v>
      </c>
      <c r="N2022" s="1" t="str">
        <f t="shared" si="1316"/>
        <v>0</v>
      </c>
      <c r="O2022" s="1" t="str">
        <f>"11.95"</f>
        <v>11.95</v>
      </c>
    </row>
    <row r="2023" s="1" customFormat="1" spans="1:15">
      <c r="A2023" s="1" t="str">
        <f t="shared" si="1322"/>
        <v>202406</v>
      </c>
      <c r="B2023" s="1" t="str">
        <f t="shared" si="1323"/>
        <v>150525100</v>
      </c>
      <c r="C2023" s="1" t="str">
        <f>"1041403366"</f>
        <v>1041403366</v>
      </c>
      <c r="D2023" s="1" t="str">
        <f>"152326195707123811"</f>
        <v>152326195707123811</v>
      </c>
      <c r="E2023" s="1" t="s">
        <v>2100</v>
      </c>
      <c r="F2023" s="1" t="s">
        <v>25</v>
      </c>
      <c r="G2023" s="1" t="s">
        <v>19</v>
      </c>
      <c r="H2023" s="1" t="str">
        <f>"67"</f>
        <v>67</v>
      </c>
      <c r="I2023" s="1" t="str">
        <f>"155.04"</f>
        <v>155.04</v>
      </c>
      <c r="J2023" s="1" t="str">
        <f t="shared" si="1331"/>
        <v>0</v>
      </c>
      <c r="K2023" s="1" t="str">
        <f t="shared" si="1332"/>
        <v>103</v>
      </c>
      <c r="L2023" s="1" t="str">
        <f t="shared" si="1333"/>
        <v>47</v>
      </c>
      <c r="M2023" s="1" t="str">
        <f t="shared" si="1315"/>
        <v>0</v>
      </c>
      <c r="N2023" s="1" t="str">
        <f t="shared" si="1316"/>
        <v>0</v>
      </c>
      <c r="O2023" s="1" t="str">
        <f>"5.04"</f>
        <v>5.04</v>
      </c>
    </row>
    <row r="2024" s="1" customFormat="1" spans="1:15">
      <c r="A2024" s="1" t="str">
        <f t="shared" si="1322"/>
        <v>202406</v>
      </c>
      <c r="B2024" s="1" t="str">
        <f t="shared" si="1323"/>
        <v>150525100</v>
      </c>
      <c r="C2024" s="1" t="str">
        <f>"1041403373"</f>
        <v>1041403373</v>
      </c>
      <c r="D2024" s="1" t="str">
        <f>"152326196310293075"</f>
        <v>152326196310293075</v>
      </c>
      <c r="E2024" s="1" t="s">
        <v>2101</v>
      </c>
      <c r="F2024" s="1" t="s">
        <v>25</v>
      </c>
      <c r="G2024" s="1" t="s">
        <v>17</v>
      </c>
      <c r="H2024" s="1" t="str">
        <f t="shared" si="1335"/>
        <v>61</v>
      </c>
      <c r="I2024" s="1" t="str">
        <f>"162.96"</f>
        <v>162.96</v>
      </c>
      <c r="J2024" s="1" t="str">
        <f t="shared" si="1331"/>
        <v>0</v>
      </c>
      <c r="K2024" s="1" t="str">
        <f t="shared" si="1332"/>
        <v>103</v>
      </c>
      <c r="L2024" s="1" t="str">
        <f t="shared" si="1333"/>
        <v>47</v>
      </c>
      <c r="M2024" s="1" t="str">
        <f t="shared" si="1315"/>
        <v>0</v>
      </c>
      <c r="N2024" s="1" t="str">
        <f t="shared" si="1316"/>
        <v>0</v>
      </c>
      <c r="O2024" s="1" t="str">
        <f>"12.96"</f>
        <v>12.96</v>
      </c>
    </row>
    <row r="2025" s="1" customFormat="1" spans="1:15">
      <c r="A2025" s="1" t="str">
        <f t="shared" si="1322"/>
        <v>202406</v>
      </c>
      <c r="B2025" s="1" t="str">
        <f t="shared" si="1323"/>
        <v>150525100</v>
      </c>
      <c r="C2025" s="1" t="str">
        <f>"1041403402"</f>
        <v>1041403402</v>
      </c>
      <c r="D2025" s="1" t="str">
        <f>"152326196301133811"</f>
        <v>152326196301133811</v>
      </c>
      <c r="E2025" s="1" t="s">
        <v>2102</v>
      </c>
      <c r="F2025" s="1" t="s">
        <v>25</v>
      </c>
      <c r="G2025" s="1" t="s">
        <v>19</v>
      </c>
      <c r="H2025" s="1" t="str">
        <f t="shared" si="1335"/>
        <v>61</v>
      </c>
      <c r="I2025" s="1" t="str">
        <f>"162.48"</f>
        <v>162.48</v>
      </c>
      <c r="J2025" s="1" t="str">
        <f t="shared" si="1331"/>
        <v>0</v>
      </c>
      <c r="K2025" s="1" t="str">
        <f t="shared" si="1332"/>
        <v>103</v>
      </c>
      <c r="L2025" s="1" t="str">
        <f t="shared" si="1333"/>
        <v>47</v>
      </c>
      <c r="M2025" s="1" t="str">
        <f t="shared" si="1315"/>
        <v>0</v>
      </c>
      <c r="N2025" s="1" t="str">
        <f t="shared" si="1316"/>
        <v>0</v>
      </c>
      <c r="O2025" s="1" t="str">
        <f>"12.48"</f>
        <v>12.48</v>
      </c>
    </row>
    <row r="2026" s="1" customFormat="1" spans="1:15">
      <c r="A2026" s="1" t="str">
        <f t="shared" si="1322"/>
        <v>202406</v>
      </c>
      <c r="B2026" s="1" t="str">
        <f t="shared" si="1323"/>
        <v>150525100</v>
      </c>
      <c r="C2026" s="1" t="str">
        <f>"1041403407"</f>
        <v>1041403407</v>
      </c>
      <c r="D2026" s="1" t="str">
        <f>"152326196303263812"</f>
        <v>152326196303263812</v>
      </c>
      <c r="E2026" s="1" t="s">
        <v>2103</v>
      </c>
      <c r="F2026" s="1" t="s">
        <v>25</v>
      </c>
      <c r="G2026" s="1" t="s">
        <v>19</v>
      </c>
      <c r="H2026" s="1" t="str">
        <f t="shared" si="1335"/>
        <v>61</v>
      </c>
      <c r="I2026" s="1" t="str">
        <f>"166.3"</f>
        <v>166.3</v>
      </c>
      <c r="J2026" s="1" t="str">
        <f t="shared" si="1331"/>
        <v>0</v>
      </c>
      <c r="K2026" s="1" t="str">
        <f t="shared" si="1332"/>
        <v>103</v>
      </c>
      <c r="L2026" s="1" t="str">
        <f t="shared" si="1333"/>
        <v>47</v>
      </c>
      <c r="M2026" s="1" t="str">
        <f t="shared" si="1315"/>
        <v>0</v>
      </c>
      <c r="N2026" s="1" t="str">
        <f t="shared" si="1316"/>
        <v>0</v>
      </c>
      <c r="O2026" s="1" t="str">
        <f>"16.3"</f>
        <v>16.3</v>
      </c>
    </row>
    <row r="2027" s="1" customFormat="1" spans="1:15">
      <c r="A2027" s="1" t="str">
        <f t="shared" si="1322"/>
        <v>202406</v>
      </c>
      <c r="B2027" s="1" t="str">
        <f t="shared" si="1323"/>
        <v>150525100</v>
      </c>
      <c r="C2027" s="1" t="str">
        <f>"1041490731"</f>
        <v>1041490731</v>
      </c>
      <c r="D2027" s="1" t="str">
        <f>"152326195701210674"</f>
        <v>152326195701210674</v>
      </c>
      <c r="E2027" s="1" t="s">
        <v>2104</v>
      </c>
      <c r="F2027" s="1" t="s">
        <v>25</v>
      </c>
      <c r="G2027" s="1" t="s">
        <v>17</v>
      </c>
      <c r="H2027" s="1" t="str">
        <f>"67"</f>
        <v>67</v>
      </c>
      <c r="I2027" s="1" t="str">
        <f>"150.95"</f>
        <v>150.95</v>
      </c>
      <c r="J2027" s="1" t="str">
        <f t="shared" si="1331"/>
        <v>0</v>
      </c>
      <c r="K2027" s="1" t="str">
        <f t="shared" si="1332"/>
        <v>103</v>
      </c>
      <c r="L2027" s="1" t="str">
        <f t="shared" si="1333"/>
        <v>47</v>
      </c>
      <c r="M2027" s="1" t="str">
        <f t="shared" si="1315"/>
        <v>0</v>
      </c>
      <c r="N2027" s="1" t="str">
        <f t="shared" si="1316"/>
        <v>0</v>
      </c>
      <c r="O2027" s="1" t="str">
        <f>"0.95"</f>
        <v>0.95</v>
      </c>
    </row>
    <row r="2028" s="1" customFormat="1" spans="1:15">
      <c r="A2028" s="1" t="str">
        <f t="shared" si="1322"/>
        <v>202406</v>
      </c>
      <c r="B2028" s="1" t="str">
        <f t="shared" si="1323"/>
        <v>150525100</v>
      </c>
      <c r="C2028" s="1" t="str">
        <f>"1041403548"</f>
        <v>1041403548</v>
      </c>
      <c r="D2028" s="1" t="str">
        <f>"152326196306283317"</f>
        <v>152326196306283317</v>
      </c>
      <c r="E2028" s="1" t="s">
        <v>2105</v>
      </c>
      <c r="F2028" s="1" t="s">
        <v>25</v>
      </c>
      <c r="G2028" s="1" t="s">
        <v>17</v>
      </c>
      <c r="H2028" s="1" t="str">
        <f>"61"</f>
        <v>61</v>
      </c>
      <c r="I2028" s="1" t="str">
        <f>"163.33"</f>
        <v>163.33</v>
      </c>
      <c r="J2028" s="1" t="str">
        <f t="shared" si="1331"/>
        <v>0</v>
      </c>
      <c r="K2028" s="1" t="str">
        <f t="shared" si="1332"/>
        <v>103</v>
      </c>
      <c r="L2028" s="1" t="str">
        <f t="shared" si="1333"/>
        <v>47</v>
      </c>
      <c r="M2028" s="1" t="str">
        <f t="shared" si="1315"/>
        <v>0</v>
      </c>
      <c r="N2028" s="1" t="str">
        <f t="shared" si="1316"/>
        <v>0</v>
      </c>
      <c r="O2028" s="1" t="str">
        <f>"13.33"</f>
        <v>13.33</v>
      </c>
    </row>
    <row r="2029" s="1" customFormat="1" spans="1:15">
      <c r="A2029" s="1" t="str">
        <f t="shared" si="1322"/>
        <v>202406</v>
      </c>
      <c r="B2029" s="1" t="str">
        <f t="shared" si="1323"/>
        <v>150525100</v>
      </c>
      <c r="C2029" s="1" t="str">
        <f>"1041305339"</f>
        <v>1041305339</v>
      </c>
      <c r="D2029" s="1" t="str">
        <f>"152326196101250423"</f>
        <v>152326196101250423</v>
      </c>
      <c r="E2029" s="1" t="s">
        <v>2106</v>
      </c>
      <c r="F2029" s="1" t="s">
        <v>16</v>
      </c>
      <c r="G2029" s="1" t="s">
        <v>17</v>
      </c>
      <c r="H2029" s="1" t="str">
        <f>"63"</f>
        <v>63</v>
      </c>
      <c r="I2029" s="1" t="str">
        <f>"159.14"</f>
        <v>159.14</v>
      </c>
      <c r="J2029" s="1" t="str">
        <f t="shared" si="1331"/>
        <v>0</v>
      </c>
      <c r="K2029" s="1" t="str">
        <f t="shared" si="1332"/>
        <v>103</v>
      </c>
      <c r="L2029" s="1" t="str">
        <f t="shared" si="1333"/>
        <v>47</v>
      </c>
      <c r="M2029" s="1" t="str">
        <f t="shared" si="1315"/>
        <v>0</v>
      </c>
      <c r="N2029" s="1" t="str">
        <f t="shared" si="1316"/>
        <v>0</v>
      </c>
      <c r="O2029" s="1" t="str">
        <f>"9.14"</f>
        <v>9.14</v>
      </c>
    </row>
    <row r="2030" s="1" customFormat="1" spans="1:15">
      <c r="A2030" s="1" t="str">
        <f t="shared" si="1322"/>
        <v>202406</v>
      </c>
      <c r="B2030" s="1" t="str">
        <f t="shared" si="1323"/>
        <v>150525100</v>
      </c>
      <c r="C2030" s="1" t="str">
        <f>"1041305343"</f>
        <v>1041305343</v>
      </c>
      <c r="D2030" s="1" t="str">
        <f>"152326196203050668"</f>
        <v>152326196203050668</v>
      </c>
      <c r="E2030" s="1" t="s">
        <v>2107</v>
      </c>
      <c r="F2030" s="1" t="s">
        <v>16</v>
      </c>
      <c r="G2030" s="1" t="s">
        <v>17</v>
      </c>
      <c r="H2030" s="1" t="str">
        <f>"62"</f>
        <v>62</v>
      </c>
      <c r="I2030" s="1" t="str">
        <f>"160.29"</f>
        <v>160.29</v>
      </c>
      <c r="J2030" s="1" t="str">
        <f t="shared" si="1331"/>
        <v>0</v>
      </c>
      <c r="K2030" s="1" t="str">
        <f t="shared" si="1332"/>
        <v>103</v>
      </c>
      <c r="L2030" s="1" t="str">
        <f t="shared" si="1333"/>
        <v>47</v>
      </c>
      <c r="M2030" s="1" t="str">
        <f t="shared" si="1315"/>
        <v>0</v>
      </c>
      <c r="N2030" s="1" t="str">
        <f t="shared" si="1316"/>
        <v>0</v>
      </c>
      <c r="O2030" s="1" t="str">
        <f>"10.29"</f>
        <v>10.29</v>
      </c>
    </row>
    <row r="2031" s="1" customFormat="1" spans="1:15">
      <c r="A2031" s="1" t="str">
        <f t="shared" si="1322"/>
        <v>202406</v>
      </c>
      <c r="B2031" s="1" t="str">
        <f t="shared" si="1323"/>
        <v>150525100</v>
      </c>
      <c r="C2031" s="1" t="str">
        <f>"1041307788"</f>
        <v>1041307788</v>
      </c>
      <c r="D2031" s="1" t="str">
        <f>"152326195803110682"</f>
        <v>152326195803110682</v>
      </c>
      <c r="E2031" s="1" t="s">
        <v>2108</v>
      </c>
      <c r="F2031" s="1" t="s">
        <v>16</v>
      </c>
      <c r="G2031" s="1" t="s">
        <v>17</v>
      </c>
      <c r="H2031" s="1" t="str">
        <f>"66"</f>
        <v>66</v>
      </c>
      <c r="I2031" s="1" t="str">
        <f>"155.28"</f>
        <v>155.28</v>
      </c>
      <c r="J2031" s="1" t="str">
        <f t="shared" si="1331"/>
        <v>0</v>
      </c>
      <c r="K2031" s="1" t="str">
        <f t="shared" si="1332"/>
        <v>103</v>
      </c>
      <c r="L2031" s="1" t="str">
        <f t="shared" si="1333"/>
        <v>47</v>
      </c>
      <c r="M2031" s="1" t="str">
        <f t="shared" si="1315"/>
        <v>0</v>
      </c>
      <c r="N2031" s="1" t="str">
        <f t="shared" si="1316"/>
        <v>0</v>
      </c>
      <c r="O2031" s="1" t="str">
        <f>"5.28"</f>
        <v>5.28</v>
      </c>
    </row>
    <row r="2032" s="1" customFormat="1" spans="1:15">
      <c r="A2032" s="1" t="str">
        <f t="shared" si="1322"/>
        <v>202406</v>
      </c>
      <c r="B2032" s="1" t="str">
        <f t="shared" si="1323"/>
        <v>150525100</v>
      </c>
      <c r="C2032" s="1" t="str">
        <f>"1041288494"</f>
        <v>1041288494</v>
      </c>
      <c r="D2032" s="1" t="str">
        <f>"152326195709200921"</f>
        <v>152326195709200921</v>
      </c>
      <c r="E2032" s="1" t="s">
        <v>2109</v>
      </c>
      <c r="F2032" s="1" t="s">
        <v>16</v>
      </c>
      <c r="G2032" s="1" t="s">
        <v>19</v>
      </c>
      <c r="H2032" s="1" t="str">
        <f>"67"</f>
        <v>67</v>
      </c>
      <c r="I2032" s="1" t="str">
        <f>"154.32"</f>
        <v>154.32</v>
      </c>
      <c r="J2032" s="1" t="str">
        <f t="shared" si="1331"/>
        <v>0</v>
      </c>
      <c r="K2032" s="1" t="str">
        <f t="shared" si="1332"/>
        <v>103</v>
      </c>
      <c r="L2032" s="1" t="str">
        <f t="shared" si="1333"/>
        <v>47</v>
      </c>
      <c r="M2032" s="1" t="str">
        <f t="shared" si="1315"/>
        <v>0</v>
      </c>
      <c r="N2032" s="1" t="str">
        <f t="shared" si="1316"/>
        <v>0</v>
      </c>
      <c r="O2032" s="1" t="str">
        <f>"4.32"</f>
        <v>4.32</v>
      </c>
    </row>
    <row r="2033" s="1" customFormat="1" spans="1:15">
      <c r="A2033" s="1" t="str">
        <f t="shared" si="1322"/>
        <v>202406</v>
      </c>
      <c r="B2033" s="1" t="str">
        <f t="shared" si="1323"/>
        <v>150525100</v>
      </c>
      <c r="C2033" s="1" t="str">
        <f>"1041286388"</f>
        <v>1041286388</v>
      </c>
      <c r="D2033" s="1" t="str">
        <f>"152326195901020410"</f>
        <v>152326195901020410</v>
      </c>
      <c r="E2033" s="1" t="s">
        <v>2110</v>
      </c>
      <c r="F2033" s="1" t="s">
        <v>25</v>
      </c>
      <c r="G2033" s="1" t="s">
        <v>17</v>
      </c>
      <c r="H2033" s="1" t="str">
        <f>"66"</f>
        <v>66</v>
      </c>
      <c r="I2033" s="1" t="str">
        <f>"156"</f>
        <v>156</v>
      </c>
      <c r="J2033" s="1" t="str">
        <f t="shared" si="1331"/>
        <v>0</v>
      </c>
      <c r="K2033" s="1" t="str">
        <f t="shared" si="1332"/>
        <v>103</v>
      </c>
      <c r="L2033" s="1" t="str">
        <f t="shared" si="1333"/>
        <v>47</v>
      </c>
      <c r="M2033" s="1" t="str">
        <f t="shared" si="1315"/>
        <v>0</v>
      </c>
      <c r="N2033" s="1" t="str">
        <f t="shared" si="1316"/>
        <v>0</v>
      </c>
      <c r="O2033" s="1" t="str">
        <f>"6"</f>
        <v>6</v>
      </c>
    </row>
    <row r="2034" s="1" customFormat="1" spans="1:15">
      <c r="A2034" s="1" t="str">
        <f t="shared" si="1322"/>
        <v>202406</v>
      </c>
      <c r="B2034" s="1" t="str">
        <f t="shared" si="1323"/>
        <v>150525100</v>
      </c>
      <c r="C2034" s="1" t="str">
        <f>"1041287175"</f>
        <v>1041287175</v>
      </c>
      <c r="D2034" s="1" t="str">
        <f>"152326195901140412"</f>
        <v>152326195901140412</v>
      </c>
      <c r="E2034" s="1" t="s">
        <v>2111</v>
      </c>
      <c r="F2034" s="1" t="s">
        <v>25</v>
      </c>
      <c r="G2034" s="1" t="s">
        <v>17</v>
      </c>
      <c r="H2034" s="1" t="str">
        <f>"65"</f>
        <v>65</v>
      </c>
      <c r="I2034" s="1" t="str">
        <f>"155.99"</f>
        <v>155.99</v>
      </c>
      <c r="J2034" s="1" t="str">
        <f t="shared" si="1331"/>
        <v>0</v>
      </c>
      <c r="K2034" s="1" t="str">
        <f t="shared" si="1332"/>
        <v>103</v>
      </c>
      <c r="L2034" s="1" t="str">
        <f t="shared" si="1333"/>
        <v>47</v>
      </c>
      <c r="M2034" s="1" t="str">
        <f t="shared" si="1315"/>
        <v>0</v>
      </c>
      <c r="N2034" s="1" t="str">
        <f t="shared" si="1316"/>
        <v>0</v>
      </c>
      <c r="O2034" s="1" t="str">
        <f>"5.99"</f>
        <v>5.99</v>
      </c>
    </row>
    <row r="2035" s="1" customFormat="1" spans="1:15">
      <c r="A2035" s="1" t="str">
        <f t="shared" si="1322"/>
        <v>202406</v>
      </c>
      <c r="B2035" s="1" t="str">
        <f t="shared" si="1323"/>
        <v>150525100</v>
      </c>
      <c r="C2035" s="1" t="str">
        <f>"1041305507"</f>
        <v>1041305507</v>
      </c>
      <c r="D2035" s="1" t="str">
        <f>"152326195906120664"</f>
        <v>152326195906120664</v>
      </c>
      <c r="E2035" s="1" t="s">
        <v>2112</v>
      </c>
      <c r="F2035" s="1" t="s">
        <v>16</v>
      </c>
      <c r="G2035" s="1" t="s">
        <v>17</v>
      </c>
      <c r="H2035" s="1" t="str">
        <f>"65"</f>
        <v>65</v>
      </c>
      <c r="I2035" s="1" t="str">
        <f>"973.68"</f>
        <v>973.68</v>
      </c>
      <c r="J2035" s="1" t="str">
        <f>"811.4"</f>
        <v>811.4</v>
      </c>
      <c r="K2035" s="1" t="str">
        <f>"618"</f>
        <v>618</v>
      </c>
      <c r="L2035" s="1" t="str">
        <f>"282"</f>
        <v>282</v>
      </c>
      <c r="M2035" s="1" t="str">
        <f>"0"</f>
        <v>0</v>
      </c>
      <c r="N2035" s="1" t="str">
        <f>"0"</f>
        <v>0</v>
      </c>
      <c r="O2035" s="1" t="str">
        <f>"73.68"</f>
        <v>73.68</v>
      </c>
    </row>
    <row r="2036" s="1" customFormat="1" spans="1:15">
      <c r="A2036" s="1" t="str">
        <f t="shared" si="1322"/>
        <v>202406</v>
      </c>
      <c r="B2036" s="1" t="str">
        <f t="shared" si="1323"/>
        <v>150525100</v>
      </c>
      <c r="C2036" s="1" t="str">
        <f>"1041306680"</f>
        <v>1041306680</v>
      </c>
      <c r="D2036" s="1" t="str">
        <f>"152326196101100919"</f>
        <v>152326196101100919</v>
      </c>
      <c r="E2036" s="1" t="s">
        <v>2113</v>
      </c>
      <c r="F2036" s="1" t="s">
        <v>25</v>
      </c>
      <c r="G2036" s="1" t="s">
        <v>17</v>
      </c>
      <c r="H2036" s="1" t="str">
        <f>"63"</f>
        <v>63</v>
      </c>
      <c r="I2036" s="1" t="str">
        <f>"159.44"</f>
        <v>159.44</v>
      </c>
      <c r="J2036" s="1" t="str">
        <f t="shared" ref="J2036:N2036" si="1336">"0"</f>
        <v>0</v>
      </c>
      <c r="K2036" s="1" t="str">
        <f t="shared" ref="K2036:K2087" si="1337">"103"</f>
        <v>103</v>
      </c>
      <c r="L2036" s="1" t="str">
        <f t="shared" ref="L2036:L2087" si="1338">"47"</f>
        <v>47</v>
      </c>
      <c r="M2036" s="1" t="str">
        <f t="shared" si="1336"/>
        <v>0</v>
      </c>
      <c r="N2036" s="1" t="str">
        <f t="shared" si="1336"/>
        <v>0</v>
      </c>
      <c r="O2036" s="1" t="str">
        <f>"9.44"</f>
        <v>9.44</v>
      </c>
    </row>
    <row r="2037" s="1" customFormat="1" spans="1:15">
      <c r="A2037" s="1" t="str">
        <f t="shared" si="1322"/>
        <v>202406</v>
      </c>
      <c r="B2037" s="1" t="str">
        <f t="shared" si="1323"/>
        <v>150525100</v>
      </c>
      <c r="C2037" s="1" t="str">
        <f>"1041290397"</f>
        <v>1041290397</v>
      </c>
      <c r="D2037" s="1" t="str">
        <f>"152326195801190674"</f>
        <v>152326195801190674</v>
      </c>
      <c r="E2037" s="1" t="s">
        <v>1330</v>
      </c>
      <c r="F2037" s="1" t="s">
        <v>25</v>
      </c>
      <c r="G2037" s="1" t="s">
        <v>17</v>
      </c>
      <c r="H2037" s="1" t="str">
        <f>"66"</f>
        <v>66</v>
      </c>
      <c r="I2037" s="1" t="str">
        <f>"155.04"</f>
        <v>155.04</v>
      </c>
      <c r="J2037" s="1" t="str">
        <f t="shared" ref="J2037:N2037" si="1339">"0"</f>
        <v>0</v>
      </c>
      <c r="K2037" s="1" t="str">
        <f t="shared" si="1337"/>
        <v>103</v>
      </c>
      <c r="L2037" s="1" t="str">
        <f t="shared" si="1338"/>
        <v>47</v>
      </c>
      <c r="M2037" s="1" t="str">
        <f t="shared" si="1339"/>
        <v>0</v>
      </c>
      <c r="N2037" s="1" t="str">
        <f t="shared" si="1339"/>
        <v>0</v>
      </c>
      <c r="O2037" s="1" t="str">
        <f>"5.04"</f>
        <v>5.04</v>
      </c>
    </row>
    <row r="2038" s="1" customFormat="1" spans="1:15">
      <c r="A2038" s="1" t="str">
        <f t="shared" si="1322"/>
        <v>202406</v>
      </c>
      <c r="B2038" s="1" t="str">
        <f t="shared" si="1323"/>
        <v>150525100</v>
      </c>
      <c r="C2038" s="1" t="str">
        <f>"1041300423"</f>
        <v>1041300423</v>
      </c>
      <c r="D2038" s="1" t="str">
        <f>"152326196303260427"</f>
        <v>152326196303260427</v>
      </c>
      <c r="E2038" s="1" t="s">
        <v>2114</v>
      </c>
      <c r="F2038" s="1" t="s">
        <v>16</v>
      </c>
      <c r="G2038" s="1" t="s">
        <v>17</v>
      </c>
      <c r="H2038" s="1" t="str">
        <f t="shared" ref="H2038:H2041" si="1340">"61"</f>
        <v>61</v>
      </c>
      <c r="I2038" s="1" t="str">
        <f>"163.33"</f>
        <v>163.33</v>
      </c>
      <c r="J2038" s="1" t="str">
        <f t="shared" ref="J2038:N2038" si="1341">"0"</f>
        <v>0</v>
      </c>
      <c r="K2038" s="1" t="str">
        <f t="shared" si="1337"/>
        <v>103</v>
      </c>
      <c r="L2038" s="1" t="str">
        <f t="shared" si="1338"/>
        <v>47</v>
      </c>
      <c r="M2038" s="1" t="str">
        <f t="shared" si="1341"/>
        <v>0</v>
      </c>
      <c r="N2038" s="1" t="str">
        <f t="shared" si="1341"/>
        <v>0</v>
      </c>
      <c r="O2038" s="1" t="str">
        <f>"13.33"</f>
        <v>13.33</v>
      </c>
    </row>
    <row r="2039" s="1" customFormat="1" spans="1:15">
      <c r="A2039" s="1" t="str">
        <f t="shared" si="1322"/>
        <v>202406</v>
      </c>
      <c r="B2039" s="1" t="str">
        <f t="shared" si="1323"/>
        <v>150525100</v>
      </c>
      <c r="C2039" s="1" t="str">
        <f>"1041306728"</f>
        <v>1041306728</v>
      </c>
      <c r="D2039" s="1" t="str">
        <f>"152326196203160920"</f>
        <v>152326196203160920</v>
      </c>
      <c r="E2039" s="1" t="s">
        <v>2115</v>
      </c>
      <c r="F2039" s="1" t="s">
        <v>16</v>
      </c>
      <c r="G2039" s="1" t="s">
        <v>17</v>
      </c>
      <c r="H2039" s="1" t="str">
        <f>"62"</f>
        <v>62</v>
      </c>
      <c r="I2039" s="1" t="str">
        <f>"163.07"</f>
        <v>163.07</v>
      </c>
      <c r="J2039" s="1" t="str">
        <f t="shared" ref="J2039:N2039" si="1342">"0"</f>
        <v>0</v>
      </c>
      <c r="K2039" s="1" t="str">
        <f t="shared" si="1337"/>
        <v>103</v>
      </c>
      <c r="L2039" s="1" t="str">
        <f t="shared" si="1338"/>
        <v>47</v>
      </c>
      <c r="M2039" s="1" t="str">
        <f t="shared" si="1342"/>
        <v>0</v>
      </c>
      <c r="N2039" s="1" t="str">
        <f t="shared" si="1342"/>
        <v>0</v>
      </c>
      <c r="O2039" s="1" t="str">
        <f>"13.07"</f>
        <v>13.07</v>
      </c>
    </row>
    <row r="2040" s="1" customFormat="1" spans="1:15">
      <c r="A2040" s="1" t="str">
        <f t="shared" si="1322"/>
        <v>202406</v>
      </c>
      <c r="B2040" s="1" t="str">
        <f t="shared" si="1323"/>
        <v>150525100</v>
      </c>
      <c r="C2040" s="1" t="str">
        <f>"1041306760"</f>
        <v>1041306760</v>
      </c>
      <c r="D2040" s="1" t="str">
        <f>"152326196308080679"</f>
        <v>152326196308080679</v>
      </c>
      <c r="E2040" s="1" t="s">
        <v>2116</v>
      </c>
      <c r="F2040" s="1" t="s">
        <v>25</v>
      </c>
      <c r="G2040" s="1" t="s">
        <v>17</v>
      </c>
      <c r="H2040" s="1" t="str">
        <f t="shared" si="1340"/>
        <v>61</v>
      </c>
      <c r="I2040" s="1" t="str">
        <f>"163.41"</f>
        <v>163.41</v>
      </c>
      <c r="J2040" s="1" t="str">
        <f t="shared" ref="J2040:N2040" si="1343">"0"</f>
        <v>0</v>
      </c>
      <c r="K2040" s="1" t="str">
        <f t="shared" si="1337"/>
        <v>103</v>
      </c>
      <c r="L2040" s="1" t="str">
        <f t="shared" si="1338"/>
        <v>47</v>
      </c>
      <c r="M2040" s="1" t="str">
        <f t="shared" si="1343"/>
        <v>0</v>
      </c>
      <c r="N2040" s="1" t="str">
        <f t="shared" si="1343"/>
        <v>0</v>
      </c>
      <c r="O2040" s="1" t="str">
        <f>"13.41"</f>
        <v>13.41</v>
      </c>
    </row>
    <row r="2041" s="1" customFormat="1" spans="1:15">
      <c r="A2041" s="1" t="str">
        <f t="shared" si="1322"/>
        <v>202406</v>
      </c>
      <c r="B2041" s="1" t="str">
        <f t="shared" si="1323"/>
        <v>150525100</v>
      </c>
      <c r="C2041" s="1" t="str">
        <f>"1041306786"</f>
        <v>1041306786</v>
      </c>
      <c r="D2041" s="1" t="str">
        <f>"152326196311200918"</f>
        <v>152326196311200918</v>
      </c>
      <c r="E2041" s="1" t="s">
        <v>2117</v>
      </c>
      <c r="F2041" s="1" t="s">
        <v>25</v>
      </c>
      <c r="G2041" s="1" t="s">
        <v>17</v>
      </c>
      <c r="H2041" s="1" t="str">
        <f t="shared" si="1340"/>
        <v>61</v>
      </c>
      <c r="I2041" s="1" t="str">
        <f>"163.46"</f>
        <v>163.46</v>
      </c>
      <c r="J2041" s="1" t="str">
        <f t="shared" ref="J2041:N2041" si="1344">"0"</f>
        <v>0</v>
      </c>
      <c r="K2041" s="1" t="str">
        <f t="shared" si="1337"/>
        <v>103</v>
      </c>
      <c r="L2041" s="1" t="str">
        <f t="shared" si="1338"/>
        <v>47</v>
      </c>
      <c r="M2041" s="1" t="str">
        <f t="shared" si="1344"/>
        <v>0</v>
      </c>
      <c r="N2041" s="1" t="str">
        <f t="shared" si="1344"/>
        <v>0</v>
      </c>
      <c r="O2041" s="1" t="str">
        <f>"13.46"</f>
        <v>13.46</v>
      </c>
    </row>
    <row r="2042" s="1" customFormat="1" spans="1:15">
      <c r="A2042" s="1" t="str">
        <f t="shared" si="1322"/>
        <v>202406</v>
      </c>
      <c r="B2042" s="1" t="str">
        <f t="shared" si="1323"/>
        <v>150525100</v>
      </c>
      <c r="C2042" s="1" t="str">
        <f>"1041305740"</f>
        <v>1041305740</v>
      </c>
      <c r="D2042" s="1" t="str">
        <f>"152326196003103083"</f>
        <v>152326196003103083</v>
      </c>
      <c r="E2042" s="1" t="s">
        <v>2118</v>
      </c>
      <c r="F2042" s="1" t="s">
        <v>16</v>
      </c>
      <c r="G2042" s="1" t="s">
        <v>17</v>
      </c>
      <c r="H2042" s="1" t="str">
        <f>"64"</f>
        <v>64</v>
      </c>
      <c r="I2042" s="1" t="str">
        <f>"158.11"</f>
        <v>158.11</v>
      </c>
      <c r="J2042" s="1" t="str">
        <f t="shared" ref="J2042:N2042" si="1345">"0"</f>
        <v>0</v>
      </c>
      <c r="K2042" s="1" t="str">
        <f t="shared" si="1337"/>
        <v>103</v>
      </c>
      <c r="L2042" s="1" t="str">
        <f t="shared" si="1338"/>
        <v>47</v>
      </c>
      <c r="M2042" s="1" t="str">
        <f t="shared" si="1345"/>
        <v>0</v>
      </c>
      <c r="N2042" s="1" t="str">
        <f t="shared" si="1345"/>
        <v>0</v>
      </c>
      <c r="O2042" s="1" t="str">
        <f>"8.11"</f>
        <v>8.11</v>
      </c>
    </row>
    <row r="2043" s="1" customFormat="1" spans="1:15">
      <c r="A2043" s="1" t="str">
        <f t="shared" si="1322"/>
        <v>202406</v>
      </c>
      <c r="B2043" s="1" t="str">
        <f t="shared" si="1323"/>
        <v>150525100</v>
      </c>
      <c r="C2043" s="1" t="str">
        <f>"1041286395"</f>
        <v>1041286395</v>
      </c>
      <c r="D2043" s="1" t="str">
        <f>"152326196304170415"</f>
        <v>152326196304170415</v>
      </c>
      <c r="E2043" s="1" t="s">
        <v>2119</v>
      </c>
      <c r="F2043" s="1" t="s">
        <v>25</v>
      </c>
      <c r="G2043" s="1" t="s">
        <v>96</v>
      </c>
      <c r="H2043" s="1" t="str">
        <f>"61"</f>
        <v>61</v>
      </c>
      <c r="I2043" s="1" t="str">
        <f>"162.71"</f>
        <v>162.71</v>
      </c>
      <c r="J2043" s="1" t="str">
        <f t="shared" ref="J2043:N2043" si="1346">"0"</f>
        <v>0</v>
      </c>
      <c r="K2043" s="1" t="str">
        <f t="shared" si="1337"/>
        <v>103</v>
      </c>
      <c r="L2043" s="1" t="str">
        <f t="shared" si="1338"/>
        <v>47</v>
      </c>
      <c r="M2043" s="1" t="str">
        <f t="shared" si="1346"/>
        <v>0</v>
      </c>
      <c r="N2043" s="1" t="str">
        <f t="shared" si="1346"/>
        <v>0</v>
      </c>
      <c r="O2043" s="1" t="str">
        <f>"12.71"</f>
        <v>12.71</v>
      </c>
    </row>
    <row r="2044" s="1" customFormat="1" spans="1:15">
      <c r="A2044" s="1" t="str">
        <f t="shared" si="1322"/>
        <v>202406</v>
      </c>
      <c r="B2044" s="1" t="str">
        <f t="shared" si="1323"/>
        <v>150525100</v>
      </c>
      <c r="C2044" s="1" t="str">
        <f>"1041548493"</f>
        <v>1041548493</v>
      </c>
      <c r="D2044" s="1" t="str">
        <f>"152326195903273817"</f>
        <v>152326195903273817</v>
      </c>
      <c r="E2044" s="1" t="s">
        <v>218</v>
      </c>
      <c r="F2044" s="1" t="s">
        <v>25</v>
      </c>
      <c r="G2044" s="1" t="s">
        <v>19</v>
      </c>
      <c r="H2044" s="1" t="str">
        <f>"65"</f>
        <v>65</v>
      </c>
      <c r="I2044" s="1" t="str">
        <f>"208.46"</f>
        <v>208.46</v>
      </c>
      <c r="J2044" s="1" t="str">
        <f t="shared" ref="J2044:N2044" si="1347">"0"</f>
        <v>0</v>
      </c>
      <c r="K2044" s="1" t="str">
        <f t="shared" si="1337"/>
        <v>103</v>
      </c>
      <c r="L2044" s="1" t="str">
        <f t="shared" si="1338"/>
        <v>47</v>
      </c>
      <c r="M2044" s="1" t="str">
        <f t="shared" si="1347"/>
        <v>0</v>
      </c>
      <c r="N2044" s="1" t="str">
        <f t="shared" si="1347"/>
        <v>0</v>
      </c>
      <c r="O2044" s="1" t="str">
        <f>"58.46"</f>
        <v>58.46</v>
      </c>
    </row>
    <row r="2045" s="1" customFormat="1" spans="1:15">
      <c r="A2045" s="1" t="str">
        <f t="shared" si="1322"/>
        <v>202406</v>
      </c>
      <c r="B2045" s="1" t="str">
        <f t="shared" si="1323"/>
        <v>150525100</v>
      </c>
      <c r="C2045" s="1" t="str">
        <f>"1041529023"</f>
        <v>1041529023</v>
      </c>
      <c r="D2045" s="1" t="str">
        <f>"152326195702263073"</f>
        <v>152326195702263073</v>
      </c>
      <c r="E2045" s="1" t="s">
        <v>2120</v>
      </c>
      <c r="F2045" s="1" t="s">
        <v>25</v>
      </c>
      <c r="G2045" s="1" t="s">
        <v>17</v>
      </c>
      <c r="H2045" s="1" t="str">
        <f>"67"</f>
        <v>67</v>
      </c>
      <c r="I2045" s="1" t="str">
        <f>"154.32"</f>
        <v>154.32</v>
      </c>
      <c r="J2045" s="1" t="str">
        <f t="shared" ref="J2045:N2045" si="1348">"0"</f>
        <v>0</v>
      </c>
      <c r="K2045" s="1" t="str">
        <f t="shared" si="1337"/>
        <v>103</v>
      </c>
      <c r="L2045" s="1" t="str">
        <f t="shared" si="1338"/>
        <v>47</v>
      </c>
      <c r="M2045" s="1" t="str">
        <f t="shared" si="1348"/>
        <v>0</v>
      </c>
      <c r="N2045" s="1" t="str">
        <f t="shared" si="1348"/>
        <v>0</v>
      </c>
      <c r="O2045" s="1" t="str">
        <f>"4.32"</f>
        <v>4.32</v>
      </c>
    </row>
    <row r="2046" s="1" customFormat="1" spans="1:15">
      <c r="A2046" s="1" t="str">
        <f t="shared" si="1322"/>
        <v>202406</v>
      </c>
      <c r="B2046" s="1" t="str">
        <f t="shared" si="1323"/>
        <v>150525100</v>
      </c>
      <c r="C2046" s="1" t="str">
        <f>"1041430595"</f>
        <v>1041430595</v>
      </c>
      <c r="D2046" s="1" t="str">
        <f>"152326195807133072"</f>
        <v>152326195807133072</v>
      </c>
      <c r="E2046" s="1" t="s">
        <v>2121</v>
      </c>
      <c r="F2046" s="1" t="s">
        <v>25</v>
      </c>
      <c r="G2046" s="1" t="s">
        <v>17</v>
      </c>
      <c r="H2046" s="1" t="str">
        <f t="shared" ref="H2046:H2052" si="1349">"66"</f>
        <v>66</v>
      </c>
      <c r="I2046" s="1" t="str">
        <f>"155.98"</f>
        <v>155.98</v>
      </c>
      <c r="J2046" s="1" t="str">
        <f t="shared" ref="J2046:N2046" si="1350">"0"</f>
        <v>0</v>
      </c>
      <c r="K2046" s="1" t="str">
        <f t="shared" si="1337"/>
        <v>103</v>
      </c>
      <c r="L2046" s="1" t="str">
        <f t="shared" si="1338"/>
        <v>47</v>
      </c>
      <c r="M2046" s="1" t="str">
        <f t="shared" si="1350"/>
        <v>0</v>
      </c>
      <c r="N2046" s="1" t="str">
        <f t="shared" si="1350"/>
        <v>0</v>
      </c>
      <c r="O2046" s="1" t="str">
        <f>"5.98"</f>
        <v>5.98</v>
      </c>
    </row>
    <row r="2047" s="1" customFormat="1" spans="1:15">
      <c r="A2047" s="1" t="str">
        <f t="shared" si="1322"/>
        <v>202406</v>
      </c>
      <c r="B2047" s="1" t="str">
        <f t="shared" si="1323"/>
        <v>150525100</v>
      </c>
      <c r="C2047" s="1" t="str">
        <f>"1041458260"</f>
        <v>1041458260</v>
      </c>
      <c r="D2047" s="1" t="str">
        <f>"152326195608160449"</f>
        <v>152326195608160449</v>
      </c>
      <c r="E2047" s="1" t="s">
        <v>1731</v>
      </c>
      <c r="F2047" s="1" t="s">
        <v>16</v>
      </c>
      <c r="G2047" s="1" t="s">
        <v>17</v>
      </c>
      <c r="H2047" s="1" t="str">
        <f>"68"</f>
        <v>68</v>
      </c>
      <c r="I2047" s="1" t="str">
        <f>"150"</f>
        <v>150</v>
      </c>
      <c r="J2047" s="1" t="str">
        <f t="shared" ref="J2047:O2047" si="1351">"0"</f>
        <v>0</v>
      </c>
      <c r="K2047" s="1" t="str">
        <f t="shared" si="1337"/>
        <v>103</v>
      </c>
      <c r="L2047" s="1" t="str">
        <f t="shared" si="1338"/>
        <v>47</v>
      </c>
      <c r="M2047" s="1" t="str">
        <f t="shared" si="1351"/>
        <v>0</v>
      </c>
      <c r="N2047" s="1" t="str">
        <f t="shared" si="1351"/>
        <v>0</v>
      </c>
      <c r="O2047" s="1" t="str">
        <f t="shared" si="1351"/>
        <v>0</v>
      </c>
    </row>
    <row r="2048" s="1" customFormat="1" spans="1:15">
      <c r="A2048" s="1" t="str">
        <f t="shared" si="1322"/>
        <v>202406</v>
      </c>
      <c r="B2048" s="1" t="str">
        <f t="shared" si="1323"/>
        <v>150525100</v>
      </c>
      <c r="C2048" s="1" t="str">
        <f>"1041307333"</f>
        <v>1041307333</v>
      </c>
      <c r="D2048" s="1" t="str">
        <f>"152326196106153825"</f>
        <v>152326196106153825</v>
      </c>
      <c r="E2048" s="1" t="s">
        <v>2122</v>
      </c>
      <c r="F2048" s="1" t="s">
        <v>16</v>
      </c>
      <c r="G2048" s="1" t="s">
        <v>17</v>
      </c>
      <c r="H2048" s="1" t="str">
        <f>"63"</f>
        <v>63</v>
      </c>
      <c r="I2048" s="1" t="str">
        <f>"159.18"</f>
        <v>159.18</v>
      </c>
      <c r="J2048" s="1" t="str">
        <f t="shared" ref="J2048:N2048" si="1352">"0"</f>
        <v>0</v>
      </c>
      <c r="K2048" s="1" t="str">
        <f t="shared" si="1337"/>
        <v>103</v>
      </c>
      <c r="L2048" s="1" t="str">
        <f t="shared" si="1338"/>
        <v>47</v>
      </c>
      <c r="M2048" s="1" t="str">
        <f t="shared" si="1352"/>
        <v>0</v>
      </c>
      <c r="N2048" s="1" t="str">
        <f t="shared" si="1352"/>
        <v>0</v>
      </c>
      <c r="O2048" s="1" t="str">
        <f>"9.18"</f>
        <v>9.18</v>
      </c>
    </row>
    <row r="2049" s="1" customFormat="1" spans="1:15">
      <c r="A2049" s="1" t="str">
        <f t="shared" si="1322"/>
        <v>202406</v>
      </c>
      <c r="B2049" s="1" t="str">
        <f t="shared" si="1323"/>
        <v>150525100</v>
      </c>
      <c r="C2049" s="1" t="str">
        <f>"1041307441"</f>
        <v>1041307441</v>
      </c>
      <c r="D2049" s="1" t="str">
        <f>"152326196312220689"</f>
        <v>152326196312220689</v>
      </c>
      <c r="E2049" s="1" t="s">
        <v>2123</v>
      </c>
      <c r="F2049" s="1" t="s">
        <v>16</v>
      </c>
      <c r="G2049" s="1" t="s">
        <v>17</v>
      </c>
      <c r="H2049" s="1" t="str">
        <f>"61"</f>
        <v>61</v>
      </c>
      <c r="I2049" s="1" t="str">
        <f>"169.61"</f>
        <v>169.61</v>
      </c>
      <c r="J2049" s="1" t="str">
        <f t="shared" ref="J2049:N2049" si="1353">"0"</f>
        <v>0</v>
      </c>
      <c r="K2049" s="1" t="str">
        <f t="shared" si="1337"/>
        <v>103</v>
      </c>
      <c r="L2049" s="1" t="str">
        <f t="shared" si="1338"/>
        <v>47</v>
      </c>
      <c r="M2049" s="1" t="str">
        <f t="shared" si="1353"/>
        <v>0</v>
      </c>
      <c r="N2049" s="1" t="str">
        <f t="shared" si="1353"/>
        <v>0</v>
      </c>
      <c r="O2049" s="1" t="str">
        <f>"19.61"</f>
        <v>19.61</v>
      </c>
    </row>
    <row r="2050" s="1" customFormat="1" spans="1:15">
      <c r="A2050" s="1" t="str">
        <f t="shared" ref="A2050:A2113" si="1354">"202406"</f>
        <v>202406</v>
      </c>
      <c r="B2050" s="1" t="str">
        <f t="shared" ref="B2050:B2113" si="1355">"150525100"</f>
        <v>150525100</v>
      </c>
      <c r="C2050" s="1" t="str">
        <f>"1041305081"</f>
        <v>1041305081</v>
      </c>
      <c r="D2050" s="1" t="s">
        <v>2124</v>
      </c>
      <c r="E2050" s="1" t="s">
        <v>2125</v>
      </c>
      <c r="F2050" s="1" t="s">
        <v>16</v>
      </c>
      <c r="G2050" s="1" t="s">
        <v>17</v>
      </c>
      <c r="H2050" s="1" t="str">
        <f t="shared" si="1349"/>
        <v>66</v>
      </c>
      <c r="I2050" s="1" t="str">
        <f>"155.28"</f>
        <v>155.28</v>
      </c>
      <c r="J2050" s="1" t="str">
        <f t="shared" ref="J2050:N2050" si="1356">"0"</f>
        <v>0</v>
      </c>
      <c r="K2050" s="1" t="str">
        <f t="shared" si="1337"/>
        <v>103</v>
      </c>
      <c r="L2050" s="1" t="str">
        <f t="shared" si="1338"/>
        <v>47</v>
      </c>
      <c r="M2050" s="1" t="str">
        <f t="shared" si="1356"/>
        <v>0</v>
      </c>
      <c r="N2050" s="1" t="str">
        <f t="shared" si="1356"/>
        <v>0</v>
      </c>
      <c r="O2050" s="1" t="str">
        <f>"5.28"</f>
        <v>5.28</v>
      </c>
    </row>
    <row r="2051" s="1" customFormat="1" spans="1:15">
      <c r="A2051" s="1" t="str">
        <f t="shared" si="1354"/>
        <v>202406</v>
      </c>
      <c r="B2051" s="1" t="str">
        <f t="shared" si="1355"/>
        <v>150525100</v>
      </c>
      <c r="C2051" s="1" t="str">
        <f>"1041305087"</f>
        <v>1041305087</v>
      </c>
      <c r="D2051" s="1" t="str">
        <f>"152326195812063080"</f>
        <v>152326195812063080</v>
      </c>
      <c r="E2051" s="1" t="s">
        <v>2126</v>
      </c>
      <c r="F2051" s="1" t="s">
        <v>16</v>
      </c>
      <c r="G2051" s="1" t="s">
        <v>17</v>
      </c>
      <c r="H2051" s="1" t="str">
        <f t="shared" si="1349"/>
        <v>66</v>
      </c>
      <c r="I2051" s="1" t="str">
        <f>"160.05"</f>
        <v>160.05</v>
      </c>
      <c r="J2051" s="1" t="str">
        <f t="shared" ref="J2051:N2051" si="1357">"0"</f>
        <v>0</v>
      </c>
      <c r="K2051" s="1" t="str">
        <f t="shared" si="1337"/>
        <v>103</v>
      </c>
      <c r="L2051" s="1" t="str">
        <f t="shared" si="1338"/>
        <v>47</v>
      </c>
      <c r="M2051" s="1" t="str">
        <f t="shared" si="1357"/>
        <v>0</v>
      </c>
      <c r="N2051" s="1" t="str">
        <f t="shared" si="1357"/>
        <v>0</v>
      </c>
      <c r="O2051" s="1" t="str">
        <f>"10.05"</f>
        <v>10.05</v>
      </c>
    </row>
    <row r="2052" s="1" customFormat="1" spans="1:15">
      <c r="A2052" s="1" t="str">
        <f t="shared" si="1354"/>
        <v>202406</v>
      </c>
      <c r="B2052" s="1" t="str">
        <f t="shared" si="1355"/>
        <v>150525100</v>
      </c>
      <c r="C2052" s="1" t="str">
        <f>"1041606994"</f>
        <v>1041606994</v>
      </c>
      <c r="D2052" s="1" t="str">
        <f>"152326195801170673"</f>
        <v>152326195801170673</v>
      </c>
      <c r="E2052" s="1" t="s">
        <v>2127</v>
      </c>
      <c r="F2052" s="1" t="s">
        <v>25</v>
      </c>
      <c r="G2052" s="1" t="s">
        <v>17</v>
      </c>
      <c r="H2052" s="1" t="str">
        <f t="shared" si="1349"/>
        <v>66</v>
      </c>
      <c r="I2052" s="1" t="str">
        <f>"150.94"</f>
        <v>150.94</v>
      </c>
      <c r="J2052" s="1" t="str">
        <f t="shared" ref="J2052:N2052" si="1358">"0"</f>
        <v>0</v>
      </c>
      <c r="K2052" s="1" t="str">
        <f t="shared" si="1337"/>
        <v>103</v>
      </c>
      <c r="L2052" s="1" t="str">
        <f t="shared" si="1338"/>
        <v>47</v>
      </c>
      <c r="M2052" s="1" t="str">
        <f t="shared" si="1358"/>
        <v>0</v>
      </c>
      <c r="N2052" s="1" t="str">
        <f t="shared" si="1358"/>
        <v>0</v>
      </c>
      <c r="O2052" s="1" t="str">
        <f>"0.94"</f>
        <v>0.94</v>
      </c>
    </row>
    <row r="2053" s="1" customFormat="1" spans="1:15">
      <c r="A2053" s="1" t="str">
        <f t="shared" si="1354"/>
        <v>202406</v>
      </c>
      <c r="B2053" s="1" t="str">
        <f t="shared" si="1355"/>
        <v>150525100</v>
      </c>
      <c r="C2053" s="1" t="str">
        <f>"1041767004"</f>
        <v>1041767004</v>
      </c>
      <c r="D2053" s="1" t="str">
        <f>"152326196108160674"</f>
        <v>152326196108160674</v>
      </c>
      <c r="E2053" s="1" t="s">
        <v>2128</v>
      </c>
      <c r="F2053" s="1" t="s">
        <v>25</v>
      </c>
      <c r="G2053" s="1" t="s">
        <v>17</v>
      </c>
      <c r="H2053" s="1" t="str">
        <f>"63"</f>
        <v>63</v>
      </c>
      <c r="I2053" s="1" t="str">
        <f>"158.6"</f>
        <v>158.6</v>
      </c>
      <c r="J2053" s="1" t="str">
        <f t="shared" ref="J2053:N2053" si="1359">"0"</f>
        <v>0</v>
      </c>
      <c r="K2053" s="1" t="str">
        <f t="shared" si="1337"/>
        <v>103</v>
      </c>
      <c r="L2053" s="1" t="str">
        <f t="shared" si="1338"/>
        <v>47</v>
      </c>
      <c r="M2053" s="1" t="str">
        <f t="shared" si="1359"/>
        <v>0</v>
      </c>
      <c r="N2053" s="1" t="str">
        <f t="shared" si="1359"/>
        <v>0</v>
      </c>
      <c r="O2053" s="1" t="str">
        <f>"8.6"</f>
        <v>8.6</v>
      </c>
    </row>
    <row r="2054" s="1" customFormat="1" spans="1:15">
      <c r="A2054" s="1" t="str">
        <f t="shared" si="1354"/>
        <v>202406</v>
      </c>
      <c r="B2054" s="1" t="str">
        <f t="shared" si="1355"/>
        <v>150525100</v>
      </c>
      <c r="C2054" s="1" t="str">
        <f>"1041869061"</f>
        <v>1041869061</v>
      </c>
      <c r="D2054" s="1" t="str">
        <f>"152326195801053311"</f>
        <v>152326195801053311</v>
      </c>
      <c r="E2054" s="1" t="s">
        <v>2129</v>
      </c>
      <c r="F2054" s="1" t="s">
        <v>25</v>
      </c>
      <c r="G2054" s="1" t="s">
        <v>19</v>
      </c>
      <c r="H2054" s="1" t="str">
        <f>"67"</f>
        <v>67</v>
      </c>
      <c r="I2054" s="1" t="str">
        <f>"150"</f>
        <v>150</v>
      </c>
      <c r="J2054" s="1" t="str">
        <f t="shared" ref="J2054:O2054" si="1360">"0"</f>
        <v>0</v>
      </c>
      <c r="K2054" s="1" t="str">
        <f t="shared" si="1337"/>
        <v>103</v>
      </c>
      <c r="L2054" s="1" t="str">
        <f t="shared" si="1338"/>
        <v>47</v>
      </c>
      <c r="M2054" s="1" t="str">
        <f t="shared" si="1360"/>
        <v>0</v>
      </c>
      <c r="N2054" s="1" t="str">
        <f t="shared" si="1360"/>
        <v>0</v>
      </c>
      <c r="O2054" s="1" t="str">
        <f t="shared" si="1360"/>
        <v>0</v>
      </c>
    </row>
    <row r="2055" s="1" customFormat="1" spans="1:15">
      <c r="A2055" s="1" t="str">
        <f t="shared" si="1354"/>
        <v>202406</v>
      </c>
      <c r="B2055" s="1" t="str">
        <f t="shared" si="1355"/>
        <v>150525100</v>
      </c>
      <c r="C2055" s="1" t="str">
        <f>"1041884334"</f>
        <v>1041884334</v>
      </c>
      <c r="D2055" s="1" t="str">
        <f>"152326195910020412"</f>
        <v>152326195910020412</v>
      </c>
      <c r="E2055" s="1" t="s">
        <v>2130</v>
      </c>
      <c r="F2055" s="1" t="s">
        <v>25</v>
      </c>
      <c r="G2055" s="1" t="s">
        <v>17</v>
      </c>
      <c r="H2055" s="1" t="str">
        <f>"65"</f>
        <v>65</v>
      </c>
      <c r="I2055" s="1" t="str">
        <f>"155.76"</f>
        <v>155.76</v>
      </c>
      <c r="J2055" s="1" t="str">
        <f t="shared" ref="J2055:N2055" si="1361">"0"</f>
        <v>0</v>
      </c>
      <c r="K2055" s="1" t="str">
        <f t="shared" si="1337"/>
        <v>103</v>
      </c>
      <c r="L2055" s="1" t="str">
        <f t="shared" si="1338"/>
        <v>47</v>
      </c>
      <c r="M2055" s="1" t="str">
        <f t="shared" si="1361"/>
        <v>0</v>
      </c>
      <c r="N2055" s="1" t="str">
        <f t="shared" si="1361"/>
        <v>0</v>
      </c>
      <c r="O2055" s="1" t="str">
        <f>"5.76"</f>
        <v>5.76</v>
      </c>
    </row>
    <row r="2056" s="1" customFormat="1" spans="1:15">
      <c r="A2056" s="1" t="str">
        <f t="shared" si="1354"/>
        <v>202406</v>
      </c>
      <c r="B2056" s="1" t="str">
        <f t="shared" si="1355"/>
        <v>150525100</v>
      </c>
      <c r="C2056" s="1" t="str">
        <f>"1042045723"</f>
        <v>1042045723</v>
      </c>
      <c r="D2056" s="1" t="s">
        <v>2131</v>
      </c>
      <c r="E2056" s="1" t="s">
        <v>80</v>
      </c>
      <c r="F2056" s="1" t="s">
        <v>16</v>
      </c>
      <c r="G2056" s="1" t="s">
        <v>17</v>
      </c>
      <c r="H2056" s="1" t="str">
        <f>"61"</f>
        <v>61</v>
      </c>
      <c r="I2056" s="1" t="str">
        <f>"163.08"</f>
        <v>163.08</v>
      </c>
      <c r="J2056" s="1" t="str">
        <f t="shared" ref="J2056:N2056" si="1362">"0"</f>
        <v>0</v>
      </c>
      <c r="K2056" s="1" t="str">
        <f t="shared" si="1337"/>
        <v>103</v>
      </c>
      <c r="L2056" s="1" t="str">
        <f t="shared" si="1338"/>
        <v>47</v>
      </c>
      <c r="M2056" s="1" t="str">
        <f t="shared" si="1362"/>
        <v>0</v>
      </c>
      <c r="N2056" s="1" t="str">
        <f t="shared" si="1362"/>
        <v>0</v>
      </c>
      <c r="O2056" s="1" t="str">
        <f>"13.08"</f>
        <v>13.08</v>
      </c>
    </row>
    <row r="2057" s="1" customFormat="1" spans="1:15">
      <c r="A2057" s="1" t="str">
        <f t="shared" si="1354"/>
        <v>202406</v>
      </c>
      <c r="B2057" s="1" t="str">
        <f t="shared" si="1355"/>
        <v>150525100</v>
      </c>
      <c r="C2057" s="1" t="str">
        <f>"1041581186"</f>
        <v>1041581186</v>
      </c>
      <c r="D2057" s="1" t="str">
        <f>"152326195511273818"</f>
        <v>152326195511273818</v>
      </c>
      <c r="E2057" s="1" t="s">
        <v>2132</v>
      </c>
      <c r="F2057" s="1" t="s">
        <v>25</v>
      </c>
      <c r="G2057" s="1" t="s">
        <v>19</v>
      </c>
      <c r="H2057" s="1" t="str">
        <f>"69"</f>
        <v>69</v>
      </c>
      <c r="I2057" s="1" t="str">
        <f>"153.6"</f>
        <v>153.6</v>
      </c>
      <c r="J2057" s="1" t="str">
        <f t="shared" ref="J2057:N2057" si="1363">"0"</f>
        <v>0</v>
      </c>
      <c r="K2057" s="1" t="str">
        <f t="shared" si="1337"/>
        <v>103</v>
      </c>
      <c r="L2057" s="1" t="str">
        <f t="shared" si="1338"/>
        <v>47</v>
      </c>
      <c r="M2057" s="1" t="str">
        <f t="shared" si="1363"/>
        <v>0</v>
      </c>
      <c r="N2057" s="1" t="str">
        <f t="shared" si="1363"/>
        <v>0</v>
      </c>
      <c r="O2057" s="1" t="str">
        <f>"3.6"</f>
        <v>3.6</v>
      </c>
    </row>
    <row r="2058" s="1" customFormat="1" spans="1:15">
      <c r="A2058" s="1" t="str">
        <f t="shared" si="1354"/>
        <v>202406</v>
      </c>
      <c r="B2058" s="1" t="str">
        <f t="shared" si="1355"/>
        <v>150525100</v>
      </c>
      <c r="C2058" s="1" t="str">
        <f>"1041564055"</f>
        <v>1041564055</v>
      </c>
      <c r="D2058" s="1" t="str">
        <f>"152326195703024074"</f>
        <v>152326195703024074</v>
      </c>
      <c r="E2058" s="1" t="s">
        <v>2133</v>
      </c>
      <c r="F2058" s="1" t="s">
        <v>25</v>
      </c>
      <c r="G2058" s="1" t="s">
        <v>17</v>
      </c>
      <c r="H2058" s="1" t="str">
        <f>"67"</f>
        <v>67</v>
      </c>
      <c r="I2058" s="1" t="str">
        <f>"479.04"</f>
        <v>479.04</v>
      </c>
      <c r="J2058" s="1" t="str">
        <f t="shared" ref="J2058:N2058" si="1364">"0"</f>
        <v>0</v>
      </c>
      <c r="K2058" s="1" t="str">
        <f t="shared" si="1337"/>
        <v>103</v>
      </c>
      <c r="L2058" s="1" t="str">
        <f t="shared" si="1338"/>
        <v>47</v>
      </c>
      <c r="M2058" s="1" t="str">
        <f t="shared" si="1364"/>
        <v>0</v>
      </c>
      <c r="N2058" s="1" t="str">
        <f t="shared" si="1364"/>
        <v>0</v>
      </c>
      <c r="O2058" s="1" t="str">
        <f>"329.04"</f>
        <v>329.04</v>
      </c>
    </row>
    <row r="2059" s="1" customFormat="1" spans="1:15">
      <c r="A2059" s="1" t="str">
        <f t="shared" si="1354"/>
        <v>202406</v>
      </c>
      <c r="B2059" s="1" t="str">
        <f t="shared" si="1355"/>
        <v>150525100</v>
      </c>
      <c r="C2059" s="1" t="str">
        <f>"1042194196"</f>
        <v>1042194196</v>
      </c>
      <c r="D2059" s="1" t="str">
        <f>"152326196001203822"</f>
        <v>152326196001203822</v>
      </c>
      <c r="E2059" s="1" t="s">
        <v>2134</v>
      </c>
      <c r="F2059" s="1" t="s">
        <v>16</v>
      </c>
      <c r="G2059" s="1" t="s">
        <v>19</v>
      </c>
      <c r="H2059" s="1" t="str">
        <f>"64"</f>
        <v>64</v>
      </c>
      <c r="I2059" s="1" t="str">
        <f>"156.71"</f>
        <v>156.71</v>
      </c>
      <c r="J2059" s="1" t="str">
        <f t="shared" ref="J2059:N2059" si="1365">"0"</f>
        <v>0</v>
      </c>
      <c r="K2059" s="1" t="str">
        <f t="shared" si="1337"/>
        <v>103</v>
      </c>
      <c r="L2059" s="1" t="str">
        <f t="shared" si="1338"/>
        <v>47</v>
      </c>
      <c r="M2059" s="1" t="str">
        <f t="shared" si="1365"/>
        <v>0</v>
      </c>
      <c r="N2059" s="1" t="str">
        <f t="shared" si="1365"/>
        <v>0</v>
      </c>
      <c r="O2059" s="1" t="str">
        <f>"6.71"</f>
        <v>6.71</v>
      </c>
    </row>
    <row r="2060" s="1" customFormat="1" spans="1:15">
      <c r="A2060" s="1" t="str">
        <f t="shared" si="1354"/>
        <v>202406</v>
      </c>
      <c r="B2060" s="1" t="str">
        <f t="shared" si="1355"/>
        <v>150525100</v>
      </c>
      <c r="C2060" s="1" t="str">
        <f>"1042186786"</f>
        <v>1042186786</v>
      </c>
      <c r="D2060" s="1" t="s">
        <v>2135</v>
      </c>
      <c r="E2060" s="1" t="s">
        <v>2136</v>
      </c>
      <c r="F2060" s="1" t="s">
        <v>25</v>
      </c>
      <c r="G2060" s="1" t="s">
        <v>17</v>
      </c>
      <c r="H2060" s="1" t="str">
        <f t="shared" ref="H2060:H2064" si="1366">"65"</f>
        <v>65</v>
      </c>
      <c r="I2060" s="1" t="str">
        <f>"156.01"</f>
        <v>156.01</v>
      </c>
      <c r="J2060" s="1" t="str">
        <f t="shared" ref="J2060:N2060" si="1367">"0"</f>
        <v>0</v>
      </c>
      <c r="K2060" s="1" t="str">
        <f t="shared" si="1337"/>
        <v>103</v>
      </c>
      <c r="L2060" s="1" t="str">
        <f t="shared" si="1338"/>
        <v>47</v>
      </c>
      <c r="M2060" s="1" t="str">
        <f t="shared" si="1367"/>
        <v>0</v>
      </c>
      <c r="N2060" s="1" t="str">
        <f t="shared" si="1367"/>
        <v>0</v>
      </c>
      <c r="O2060" s="1" t="str">
        <f>"6.01"</f>
        <v>6.01</v>
      </c>
    </row>
    <row r="2061" s="1" customFormat="1" spans="1:15">
      <c r="A2061" s="1" t="str">
        <f t="shared" si="1354"/>
        <v>202406</v>
      </c>
      <c r="B2061" s="1" t="str">
        <f t="shared" si="1355"/>
        <v>150525100</v>
      </c>
      <c r="C2061" s="1" t="str">
        <f>"1042083125"</f>
        <v>1042083125</v>
      </c>
      <c r="D2061" s="1" t="s">
        <v>2137</v>
      </c>
      <c r="E2061" s="1" t="s">
        <v>2138</v>
      </c>
      <c r="F2061" s="1" t="s">
        <v>25</v>
      </c>
      <c r="G2061" s="1" t="s">
        <v>17</v>
      </c>
      <c r="H2061" s="1" t="str">
        <f>"71"</f>
        <v>71</v>
      </c>
      <c r="I2061" s="1" t="str">
        <f>"162.16"</f>
        <v>162.16</v>
      </c>
      <c r="J2061" s="1" t="str">
        <f t="shared" ref="J2061:N2061" si="1368">"0"</f>
        <v>0</v>
      </c>
      <c r="K2061" s="1" t="str">
        <f t="shared" si="1337"/>
        <v>103</v>
      </c>
      <c r="L2061" s="1" t="str">
        <f t="shared" si="1338"/>
        <v>47</v>
      </c>
      <c r="M2061" s="1" t="str">
        <f t="shared" si="1368"/>
        <v>0</v>
      </c>
      <c r="N2061" s="1" t="str">
        <f t="shared" si="1368"/>
        <v>0</v>
      </c>
      <c r="O2061" s="1" t="str">
        <f>"2.16"</f>
        <v>2.16</v>
      </c>
    </row>
    <row r="2062" s="1" customFormat="1" spans="1:15">
      <c r="A2062" s="1" t="str">
        <f t="shared" si="1354"/>
        <v>202406</v>
      </c>
      <c r="B2062" s="1" t="str">
        <f t="shared" si="1355"/>
        <v>150525100</v>
      </c>
      <c r="C2062" s="1" t="str">
        <f>"1042083231"</f>
        <v>1042083231</v>
      </c>
      <c r="D2062" s="1" t="str">
        <f>"152326195810150412"</f>
        <v>152326195810150412</v>
      </c>
      <c r="E2062" s="1" t="s">
        <v>2139</v>
      </c>
      <c r="F2062" s="1" t="s">
        <v>25</v>
      </c>
      <c r="G2062" s="1" t="s">
        <v>17</v>
      </c>
      <c r="H2062" s="1" t="str">
        <f>"66"</f>
        <v>66</v>
      </c>
      <c r="I2062" s="1" t="str">
        <f>"155.76"</f>
        <v>155.76</v>
      </c>
      <c r="J2062" s="1" t="str">
        <f t="shared" ref="J2062:N2062" si="1369">"0"</f>
        <v>0</v>
      </c>
      <c r="K2062" s="1" t="str">
        <f t="shared" si="1337"/>
        <v>103</v>
      </c>
      <c r="L2062" s="1" t="str">
        <f t="shared" si="1338"/>
        <v>47</v>
      </c>
      <c r="M2062" s="1" t="str">
        <f t="shared" si="1369"/>
        <v>0</v>
      </c>
      <c r="N2062" s="1" t="str">
        <f t="shared" si="1369"/>
        <v>0</v>
      </c>
      <c r="O2062" s="1" t="str">
        <f>"5.76"</f>
        <v>5.76</v>
      </c>
    </row>
    <row r="2063" s="1" customFormat="1" spans="1:15">
      <c r="A2063" s="1" t="str">
        <f t="shared" si="1354"/>
        <v>202406</v>
      </c>
      <c r="B2063" s="1" t="str">
        <f t="shared" si="1355"/>
        <v>150525100</v>
      </c>
      <c r="C2063" s="1" t="str">
        <f>"1041884525"</f>
        <v>1041884525</v>
      </c>
      <c r="D2063" s="1" t="str">
        <f>"152326195910263334"</f>
        <v>152326195910263334</v>
      </c>
      <c r="E2063" s="1" t="s">
        <v>2140</v>
      </c>
      <c r="F2063" s="1" t="s">
        <v>25</v>
      </c>
      <c r="G2063" s="1" t="s">
        <v>19</v>
      </c>
      <c r="H2063" s="1" t="str">
        <f t="shared" si="1366"/>
        <v>65</v>
      </c>
      <c r="I2063" s="1" t="str">
        <f>"156.07"</f>
        <v>156.07</v>
      </c>
      <c r="J2063" s="1" t="str">
        <f t="shared" ref="J2063:N2063" si="1370">"0"</f>
        <v>0</v>
      </c>
      <c r="K2063" s="1" t="str">
        <f t="shared" si="1337"/>
        <v>103</v>
      </c>
      <c r="L2063" s="1" t="str">
        <f t="shared" si="1338"/>
        <v>47</v>
      </c>
      <c r="M2063" s="1" t="str">
        <f t="shared" si="1370"/>
        <v>0</v>
      </c>
      <c r="N2063" s="1" t="str">
        <f t="shared" si="1370"/>
        <v>0</v>
      </c>
      <c r="O2063" s="1" t="str">
        <f>"6.07"</f>
        <v>6.07</v>
      </c>
    </row>
    <row r="2064" s="1" customFormat="1" spans="1:15">
      <c r="A2064" s="1" t="str">
        <f t="shared" si="1354"/>
        <v>202406</v>
      </c>
      <c r="B2064" s="1" t="str">
        <f t="shared" si="1355"/>
        <v>150525100</v>
      </c>
      <c r="C2064" s="1" t="str">
        <f>"1042055326"</f>
        <v>1042055326</v>
      </c>
      <c r="D2064" s="1" t="str">
        <f>"152326195912050922"</f>
        <v>152326195912050922</v>
      </c>
      <c r="E2064" s="1" t="s">
        <v>2141</v>
      </c>
      <c r="F2064" s="1" t="s">
        <v>16</v>
      </c>
      <c r="G2064" s="1" t="s">
        <v>19</v>
      </c>
      <c r="H2064" s="1" t="str">
        <f t="shared" si="1366"/>
        <v>65</v>
      </c>
      <c r="I2064" s="1" t="str">
        <f>"156.71"</f>
        <v>156.71</v>
      </c>
      <c r="J2064" s="1" t="str">
        <f t="shared" ref="J2064:N2064" si="1371">"0"</f>
        <v>0</v>
      </c>
      <c r="K2064" s="1" t="str">
        <f t="shared" si="1337"/>
        <v>103</v>
      </c>
      <c r="L2064" s="1" t="str">
        <f t="shared" si="1338"/>
        <v>47</v>
      </c>
      <c r="M2064" s="1" t="str">
        <f t="shared" si="1371"/>
        <v>0</v>
      </c>
      <c r="N2064" s="1" t="str">
        <f t="shared" si="1371"/>
        <v>0</v>
      </c>
      <c r="O2064" s="1" t="str">
        <f>"6.71"</f>
        <v>6.71</v>
      </c>
    </row>
    <row r="2065" s="1" customFormat="1" spans="1:15">
      <c r="A2065" s="1" t="str">
        <f t="shared" si="1354"/>
        <v>202406</v>
      </c>
      <c r="B2065" s="1" t="str">
        <f t="shared" si="1355"/>
        <v>150525100</v>
      </c>
      <c r="C2065" s="1" t="str">
        <f>"1041595313"</f>
        <v>1041595313</v>
      </c>
      <c r="D2065" s="1" t="str">
        <f>"152326195801150672"</f>
        <v>152326195801150672</v>
      </c>
      <c r="E2065" s="1" t="s">
        <v>2142</v>
      </c>
      <c r="F2065" s="1" t="s">
        <v>25</v>
      </c>
      <c r="G2065" s="1" t="s">
        <v>17</v>
      </c>
      <c r="H2065" s="1" t="str">
        <f>"66"</f>
        <v>66</v>
      </c>
      <c r="I2065" s="1" t="str">
        <f>"155.98"</f>
        <v>155.98</v>
      </c>
      <c r="J2065" s="1" t="str">
        <f t="shared" ref="J2065:N2065" si="1372">"0"</f>
        <v>0</v>
      </c>
      <c r="K2065" s="1" t="str">
        <f t="shared" si="1337"/>
        <v>103</v>
      </c>
      <c r="L2065" s="1" t="str">
        <f t="shared" si="1338"/>
        <v>47</v>
      </c>
      <c r="M2065" s="1" t="str">
        <f t="shared" si="1372"/>
        <v>0</v>
      </c>
      <c r="N2065" s="1" t="str">
        <f t="shared" si="1372"/>
        <v>0</v>
      </c>
      <c r="O2065" s="1" t="str">
        <f>"5.98"</f>
        <v>5.98</v>
      </c>
    </row>
    <row r="2066" s="1" customFormat="1" spans="1:15">
      <c r="A2066" s="1" t="str">
        <f t="shared" si="1354"/>
        <v>202406</v>
      </c>
      <c r="B2066" s="1" t="str">
        <f t="shared" si="1355"/>
        <v>150525100</v>
      </c>
      <c r="C2066" s="1" t="str">
        <f>"1041656471"</f>
        <v>1041656471</v>
      </c>
      <c r="D2066" s="1" t="str">
        <f>"211324195910113945"</f>
        <v>211324195910113945</v>
      </c>
      <c r="E2066" s="1" t="s">
        <v>2143</v>
      </c>
      <c r="F2066" s="1" t="s">
        <v>16</v>
      </c>
      <c r="G2066" s="1" t="s">
        <v>17</v>
      </c>
      <c r="H2066" s="1" t="str">
        <f>"65"</f>
        <v>65</v>
      </c>
      <c r="I2066" s="1" t="str">
        <f>"150.94"</f>
        <v>150.94</v>
      </c>
      <c r="J2066" s="1" t="str">
        <f t="shared" ref="J2066:N2066" si="1373">"0"</f>
        <v>0</v>
      </c>
      <c r="K2066" s="1" t="str">
        <f t="shared" si="1337"/>
        <v>103</v>
      </c>
      <c r="L2066" s="1" t="str">
        <f t="shared" si="1338"/>
        <v>47</v>
      </c>
      <c r="M2066" s="1" t="str">
        <f t="shared" si="1373"/>
        <v>0</v>
      </c>
      <c r="N2066" s="1" t="str">
        <f t="shared" si="1373"/>
        <v>0</v>
      </c>
      <c r="O2066" s="1" t="str">
        <f>"0.94"</f>
        <v>0.94</v>
      </c>
    </row>
    <row r="2067" s="1" customFormat="1" spans="1:15">
      <c r="A2067" s="1" t="str">
        <f t="shared" si="1354"/>
        <v>202406</v>
      </c>
      <c r="B2067" s="1" t="str">
        <f t="shared" si="1355"/>
        <v>150525100</v>
      </c>
      <c r="C2067" s="1" t="str">
        <f>"1041656472"</f>
        <v>1041656472</v>
      </c>
      <c r="D2067" s="1" t="str">
        <f>"152326196210283814"</f>
        <v>152326196210283814</v>
      </c>
      <c r="E2067" s="1" t="s">
        <v>2144</v>
      </c>
      <c r="F2067" s="1" t="s">
        <v>25</v>
      </c>
      <c r="G2067" s="1" t="s">
        <v>17</v>
      </c>
      <c r="H2067" s="1" t="str">
        <f>"62"</f>
        <v>62</v>
      </c>
      <c r="I2067" s="1" t="str">
        <f>"170.97"</f>
        <v>170.97</v>
      </c>
      <c r="J2067" s="1" t="str">
        <f t="shared" ref="J2067:N2067" si="1374">"0"</f>
        <v>0</v>
      </c>
      <c r="K2067" s="1" t="str">
        <f t="shared" si="1337"/>
        <v>103</v>
      </c>
      <c r="L2067" s="1" t="str">
        <f t="shared" si="1338"/>
        <v>47</v>
      </c>
      <c r="M2067" s="1" t="str">
        <f t="shared" si="1374"/>
        <v>0</v>
      </c>
      <c r="N2067" s="1" t="str">
        <f t="shared" si="1374"/>
        <v>0</v>
      </c>
      <c r="O2067" s="1" t="str">
        <f>"20.97"</f>
        <v>20.97</v>
      </c>
    </row>
    <row r="2068" s="1" customFormat="1" spans="1:15">
      <c r="A2068" s="1" t="str">
        <f t="shared" si="1354"/>
        <v>202406</v>
      </c>
      <c r="B2068" s="1" t="str">
        <f t="shared" si="1355"/>
        <v>150525100</v>
      </c>
      <c r="C2068" s="1" t="str">
        <f>"1041656484"</f>
        <v>1041656484</v>
      </c>
      <c r="D2068" s="1" t="s">
        <v>2145</v>
      </c>
      <c r="E2068" s="1" t="s">
        <v>2146</v>
      </c>
      <c r="F2068" s="1" t="s">
        <v>16</v>
      </c>
      <c r="G2068" s="1" t="s">
        <v>17</v>
      </c>
      <c r="H2068" s="1" t="str">
        <f t="shared" ref="H2068:H2073" si="1375">"64"</f>
        <v>64</v>
      </c>
      <c r="I2068" s="1" t="str">
        <f>"156.77"</f>
        <v>156.77</v>
      </c>
      <c r="J2068" s="1" t="str">
        <f t="shared" ref="J2068:N2068" si="1376">"0"</f>
        <v>0</v>
      </c>
      <c r="K2068" s="1" t="str">
        <f t="shared" si="1337"/>
        <v>103</v>
      </c>
      <c r="L2068" s="1" t="str">
        <f t="shared" si="1338"/>
        <v>47</v>
      </c>
      <c r="M2068" s="1" t="str">
        <f t="shared" si="1376"/>
        <v>0</v>
      </c>
      <c r="N2068" s="1" t="str">
        <f t="shared" si="1376"/>
        <v>0</v>
      </c>
      <c r="O2068" s="1" t="str">
        <f>"6.77"</f>
        <v>6.77</v>
      </c>
    </row>
    <row r="2069" s="1" customFormat="1" spans="1:15">
      <c r="A2069" s="1" t="str">
        <f t="shared" si="1354"/>
        <v>202406</v>
      </c>
      <c r="B2069" s="1" t="str">
        <f t="shared" si="1355"/>
        <v>150525100</v>
      </c>
      <c r="C2069" s="1" t="str">
        <f>"1041656524"</f>
        <v>1041656524</v>
      </c>
      <c r="D2069" s="1" t="str">
        <f>"152326196301290702"</f>
        <v>152326196301290702</v>
      </c>
      <c r="E2069" s="1" t="s">
        <v>2147</v>
      </c>
      <c r="F2069" s="1" t="s">
        <v>16</v>
      </c>
      <c r="G2069" s="1" t="s">
        <v>17</v>
      </c>
      <c r="H2069" s="1" t="str">
        <f>"61"</f>
        <v>61</v>
      </c>
      <c r="I2069" s="1" t="str">
        <f>"166.99"</f>
        <v>166.99</v>
      </c>
      <c r="J2069" s="1" t="str">
        <f t="shared" ref="J2069:N2069" si="1377">"0"</f>
        <v>0</v>
      </c>
      <c r="K2069" s="1" t="str">
        <f t="shared" si="1337"/>
        <v>103</v>
      </c>
      <c r="L2069" s="1" t="str">
        <f t="shared" si="1338"/>
        <v>47</v>
      </c>
      <c r="M2069" s="1" t="str">
        <f t="shared" si="1377"/>
        <v>0</v>
      </c>
      <c r="N2069" s="1" t="str">
        <f t="shared" si="1377"/>
        <v>0</v>
      </c>
      <c r="O2069" s="1" t="str">
        <f>"16.99"</f>
        <v>16.99</v>
      </c>
    </row>
    <row r="2070" s="1" customFormat="1" spans="1:15">
      <c r="A2070" s="1" t="str">
        <f t="shared" si="1354"/>
        <v>202406</v>
      </c>
      <c r="B2070" s="1" t="str">
        <f t="shared" si="1355"/>
        <v>150525100</v>
      </c>
      <c r="C2070" s="1" t="str">
        <f>"1041659629"</f>
        <v>1041659629</v>
      </c>
      <c r="D2070" s="1" t="str">
        <f>"152326196005023810"</f>
        <v>152326196005023810</v>
      </c>
      <c r="E2070" s="1" t="s">
        <v>2148</v>
      </c>
      <c r="F2070" s="1" t="s">
        <v>25</v>
      </c>
      <c r="G2070" s="1" t="s">
        <v>17</v>
      </c>
      <c r="H2070" s="1" t="str">
        <f t="shared" si="1375"/>
        <v>64</v>
      </c>
      <c r="I2070" s="1" t="str">
        <f>"156.76"</f>
        <v>156.76</v>
      </c>
      <c r="J2070" s="1" t="str">
        <f t="shared" ref="J2070:N2070" si="1378">"0"</f>
        <v>0</v>
      </c>
      <c r="K2070" s="1" t="str">
        <f t="shared" si="1337"/>
        <v>103</v>
      </c>
      <c r="L2070" s="1" t="str">
        <f t="shared" si="1338"/>
        <v>47</v>
      </c>
      <c r="M2070" s="1" t="str">
        <f t="shared" si="1378"/>
        <v>0</v>
      </c>
      <c r="N2070" s="1" t="str">
        <f t="shared" si="1378"/>
        <v>0</v>
      </c>
      <c r="O2070" s="1" t="str">
        <f>"6.76"</f>
        <v>6.76</v>
      </c>
    </row>
    <row r="2071" s="1" customFormat="1" spans="1:15">
      <c r="A2071" s="1" t="str">
        <f t="shared" si="1354"/>
        <v>202406</v>
      </c>
      <c r="B2071" s="1" t="str">
        <f t="shared" si="1355"/>
        <v>150525100</v>
      </c>
      <c r="C2071" s="1" t="str">
        <f>"1041866260"</f>
        <v>1041866260</v>
      </c>
      <c r="D2071" s="1" t="str">
        <f>"152326196305171225"</f>
        <v>152326196305171225</v>
      </c>
      <c r="E2071" s="1" t="s">
        <v>2149</v>
      </c>
      <c r="F2071" s="1" t="s">
        <v>16</v>
      </c>
      <c r="G2071" s="1" t="s">
        <v>17</v>
      </c>
      <c r="H2071" s="1" t="str">
        <f>"61"</f>
        <v>61</v>
      </c>
      <c r="I2071" s="1" t="str">
        <f>"161.59"</f>
        <v>161.59</v>
      </c>
      <c r="J2071" s="1" t="str">
        <f t="shared" ref="J2071:N2071" si="1379">"0"</f>
        <v>0</v>
      </c>
      <c r="K2071" s="1" t="str">
        <f t="shared" si="1337"/>
        <v>103</v>
      </c>
      <c r="L2071" s="1" t="str">
        <f t="shared" si="1338"/>
        <v>47</v>
      </c>
      <c r="M2071" s="1" t="str">
        <f t="shared" si="1379"/>
        <v>0</v>
      </c>
      <c r="N2071" s="1" t="str">
        <f t="shared" si="1379"/>
        <v>0</v>
      </c>
      <c r="O2071" s="1" t="str">
        <f>"11.59"</f>
        <v>11.59</v>
      </c>
    </row>
    <row r="2072" s="1" customFormat="1" spans="1:15">
      <c r="A2072" s="1" t="str">
        <f t="shared" si="1354"/>
        <v>202406</v>
      </c>
      <c r="B2072" s="1" t="str">
        <f t="shared" si="1355"/>
        <v>150525100</v>
      </c>
      <c r="C2072" s="1" t="str">
        <f>"1042157579"</f>
        <v>1042157579</v>
      </c>
      <c r="D2072" s="1" t="str">
        <f>"152326195906073087"</f>
        <v>152326195906073087</v>
      </c>
      <c r="E2072" s="1" t="s">
        <v>2150</v>
      </c>
      <c r="F2072" s="1" t="s">
        <v>16</v>
      </c>
      <c r="G2072" s="1" t="s">
        <v>19</v>
      </c>
      <c r="H2072" s="1" t="str">
        <f>"65"</f>
        <v>65</v>
      </c>
      <c r="I2072" s="1" t="str">
        <f>"156.04"</f>
        <v>156.04</v>
      </c>
      <c r="J2072" s="1" t="str">
        <f t="shared" ref="J2072:N2072" si="1380">"0"</f>
        <v>0</v>
      </c>
      <c r="K2072" s="1" t="str">
        <f t="shared" si="1337"/>
        <v>103</v>
      </c>
      <c r="L2072" s="1" t="str">
        <f t="shared" si="1338"/>
        <v>47</v>
      </c>
      <c r="M2072" s="1" t="str">
        <f t="shared" si="1380"/>
        <v>0</v>
      </c>
      <c r="N2072" s="1" t="str">
        <f t="shared" si="1380"/>
        <v>0</v>
      </c>
      <c r="O2072" s="1" t="str">
        <f>"6.04"</f>
        <v>6.04</v>
      </c>
    </row>
    <row r="2073" s="1" customFormat="1" spans="1:15">
      <c r="A2073" s="1" t="str">
        <f t="shared" si="1354"/>
        <v>202406</v>
      </c>
      <c r="B2073" s="1" t="str">
        <f t="shared" si="1355"/>
        <v>150525100</v>
      </c>
      <c r="C2073" s="1" t="str">
        <f>"1042458684"</f>
        <v>1042458684</v>
      </c>
      <c r="D2073" s="1" t="str">
        <f>"152326196004043326"</f>
        <v>152326196004043326</v>
      </c>
      <c r="E2073" s="1" t="s">
        <v>2151</v>
      </c>
      <c r="F2073" s="1" t="s">
        <v>16</v>
      </c>
      <c r="G2073" s="1" t="s">
        <v>17</v>
      </c>
      <c r="H2073" s="1" t="str">
        <f t="shared" si="1375"/>
        <v>64</v>
      </c>
      <c r="I2073" s="1" t="str">
        <f>"163.28"</f>
        <v>163.28</v>
      </c>
      <c r="J2073" s="1" t="str">
        <f t="shared" ref="J2073:N2073" si="1381">"0"</f>
        <v>0</v>
      </c>
      <c r="K2073" s="1" t="str">
        <f t="shared" si="1337"/>
        <v>103</v>
      </c>
      <c r="L2073" s="1" t="str">
        <f t="shared" si="1338"/>
        <v>47</v>
      </c>
      <c r="M2073" s="1" t="str">
        <f t="shared" si="1381"/>
        <v>0</v>
      </c>
      <c r="N2073" s="1" t="str">
        <f t="shared" si="1381"/>
        <v>0</v>
      </c>
      <c r="O2073" s="1" t="str">
        <f>"13.28"</f>
        <v>13.28</v>
      </c>
    </row>
    <row r="2074" s="1" customFormat="1" spans="1:15">
      <c r="A2074" s="1" t="str">
        <f t="shared" si="1354"/>
        <v>202406</v>
      </c>
      <c r="B2074" s="1" t="str">
        <f t="shared" si="1355"/>
        <v>150525100</v>
      </c>
      <c r="C2074" s="1" t="str">
        <f>"1042252381"</f>
        <v>1042252381</v>
      </c>
      <c r="D2074" s="1" t="s">
        <v>2152</v>
      </c>
      <c r="E2074" s="1" t="s">
        <v>2153</v>
      </c>
      <c r="F2074" s="1" t="s">
        <v>16</v>
      </c>
      <c r="G2074" s="1" t="s">
        <v>17</v>
      </c>
      <c r="H2074" s="1" t="str">
        <f>"65"</f>
        <v>65</v>
      </c>
      <c r="I2074" s="1" t="str">
        <f>"156.05"</f>
        <v>156.05</v>
      </c>
      <c r="J2074" s="1" t="str">
        <f t="shared" ref="J2074:N2074" si="1382">"0"</f>
        <v>0</v>
      </c>
      <c r="K2074" s="1" t="str">
        <f t="shared" si="1337"/>
        <v>103</v>
      </c>
      <c r="L2074" s="1" t="str">
        <f t="shared" si="1338"/>
        <v>47</v>
      </c>
      <c r="M2074" s="1" t="str">
        <f t="shared" si="1382"/>
        <v>0</v>
      </c>
      <c r="N2074" s="1" t="str">
        <f t="shared" si="1382"/>
        <v>0</v>
      </c>
      <c r="O2074" s="1" t="str">
        <f>"6.05"</f>
        <v>6.05</v>
      </c>
    </row>
    <row r="2075" s="1" customFormat="1" spans="1:15">
      <c r="A2075" s="1" t="str">
        <f t="shared" si="1354"/>
        <v>202406</v>
      </c>
      <c r="B2075" s="1" t="str">
        <f t="shared" si="1355"/>
        <v>150525100</v>
      </c>
      <c r="C2075" s="1" t="str">
        <f>"1042250077"</f>
        <v>1042250077</v>
      </c>
      <c r="D2075" s="1" t="str">
        <f>"152326195708270020"</f>
        <v>152326195708270020</v>
      </c>
      <c r="E2075" s="1" t="s">
        <v>2154</v>
      </c>
      <c r="F2075" s="1" t="s">
        <v>16</v>
      </c>
      <c r="G2075" s="1" t="s">
        <v>17</v>
      </c>
      <c r="H2075" s="1" t="str">
        <f>"67"</f>
        <v>67</v>
      </c>
      <c r="I2075" s="1" t="str">
        <f>"154.6"</f>
        <v>154.6</v>
      </c>
      <c r="J2075" s="1" t="str">
        <f t="shared" ref="J2075:N2075" si="1383">"0"</f>
        <v>0</v>
      </c>
      <c r="K2075" s="1" t="str">
        <f t="shared" si="1337"/>
        <v>103</v>
      </c>
      <c r="L2075" s="1" t="str">
        <f t="shared" si="1338"/>
        <v>47</v>
      </c>
      <c r="M2075" s="1" t="str">
        <f t="shared" si="1383"/>
        <v>0</v>
      </c>
      <c r="N2075" s="1" t="str">
        <f t="shared" si="1383"/>
        <v>0</v>
      </c>
      <c r="O2075" s="1" t="str">
        <f>"4.6"</f>
        <v>4.6</v>
      </c>
    </row>
    <row r="2076" s="1" customFormat="1" spans="1:15">
      <c r="A2076" s="1" t="str">
        <f t="shared" si="1354"/>
        <v>202406</v>
      </c>
      <c r="B2076" s="1" t="str">
        <f t="shared" si="1355"/>
        <v>150525100</v>
      </c>
      <c r="C2076" s="1" t="str">
        <f>"1042250389"</f>
        <v>1042250389</v>
      </c>
      <c r="D2076" s="1" t="str">
        <f>"152326196006020427"</f>
        <v>152326196006020427</v>
      </c>
      <c r="E2076" s="1" t="s">
        <v>2155</v>
      </c>
      <c r="F2076" s="1" t="s">
        <v>16</v>
      </c>
      <c r="G2076" s="1" t="s">
        <v>17</v>
      </c>
      <c r="H2076" s="1" t="str">
        <f t="shared" ref="H2076:H2081" si="1384">"64"</f>
        <v>64</v>
      </c>
      <c r="I2076" s="1" t="str">
        <f>"163.33"</f>
        <v>163.33</v>
      </c>
      <c r="J2076" s="1" t="str">
        <f t="shared" ref="J2076:N2076" si="1385">"0"</f>
        <v>0</v>
      </c>
      <c r="K2076" s="1" t="str">
        <f t="shared" si="1337"/>
        <v>103</v>
      </c>
      <c r="L2076" s="1" t="str">
        <f t="shared" si="1338"/>
        <v>47</v>
      </c>
      <c r="M2076" s="1" t="str">
        <f t="shared" si="1385"/>
        <v>0</v>
      </c>
      <c r="N2076" s="1" t="str">
        <f t="shared" si="1385"/>
        <v>0</v>
      </c>
      <c r="O2076" s="1" t="str">
        <f>"13.33"</f>
        <v>13.33</v>
      </c>
    </row>
    <row r="2077" s="1" customFormat="1" spans="1:15">
      <c r="A2077" s="1" t="str">
        <f t="shared" si="1354"/>
        <v>202406</v>
      </c>
      <c r="B2077" s="1" t="str">
        <f t="shared" si="1355"/>
        <v>150525100</v>
      </c>
      <c r="C2077" s="1" t="str">
        <f>"1042327921"</f>
        <v>1042327921</v>
      </c>
      <c r="D2077" s="1" t="str">
        <f>"152326196005200442"</f>
        <v>152326196005200442</v>
      </c>
      <c r="E2077" s="1" t="s">
        <v>2156</v>
      </c>
      <c r="F2077" s="1" t="s">
        <v>16</v>
      </c>
      <c r="G2077" s="1" t="s">
        <v>17</v>
      </c>
      <c r="H2077" s="1" t="str">
        <f t="shared" si="1384"/>
        <v>64</v>
      </c>
      <c r="I2077" s="1" t="str">
        <f>"156.74"</f>
        <v>156.74</v>
      </c>
      <c r="J2077" s="1" t="str">
        <f t="shared" ref="J2077:N2077" si="1386">"0"</f>
        <v>0</v>
      </c>
      <c r="K2077" s="1" t="str">
        <f t="shared" si="1337"/>
        <v>103</v>
      </c>
      <c r="L2077" s="1" t="str">
        <f t="shared" si="1338"/>
        <v>47</v>
      </c>
      <c r="M2077" s="1" t="str">
        <f t="shared" si="1386"/>
        <v>0</v>
      </c>
      <c r="N2077" s="1" t="str">
        <f t="shared" si="1386"/>
        <v>0</v>
      </c>
      <c r="O2077" s="1" t="str">
        <f>"6.74"</f>
        <v>6.74</v>
      </c>
    </row>
    <row r="2078" s="1" customFormat="1" spans="1:15">
      <c r="A2078" s="1" t="str">
        <f t="shared" si="1354"/>
        <v>202406</v>
      </c>
      <c r="B2078" s="1" t="str">
        <f t="shared" si="1355"/>
        <v>150525100</v>
      </c>
      <c r="C2078" s="1" t="str">
        <f>"1042535178"</f>
        <v>1042535178</v>
      </c>
      <c r="D2078" s="1" t="str">
        <f>"152104196311104177"</f>
        <v>152104196311104177</v>
      </c>
      <c r="E2078" s="1" t="s">
        <v>2157</v>
      </c>
      <c r="F2078" s="1" t="s">
        <v>25</v>
      </c>
      <c r="G2078" s="1" t="s">
        <v>17</v>
      </c>
      <c r="H2078" s="1" t="str">
        <f t="shared" ref="H2078:H2083" si="1387">"61"</f>
        <v>61</v>
      </c>
      <c r="I2078" s="1" t="str">
        <f>"231.97"</f>
        <v>231.97</v>
      </c>
      <c r="J2078" s="1" t="str">
        <f t="shared" ref="J2078:N2078" si="1388">"0"</f>
        <v>0</v>
      </c>
      <c r="K2078" s="1" t="str">
        <f t="shared" si="1337"/>
        <v>103</v>
      </c>
      <c r="L2078" s="1" t="str">
        <f t="shared" si="1338"/>
        <v>47</v>
      </c>
      <c r="M2078" s="1" t="str">
        <f t="shared" si="1388"/>
        <v>0</v>
      </c>
      <c r="N2078" s="1" t="str">
        <f t="shared" si="1388"/>
        <v>0</v>
      </c>
      <c r="O2078" s="1" t="str">
        <f>"81.97"</f>
        <v>81.97</v>
      </c>
    </row>
    <row r="2079" s="1" customFormat="1" spans="1:15">
      <c r="A2079" s="1" t="str">
        <f t="shared" si="1354"/>
        <v>202406</v>
      </c>
      <c r="B2079" s="1" t="str">
        <f t="shared" si="1355"/>
        <v>150525100</v>
      </c>
      <c r="C2079" s="1" t="str">
        <f>"1042570927"</f>
        <v>1042570927</v>
      </c>
      <c r="D2079" s="1" t="str">
        <f>"152326195810140927"</f>
        <v>152326195810140927</v>
      </c>
      <c r="E2079" s="1" t="s">
        <v>2158</v>
      </c>
      <c r="F2079" s="1" t="s">
        <v>16</v>
      </c>
      <c r="G2079" s="1" t="s">
        <v>19</v>
      </c>
      <c r="H2079" s="1" t="str">
        <f>"66"</f>
        <v>66</v>
      </c>
      <c r="I2079" s="1" t="str">
        <f>"164.41"</f>
        <v>164.41</v>
      </c>
      <c r="J2079" s="1" t="str">
        <f t="shared" ref="J2079:N2079" si="1389">"0"</f>
        <v>0</v>
      </c>
      <c r="K2079" s="1" t="str">
        <f t="shared" si="1337"/>
        <v>103</v>
      </c>
      <c r="L2079" s="1" t="str">
        <f t="shared" si="1338"/>
        <v>47</v>
      </c>
      <c r="M2079" s="1" t="str">
        <f t="shared" si="1389"/>
        <v>0</v>
      </c>
      <c r="N2079" s="1" t="str">
        <f t="shared" si="1389"/>
        <v>0</v>
      </c>
      <c r="O2079" s="1" t="str">
        <f>"14.41"</f>
        <v>14.41</v>
      </c>
    </row>
    <row r="2080" s="1" customFormat="1" spans="1:15">
      <c r="A2080" s="1" t="str">
        <f t="shared" si="1354"/>
        <v>202406</v>
      </c>
      <c r="B2080" s="1" t="str">
        <f t="shared" si="1355"/>
        <v>150525100</v>
      </c>
      <c r="C2080" s="1" t="str">
        <f>"1042765568"</f>
        <v>1042765568</v>
      </c>
      <c r="D2080" s="1" t="str">
        <f>"152326196302153072"</f>
        <v>152326196302153072</v>
      </c>
      <c r="E2080" s="1" t="s">
        <v>2159</v>
      </c>
      <c r="F2080" s="1" t="s">
        <v>25</v>
      </c>
      <c r="G2080" s="1" t="s">
        <v>17</v>
      </c>
      <c r="H2080" s="1" t="str">
        <f t="shared" si="1387"/>
        <v>61</v>
      </c>
      <c r="I2080" s="1" t="str">
        <f>"168.34"</f>
        <v>168.34</v>
      </c>
      <c r="J2080" s="1" t="str">
        <f t="shared" ref="J2080:N2080" si="1390">"0"</f>
        <v>0</v>
      </c>
      <c r="K2080" s="1" t="str">
        <f t="shared" si="1337"/>
        <v>103</v>
      </c>
      <c r="L2080" s="1" t="str">
        <f t="shared" si="1338"/>
        <v>47</v>
      </c>
      <c r="M2080" s="1" t="str">
        <f t="shared" si="1390"/>
        <v>0</v>
      </c>
      <c r="N2080" s="1" t="str">
        <f t="shared" si="1390"/>
        <v>0</v>
      </c>
      <c r="O2080" s="1" t="str">
        <f>"18.34"</f>
        <v>18.34</v>
      </c>
    </row>
    <row r="2081" s="1" customFormat="1" spans="1:15">
      <c r="A2081" s="1" t="str">
        <f t="shared" si="1354"/>
        <v>202406</v>
      </c>
      <c r="B2081" s="1" t="str">
        <f t="shared" si="1355"/>
        <v>150525100</v>
      </c>
      <c r="C2081" s="1" t="str">
        <f>"1042622481"</f>
        <v>1042622481</v>
      </c>
      <c r="D2081" s="1" t="str">
        <f>"152326196009253816"</f>
        <v>152326196009253816</v>
      </c>
      <c r="E2081" s="1" t="s">
        <v>2160</v>
      </c>
      <c r="F2081" s="1" t="s">
        <v>25</v>
      </c>
      <c r="G2081" s="1" t="s">
        <v>17</v>
      </c>
      <c r="H2081" s="1" t="str">
        <f t="shared" si="1384"/>
        <v>64</v>
      </c>
      <c r="I2081" s="1" t="str">
        <f>"156.77"</f>
        <v>156.77</v>
      </c>
      <c r="J2081" s="1" t="str">
        <f t="shared" ref="J2081:N2081" si="1391">"0"</f>
        <v>0</v>
      </c>
      <c r="K2081" s="1" t="str">
        <f t="shared" si="1337"/>
        <v>103</v>
      </c>
      <c r="L2081" s="1" t="str">
        <f t="shared" si="1338"/>
        <v>47</v>
      </c>
      <c r="M2081" s="1" t="str">
        <f t="shared" si="1391"/>
        <v>0</v>
      </c>
      <c r="N2081" s="1" t="str">
        <f t="shared" si="1391"/>
        <v>0</v>
      </c>
      <c r="O2081" s="1" t="str">
        <f>"6.77"</f>
        <v>6.77</v>
      </c>
    </row>
    <row r="2082" s="1" customFormat="1" spans="1:15">
      <c r="A2082" s="1" t="str">
        <f t="shared" si="1354"/>
        <v>202406</v>
      </c>
      <c r="B2082" s="1" t="str">
        <f t="shared" si="1355"/>
        <v>150525100</v>
      </c>
      <c r="C2082" s="1" t="str">
        <f>"1042703121"</f>
        <v>1042703121</v>
      </c>
      <c r="D2082" s="1" t="str">
        <f>"152326196106160021"</f>
        <v>152326196106160021</v>
      </c>
      <c r="E2082" s="1" t="s">
        <v>2161</v>
      </c>
      <c r="F2082" s="1" t="s">
        <v>16</v>
      </c>
      <c r="G2082" s="1" t="s">
        <v>17</v>
      </c>
      <c r="H2082" s="1" t="str">
        <f>"63"</f>
        <v>63</v>
      </c>
      <c r="I2082" s="1" t="str">
        <f>"158.91"</f>
        <v>158.91</v>
      </c>
      <c r="J2082" s="1" t="str">
        <f t="shared" ref="J2082:N2082" si="1392">"0"</f>
        <v>0</v>
      </c>
      <c r="K2082" s="1" t="str">
        <f t="shared" si="1337"/>
        <v>103</v>
      </c>
      <c r="L2082" s="1" t="str">
        <f t="shared" si="1338"/>
        <v>47</v>
      </c>
      <c r="M2082" s="1" t="str">
        <f t="shared" si="1392"/>
        <v>0</v>
      </c>
      <c r="N2082" s="1" t="str">
        <f t="shared" si="1392"/>
        <v>0</v>
      </c>
      <c r="O2082" s="1" t="str">
        <f>"8.91"</f>
        <v>8.91</v>
      </c>
    </row>
    <row r="2083" s="1" customFormat="1" spans="1:15">
      <c r="A2083" s="1" t="str">
        <f t="shared" si="1354"/>
        <v>202406</v>
      </c>
      <c r="B2083" s="1" t="str">
        <f t="shared" si="1355"/>
        <v>150525100</v>
      </c>
      <c r="C2083" s="1" t="str">
        <f>"1042720351"</f>
        <v>1042720351</v>
      </c>
      <c r="D2083" s="1" t="str">
        <f>"152326196311300660"</f>
        <v>152326196311300660</v>
      </c>
      <c r="E2083" s="1" t="s">
        <v>2162</v>
      </c>
      <c r="F2083" s="1" t="s">
        <v>16</v>
      </c>
      <c r="G2083" s="1" t="s">
        <v>17</v>
      </c>
      <c r="H2083" s="1" t="str">
        <f t="shared" si="1387"/>
        <v>61</v>
      </c>
      <c r="I2083" s="1" t="str">
        <f>"165.19"</f>
        <v>165.19</v>
      </c>
      <c r="J2083" s="1" t="str">
        <f t="shared" ref="J2083:N2083" si="1393">"0"</f>
        <v>0</v>
      </c>
      <c r="K2083" s="1" t="str">
        <f t="shared" si="1337"/>
        <v>103</v>
      </c>
      <c r="L2083" s="1" t="str">
        <f t="shared" si="1338"/>
        <v>47</v>
      </c>
      <c r="M2083" s="1" t="str">
        <f t="shared" si="1393"/>
        <v>0</v>
      </c>
      <c r="N2083" s="1" t="str">
        <f t="shared" si="1393"/>
        <v>0</v>
      </c>
      <c r="O2083" s="1" t="str">
        <f>"15.19"</f>
        <v>15.19</v>
      </c>
    </row>
    <row r="2084" s="1" customFormat="1" spans="1:15">
      <c r="A2084" s="1" t="str">
        <f t="shared" si="1354"/>
        <v>202406</v>
      </c>
      <c r="B2084" s="1" t="str">
        <f t="shared" si="1355"/>
        <v>150525100</v>
      </c>
      <c r="C2084" s="1" t="str">
        <f>"1042568911"</f>
        <v>1042568911</v>
      </c>
      <c r="D2084" s="1" t="str">
        <f>"152326196001040664"</f>
        <v>152326196001040664</v>
      </c>
      <c r="E2084" s="1" t="s">
        <v>1641</v>
      </c>
      <c r="F2084" s="1" t="s">
        <v>16</v>
      </c>
      <c r="G2084" s="1" t="s">
        <v>17</v>
      </c>
      <c r="H2084" s="1" t="str">
        <f>"65"</f>
        <v>65</v>
      </c>
      <c r="I2084" s="1" t="str">
        <f>"157.04"</f>
        <v>157.04</v>
      </c>
      <c r="J2084" s="1" t="str">
        <f t="shared" ref="J2084:N2084" si="1394">"0"</f>
        <v>0</v>
      </c>
      <c r="K2084" s="1" t="str">
        <f t="shared" si="1337"/>
        <v>103</v>
      </c>
      <c r="L2084" s="1" t="str">
        <f t="shared" si="1338"/>
        <v>47</v>
      </c>
      <c r="M2084" s="1" t="str">
        <f t="shared" si="1394"/>
        <v>0</v>
      </c>
      <c r="N2084" s="1" t="str">
        <f t="shared" si="1394"/>
        <v>0</v>
      </c>
      <c r="O2084" s="1" t="str">
        <f>"7.04"</f>
        <v>7.04</v>
      </c>
    </row>
    <row r="2085" s="1" customFormat="1" spans="1:15">
      <c r="A2085" s="1" t="str">
        <f t="shared" si="1354"/>
        <v>202406</v>
      </c>
      <c r="B2085" s="1" t="str">
        <f t="shared" si="1355"/>
        <v>150525100</v>
      </c>
      <c r="C2085" s="1" t="str">
        <f>"1042760306"</f>
        <v>1042760306</v>
      </c>
      <c r="D2085" s="1" t="str">
        <f>"152326196201170041"</f>
        <v>152326196201170041</v>
      </c>
      <c r="E2085" s="1" t="s">
        <v>2163</v>
      </c>
      <c r="F2085" s="1" t="s">
        <v>16</v>
      </c>
      <c r="G2085" s="1" t="s">
        <v>17</v>
      </c>
      <c r="H2085" s="1" t="str">
        <f>"62"</f>
        <v>62</v>
      </c>
      <c r="I2085" s="1" t="str">
        <f>"160.67"</f>
        <v>160.67</v>
      </c>
      <c r="J2085" s="1" t="str">
        <f t="shared" ref="J2085:N2085" si="1395">"0"</f>
        <v>0</v>
      </c>
      <c r="K2085" s="1" t="str">
        <f t="shared" si="1337"/>
        <v>103</v>
      </c>
      <c r="L2085" s="1" t="str">
        <f t="shared" si="1338"/>
        <v>47</v>
      </c>
      <c r="M2085" s="1" t="str">
        <f t="shared" si="1395"/>
        <v>0</v>
      </c>
      <c r="N2085" s="1" t="str">
        <f t="shared" si="1395"/>
        <v>0</v>
      </c>
      <c r="O2085" s="1" t="str">
        <f>"10.67"</f>
        <v>10.67</v>
      </c>
    </row>
    <row r="2086" s="1" customFormat="1" spans="1:15">
      <c r="A2086" s="1" t="str">
        <f t="shared" si="1354"/>
        <v>202406</v>
      </c>
      <c r="B2086" s="1" t="str">
        <f t="shared" si="1355"/>
        <v>150525100</v>
      </c>
      <c r="C2086" s="1" t="str">
        <f>"1043238411"</f>
        <v>1043238411</v>
      </c>
      <c r="D2086" s="1" t="str">
        <f>"152326196112040042"</f>
        <v>152326196112040042</v>
      </c>
      <c r="E2086" s="1" t="s">
        <v>2164</v>
      </c>
      <c r="F2086" s="1" t="s">
        <v>16</v>
      </c>
      <c r="G2086" s="1" t="s">
        <v>17</v>
      </c>
      <c r="H2086" s="1" t="str">
        <f>"63"</f>
        <v>63</v>
      </c>
      <c r="I2086" s="1" t="str">
        <f>"654.73"</f>
        <v>654.73</v>
      </c>
      <c r="J2086" s="1" t="str">
        <f t="shared" ref="J2086:N2086" si="1396">"0"</f>
        <v>0</v>
      </c>
      <c r="K2086" s="1" t="str">
        <f t="shared" si="1337"/>
        <v>103</v>
      </c>
      <c r="L2086" s="1" t="str">
        <f t="shared" si="1338"/>
        <v>47</v>
      </c>
      <c r="M2086" s="1" t="str">
        <f t="shared" si="1396"/>
        <v>0</v>
      </c>
      <c r="N2086" s="1" t="str">
        <f t="shared" si="1396"/>
        <v>0</v>
      </c>
      <c r="O2086" s="1" t="str">
        <f>"504.73"</f>
        <v>504.73</v>
      </c>
    </row>
    <row r="2087" s="1" customFormat="1" spans="1:15">
      <c r="A2087" s="1" t="str">
        <f t="shared" si="1354"/>
        <v>202406</v>
      </c>
      <c r="B2087" s="1" t="str">
        <f t="shared" si="1355"/>
        <v>150525100</v>
      </c>
      <c r="C2087" s="1" t="str">
        <f>"1043284129"</f>
        <v>1043284129</v>
      </c>
      <c r="D2087" s="1" t="str">
        <f>"152326196304013823"</f>
        <v>152326196304013823</v>
      </c>
      <c r="E2087" s="1" t="s">
        <v>2165</v>
      </c>
      <c r="F2087" s="1" t="s">
        <v>16</v>
      </c>
      <c r="G2087" s="1" t="s">
        <v>17</v>
      </c>
      <c r="H2087" s="1" t="str">
        <f t="shared" ref="H2087:H2091" si="1397">"61"</f>
        <v>61</v>
      </c>
      <c r="I2087" s="1" t="str">
        <f>"168.95"</f>
        <v>168.95</v>
      </c>
      <c r="J2087" s="1" t="str">
        <f t="shared" ref="J2087:N2087" si="1398">"0"</f>
        <v>0</v>
      </c>
      <c r="K2087" s="1" t="str">
        <f t="shared" si="1337"/>
        <v>103</v>
      </c>
      <c r="L2087" s="1" t="str">
        <f t="shared" si="1338"/>
        <v>47</v>
      </c>
      <c r="M2087" s="1" t="str">
        <f t="shared" si="1398"/>
        <v>0</v>
      </c>
      <c r="N2087" s="1" t="str">
        <f t="shared" si="1398"/>
        <v>0</v>
      </c>
      <c r="O2087" s="1" t="str">
        <f>"18.95"</f>
        <v>18.95</v>
      </c>
    </row>
    <row r="2088" s="1" customFormat="1" spans="1:15">
      <c r="A2088" s="1" t="str">
        <f t="shared" si="1354"/>
        <v>202406</v>
      </c>
      <c r="B2088" s="1" t="str">
        <f t="shared" si="1355"/>
        <v>150525100</v>
      </c>
      <c r="C2088" s="1" t="str">
        <f>"1042685284"</f>
        <v>1042685284</v>
      </c>
      <c r="D2088" s="1" t="str">
        <f>"152326196303120432"</f>
        <v>152326196303120432</v>
      </c>
      <c r="E2088" s="1" t="s">
        <v>2166</v>
      </c>
      <c r="F2088" s="1" t="s">
        <v>25</v>
      </c>
      <c r="G2088" s="1" t="s">
        <v>17</v>
      </c>
      <c r="H2088" s="1" t="str">
        <f t="shared" si="1397"/>
        <v>61</v>
      </c>
      <c r="I2088" s="1" t="str">
        <f>"976.26"</f>
        <v>976.26</v>
      </c>
      <c r="J2088" s="1" t="str">
        <f>"813.55"</f>
        <v>813.55</v>
      </c>
      <c r="K2088" s="1" t="str">
        <f>"618"</f>
        <v>618</v>
      </c>
      <c r="L2088" s="1" t="str">
        <f>"282"</f>
        <v>282</v>
      </c>
      <c r="M2088" s="1" t="str">
        <f>"0"</f>
        <v>0</v>
      </c>
      <c r="N2088" s="1" t="str">
        <f>"0"</f>
        <v>0</v>
      </c>
      <c r="O2088" s="1" t="str">
        <f>"76.26"</f>
        <v>76.26</v>
      </c>
    </row>
    <row r="2089" s="1" customFormat="1" spans="1:15">
      <c r="A2089" s="1" t="str">
        <f t="shared" si="1354"/>
        <v>202406</v>
      </c>
      <c r="B2089" s="1" t="str">
        <f t="shared" si="1355"/>
        <v>150525100</v>
      </c>
      <c r="C2089" s="1" t="str">
        <f>"1043061308"</f>
        <v>1043061308</v>
      </c>
      <c r="D2089" s="1" t="s">
        <v>2167</v>
      </c>
      <c r="E2089" s="1" t="s">
        <v>2168</v>
      </c>
      <c r="F2089" s="1" t="s">
        <v>25</v>
      </c>
      <c r="G2089" s="1" t="s">
        <v>19</v>
      </c>
      <c r="H2089" s="1" t="str">
        <f>"63"</f>
        <v>63</v>
      </c>
      <c r="I2089" s="1" t="str">
        <f>"158.93"</f>
        <v>158.93</v>
      </c>
      <c r="J2089" s="1" t="str">
        <f t="shared" ref="J2089:N2089" si="1399">"0"</f>
        <v>0</v>
      </c>
      <c r="K2089" s="1" t="str">
        <f t="shared" ref="K2089:K2112" si="1400">"103"</f>
        <v>103</v>
      </c>
      <c r="L2089" s="1" t="str">
        <f t="shared" ref="L2089:L2112" si="1401">"47"</f>
        <v>47</v>
      </c>
      <c r="M2089" s="1" t="str">
        <f t="shared" si="1399"/>
        <v>0</v>
      </c>
      <c r="N2089" s="1" t="str">
        <f t="shared" si="1399"/>
        <v>0</v>
      </c>
      <c r="O2089" s="1" t="str">
        <f>"8.93"</f>
        <v>8.93</v>
      </c>
    </row>
    <row r="2090" s="1" customFormat="1" spans="1:15">
      <c r="A2090" s="1" t="str">
        <f t="shared" si="1354"/>
        <v>202406</v>
      </c>
      <c r="B2090" s="1" t="str">
        <f t="shared" si="1355"/>
        <v>150525100</v>
      </c>
      <c r="C2090" s="1" t="str">
        <f>"1042725520"</f>
        <v>1042725520</v>
      </c>
      <c r="D2090" s="1" t="str">
        <f>"152326196402203081"</f>
        <v>152326196402203081</v>
      </c>
      <c r="E2090" s="1" t="s">
        <v>2169</v>
      </c>
      <c r="F2090" s="1" t="s">
        <v>16</v>
      </c>
      <c r="G2090" s="1" t="s">
        <v>17</v>
      </c>
      <c r="H2090" s="1" t="str">
        <f>"60"</f>
        <v>60</v>
      </c>
      <c r="I2090" s="1" t="str">
        <f>"164.16"</f>
        <v>164.16</v>
      </c>
      <c r="J2090" s="1" t="str">
        <f t="shared" ref="J2090:N2090" si="1402">"0"</f>
        <v>0</v>
      </c>
      <c r="K2090" s="1" t="str">
        <f t="shared" si="1400"/>
        <v>103</v>
      </c>
      <c r="L2090" s="1" t="str">
        <f t="shared" si="1401"/>
        <v>47</v>
      </c>
      <c r="M2090" s="1" t="str">
        <f t="shared" si="1402"/>
        <v>0</v>
      </c>
      <c r="N2090" s="1" t="str">
        <f t="shared" si="1402"/>
        <v>0</v>
      </c>
      <c r="O2090" s="1" t="str">
        <f>"14.16"</f>
        <v>14.16</v>
      </c>
    </row>
    <row r="2091" s="1" customFormat="1" spans="1:15">
      <c r="A2091" s="1" t="str">
        <f t="shared" si="1354"/>
        <v>202406</v>
      </c>
      <c r="B2091" s="1" t="str">
        <f t="shared" si="1355"/>
        <v>150525100</v>
      </c>
      <c r="C2091" s="1" t="str">
        <f>"1043185546"</f>
        <v>1043185546</v>
      </c>
      <c r="D2091" s="1" t="str">
        <f>"152326196311190676"</f>
        <v>152326196311190676</v>
      </c>
      <c r="E2091" s="1" t="s">
        <v>2170</v>
      </c>
      <c r="F2091" s="1" t="s">
        <v>25</v>
      </c>
      <c r="G2091" s="1" t="s">
        <v>19</v>
      </c>
      <c r="H2091" s="1" t="str">
        <f t="shared" si="1397"/>
        <v>61</v>
      </c>
      <c r="I2091" s="1" t="str">
        <f>"167.82"</f>
        <v>167.82</v>
      </c>
      <c r="J2091" s="1" t="str">
        <f t="shared" ref="J2091:N2091" si="1403">"0"</f>
        <v>0</v>
      </c>
      <c r="K2091" s="1" t="str">
        <f t="shared" si="1400"/>
        <v>103</v>
      </c>
      <c r="L2091" s="1" t="str">
        <f t="shared" si="1401"/>
        <v>47</v>
      </c>
      <c r="M2091" s="1" t="str">
        <f t="shared" si="1403"/>
        <v>0</v>
      </c>
      <c r="N2091" s="1" t="str">
        <f t="shared" si="1403"/>
        <v>0</v>
      </c>
      <c r="O2091" s="1" t="str">
        <f>"17.82"</f>
        <v>17.82</v>
      </c>
    </row>
    <row r="2092" s="1" customFormat="1" spans="1:15">
      <c r="A2092" s="1" t="str">
        <f t="shared" si="1354"/>
        <v>202406</v>
      </c>
      <c r="B2092" s="1" t="str">
        <f t="shared" si="1355"/>
        <v>150525100</v>
      </c>
      <c r="C2092" s="1" t="str">
        <f>"1043146409"</f>
        <v>1043146409</v>
      </c>
      <c r="D2092" s="1" t="str">
        <f>"152326196101020679"</f>
        <v>152326196101020679</v>
      </c>
      <c r="E2092" s="1" t="s">
        <v>2171</v>
      </c>
      <c r="F2092" s="1" t="s">
        <v>25</v>
      </c>
      <c r="G2092" s="1" t="s">
        <v>17</v>
      </c>
      <c r="H2092" s="1" t="str">
        <f>"64"</f>
        <v>64</v>
      </c>
      <c r="I2092" s="1" t="str">
        <f>"164.41"</f>
        <v>164.41</v>
      </c>
      <c r="J2092" s="1" t="str">
        <f t="shared" ref="J2092:N2092" si="1404">"0"</f>
        <v>0</v>
      </c>
      <c r="K2092" s="1" t="str">
        <f t="shared" si="1400"/>
        <v>103</v>
      </c>
      <c r="L2092" s="1" t="str">
        <f t="shared" si="1401"/>
        <v>47</v>
      </c>
      <c r="M2092" s="1" t="str">
        <f t="shared" si="1404"/>
        <v>0</v>
      </c>
      <c r="N2092" s="1" t="str">
        <f t="shared" si="1404"/>
        <v>0</v>
      </c>
      <c r="O2092" s="1" t="str">
        <f>"14.41"</f>
        <v>14.41</v>
      </c>
    </row>
    <row r="2093" s="1" customFormat="1" spans="1:15">
      <c r="A2093" s="1" t="str">
        <f t="shared" si="1354"/>
        <v>202406</v>
      </c>
      <c r="B2093" s="1" t="str">
        <f t="shared" si="1355"/>
        <v>150525100</v>
      </c>
      <c r="C2093" s="1" t="str">
        <f>"1042711754"</f>
        <v>1042711754</v>
      </c>
      <c r="D2093" s="1" t="str">
        <f>"152326196212130918"</f>
        <v>152326196212130918</v>
      </c>
      <c r="E2093" s="1" t="s">
        <v>2172</v>
      </c>
      <c r="F2093" s="1" t="s">
        <v>25</v>
      </c>
      <c r="G2093" s="1" t="s">
        <v>17</v>
      </c>
      <c r="H2093" s="1" t="str">
        <f>"62"</f>
        <v>62</v>
      </c>
      <c r="I2093" s="1" t="str">
        <f>"178.52"</f>
        <v>178.52</v>
      </c>
      <c r="J2093" s="1" t="str">
        <f t="shared" ref="J2093:N2093" si="1405">"0"</f>
        <v>0</v>
      </c>
      <c r="K2093" s="1" t="str">
        <f t="shared" si="1400"/>
        <v>103</v>
      </c>
      <c r="L2093" s="1" t="str">
        <f t="shared" si="1401"/>
        <v>47</v>
      </c>
      <c r="M2093" s="1" t="str">
        <f t="shared" si="1405"/>
        <v>0</v>
      </c>
      <c r="N2093" s="1" t="str">
        <f t="shared" si="1405"/>
        <v>0</v>
      </c>
      <c r="O2093" s="1" t="str">
        <f>"28.52"</f>
        <v>28.52</v>
      </c>
    </row>
    <row r="2094" s="1" customFormat="1" spans="1:15">
      <c r="A2094" s="1" t="str">
        <f t="shared" si="1354"/>
        <v>202406</v>
      </c>
      <c r="B2094" s="1" t="str">
        <f t="shared" si="1355"/>
        <v>150525100</v>
      </c>
      <c r="C2094" s="1" t="str">
        <f>"1042757231"</f>
        <v>1042757231</v>
      </c>
      <c r="D2094" s="1" t="str">
        <f>"152326196308233073"</f>
        <v>152326196308233073</v>
      </c>
      <c r="E2094" s="1" t="s">
        <v>2173</v>
      </c>
      <c r="F2094" s="1" t="s">
        <v>25</v>
      </c>
      <c r="G2094" s="1" t="s">
        <v>17</v>
      </c>
      <c r="H2094" s="1" t="str">
        <f t="shared" ref="H2094:H2100" si="1406">"61"</f>
        <v>61</v>
      </c>
      <c r="I2094" s="1" t="str">
        <f>"163.93"</f>
        <v>163.93</v>
      </c>
      <c r="J2094" s="1" t="str">
        <f t="shared" ref="J2094:N2094" si="1407">"0"</f>
        <v>0</v>
      </c>
      <c r="K2094" s="1" t="str">
        <f t="shared" si="1400"/>
        <v>103</v>
      </c>
      <c r="L2094" s="1" t="str">
        <f t="shared" si="1401"/>
        <v>47</v>
      </c>
      <c r="M2094" s="1" t="str">
        <f t="shared" si="1407"/>
        <v>0</v>
      </c>
      <c r="N2094" s="1" t="str">
        <f t="shared" si="1407"/>
        <v>0</v>
      </c>
      <c r="O2094" s="1" t="str">
        <f>"13.93"</f>
        <v>13.93</v>
      </c>
    </row>
    <row r="2095" s="1" customFormat="1" spans="1:15">
      <c r="A2095" s="1" t="str">
        <f t="shared" si="1354"/>
        <v>202406</v>
      </c>
      <c r="B2095" s="1" t="str">
        <f t="shared" si="1355"/>
        <v>150525100</v>
      </c>
      <c r="C2095" s="1" t="str">
        <f>"1042983025"</f>
        <v>1042983025</v>
      </c>
      <c r="D2095" s="1" t="str">
        <f>"152326196208190926"</f>
        <v>152326196208190926</v>
      </c>
      <c r="E2095" s="1" t="s">
        <v>2174</v>
      </c>
      <c r="F2095" s="1" t="s">
        <v>16</v>
      </c>
      <c r="G2095" s="1" t="s">
        <v>17</v>
      </c>
      <c r="H2095" s="1" t="str">
        <f>"62"</f>
        <v>62</v>
      </c>
      <c r="I2095" s="1" t="str">
        <f>"160.51"</f>
        <v>160.51</v>
      </c>
      <c r="J2095" s="1" t="str">
        <f t="shared" ref="J2095:N2095" si="1408">"0"</f>
        <v>0</v>
      </c>
      <c r="K2095" s="1" t="str">
        <f t="shared" si="1400"/>
        <v>103</v>
      </c>
      <c r="L2095" s="1" t="str">
        <f t="shared" si="1401"/>
        <v>47</v>
      </c>
      <c r="M2095" s="1" t="str">
        <f t="shared" si="1408"/>
        <v>0</v>
      </c>
      <c r="N2095" s="1" t="str">
        <f t="shared" si="1408"/>
        <v>0</v>
      </c>
      <c r="O2095" s="1" t="str">
        <f>"10.51"</f>
        <v>10.51</v>
      </c>
    </row>
    <row r="2096" s="1" customFormat="1" spans="1:15">
      <c r="A2096" s="1" t="str">
        <f t="shared" si="1354"/>
        <v>202406</v>
      </c>
      <c r="B2096" s="1" t="str">
        <f t="shared" si="1355"/>
        <v>150525100</v>
      </c>
      <c r="C2096" s="1" t="str">
        <f>"1041864377"</f>
        <v>1041864377</v>
      </c>
      <c r="D2096" s="1" t="str">
        <f>"152326196402023072"</f>
        <v>152326196402023072</v>
      </c>
      <c r="E2096" s="1" t="s">
        <v>2175</v>
      </c>
      <c r="F2096" s="1" t="s">
        <v>25</v>
      </c>
      <c r="G2096" s="1" t="s">
        <v>17</v>
      </c>
      <c r="H2096" s="1" t="str">
        <f>"60"</f>
        <v>60</v>
      </c>
      <c r="I2096" s="1" t="str">
        <f>"164.19"</f>
        <v>164.19</v>
      </c>
      <c r="J2096" s="1" t="str">
        <f t="shared" ref="J2096:N2096" si="1409">"0"</f>
        <v>0</v>
      </c>
      <c r="K2096" s="1" t="str">
        <f t="shared" si="1400"/>
        <v>103</v>
      </c>
      <c r="L2096" s="1" t="str">
        <f t="shared" si="1401"/>
        <v>47</v>
      </c>
      <c r="M2096" s="1" t="str">
        <f t="shared" si="1409"/>
        <v>0</v>
      </c>
      <c r="N2096" s="1" t="str">
        <f t="shared" si="1409"/>
        <v>0</v>
      </c>
      <c r="O2096" s="1" t="str">
        <f>"14.19"</f>
        <v>14.19</v>
      </c>
    </row>
    <row r="2097" s="1" customFormat="1" spans="1:15">
      <c r="A2097" s="1" t="str">
        <f t="shared" si="1354"/>
        <v>202406</v>
      </c>
      <c r="B2097" s="1" t="str">
        <f t="shared" si="1355"/>
        <v>150525100</v>
      </c>
      <c r="C2097" s="1" t="str">
        <f>"1042697751"</f>
        <v>1042697751</v>
      </c>
      <c r="D2097" s="1" t="s">
        <v>2176</v>
      </c>
      <c r="E2097" s="1" t="s">
        <v>2177</v>
      </c>
      <c r="F2097" s="1" t="s">
        <v>16</v>
      </c>
      <c r="G2097" s="1" t="s">
        <v>17</v>
      </c>
      <c r="H2097" s="1" t="str">
        <f t="shared" si="1406"/>
        <v>61</v>
      </c>
      <c r="I2097" s="1" t="str">
        <f>"162.5"</f>
        <v>162.5</v>
      </c>
      <c r="J2097" s="1" t="str">
        <f t="shared" ref="J2097:N2097" si="1410">"0"</f>
        <v>0</v>
      </c>
      <c r="K2097" s="1" t="str">
        <f t="shared" si="1400"/>
        <v>103</v>
      </c>
      <c r="L2097" s="1" t="str">
        <f t="shared" si="1401"/>
        <v>47</v>
      </c>
      <c r="M2097" s="1" t="str">
        <f t="shared" si="1410"/>
        <v>0</v>
      </c>
      <c r="N2097" s="1" t="str">
        <f t="shared" si="1410"/>
        <v>0</v>
      </c>
      <c r="O2097" s="1" t="str">
        <f>"12.5"</f>
        <v>12.5</v>
      </c>
    </row>
    <row r="2098" s="1" customFormat="1" spans="1:15">
      <c r="A2098" s="1" t="str">
        <f t="shared" si="1354"/>
        <v>202406</v>
      </c>
      <c r="B2098" s="1" t="str">
        <f t="shared" si="1355"/>
        <v>150525100</v>
      </c>
      <c r="C2098" s="1" t="str">
        <f>"1042741237"</f>
        <v>1042741237</v>
      </c>
      <c r="D2098" s="1" t="str">
        <f>"152326196302043834"</f>
        <v>152326196302043834</v>
      </c>
      <c r="E2098" s="1" t="s">
        <v>2178</v>
      </c>
      <c r="F2098" s="1" t="s">
        <v>25</v>
      </c>
      <c r="G2098" s="1" t="s">
        <v>17</v>
      </c>
      <c r="H2098" s="1" t="str">
        <f t="shared" si="1406"/>
        <v>61</v>
      </c>
      <c r="I2098" s="1" t="str">
        <f>"162.33"</f>
        <v>162.33</v>
      </c>
      <c r="J2098" s="1" t="str">
        <f t="shared" ref="J2098:N2098" si="1411">"0"</f>
        <v>0</v>
      </c>
      <c r="K2098" s="1" t="str">
        <f t="shared" si="1400"/>
        <v>103</v>
      </c>
      <c r="L2098" s="1" t="str">
        <f t="shared" si="1401"/>
        <v>47</v>
      </c>
      <c r="M2098" s="1" t="str">
        <f t="shared" si="1411"/>
        <v>0</v>
      </c>
      <c r="N2098" s="1" t="str">
        <f t="shared" si="1411"/>
        <v>0</v>
      </c>
      <c r="O2098" s="1" t="str">
        <f>"12.33"</f>
        <v>12.33</v>
      </c>
    </row>
    <row r="2099" s="1" customFormat="1" spans="1:15">
      <c r="A2099" s="1" t="str">
        <f t="shared" si="1354"/>
        <v>202406</v>
      </c>
      <c r="B2099" s="1" t="str">
        <f t="shared" si="1355"/>
        <v>150525100</v>
      </c>
      <c r="C2099" s="1" t="str">
        <f>"1042763032"</f>
        <v>1042763032</v>
      </c>
      <c r="D2099" s="1" t="str">
        <f>"152326196307280038"</f>
        <v>152326196307280038</v>
      </c>
      <c r="E2099" s="1" t="s">
        <v>2179</v>
      </c>
      <c r="F2099" s="1" t="s">
        <v>25</v>
      </c>
      <c r="G2099" s="1" t="s">
        <v>17</v>
      </c>
      <c r="H2099" s="1" t="str">
        <f t="shared" si="1406"/>
        <v>61</v>
      </c>
      <c r="I2099" s="1" t="str">
        <f>"245.65"</f>
        <v>245.65</v>
      </c>
      <c r="J2099" s="1" t="str">
        <f t="shared" ref="J2099:N2099" si="1412">"0"</f>
        <v>0</v>
      </c>
      <c r="K2099" s="1" t="str">
        <f t="shared" si="1400"/>
        <v>103</v>
      </c>
      <c r="L2099" s="1" t="str">
        <f t="shared" si="1401"/>
        <v>47</v>
      </c>
      <c r="M2099" s="1" t="str">
        <f t="shared" si="1412"/>
        <v>0</v>
      </c>
      <c r="N2099" s="1" t="str">
        <f t="shared" si="1412"/>
        <v>0</v>
      </c>
      <c r="O2099" s="1" t="str">
        <f>"95.65"</f>
        <v>95.65</v>
      </c>
    </row>
    <row r="2100" s="1" customFormat="1" spans="1:15">
      <c r="A2100" s="1" t="str">
        <f t="shared" si="1354"/>
        <v>202406</v>
      </c>
      <c r="B2100" s="1" t="str">
        <f t="shared" si="1355"/>
        <v>150525100</v>
      </c>
      <c r="C2100" s="1" t="str">
        <f>"1043204909"</f>
        <v>1043204909</v>
      </c>
      <c r="D2100" s="1" t="str">
        <f>"152326196305120663"</f>
        <v>152326196305120663</v>
      </c>
      <c r="E2100" s="1" t="s">
        <v>2180</v>
      </c>
      <c r="F2100" s="1" t="s">
        <v>16</v>
      </c>
      <c r="G2100" s="1" t="s">
        <v>17</v>
      </c>
      <c r="H2100" s="1" t="str">
        <f t="shared" si="1406"/>
        <v>61</v>
      </c>
      <c r="I2100" s="1" t="str">
        <f>"167.76"</f>
        <v>167.76</v>
      </c>
      <c r="J2100" s="1" t="str">
        <f t="shared" ref="J2100:N2100" si="1413">"0"</f>
        <v>0</v>
      </c>
      <c r="K2100" s="1" t="str">
        <f t="shared" si="1400"/>
        <v>103</v>
      </c>
      <c r="L2100" s="1" t="str">
        <f t="shared" si="1401"/>
        <v>47</v>
      </c>
      <c r="M2100" s="1" t="str">
        <f t="shared" si="1413"/>
        <v>0</v>
      </c>
      <c r="N2100" s="1" t="str">
        <f t="shared" si="1413"/>
        <v>0</v>
      </c>
      <c r="O2100" s="1" t="str">
        <f>"17.76"</f>
        <v>17.76</v>
      </c>
    </row>
    <row r="2101" s="1" customFormat="1" spans="1:15">
      <c r="A2101" s="1" t="str">
        <f t="shared" si="1354"/>
        <v>202406</v>
      </c>
      <c r="B2101" s="1" t="str">
        <f t="shared" si="1355"/>
        <v>150525100</v>
      </c>
      <c r="C2101" s="1" t="str">
        <f>"1042706688"</f>
        <v>1042706688</v>
      </c>
      <c r="D2101" s="1" t="str">
        <f>"152326196206140669"</f>
        <v>152326196206140669</v>
      </c>
      <c r="E2101" s="1" t="s">
        <v>551</v>
      </c>
      <c r="F2101" s="1" t="s">
        <v>16</v>
      </c>
      <c r="G2101" s="1" t="s">
        <v>17</v>
      </c>
      <c r="H2101" s="1" t="str">
        <f t="shared" ref="H2101:H2106" si="1414">"62"</f>
        <v>62</v>
      </c>
      <c r="I2101" s="1" t="str">
        <f>"160.47"</f>
        <v>160.47</v>
      </c>
      <c r="J2101" s="1" t="str">
        <f t="shared" ref="J2101:N2101" si="1415">"0"</f>
        <v>0</v>
      </c>
      <c r="K2101" s="1" t="str">
        <f t="shared" si="1400"/>
        <v>103</v>
      </c>
      <c r="L2101" s="1" t="str">
        <f t="shared" si="1401"/>
        <v>47</v>
      </c>
      <c r="M2101" s="1" t="str">
        <f t="shared" si="1415"/>
        <v>0</v>
      </c>
      <c r="N2101" s="1" t="str">
        <f t="shared" si="1415"/>
        <v>0</v>
      </c>
      <c r="O2101" s="1" t="str">
        <f>"10.47"</f>
        <v>10.47</v>
      </c>
    </row>
    <row r="2102" s="1" customFormat="1" spans="1:15">
      <c r="A2102" s="1" t="str">
        <f t="shared" si="1354"/>
        <v>202406</v>
      </c>
      <c r="B2102" s="1" t="str">
        <f t="shared" si="1355"/>
        <v>150525100</v>
      </c>
      <c r="C2102" s="1" t="str">
        <f>"1042726878"</f>
        <v>1042726878</v>
      </c>
      <c r="D2102" s="1" t="str">
        <f>"152326196306160691"</f>
        <v>152326196306160691</v>
      </c>
      <c r="E2102" s="1" t="s">
        <v>2181</v>
      </c>
      <c r="F2102" s="1" t="s">
        <v>25</v>
      </c>
      <c r="G2102" s="1" t="s">
        <v>17</v>
      </c>
      <c r="H2102" s="1" t="str">
        <f t="shared" ref="H2102:H2107" si="1416">"61"</f>
        <v>61</v>
      </c>
      <c r="I2102" s="1" t="str">
        <f>"162.77"</f>
        <v>162.77</v>
      </c>
      <c r="J2102" s="1" t="str">
        <f t="shared" ref="J2102:N2102" si="1417">"0"</f>
        <v>0</v>
      </c>
      <c r="K2102" s="1" t="str">
        <f t="shared" si="1400"/>
        <v>103</v>
      </c>
      <c r="L2102" s="1" t="str">
        <f t="shared" si="1401"/>
        <v>47</v>
      </c>
      <c r="M2102" s="1" t="str">
        <f t="shared" si="1417"/>
        <v>0</v>
      </c>
      <c r="N2102" s="1" t="str">
        <f t="shared" si="1417"/>
        <v>0</v>
      </c>
      <c r="O2102" s="1" t="str">
        <f>"12.77"</f>
        <v>12.77</v>
      </c>
    </row>
    <row r="2103" s="1" customFormat="1" spans="1:15">
      <c r="A2103" s="1" t="str">
        <f t="shared" si="1354"/>
        <v>202406</v>
      </c>
      <c r="B2103" s="1" t="str">
        <f t="shared" si="1355"/>
        <v>150525100</v>
      </c>
      <c r="C2103" s="1" t="str">
        <f>"1042693003"</f>
        <v>1042693003</v>
      </c>
      <c r="D2103" s="1" t="str">
        <f>"152326196208240671"</f>
        <v>152326196208240671</v>
      </c>
      <c r="E2103" s="1" t="s">
        <v>1060</v>
      </c>
      <c r="F2103" s="1" t="s">
        <v>25</v>
      </c>
      <c r="G2103" s="1" t="s">
        <v>17</v>
      </c>
      <c r="H2103" s="1" t="str">
        <f t="shared" si="1414"/>
        <v>62</v>
      </c>
      <c r="I2103" s="1" t="str">
        <f>"160.84"</f>
        <v>160.84</v>
      </c>
      <c r="J2103" s="1" t="str">
        <f t="shared" ref="J2103:N2103" si="1418">"0"</f>
        <v>0</v>
      </c>
      <c r="K2103" s="1" t="str">
        <f t="shared" si="1400"/>
        <v>103</v>
      </c>
      <c r="L2103" s="1" t="str">
        <f t="shared" si="1401"/>
        <v>47</v>
      </c>
      <c r="M2103" s="1" t="str">
        <f t="shared" si="1418"/>
        <v>0</v>
      </c>
      <c r="N2103" s="1" t="str">
        <f t="shared" si="1418"/>
        <v>0</v>
      </c>
      <c r="O2103" s="1" t="str">
        <f>"10.84"</f>
        <v>10.84</v>
      </c>
    </row>
    <row r="2104" s="1" customFormat="1" spans="1:15">
      <c r="A2104" s="1" t="str">
        <f t="shared" si="1354"/>
        <v>202406</v>
      </c>
      <c r="B2104" s="1" t="str">
        <f t="shared" si="1355"/>
        <v>150525100</v>
      </c>
      <c r="C2104" s="1" t="str">
        <f>"1042806538"</f>
        <v>1042806538</v>
      </c>
      <c r="D2104" s="1" t="str">
        <f>"152326196308013812"</f>
        <v>152326196308013812</v>
      </c>
      <c r="E2104" s="1" t="s">
        <v>2182</v>
      </c>
      <c r="F2104" s="1" t="s">
        <v>25</v>
      </c>
      <c r="G2104" s="1" t="s">
        <v>17</v>
      </c>
      <c r="H2104" s="1" t="str">
        <f t="shared" si="1416"/>
        <v>61</v>
      </c>
      <c r="I2104" s="1" t="str">
        <f>"162.47"</f>
        <v>162.47</v>
      </c>
      <c r="J2104" s="1" t="str">
        <f t="shared" ref="J2104:N2104" si="1419">"0"</f>
        <v>0</v>
      </c>
      <c r="K2104" s="1" t="str">
        <f t="shared" si="1400"/>
        <v>103</v>
      </c>
      <c r="L2104" s="1" t="str">
        <f t="shared" si="1401"/>
        <v>47</v>
      </c>
      <c r="M2104" s="1" t="str">
        <f t="shared" si="1419"/>
        <v>0</v>
      </c>
      <c r="N2104" s="1" t="str">
        <f t="shared" si="1419"/>
        <v>0</v>
      </c>
      <c r="O2104" s="1" t="str">
        <f>"12.47"</f>
        <v>12.47</v>
      </c>
    </row>
    <row r="2105" s="1" customFormat="1" spans="1:15">
      <c r="A2105" s="1" t="str">
        <f t="shared" si="1354"/>
        <v>202406</v>
      </c>
      <c r="B2105" s="1" t="str">
        <f t="shared" si="1355"/>
        <v>150525100</v>
      </c>
      <c r="C2105" s="1" t="str">
        <f>"1042689049"</f>
        <v>1042689049</v>
      </c>
      <c r="D2105" s="1" t="s">
        <v>2183</v>
      </c>
      <c r="E2105" s="1" t="s">
        <v>2184</v>
      </c>
      <c r="F2105" s="1" t="s">
        <v>25</v>
      </c>
      <c r="G2105" s="1" t="s">
        <v>19</v>
      </c>
      <c r="H2105" s="1" t="str">
        <f t="shared" si="1414"/>
        <v>62</v>
      </c>
      <c r="I2105" s="1" t="str">
        <f>"160.54"</f>
        <v>160.54</v>
      </c>
      <c r="J2105" s="1" t="str">
        <f t="shared" ref="J2105:N2105" si="1420">"0"</f>
        <v>0</v>
      </c>
      <c r="K2105" s="1" t="str">
        <f t="shared" si="1400"/>
        <v>103</v>
      </c>
      <c r="L2105" s="1" t="str">
        <f t="shared" si="1401"/>
        <v>47</v>
      </c>
      <c r="M2105" s="1" t="str">
        <f t="shared" si="1420"/>
        <v>0</v>
      </c>
      <c r="N2105" s="1" t="str">
        <f t="shared" si="1420"/>
        <v>0</v>
      </c>
      <c r="O2105" s="1" t="str">
        <f>"10.54"</f>
        <v>10.54</v>
      </c>
    </row>
    <row r="2106" s="1" customFormat="1" spans="1:15">
      <c r="A2106" s="1" t="str">
        <f t="shared" si="1354"/>
        <v>202406</v>
      </c>
      <c r="B2106" s="1" t="str">
        <f t="shared" si="1355"/>
        <v>150525100</v>
      </c>
      <c r="C2106" s="1" t="str">
        <f>"1042821763"</f>
        <v>1042821763</v>
      </c>
      <c r="D2106" s="1" t="str">
        <f>"152326196209053827"</f>
        <v>152326196209053827</v>
      </c>
      <c r="E2106" s="1" t="s">
        <v>2185</v>
      </c>
      <c r="F2106" s="1" t="s">
        <v>16</v>
      </c>
      <c r="G2106" s="1" t="s">
        <v>19</v>
      </c>
      <c r="H2106" s="1" t="str">
        <f t="shared" si="1414"/>
        <v>62</v>
      </c>
      <c r="I2106" s="1" t="str">
        <f>"168.46"</f>
        <v>168.46</v>
      </c>
      <c r="J2106" s="1" t="str">
        <f t="shared" ref="J2106:N2106" si="1421">"0"</f>
        <v>0</v>
      </c>
      <c r="K2106" s="1" t="str">
        <f t="shared" si="1400"/>
        <v>103</v>
      </c>
      <c r="L2106" s="1" t="str">
        <f t="shared" si="1401"/>
        <v>47</v>
      </c>
      <c r="M2106" s="1" t="str">
        <f t="shared" si="1421"/>
        <v>0</v>
      </c>
      <c r="N2106" s="1" t="str">
        <f t="shared" si="1421"/>
        <v>0</v>
      </c>
      <c r="O2106" s="1" t="str">
        <f>"18.46"</f>
        <v>18.46</v>
      </c>
    </row>
    <row r="2107" s="1" customFormat="1" spans="1:15">
      <c r="A2107" s="1" t="str">
        <f t="shared" si="1354"/>
        <v>202406</v>
      </c>
      <c r="B2107" s="1" t="str">
        <f t="shared" si="1355"/>
        <v>150525100</v>
      </c>
      <c r="C2107" s="1" t="str">
        <f>"1042724329"</f>
        <v>1042724329</v>
      </c>
      <c r="D2107" s="1" t="str">
        <f>"152326196303043828"</f>
        <v>152326196303043828</v>
      </c>
      <c r="E2107" s="1" t="s">
        <v>2186</v>
      </c>
      <c r="F2107" s="1" t="s">
        <v>16</v>
      </c>
      <c r="G2107" s="1" t="s">
        <v>19</v>
      </c>
      <c r="H2107" s="1" t="str">
        <f t="shared" si="1416"/>
        <v>61</v>
      </c>
      <c r="I2107" s="1" t="str">
        <f>"162.67"</f>
        <v>162.67</v>
      </c>
      <c r="J2107" s="1" t="str">
        <f t="shared" ref="J2107:N2107" si="1422">"0"</f>
        <v>0</v>
      </c>
      <c r="K2107" s="1" t="str">
        <f t="shared" si="1400"/>
        <v>103</v>
      </c>
      <c r="L2107" s="1" t="str">
        <f t="shared" si="1401"/>
        <v>47</v>
      </c>
      <c r="M2107" s="1" t="str">
        <f t="shared" si="1422"/>
        <v>0</v>
      </c>
      <c r="N2107" s="1" t="str">
        <f t="shared" si="1422"/>
        <v>0</v>
      </c>
      <c r="O2107" s="1" t="str">
        <f>"12.67"</f>
        <v>12.67</v>
      </c>
    </row>
    <row r="2108" s="1" customFormat="1" spans="1:15">
      <c r="A2108" s="1" t="str">
        <f t="shared" si="1354"/>
        <v>202406</v>
      </c>
      <c r="B2108" s="1" t="str">
        <f t="shared" si="1355"/>
        <v>150525100</v>
      </c>
      <c r="C2108" s="1" t="str">
        <f>"1042748709"</f>
        <v>1042748709</v>
      </c>
      <c r="D2108" s="1" t="str">
        <f>"152326196211133818"</f>
        <v>152326196211133818</v>
      </c>
      <c r="E2108" s="1" t="s">
        <v>2187</v>
      </c>
      <c r="F2108" s="1" t="s">
        <v>25</v>
      </c>
      <c r="G2108" s="1" t="s">
        <v>17</v>
      </c>
      <c r="H2108" s="1" t="str">
        <f t="shared" ref="H2108:H2113" si="1423">"62"</f>
        <v>62</v>
      </c>
      <c r="I2108" s="1" t="str">
        <f>"160.6"</f>
        <v>160.6</v>
      </c>
      <c r="J2108" s="1" t="str">
        <f t="shared" ref="J2108:N2108" si="1424">"0"</f>
        <v>0</v>
      </c>
      <c r="K2108" s="1" t="str">
        <f t="shared" si="1400"/>
        <v>103</v>
      </c>
      <c r="L2108" s="1" t="str">
        <f t="shared" si="1401"/>
        <v>47</v>
      </c>
      <c r="M2108" s="1" t="str">
        <f t="shared" si="1424"/>
        <v>0</v>
      </c>
      <c r="N2108" s="1" t="str">
        <f t="shared" si="1424"/>
        <v>0</v>
      </c>
      <c r="O2108" s="1" t="str">
        <f>"10.6"</f>
        <v>10.6</v>
      </c>
    </row>
    <row r="2109" s="1" customFormat="1" spans="1:15">
      <c r="A2109" s="1" t="str">
        <f t="shared" si="1354"/>
        <v>202406</v>
      </c>
      <c r="B2109" s="1" t="str">
        <f t="shared" si="1355"/>
        <v>150525100</v>
      </c>
      <c r="C2109" s="1" t="str">
        <f>"1042827010"</f>
        <v>1042827010</v>
      </c>
      <c r="D2109" s="1" t="s">
        <v>2188</v>
      </c>
      <c r="E2109" s="1" t="s">
        <v>2189</v>
      </c>
      <c r="F2109" s="1" t="s">
        <v>16</v>
      </c>
      <c r="G2109" s="1" t="s">
        <v>17</v>
      </c>
      <c r="H2109" s="1" t="str">
        <f t="shared" si="1423"/>
        <v>62</v>
      </c>
      <c r="I2109" s="1" t="str">
        <f>"162.02"</f>
        <v>162.02</v>
      </c>
      <c r="J2109" s="1" t="str">
        <f t="shared" ref="J2109:N2109" si="1425">"0"</f>
        <v>0</v>
      </c>
      <c r="K2109" s="1" t="str">
        <f t="shared" si="1400"/>
        <v>103</v>
      </c>
      <c r="L2109" s="1" t="str">
        <f t="shared" si="1401"/>
        <v>47</v>
      </c>
      <c r="M2109" s="1" t="str">
        <f t="shared" si="1425"/>
        <v>0</v>
      </c>
      <c r="N2109" s="1" t="str">
        <f t="shared" si="1425"/>
        <v>0</v>
      </c>
      <c r="O2109" s="1" t="str">
        <f>"12.02"</f>
        <v>12.02</v>
      </c>
    </row>
    <row r="2110" s="1" customFormat="1" spans="1:15">
      <c r="A2110" s="1" t="str">
        <f t="shared" si="1354"/>
        <v>202406</v>
      </c>
      <c r="B2110" s="1" t="str">
        <f t="shared" si="1355"/>
        <v>150525100</v>
      </c>
      <c r="C2110" s="1" t="str">
        <f>"1042784162"</f>
        <v>1042784162</v>
      </c>
      <c r="D2110" s="1" t="str">
        <f>"152326196402160667"</f>
        <v>152326196402160667</v>
      </c>
      <c r="E2110" s="1" t="s">
        <v>2190</v>
      </c>
      <c r="F2110" s="1" t="s">
        <v>16</v>
      </c>
      <c r="G2110" s="1" t="s">
        <v>17</v>
      </c>
      <c r="H2110" s="1" t="str">
        <f>"60"</f>
        <v>60</v>
      </c>
      <c r="I2110" s="1" t="str">
        <f>"166.56"</f>
        <v>166.56</v>
      </c>
      <c r="J2110" s="1" t="str">
        <f t="shared" ref="J2110:N2110" si="1426">"0"</f>
        <v>0</v>
      </c>
      <c r="K2110" s="1" t="str">
        <f t="shared" si="1400"/>
        <v>103</v>
      </c>
      <c r="L2110" s="1" t="str">
        <f t="shared" si="1401"/>
        <v>47</v>
      </c>
      <c r="M2110" s="1" t="str">
        <f t="shared" si="1426"/>
        <v>0</v>
      </c>
      <c r="N2110" s="1" t="str">
        <f t="shared" si="1426"/>
        <v>0</v>
      </c>
      <c r="O2110" s="1" t="str">
        <f>"16.56"</f>
        <v>16.56</v>
      </c>
    </row>
    <row r="2111" s="1" customFormat="1" spans="1:15">
      <c r="A2111" s="1" t="str">
        <f t="shared" si="1354"/>
        <v>202406</v>
      </c>
      <c r="B2111" s="1" t="str">
        <f t="shared" si="1355"/>
        <v>150525100</v>
      </c>
      <c r="C2111" s="1" t="str">
        <f>"1042784195"</f>
        <v>1042784195</v>
      </c>
      <c r="D2111" s="1" t="str">
        <f>"152326196311070703"</f>
        <v>152326196311070703</v>
      </c>
      <c r="E2111" s="1" t="s">
        <v>930</v>
      </c>
      <c r="F2111" s="1" t="s">
        <v>16</v>
      </c>
      <c r="G2111" s="1" t="s">
        <v>17</v>
      </c>
      <c r="H2111" s="1" t="str">
        <f t="shared" ref="H2111:H2117" si="1427">"61"</f>
        <v>61</v>
      </c>
      <c r="I2111" s="1" t="str">
        <f>"176.79"</f>
        <v>176.79</v>
      </c>
      <c r="J2111" s="1" t="str">
        <f t="shared" ref="J2111:N2111" si="1428">"0"</f>
        <v>0</v>
      </c>
      <c r="K2111" s="1" t="str">
        <f t="shared" si="1400"/>
        <v>103</v>
      </c>
      <c r="L2111" s="1" t="str">
        <f t="shared" si="1401"/>
        <v>47</v>
      </c>
      <c r="M2111" s="1" t="str">
        <f t="shared" si="1428"/>
        <v>0</v>
      </c>
      <c r="N2111" s="1" t="str">
        <f t="shared" si="1428"/>
        <v>0</v>
      </c>
      <c r="O2111" s="1" t="str">
        <f>"26.79"</f>
        <v>26.79</v>
      </c>
    </row>
    <row r="2112" s="1" customFormat="1" spans="1:15">
      <c r="A2112" s="1" t="str">
        <f t="shared" si="1354"/>
        <v>202406</v>
      </c>
      <c r="B2112" s="1" t="str">
        <f t="shared" si="1355"/>
        <v>150525100</v>
      </c>
      <c r="C2112" s="1" t="str">
        <f>"1042748452"</f>
        <v>1042748452</v>
      </c>
      <c r="D2112" s="1" t="str">
        <f>"152326196307043825"</f>
        <v>152326196307043825</v>
      </c>
      <c r="E2112" s="1" t="s">
        <v>2191</v>
      </c>
      <c r="F2112" s="1" t="s">
        <v>16</v>
      </c>
      <c r="G2112" s="1" t="s">
        <v>19</v>
      </c>
      <c r="H2112" s="1" t="str">
        <f t="shared" si="1427"/>
        <v>61</v>
      </c>
      <c r="I2112" s="1" t="str">
        <f>"162.43"</f>
        <v>162.43</v>
      </c>
      <c r="J2112" s="1" t="str">
        <f t="shared" ref="J2112:N2112" si="1429">"0"</f>
        <v>0</v>
      </c>
      <c r="K2112" s="1" t="str">
        <f t="shared" si="1400"/>
        <v>103</v>
      </c>
      <c r="L2112" s="1" t="str">
        <f t="shared" si="1401"/>
        <v>47</v>
      </c>
      <c r="M2112" s="1" t="str">
        <f t="shared" si="1429"/>
        <v>0</v>
      </c>
      <c r="N2112" s="1" t="str">
        <f t="shared" si="1429"/>
        <v>0</v>
      </c>
      <c r="O2112" s="1" t="str">
        <f>"12.43"</f>
        <v>12.43</v>
      </c>
    </row>
    <row r="2113" s="1" customFormat="1" spans="1:15">
      <c r="A2113" s="1" t="str">
        <f t="shared" si="1354"/>
        <v>202406</v>
      </c>
      <c r="B2113" s="1" t="str">
        <f t="shared" si="1355"/>
        <v>150525100</v>
      </c>
      <c r="C2113" s="1" t="str">
        <f>"1042694804"</f>
        <v>1042694804</v>
      </c>
      <c r="D2113" s="1" t="str">
        <f>"152326196211240672"</f>
        <v>152326196211240672</v>
      </c>
      <c r="E2113" s="1" t="s">
        <v>2192</v>
      </c>
      <c r="F2113" s="1" t="s">
        <v>25</v>
      </c>
      <c r="G2113" s="1" t="s">
        <v>17</v>
      </c>
      <c r="H2113" s="1" t="str">
        <f t="shared" si="1423"/>
        <v>62</v>
      </c>
      <c r="I2113" s="1" t="str">
        <f>"642.4"</f>
        <v>642.4</v>
      </c>
      <c r="J2113" s="1" t="str">
        <f>"481.8"</f>
        <v>481.8</v>
      </c>
      <c r="K2113" s="1" t="str">
        <f>"412"</f>
        <v>412</v>
      </c>
      <c r="L2113" s="1" t="str">
        <f>"188"</f>
        <v>188</v>
      </c>
      <c r="M2113" s="1" t="str">
        <f t="shared" ref="M2113:M2176" si="1430">"0"</f>
        <v>0</v>
      </c>
      <c r="N2113" s="1" t="str">
        <f t="shared" ref="N2113:N2176" si="1431">"0"</f>
        <v>0</v>
      </c>
      <c r="O2113" s="1" t="str">
        <f>"42.4"</f>
        <v>42.4</v>
      </c>
    </row>
    <row r="2114" s="1" customFormat="1" spans="1:15">
      <c r="A2114" s="1" t="str">
        <f t="shared" ref="A2114:A2177" si="1432">"202406"</f>
        <v>202406</v>
      </c>
      <c r="B2114" s="1" t="str">
        <f t="shared" ref="B2114:B2177" si="1433">"150525100"</f>
        <v>150525100</v>
      </c>
      <c r="C2114" s="1" t="str">
        <f>"1042689415"</f>
        <v>1042689415</v>
      </c>
      <c r="D2114" s="1" t="str">
        <f>"152326196310030443"</f>
        <v>152326196310030443</v>
      </c>
      <c r="E2114" s="1" t="s">
        <v>2193</v>
      </c>
      <c r="F2114" s="1" t="s">
        <v>16</v>
      </c>
      <c r="G2114" s="1" t="s">
        <v>17</v>
      </c>
      <c r="H2114" s="1" t="str">
        <f t="shared" si="1427"/>
        <v>61</v>
      </c>
      <c r="I2114" s="1" t="str">
        <f>"974.94"</f>
        <v>974.94</v>
      </c>
      <c r="J2114" s="1" t="str">
        <f>"812.45"</f>
        <v>812.45</v>
      </c>
      <c r="K2114" s="1" t="str">
        <f>"618"</f>
        <v>618</v>
      </c>
      <c r="L2114" s="1" t="str">
        <f>"282"</f>
        <v>282</v>
      </c>
      <c r="M2114" s="1" t="str">
        <f t="shared" si="1430"/>
        <v>0</v>
      </c>
      <c r="N2114" s="1" t="str">
        <f t="shared" si="1431"/>
        <v>0</v>
      </c>
      <c r="O2114" s="1" t="str">
        <f>"74.94"</f>
        <v>74.94</v>
      </c>
    </row>
    <row r="2115" s="1" customFormat="1" spans="1:15">
      <c r="A2115" s="1" t="str">
        <f t="shared" si="1432"/>
        <v>202406</v>
      </c>
      <c r="B2115" s="1" t="str">
        <f t="shared" si="1433"/>
        <v>150525100</v>
      </c>
      <c r="C2115" s="1" t="str">
        <f>"1043312397"</f>
        <v>1043312397</v>
      </c>
      <c r="D2115" s="1" t="str">
        <f>"152326196312063812"</f>
        <v>152326196312063812</v>
      </c>
      <c r="E2115" s="1" t="s">
        <v>2194</v>
      </c>
      <c r="F2115" s="1" t="s">
        <v>25</v>
      </c>
      <c r="G2115" s="1" t="s">
        <v>17</v>
      </c>
      <c r="H2115" s="1" t="str">
        <f t="shared" si="1427"/>
        <v>61</v>
      </c>
      <c r="I2115" s="1" t="str">
        <f>"167.5"</f>
        <v>167.5</v>
      </c>
      <c r="J2115" s="1" t="str">
        <f t="shared" ref="J2115:J2178" si="1434">"0"</f>
        <v>0</v>
      </c>
      <c r="K2115" s="1" t="str">
        <f t="shared" ref="K2115:K2178" si="1435">"103"</f>
        <v>103</v>
      </c>
      <c r="L2115" s="1" t="str">
        <f t="shared" ref="L2115:L2178" si="1436">"47"</f>
        <v>47</v>
      </c>
      <c r="M2115" s="1" t="str">
        <f t="shared" si="1430"/>
        <v>0</v>
      </c>
      <c r="N2115" s="1" t="str">
        <f t="shared" si="1431"/>
        <v>0</v>
      </c>
      <c r="O2115" s="1" t="str">
        <f>"17.5"</f>
        <v>17.5</v>
      </c>
    </row>
    <row r="2116" s="1" customFormat="1" spans="1:15">
      <c r="A2116" s="1" t="str">
        <f t="shared" si="1432"/>
        <v>202406</v>
      </c>
      <c r="B2116" s="1" t="str">
        <f t="shared" si="1433"/>
        <v>150525100</v>
      </c>
      <c r="C2116" s="1" t="str">
        <f>"1043310091"</f>
        <v>1043310091</v>
      </c>
      <c r="D2116" s="1" t="str">
        <f>"152326196307060414"</f>
        <v>152326196307060414</v>
      </c>
      <c r="E2116" s="1" t="s">
        <v>2195</v>
      </c>
      <c r="F2116" s="1" t="s">
        <v>25</v>
      </c>
      <c r="G2116" s="1" t="s">
        <v>17</v>
      </c>
      <c r="H2116" s="1" t="str">
        <f t="shared" si="1427"/>
        <v>61</v>
      </c>
      <c r="I2116" s="1" t="str">
        <f>"169.03"</f>
        <v>169.03</v>
      </c>
      <c r="J2116" s="1" t="str">
        <f t="shared" si="1434"/>
        <v>0</v>
      </c>
      <c r="K2116" s="1" t="str">
        <f t="shared" si="1435"/>
        <v>103</v>
      </c>
      <c r="L2116" s="1" t="str">
        <f t="shared" si="1436"/>
        <v>47</v>
      </c>
      <c r="M2116" s="1" t="str">
        <f t="shared" si="1430"/>
        <v>0</v>
      </c>
      <c r="N2116" s="1" t="str">
        <f t="shared" si="1431"/>
        <v>0</v>
      </c>
      <c r="O2116" s="1" t="str">
        <f>"19.03"</f>
        <v>19.03</v>
      </c>
    </row>
    <row r="2117" s="1" customFormat="1" spans="1:15">
      <c r="A2117" s="1" t="str">
        <f t="shared" si="1432"/>
        <v>202406</v>
      </c>
      <c r="B2117" s="1" t="str">
        <f t="shared" si="1433"/>
        <v>150525100</v>
      </c>
      <c r="C2117" s="1" t="str">
        <f>"1043316300"</f>
        <v>1043316300</v>
      </c>
      <c r="D2117" s="1" t="str">
        <f>"152326196304053331"</f>
        <v>152326196304053331</v>
      </c>
      <c r="E2117" s="1" t="s">
        <v>72</v>
      </c>
      <c r="F2117" s="1" t="s">
        <v>25</v>
      </c>
      <c r="G2117" s="1" t="s">
        <v>17</v>
      </c>
      <c r="H2117" s="1" t="str">
        <f t="shared" si="1427"/>
        <v>61</v>
      </c>
      <c r="I2117" s="1" t="str">
        <f>"167.63"</f>
        <v>167.63</v>
      </c>
      <c r="J2117" s="1" t="str">
        <f t="shared" si="1434"/>
        <v>0</v>
      </c>
      <c r="K2117" s="1" t="str">
        <f t="shared" si="1435"/>
        <v>103</v>
      </c>
      <c r="L2117" s="1" t="str">
        <f t="shared" si="1436"/>
        <v>47</v>
      </c>
      <c r="M2117" s="1" t="str">
        <f t="shared" si="1430"/>
        <v>0</v>
      </c>
      <c r="N2117" s="1" t="str">
        <f t="shared" si="1431"/>
        <v>0</v>
      </c>
      <c r="O2117" s="1" t="str">
        <f>"17.63"</f>
        <v>17.63</v>
      </c>
    </row>
    <row r="2118" s="1" customFormat="1" spans="1:15">
      <c r="A2118" s="1" t="str">
        <f t="shared" si="1432"/>
        <v>202406</v>
      </c>
      <c r="B2118" s="1" t="str">
        <f t="shared" si="1433"/>
        <v>150525100</v>
      </c>
      <c r="C2118" s="1" t="str">
        <f>"1043320667"</f>
        <v>1043320667</v>
      </c>
      <c r="D2118" s="1" t="str">
        <f>"152326196404016386"</f>
        <v>152326196404016386</v>
      </c>
      <c r="E2118" s="1" t="s">
        <v>2196</v>
      </c>
      <c r="F2118" s="1" t="s">
        <v>16</v>
      </c>
      <c r="G2118" s="1" t="s">
        <v>17</v>
      </c>
      <c r="H2118" s="1" t="str">
        <f>"60"</f>
        <v>60</v>
      </c>
      <c r="I2118" s="1" t="str">
        <f>"169.19"</f>
        <v>169.19</v>
      </c>
      <c r="J2118" s="1" t="str">
        <f t="shared" si="1434"/>
        <v>0</v>
      </c>
      <c r="K2118" s="1" t="str">
        <f t="shared" si="1435"/>
        <v>103</v>
      </c>
      <c r="L2118" s="1" t="str">
        <f t="shared" si="1436"/>
        <v>47</v>
      </c>
      <c r="M2118" s="1" t="str">
        <f t="shared" si="1430"/>
        <v>0</v>
      </c>
      <c r="N2118" s="1" t="str">
        <f t="shared" si="1431"/>
        <v>0</v>
      </c>
      <c r="O2118" s="1" t="str">
        <f>"19.19"</f>
        <v>19.19</v>
      </c>
    </row>
    <row r="2119" s="1" customFormat="1" spans="1:15">
      <c r="A2119" s="1" t="str">
        <f t="shared" si="1432"/>
        <v>202406</v>
      </c>
      <c r="B2119" s="1" t="str">
        <f t="shared" si="1433"/>
        <v>150525100</v>
      </c>
      <c r="C2119" s="1" t="str">
        <f>"1043320993"</f>
        <v>1043320993</v>
      </c>
      <c r="D2119" s="1" t="str">
        <f>"152326196210253324"</f>
        <v>152326196210253324</v>
      </c>
      <c r="E2119" s="1" t="s">
        <v>2197</v>
      </c>
      <c r="F2119" s="1" t="s">
        <v>16</v>
      </c>
      <c r="G2119" s="1" t="s">
        <v>17</v>
      </c>
      <c r="H2119" s="1" t="str">
        <f t="shared" ref="H2119:H2124" si="1437">"62"</f>
        <v>62</v>
      </c>
      <c r="I2119" s="1" t="str">
        <f>"160.68"</f>
        <v>160.68</v>
      </c>
      <c r="J2119" s="1" t="str">
        <f t="shared" si="1434"/>
        <v>0</v>
      </c>
      <c r="K2119" s="1" t="str">
        <f t="shared" si="1435"/>
        <v>103</v>
      </c>
      <c r="L2119" s="1" t="str">
        <f t="shared" si="1436"/>
        <v>47</v>
      </c>
      <c r="M2119" s="1" t="str">
        <f t="shared" si="1430"/>
        <v>0</v>
      </c>
      <c r="N2119" s="1" t="str">
        <f t="shared" si="1431"/>
        <v>0</v>
      </c>
      <c r="O2119" s="1" t="str">
        <f>"10.68"</f>
        <v>10.68</v>
      </c>
    </row>
    <row r="2120" s="1" customFormat="1" spans="1:15">
      <c r="A2120" s="1" t="str">
        <f t="shared" si="1432"/>
        <v>202406</v>
      </c>
      <c r="B2120" s="1" t="str">
        <f t="shared" si="1433"/>
        <v>150525100</v>
      </c>
      <c r="C2120" s="1" t="str">
        <f>"1043265685"</f>
        <v>1043265685</v>
      </c>
      <c r="D2120" s="1" t="str">
        <f>"152326196211083822"</f>
        <v>152326196211083822</v>
      </c>
      <c r="E2120" s="1" t="s">
        <v>2198</v>
      </c>
      <c r="F2120" s="1" t="s">
        <v>16</v>
      </c>
      <c r="G2120" s="1" t="s">
        <v>17</v>
      </c>
      <c r="H2120" s="1" t="str">
        <f t="shared" si="1437"/>
        <v>62</v>
      </c>
      <c r="I2120" s="1" t="str">
        <f>"165.85"</f>
        <v>165.85</v>
      </c>
      <c r="J2120" s="1" t="str">
        <f t="shared" si="1434"/>
        <v>0</v>
      </c>
      <c r="K2120" s="1" t="str">
        <f t="shared" si="1435"/>
        <v>103</v>
      </c>
      <c r="L2120" s="1" t="str">
        <f t="shared" si="1436"/>
        <v>47</v>
      </c>
      <c r="M2120" s="1" t="str">
        <f t="shared" si="1430"/>
        <v>0</v>
      </c>
      <c r="N2120" s="1" t="str">
        <f t="shared" si="1431"/>
        <v>0</v>
      </c>
      <c r="O2120" s="1" t="str">
        <f>"15.85"</f>
        <v>15.85</v>
      </c>
    </row>
    <row r="2121" s="1" customFormat="1" spans="1:15">
      <c r="A2121" s="1" t="str">
        <f t="shared" si="1432"/>
        <v>202406</v>
      </c>
      <c r="B2121" s="1" t="str">
        <f t="shared" si="1433"/>
        <v>150525100</v>
      </c>
      <c r="C2121" s="1" t="str">
        <f>"1043313016"</f>
        <v>1043313016</v>
      </c>
      <c r="D2121" s="1" t="str">
        <f>"152326196304023327"</f>
        <v>152326196304023327</v>
      </c>
      <c r="E2121" s="1" t="s">
        <v>2199</v>
      </c>
      <c r="F2121" s="1" t="s">
        <v>16</v>
      </c>
      <c r="G2121" s="1" t="s">
        <v>19</v>
      </c>
      <c r="H2121" s="1" t="str">
        <f>"61"</f>
        <v>61</v>
      </c>
      <c r="I2121" s="1" t="str">
        <f>"167.63"</f>
        <v>167.63</v>
      </c>
      <c r="J2121" s="1" t="str">
        <f t="shared" si="1434"/>
        <v>0</v>
      </c>
      <c r="K2121" s="1" t="str">
        <f t="shared" si="1435"/>
        <v>103</v>
      </c>
      <c r="L2121" s="1" t="str">
        <f t="shared" si="1436"/>
        <v>47</v>
      </c>
      <c r="M2121" s="1" t="str">
        <f t="shared" si="1430"/>
        <v>0</v>
      </c>
      <c r="N2121" s="1" t="str">
        <f t="shared" si="1431"/>
        <v>0</v>
      </c>
      <c r="O2121" s="1" t="str">
        <f>"17.63"</f>
        <v>17.63</v>
      </c>
    </row>
    <row r="2122" s="1" customFormat="1" spans="1:15">
      <c r="A2122" s="1" t="str">
        <f t="shared" si="1432"/>
        <v>202406</v>
      </c>
      <c r="B2122" s="1" t="str">
        <f t="shared" si="1433"/>
        <v>150525100</v>
      </c>
      <c r="C2122" s="1" t="str">
        <f>"1043313625"</f>
        <v>1043313625</v>
      </c>
      <c r="D2122" s="1" t="str">
        <f>"152326195902083819"</f>
        <v>152326195902083819</v>
      </c>
      <c r="E2122" s="1" t="s">
        <v>2200</v>
      </c>
      <c r="F2122" s="1" t="s">
        <v>25</v>
      </c>
      <c r="G2122" s="1" t="s">
        <v>19</v>
      </c>
      <c r="H2122" s="1" t="str">
        <f>"65"</f>
        <v>65</v>
      </c>
      <c r="I2122" s="1" t="str">
        <f>"161.53"</f>
        <v>161.53</v>
      </c>
      <c r="J2122" s="1" t="str">
        <f t="shared" si="1434"/>
        <v>0</v>
      </c>
      <c r="K2122" s="1" t="str">
        <f t="shared" si="1435"/>
        <v>103</v>
      </c>
      <c r="L2122" s="1" t="str">
        <f t="shared" si="1436"/>
        <v>47</v>
      </c>
      <c r="M2122" s="1" t="str">
        <f t="shared" si="1430"/>
        <v>0</v>
      </c>
      <c r="N2122" s="1" t="str">
        <f t="shared" si="1431"/>
        <v>0</v>
      </c>
      <c r="O2122" s="1" t="str">
        <f>"11.53"</f>
        <v>11.53</v>
      </c>
    </row>
    <row r="2123" s="1" customFormat="1" spans="1:15">
      <c r="A2123" s="1" t="str">
        <f t="shared" si="1432"/>
        <v>202406</v>
      </c>
      <c r="B2123" s="1" t="str">
        <f t="shared" si="1433"/>
        <v>150525100</v>
      </c>
      <c r="C2123" s="1" t="str">
        <f>"1043288318"</f>
        <v>1043288318</v>
      </c>
      <c r="D2123" s="1" t="str">
        <f>"152326196205100032"</f>
        <v>152326196205100032</v>
      </c>
      <c r="E2123" s="1" t="s">
        <v>2201</v>
      </c>
      <c r="F2123" s="1" t="s">
        <v>25</v>
      </c>
      <c r="G2123" s="1" t="s">
        <v>17</v>
      </c>
      <c r="H2123" s="1" t="str">
        <f t="shared" si="1437"/>
        <v>62</v>
      </c>
      <c r="I2123" s="1" t="str">
        <f>"171.63"</f>
        <v>171.63</v>
      </c>
      <c r="J2123" s="1" t="str">
        <f t="shared" si="1434"/>
        <v>0</v>
      </c>
      <c r="K2123" s="1" t="str">
        <f t="shared" si="1435"/>
        <v>103</v>
      </c>
      <c r="L2123" s="1" t="str">
        <f t="shared" si="1436"/>
        <v>47</v>
      </c>
      <c r="M2123" s="1" t="str">
        <f t="shared" si="1430"/>
        <v>0</v>
      </c>
      <c r="N2123" s="1" t="str">
        <f t="shared" si="1431"/>
        <v>0</v>
      </c>
      <c r="O2123" s="1" t="str">
        <f>"21.63"</f>
        <v>21.63</v>
      </c>
    </row>
    <row r="2124" s="1" customFormat="1" spans="1:15">
      <c r="A2124" s="1" t="str">
        <f t="shared" si="1432"/>
        <v>202406</v>
      </c>
      <c r="B2124" s="1" t="str">
        <f t="shared" si="1433"/>
        <v>150525100</v>
      </c>
      <c r="C2124" s="1" t="str">
        <f>"1043251147"</f>
        <v>1043251147</v>
      </c>
      <c r="D2124" s="1" t="str">
        <f>"152326196301010424"</f>
        <v>152326196301010424</v>
      </c>
      <c r="E2124" s="1" t="s">
        <v>2202</v>
      </c>
      <c r="F2124" s="1" t="s">
        <v>16</v>
      </c>
      <c r="G2124" s="1" t="s">
        <v>17</v>
      </c>
      <c r="H2124" s="1" t="str">
        <f t="shared" si="1437"/>
        <v>62</v>
      </c>
      <c r="I2124" s="1" t="str">
        <f>"167.6"</f>
        <v>167.6</v>
      </c>
      <c r="J2124" s="1" t="str">
        <f t="shared" si="1434"/>
        <v>0</v>
      </c>
      <c r="K2124" s="1" t="str">
        <f t="shared" si="1435"/>
        <v>103</v>
      </c>
      <c r="L2124" s="1" t="str">
        <f t="shared" si="1436"/>
        <v>47</v>
      </c>
      <c r="M2124" s="1" t="str">
        <f t="shared" si="1430"/>
        <v>0</v>
      </c>
      <c r="N2124" s="1" t="str">
        <f t="shared" si="1431"/>
        <v>0</v>
      </c>
      <c r="O2124" s="1" t="str">
        <f>"17.6"</f>
        <v>17.6</v>
      </c>
    </row>
    <row r="2125" s="1" customFormat="1" spans="1:15">
      <c r="A2125" s="1" t="str">
        <f t="shared" si="1432"/>
        <v>202406</v>
      </c>
      <c r="B2125" s="1" t="str">
        <f t="shared" si="1433"/>
        <v>150525100</v>
      </c>
      <c r="C2125" s="1" t="str">
        <f>"1043260635"</f>
        <v>1043260635</v>
      </c>
      <c r="D2125" s="1" t="str">
        <f>"152326196007013317"</f>
        <v>152326196007013317</v>
      </c>
      <c r="E2125" s="1" t="s">
        <v>2203</v>
      </c>
      <c r="F2125" s="1" t="s">
        <v>25</v>
      </c>
      <c r="G2125" s="1" t="s">
        <v>17</v>
      </c>
      <c r="H2125" s="1" t="str">
        <f>"64"</f>
        <v>64</v>
      </c>
      <c r="I2125" s="1" t="str">
        <f>"162.98"</f>
        <v>162.98</v>
      </c>
      <c r="J2125" s="1" t="str">
        <f t="shared" si="1434"/>
        <v>0</v>
      </c>
      <c r="K2125" s="1" t="str">
        <f t="shared" si="1435"/>
        <v>103</v>
      </c>
      <c r="L2125" s="1" t="str">
        <f t="shared" si="1436"/>
        <v>47</v>
      </c>
      <c r="M2125" s="1" t="str">
        <f t="shared" si="1430"/>
        <v>0</v>
      </c>
      <c r="N2125" s="1" t="str">
        <f t="shared" si="1431"/>
        <v>0</v>
      </c>
      <c r="O2125" s="1" t="str">
        <f>"12.98"</f>
        <v>12.98</v>
      </c>
    </row>
    <row r="2126" s="1" customFormat="1" spans="1:15">
      <c r="A2126" s="1" t="str">
        <f t="shared" si="1432"/>
        <v>202406</v>
      </c>
      <c r="B2126" s="1" t="str">
        <f t="shared" si="1433"/>
        <v>150525100</v>
      </c>
      <c r="C2126" s="1" t="str">
        <f>"1043320728"</f>
        <v>1043320728</v>
      </c>
      <c r="D2126" s="1" t="str">
        <f>"152326196212250426"</f>
        <v>152326196212250426</v>
      </c>
      <c r="E2126" s="1" t="s">
        <v>2204</v>
      </c>
      <c r="F2126" s="1" t="s">
        <v>16</v>
      </c>
      <c r="G2126" s="1" t="s">
        <v>17</v>
      </c>
      <c r="H2126" s="1" t="str">
        <f t="shared" ref="H2126:H2131" si="1438">"62"</f>
        <v>62</v>
      </c>
      <c r="I2126" s="1" t="str">
        <f>"165.85"</f>
        <v>165.85</v>
      </c>
      <c r="J2126" s="1" t="str">
        <f t="shared" si="1434"/>
        <v>0</v>
      </c>
      <c r="K2126" s="1" t="str">
        <f t="shared" si="1435"/>
        <v>103</v>
      </c>
      <c r="L2126" s="1" t="str">
        <f t="shared" si="1436"/>
        <v>47</v>
      </c>
      <c r="M2126" s="1" t="str">
        <f t="shared" si="1430"/>
        <v>0</v>
      </c>
      <c r="N2126" s="1" t="str">
        <f t="shared" si="1431"/>
        <v>0</v>
      </c>
      <c r="O2126" s="1" t="str">
        <f>"15.85"</f>
        <v>15.85</v>
      </c>
    </row>
    <row r="2127" s="1" customFormat="1" spans="1:15">
      <c r="A2127" s="1" t="str">
        <f t="shared" si="1432"/>
        <v>202406</v>
      </c>
      <c r="B2127" s="1" t="str">
        <f t="shared" si="1433"/>
        <v>150525100</v>
      </c>
      <c r="C2127" s="1" t="str">
        <f>"1043320603"</f>
        <v>1043320603</v>
      </c>
      <c r="D2127" s="1" t="str">
        <f>"152326196107210414"</f>
        <v>152326196107210414</v>
      </c>
      <c r="E2127" s="1" t="s">
        <v>2205</v>
      </c>
      <c r="F2127" s="1" t="s">
        <v>25</v>
      </c>
      <c r="G2127" s="1" t="s">
        <v>17</v>
      </c>
      <c r="H2127" s="1" t="str">
        <f>"63"</f>
        <v>63</v>
      </c>
      <c r="I2127" s="1" t="str">
        <f>"158.65"</f>
        <v>158.65</v>
      </c>
      <c r="J2127" s="1" t="str">
        <f t="shared" si="1434"/>
        <v>0</v>
      </c>
      <c r="K2127" s="1" t="str">
        <f t="shared" si="1435"/>
        <v>103</v>
      </c>
      <c r="L2127" s="1" t="str">
        <f t="shared" si="1436"/>
        <v>47</v>
      </c>
      <c r="M2127" s="1" t="str">
        <f t="shared" si="1430"/>
        <v>0</v>
      </c>
      <c r="N2127" s="1" t="str">
        <f t="shared" si="1431"/>
        <v>0</v>
      </c>
      <c r="O2127" s="1" t="str">
        <f>"8.65"</f>
        <v>8.65</v>
      </c>
    </row>
    <row r="2128" s="1" customFormat="1" spans="1:15">
      <c r="A2128" s="1" t="str">
        <f t="shared" si="1432"/>
        <v>202406</v>
      </c>
      <c r="B2128" s="1" t="str">
        <f t="shared" si="1433"/>
        <v>150525100</v>
      </c>
      <c r="C2128" s="1" t="str">
        <f>"1040651116"</f>
        <v>1040651116</v>
      </c>
      <c r="D2128" s="1" t="str">
        <f>"152326196209130693"</f>
        <v>152326196209130693</v>
      </c>
      <c r="E2128" s="1" t="s">
        <v>2206</v>
      </c>
      <c r="F2128" s="1" t="s">
        <v>25</v>
      </c>
      <c r="G2128" s="1" t="s">
        <v>17</v>
      </c>
      <c r="H2128" s="1" t="str">
        <f t="shared" si="1438"/>
        <v>62</v>
      </c>
      <c r="I2128" s="1" t="str">
        <f>"163.85"</f>
        <v>163.85</v>
      </c>
      <c r="J2128" s="1" t="str">
        <f t="shared" si="1434"/>
        <v>0</v>
      </c>
      <c r="K2128" s="1" t="str">
        <f t="shared" si="1435"/>
        <v>103</v>
      </c>
      <c r="L2128" s="1" t="str">
        <f t="shared" si="1436"/>
        <v>47</v>
      </c>
      <c r="M2128" s="1" t="str">
        <f t="shared" si="1430"/>
        <v>0</v>
      </c>
      <c r="N2128" s="1" t="str">
        <f t="shared" si="1431"/>
        <v>0</v>
      </c>
      <c r="O2128" s="1" t="str">
        <f>"13.85"</f>
        <v>13.85</v>
      </c>
    </row>
    <row r="2129" s="1" customFormat="1" spans="1:15">
      <c r="A2129" s="1" t="str">
        <f t="shared" si="1432"/>
        <v>202406</v>
      </c>
      <c r="B2129" s="1" t="str">
        <f t="shared" si="1433"/>
        <v>150525100</v>
      </c>
      <c r="C2129" s="1" t="str">
        <f>"1040651140"</f>
        <v>1040651140</v>
      </c>
      <c r="D2129" s="1" t="str">
        <f>"152326196007020664"</f>
        <v>152326196007020664</v>
      </c>
      <c r="E2129" s="1" t="s">
        <v>2207</v>
      </c>
      <c r="F2129" s="1" t="s">
        <v>16</v>
      </c>
      <c r="G2129" s="1" t="s">
        <v>19</v>
      </c>
      <c r="H2129" s="1" t="str">
        <f>"64"</f>
        <v>64</v>
      </c>
      <c r="I2129" s="1" t="str">
        <f>"158.61"</f>
        <v>158.61</v>
      </c>
      <c r="J2129" s="1" t="str">
        <f t="shared" si="1434"/>
        <v>0</v>
      </c>
      <c r="K2129" s="1" t="str">
        <f t="shared" si="1435"/>
        <v>103</v>
      </c>
      <c r="L2129" s="1" t="str">
        <f t="shared" si="1436"/>
        <v>47</v>
      </c>
      <c r="M2129" s="1" t="str">
        <f t="shared" si="1430"/>
        <v>0</v>
      </c>
      <c r="N2129" s="1" t="str">
        <f t="shared" si="1431"/>
        <v>0</v>
      </c>
      <c r="O2129" s="1" t="str">
        <f>"8.61"</f>
        <v>8.61</v>
      </c>
    </row>
    <row r="2130" s="1" customFormat="1" spans="1:15">
      <c r="A2130" s="1" t="str">
        <f t="shared" si="1432"/>
        <v>202406</v>
      </c>
      <c r="B2130" s="1" t="str">
        <f t="shared" si="1433"/>
        <v>150525100</v>
      </c>
      <c r="C2130" s="1" t="str">
        <f>"1040651145"</f>
        <v>1040651145</v>
      </c>
      <c r="D2130" s="1" t="str">
        <f>"152326196311130665"</f>
        <v>152326196311130665</v>
      </c>
      <c r="E2130" s="1" t="s">
        <v>2208</v>
      </c>
      <c r="F2130" s="1" t="s">
        <v>16</v>
      </c>
      <c r="G2130" s="1" t="s">
        <v>19</v>
      </c>
      <c r="H2130" s="1" t="str">
        <f>"61"</f>
        <v>61</v>
      </c>
      <c r="I2130" s="1" t="str">
        <f>"208.34"</f>
        <v>208.34</v>
      </c>
      <c r="J2130" s="1" t="str">
        <f t="shared" si="1434"/>
        <v>0</v>
      </c>
      <c r="K2130" s="1" t="str">
        <f t="shared" si="1435"/>
        <v>103</v>
      </c>
      <c r="L2130" s="1" t="str">
        <f t="shared" si="1436"/>
        <v>47</v>
      </c>
      <c r="M2130" s="1" t="str">
        <f t="shared" si="1430"/>
        <v>0</v>
      </c>
      <c r="N2130" s="1" t="str">
        <f t="shared" si="1431"/>
        <v>0</v>
      </c>
      <c r="O2130" s="1" t="str">
        <f>"58.34"</f>
        <v>58.34</v>
      </c>
    </row>
    <row r="2131" s="1" customFormat="1" spans="1:15">
      <c r="A2131" s="1" t="str">
        <f t="shared" si="1432"/>
        <v>202406</v>
      </c>
      <c r="B2131" s="1" t="str">
        <f t="shared" si="1433"/>
        <v>150525100</v>
      </c>
      <c r="C2131" s="1" t="str">
        <f>"1040642079"</f>
        <v>1040642079</v>
      </c>
      <c r="D2131" s="1" t="str">
        <f>"152326196207093841"</f>
        <v>152326196207093841</v>
      </c>
      <c r="E2131" s="1" t="s">
        <v>2209</v>
      </c>
      <c r="F2131" s="1" t="s">
        <v>16</v>
      </c>
      <c r="G2131" s="1" t="s">
        <v>17</v>
      </c>
      <c r="H2131" s="1" t="str">
        <f t="shared" si="1438"/>
        <v>62</v>
      </c>
      <c r="I2131" s="1" t="str">
        <f>"162.17"</f>
        <v>162.17</v>
      </c>
      <c r="J2131" s="1" t="str">
        <f t="shared" si="1434"/>
        <v>0</v>
      </c>
      <c r="K2131" s="1" t="str">
        <f t="shared" si="1435"/>
        <v>103</v>
      </c>
      <c r="L2131" s="1" t="str">
        <f t="shared" si="1436"/>
        <v>47</v>
      </c>
      <c r="M2131" s="1" t="str">
        <f t="shared" si="1430"/>
        <v>0</v>
      </c>
      <c r="N2131" s="1" t="str">
        <f t="shared" si="1431"/>
        <v>0</v>
      </c>
      <c r="O2131" s="1" t="str">
        <f>"12.17"</f>
        <v>12.17</v>
      </c>
    </row>
    <row r="2132" s="1" customFormat="1" spans="1:15">
      <c r="A2132" s="1" t="str">
        <f t="shared" si="1432"/>
        <v>202406</v>
      </c>
      <c r="B2132" s="1" t="str">
        <f t="shared" si="1433"/>
        <v>150525100</v>
      </c>
      <c r="C2132" s="1" t="str">
        <f>"1040642085"</f>
        <v>1040642085</v>
      </c>
      <c r="D2132" s="1" t="str">
        <f>"152326195807243837"</f>
        <v>152326195807243837</v>
      </c>
      <c r="E2132" s="1" t="s">
        <v>2210</v>
      </c>
      <c r="F2132" s="1" t="s">
        <v>25</v>
      </c>
      <c r="G2132" s="1" t="s">
        <v>17</v>
      </c>
      <c r="H2132" s="1" t="str">
        <f>"66"</f>
        <v>66</v>
      </c>
      <c r="I2132" s="1" t="str">
        <f>"156.26"</f>
        <v>156.26</v>
      </c>
      <c r="J2132" s="1" t="str">
        <f t="shared" si="1434"/>
        <v>0</v>
      </c>
      <c r="K2132" s="1" t="str">
        <f t="shared" si="1435"/>
        <v>103</v>
      </c>
      <c r="L2132" s="1" t="str">
        <f t="shared" si="1436"/>
        <v>47</v>
      </c>
      <c r="M2132" s="1" t="str">
        <f t="shared" si="1430"/>
        <v>0</v>
      </c>
      <c r="N2132" s="1" t="str">
        <f t="shared" si="1431"/>
        <v>0</v>
      </c>
      <c r="O2132" s="1" t="str">
        <f>"6.26"</f>
        <v>6.26</v>
      </c>
    </row>
    <row r="2133" s="1" customFormat="1" spans="1:15">
      <c r="A2133" s="1" t="str">
        <f t="shared" si="1432"/>
        <v>202406</v>
      </c>
      <c r="B2133" s="1" t="str">
        <f t="shared" si="1433"/>
        <v>150525100</v>
      </c>
      <c r="C2133" s="1" t="str">
        <f>"1040642837"</f>
        <v>1040642837</v>
      </c>
      <c r="D2133" s="1" t="str">
        <f>"152326195402060928"</f>
        <v>152326195402060928</v>
      </c>
      <c r="E2133" s="1" t="s">
        <v>2211</v>
      </c>
      <c r="F2133" s="1" t="s">
        <v>16</v>
      </c>
      <c r="G2133" s="1" t="s">
        <v>19</v>
      </c>
      <c r="H2133" s="1" t="str">
        <f>"70"</f>
        <v>70</v>
      </c>
      <c r="I2133" s="1" t="str">
        <f>"163.03"</f>
        <v>163.03</v>
      </c>
      <c r="J2133" s="1" t="str">
        <f t="shared" si="1434"/>
        <v>0</v>
      </c>
      <c r="K2133" s="1" t="str">
        <f t="shared" si="1435"/>
        <v>103</v>
      </c>
      <c r="L2133" s="1" t="str">
        <f t="shared" si="1436"/>
        <v>47</v>
      </c>
      <c r="M2133" s="1" t="str">
        <f t="shared" si="1430"/>
        <v>0</v>
      </c>
      <c r="N2133" s="1" t="str">
        <f t="shared" si="1431"/>
        <v>0</v>
      </c>
      <c r="O2133" s="1" t="str">
        <f>"3.03"</f>
        <v>3.03</v>
      </c>
    </row>
    <row r="2134" s="1" customFormat="1" spans="1:15">
      <c r="A2134" s="1" t="str">
        <f t="shared" si="1432"/>
        <v>202406</v>
      </c>
      <c r="B2134" s="1" t="str">
        <f t="shared" si="1433"/>
        <v>150525100</v>
      </c>
      <c r="C2134" s="1" t="str">
        <f>"1014561306"</f>
        <v>1014561306</v>
      </c>
      <c r="D2134" s="1" t="str">
        <f>"152326196309010429"</f>
        <v>152326196309010429</v>
      </c>
      <c r="E2134" s="1" t="s">
        <v>2212</v>
      </c>
      <c r="F2134" s="1" t="s">
        <v>16</v>
      </c>
      <c r="G2134" s="1" t="s">
        <v>19</v>
      </c>
      <c r="H2134" s="1" t="str">
        <f>"61"</f>
        <v>61</v>
      </c>
      <c r="I2134" s="1" t="str">
        <f>"166.93"</f>
        <v>166.93</v>
      </c>
      <c r="J2134" s="1" t="str">
        <f t="shared" si="1434"/>
        <v>0</v>
      </c>
      <c r="K2134" s="1" t="str">
        <f t="shared" si="1435"/>
        <v>103</v>
      </c>
      <c r="L2134" s="1" t="str">
        <f t="shared" si="1436"/>
        <v>47</v>
      </c>
      <c r="M2134" s="1" t="str">
        <f t="shared" si="1430"/>
        <v>0</v>
      </c>
      <c r="N2134" s="1" t="str">
        <f t="shared" si="1431"/>
        <v>0</v>
      </c>
      <c r="O2134" s="1" t="str">
        <f>"16.93"</f>
        <v>16.93</v>
      </c>
    </row>
    <row r="2135" s="1" customFormat="1" spans="1:15">
      <c r="A2135" s="1" t="str">
        <f t="shared" si="1432"/>
        <v>202406</v>
      </c>
      <c r="B2135" s="1" t="str">
        <f t="shared" si="1433"/>
        <v>150525100</v>
      </c>
      <c r="C2135" s="1" t="str">
        <f>"1014562560"</f>
        <v>1014562560</v>
      </c>
      <c r="D2135" s="1" t="s">
        <v>2213</v>
      </c>
      <c r="E2135" s="1" t="s">
        <v>2214</v>
      </c>
      <c r="F2135" s="1" t="s">
        <v>16</v>
      </c>
      <c r="G2135" s="1" t="s">
        <v>17</v>
      </c>
      <c r="H2135" s="1" t="str">
        <f>"71"</f>
        <v>71</v>
      </c>
      <c r="I2135" s="1" t="str">
        <f>"163.18"</f>
        <v>163.18</v>
      </c>
      <c r="J2135" s="1" t="str">
        <f t="shared" si="1434"/>
        <v>0</v>
      </c>
      <c r="K2135" s="1" t="str">
        <f t="shared" si="1435"/>
        <v>103</v>
      </c>
      <c r="L2135" s="1" t="str">
        <f t="shared" si="1436"/>
        <v>47</v>
      </c>
      <c r="M2135" s="1" t="str">
        <f t="shared" si="1430"/>
        <v>0</v>
      </c>
      <c r="N2135" s="1" t="str">
        <f t="shared" si="1431"/>
        <v>0</v>
      </c>
      <c r="O2135" s="1" t="str">
        <f>"3.18"</f>
        <v>3.18</v>
      </c>
    </row>
    <row r="2136" s="1" customFormat="1" spans="1:15">
      <c r="A2136" s="1" t="str">
        <f t="shared" si="1432"/>
        <v>202406</v>
      </c>
      <c r="B2136" s="1" t="str">
        <f t="shared" si="1433"/>
        <v>150525100</v>
      </c>
      <c r="C2136" s="1" t="str">
        <f>"1014563070"</f>
        <v>1014563070</v>
      </c>
      <c r="D2136" s="1" t="str">
        <f>"152326195811060419"</f>
        <v>152326195811060419</v>
      </c>
      <c r="E2136" s="1" t="s">
        <v>2215</v>
      </c>
      <c r="F2136" s="1" t="s">
        <v>25</v>
      </c>
      <c r="G2136" s="1" t="s">
        <v>17</v>
      </c>
      <c r="H2136" s="1" t="str">
        <f>"66"</f>
        <v>66</v>
      </c>
      <c r="I2136" s="1" t="str">
        <f>"157.17"</f>
        <v>157.17</v>
      </c>
      <c r="J2136" s="1" t="str">
        <f t="shared" si="1434"/>
        <v>0</v>
      </c>
      <c r="K2136" s="1" t="str">
        <f t="shared" si="1435"/>
        <v>103</v>
      </c>
      <c r="L2136" s="1" t="str">
        <f t="shared" si="1436"/>
        <v>47</v>
      </c>
      <c r="M2136" s="1" t="str">
        <f t="shared" si="1430"/>
        <v>0</v>
      </c>
      <c r="N2136" s="1" t="str">
        <f t="shared" si="1431"/>
        <v>0</v>
      </c>
      <c r="O2136" s="1" t="str">
        <f>"7.17"</f>
        <v>7.17</v>
      </c>
    </row>
    <row r="2137" s="1" customFormat="1" spans="1:15">
      <c r="A2137" s="1" t="str">
        <f t="shared" si="1432"/>
        <v>202406</v>
      </c>
      <c r="B2137" s="1" t="str">
        <f t="shared" si="1433"/>
        <v>150525100</v>
      </c>
      <c r="C2137" s="1" t="str">
        <f>"1014563073"</f>
        <v>1014563073</v>
      </c>
      <c r="D2137" s="1" t="str">
        <f>"152326195707270432"</f>
        <v>152326195707270432</v>
      </c>
      <c r="E2137" s="1" t="s">
        <v>2216</v>
      </c>
      <c r="F2137" s="1" t="s">
        <v>25</v>
      </c>
      <c r="G2137" s="1" t="s">
        <v>17</v>
      </c>
      <c r="H2137" s="1" t="str">
        <f>"67"</f>
        <v>67</v>
      </c>
      <c r="I2137" s="1" t="str">
        <f>"156.1"</f>
        <v>156.1</v>
      </c>
      <c r="J2137" s="1" t="str">
        <f t="shared" si="1434"/>
        <v>0</v>
      </c>
      <c r="K2137" s="1" t="str">
        <f t="shared" si="1435"/>
        <v>103</v>
      </c>
      <c r="L2137" s="1" t="str">
        <f t="shared" si="1436"/>
        <v>47</v>
      </c>
      <c r="M2137" s="1" t="str">
        <f t="shared" si="1430"/>
        <v>0</v>
      </c>
      <c r="N2137" s="1" t="str">
        <f t="shared" si="1431"/>
        <v>0</v>
      </c>
      <c r="O2137" s="1" t="str">
        <f>"6.1"</f>
        <v>6.1</v>
      </c>
    </row>
    <row r="2138" s="1" customFormat="1" spans="1:15">
      <c r="A2138" s="1" t="str">
        <f t="shared" si="1432"/>
        <v>202406</v>
      </c>
      <c r="B2138" s="1" t="str">
        <f t="shared" si="1433"/>
        <v>150525100</v>
      </c>
      <c r="C2138" s="1" t="str">
        <f>"1014569866"</f>
        <v>1014569866</v>
      </c>
      <c r="D2138" s="1" t="str">
        <f>"152326195306230448"</f>
        <v>152326195306230448</v>
      </c>
      <c r="E2138" s="1" t="s">
        <v>2217</v>
      </c>
      <c r="F2138" s="1" t="s">
        <v>16</v>
      </c>
      <c r="G2138" s="1" t="s">
        <v>96</v>
      </c>
      <c r="H2138" s="1" t="str">
        <f>"71"</f>
        <v>71</v>
      </c>
      <c r="I2138" s="1" t="str">
        <f>"163.16"</f>
        <v>163.16</v>
      </c>
      <c r="J2138" s="1" t="str">
        <f t="shared" si="1434"/>
        <v>0</v>
      </c>
      <c r="K2138" s="1" t="str">
        <f t="shared" si="1435"/>
        <v>103</v>
      </c>
      <c r="L2138" s="1" t="str">
        <f t="shared" si="1436"/>
        <v>47</v>
      </c>
      <c r="M2138" s="1" t="str">
        <f t="shared" si="1430"/>
        <v>0</v>
      </c>
      <c r="N2138" s="1" t="str">
        <f t="shared" si="1431"/>
        <v>0</v>
      </c>
      <c r="O2138" s="1" t="str">
        <f>"3.16"</f>
        <v>3.16</v>
      </c>
    </row>
    <row r="2139" s="1" customFormat="1" spans="1:15">
      <c r="A2139" s="1" t="str">
        <f t="shared" si="1432"/>
        <v>202406</v>
      </c>
      <c r="B2139" s="1" t="str">
        <f t="shared" si="1433"/>
        <v>150525100</v>
      </c>
      <c r="C2139" s="1" t="str">
        <f>"1014569868"</f>
        <v>1014569868</v>
      </c>
      <c r="D2139" s="1" t="str">
        <f>"152326196007020429"</f>
        <v>152326196007020429</v>
      </c>
      <c r="E2139" s="1" t="s">
        <v>2218</v>
      </c>
      <c r="F2139" s="1" t="s">
        <v>16</v>
      </c>
      <c r="G2139" s="1" t="s">
        <v>96</v>
      </c>
      <c r="H2139" s="1" t="str">
        <f>"64"</f>
        <v>64</v>
      </c>
      <c r="I2139" s="1" t="str">
        <f>"159.23"</f>
        <v>159.23</v>
      </c>
      <c r="J2139" s="1" t="str">
        <f t="shared" si="1434"/>
        <v>0</v>
      </c>
      <c r="K2139" s="1" t="str">
        <f t="shared" si="1435"/>
        <v>103</v>
      </c>
      <c r="L2139" s="1" t="str">
        <f t="shared" si="1436"/>
        <v>47</v>
      </c>
      <c r="M2139" s="1" t="str">
        <f t="shared" si="1430"/>
        <v>0</v>
      </c>
      <c r="N2139" s="1" t="str">
        <f t="shared" si="1431"/>
        <v>0</v>
      </c>
      <c r="O2139" s="1" t="str">
        <f>"9.23"</f>
        <v>9.23</v>
      </c>
    </row>
    <row r="2140" s="1" customFormat="1" spans="1:15">
      <c r="A2140" s="1" t="str">
        <f t="shared" si="1432"/>
        <v>202406</v>
      </c>
      <c r="B2140" s="1" t="str">
        <f t="shared" si="1433"/>
        <v>150525100</v>
      </c>
      <c r="C2140" s="1" t="str">
        <f>"1014569869"</f>
        <v>1014569869</v>
      </c>
      <c r="D2140" s="1" t="s">
        <v>2219</v>
      </c>
      <c r="E2140" s="1" t="s">
        <v>1951</v>
      </c>
      <c r="F2140" s="1" t="s">
        <v>25</v>
      </c>
      <c r="G2140" s="1" t="s">
        <v>17</v>
      </c>
      <c r="H2140" s="1" t="str">
        <f>"68"</f>
        <v>68</v>
      </c>
      <c r="I2140" s="1" t="str">
        <f>"156.01"</f>
        <v>156.01</v>
      </c>
      <c r="J2140" s="1" t="str">
        <f t="shared" si="1434"/>
        <v>0</v>
      </c>
      <c r="K2140" s="1" t="str">
        <f t="shared" si="1435"/>
        <v>103</v>
      </c>
      <c r="L2140" s="1" t="str">
        <f t="shared" si="1436"/>
        <v>47</v>
      </c>
      <c r="M2140" s="1" t="str">
        <f t="shared" si="1430"/>
        <v>0</v>
      </c>
      <c r="N2140" s="1" t="str">
        <f t="shared" si="1431"/>
        <v>0</v>
      </c>
      <c r="O2140" s="1" t="str">
        <f>"6.01"</f>
        <v>6.01</v>
      </c>
    </row>
    <row r="2141" s="1" customFormat="1" spans="1:15">
      <c r="A2141" s="1" t="str">
        <f t="shared" si="1432"/>
        <v>202406</v>
      </c>
      <c r="B2141" s="1" t="str">
        <f t="shared" si="1433"/>
        <v>150525100</v>
      </c>
      <c r="C2141" s="1" t="str">
        <f>"1014569874"</f>
        <v>1014569874</v>
      </c>
      <c r="D2141" s="1" t="str">
        <f>"152326195304040421"</f>
        <v>152326195304040421</v>
      </c>
      <c r="E2141" s="1" t="s">
        <v>2220</v>
      </c>
      <c r="F2141" s="1" t="s">
        <v>16</v>
      </c>
      <c r="G2141" s="1" t="s">
        <v>19</v>
      </c>
      <c r="H2141" s="1" t="str">
        <f>"71"</f>
        <v>71</v>
      </c>
      <c r="I2141" s="1" t="str">
        <f>"163.16"</f>
        <v>163.16</v>
      </c>
      <c r="J2141" s="1" t="str">
        <f t="shared" si="1434"/>
        <v>0</v>
      </c>
      <c r="K2141" s="1" t="str">
        <f t="shared" si="1435"/>
        <v>103</v>
      </c>
      <c r="L2141" s="1" t="str">
        <f t="shared" si="1436"/>
        <v>47</v>
      </c>
      <c r="M2141" s="1" t="str">
        <f t="shared" si="1430"/>
        <v>0</v>
      </c>
      <c r="N2141" s="1" t="str">
        <f t="shared" si="1431"/>
        <v>0</v>
      </c>
      <c r="O2141" s="1" t="str">
        <f>"3.16"</f>
        <v>3.16</v>
      </c>
    </row>
    <row r="2142" s="1" customFormat="1" spans="1:15">
      <c r="A2142" s="1" t="str">
        <f t="shared" si="1432"/>
        <v>202406</v>
      </c>
      <c r="B2142" s="1" t="str">
        <f t="shared" si="1433"/>
        <v>150525100</v>
      </c>
      <c r="C2142" s="1" t="str">
        <f>"1014569878"</f>
        <v>1014569878</v>
      </c>
      <c r="D2142" s="1" t="str">
        <f>"152326195512050421"</f>
        <v>152326195512050421</v>
      </c>
      <c r="E2142" s="1" t="s">
        <v>2221</v>
      </c>
      <c r="F2142" s="1" t="s">
        <v>16</v>
      </c>
      <c r="G2142" s="1" t="s">
        <v>19</v>
      </c>
      <c r="H2142" s="1" t="str">
        <f>"69"</f>
        <v>69</v>
      </c>
      <c r="I2142" s="1" t="str">
        <f>"155.1"</f>
        <v>155.1</v>
      </c>
      <c r="J2142" s="1" t="str">
        <f t="shared" si="1434"/>
        <v>0</v>
      </c>
      <c r="K2142" s="1" t="str">
        <f t="shared" si="1435"/>
        <v>103</v>
      </c>
      <c r="L2142" s="1" t="str">
        <f t="shared" si="1436"/>
        <v>47</v>
      </c>
      <c r="M2142" s="1" t="str">
        <f t="shared" si="1430"/>
        <v>0</v>
      </c>
      <c r="N2142" s="1" t="str">
        <f t="shared" si="1431"/>
        <v>0</v>
      </c>
      <c r="O2142" s="1" t="str">
        <f>"5.1"</f>
        <v>5.1</v>
      </c>
    </row>
    <row r="2143" s="1" customFormat="1" spans="1:15">
      <c r="A2143" s="1" t="str">
        <f t="shared" si="1432"/>
        <v>202406</v>
      </c>
      <c r="B2143" s="1" t="str">
        <f t="shared" si="1433"/>
        <v>150525100</v>
      </c>
      <c r="C2143" s="1" t="str">
        <f>"1014583780"</f>
        <v>1014583780</v>
      </c>
      <c r="D2143" s="1" t="str">
        <f>"152326195611200448"</f>
        <v>152326195611200448</v>
      </c>
      <c r="E2143" s="1" t="s">
        <v>2222</v>
      </c>
      <c r="F2143" s="1" t="s">
        <v>16</v>
      </c>
      <c r="G2143" s="1" t="s">
        <v>19</v>
      </c>
      <c r="H2143" s="1" t="str">
        <f>"68"</f>
        <v>68</v>
      </c>
      <c r="I2143" s="1" t="str">
        <f>"155.75"</f>
        <v>155.75</v>
      </c>
      <c r="J2143" s="1" t="str">
        <f t="shared" si="1434"/>
        <v>0</v>
      </c>
      <c r="K2143" s="1" t="str">
        <f t="shared" si="1435"/>
        <v>103</v>
      </c>
      <c r="L2143" s="1" t="str">
        <f t="shared" si="1436"/>
        <v>47</v>
      </c>
      <c r="M2143" s="1" t="str">
        <f t="shared" si="1430"/>
        <v>0</v>
      </c>
      <c r="N2143" s="1" t="str">
        <f t="shared" si="1431"/>
        <v>0</v>
      </c>
      <c r="O2143" s="1" t="str">
        <f>"5.75"</f>
        <v>5.75</v>
      </c>
    </row>
    <row r="2144" s="1" customFormat="1" spans="1:15">
      <c r="A2144" s="1" t="str">
        <f t="shared" si="1432"/>
        <v>202406</v>
      </c>
      <c r="B2144" s="1" t="str">
        <f t="shared" si="1433"/>
        <v>150525100</v>
      </c>
      <c r="C2144" s="1" t="str">
        <f>"1014585207"</f>
        <v>1014585207</v>
      </c>
      <c r="D2144" s="1" t="str">
        <f>"152326196208290679"</f>
        <v>152326196208290679</v>
      </c>
      <c r="E2144" s="1" t="s">
        <v>2223</v>
      </c>
      <c r="F2144" s="1" t="s">
        <v>25</v>
      </c>
      <c r="G2144" s="1" t="s">
        <v>17</v>
      </c>
      <c r="H2144" s="1" t="str">
        <f t="shared" ref="H2144:H2148" si="1439">"62"</f>
        <v>62</v>
      </c>
      <c r="I2144" s="1" t="str">
        <f>"164.64"</f>
        <v>164.64</v>
      </c>
      <c r="J2144" s="1" t="str">
        <f t="shared" si="1434"/>
        <v>0</v>
      </c>
      <c r="K2144" s="1" t="str">
        <f t="shared" si="1435"/>
        <v>103</v>
      </c>
      <c r="L2144" s="1" t="str">
        <f t="shared" si="1436"/>
        <v>47</v>
      </c>
      <c r="M2144" s="1" t="str">
        <f t="shared" si="1430"/>
        <v>0</v>
      </c>
      <c r="N2144" s="1" t="str">
        <f t="shared" si="1431"/>
        <v>0</v>
      </c>
      <c r="O2144" s="1" t="str">
        <f>"14.64"</f>
        <v>14.64</v>
      </c>
    </row>
    <row r="2145" s="1" customFormat="1" spans="1:15">
      <c r="A2145" s="1" t="str">
        <f t="shared" si="1432"/>
        <v>202406</v>
      </c>
      <c r="B2145" s="1" t="str">
        <f t="shared" si="1433"/>
        <v>150525100</v>
      </c>
      <c r="C2145" s="1" t="str">
        <f>"1014562583"</f>
        <v>1014562583</v>
      </c>
      <c r="D2145" s="1" t="str">
        <f>"152326196211240429"</f>
        <v>152326196211240429</v>
      </c>
      <c r="E2145" s="1" t="s">
        <v>2224</v>
      </c>
      <c r="F2145" s="1" t="s">
        <v>16</v>
      </c>
      <c r="G2145" s="1" t="s">
        <v>19</v>
      </c>
      <c r="H2145" s="1" t="str">
        <f t="shared" si="1439"/>
        <v>62</v>
      </c>
      <c r="I2145" s="1" t="str">
        <f>"163.21"</f>
        <v>163.21</v>
      </c>
      <c r="J2145" s="1" t="str">
        <f t="shared" si="1434"/>
        <v>0</v>
      </c>
      <c r="K2145" s="1" t="str">
        <f t="shared" si="1435"/>
        <v>103</v>
      </c>
      <c r="L2145" s="1" t="str">
        <f t="shared" si="1436"/>
        <v>47</v>
      </c>
      <c r="M2145" s="1" t="str">
        <f t="shared" si="1430"/>
        <v>0</v>
      </c>
      <c r="N2145" s="1" t="str">
        <f t="shared" si="1431"/>
        <v>0</v>
      </c>
      <c r="O2145" s="1" t="str">
        <f>"13.21"</f>
        <v>13.21</v>
      </c>
    </row>
    <row r="2146" s="1" customFormat="1" spans="1:15">
      <c r="A2146" s="1" t="str">
        <f t="shared" si="1432"/>
        <v>202406</v>
      </c>
      <c r="B2146" s="1" t="str">
        <f t="shared" si="1433"/>
        <v>150525100</v>
      </c>
      <c r="C2146" s="1" t="str">
        <f>"1014562602"</f>
        <v>1014562602</v>
      </c>
      <c r="D2146" s="1" t="s">
        <v>2225</v>
      </c>
      <c r="E2146" s="1" t="s">
        <v>2226</v>
      </c>
      <c r="F2146" s="1" t="s">
        <v>16</v>
      </c>
      <c r="G2146" s="1" t="s">
        <v>19</v>
      </c>
      <c r="H2146" s="1" t="str">
        <f>"68"</f>
        <v>68</v>
      </c>
      <c r="I2146" s="1" t="str">
        <f>"156.03"</f>
        <v>156.03</v>
      </c>
      <c r="J2146" s="1" t="str">
        <f t="shared" si="1434"/>
        <v>0</v>
      </c>
      <c r="K2146" s="1" t="str">
        <f t="shared" si="1435"/>
        <v>103</v>
      </c>
      <c r="L2146" s="1" t="str">
        <f t="shared" si="1436"/>
        <v>47</v>
      </c>
      <c r="M2146" s="1" t="str">
        <f t="shared" si="1430"/>
        <v>0</v>
      </c>
      <c r="N2146" s="1" t="str">
        <f t="shared" si="1431"/>
        <v>0</v>
      </c>
      <c r="O2146" s="1" t="str">
        <f>"6.03"</f>
        <v>6.03</v>
      </c>
    </row>
    <row r="2147" s="1" customFormat="1" spans="1:15">
      <c r="A2147" s="1" t="str">
        <f t="shared" si="1432"/>
        <v>202406</v>
      </c>
      <c r="B2147" s="1" t="str">
        <f t="shared" si="1433"/>
        <v>150525100</v>
      </c>
      <c r="C2147" s="1" t="str">
        <f>"1014563086"</f>
        <v>1014563086</v>
      </c>
      <c r="D2147" s="1" t="str">
        <f>"152326196306020410"</f>
        <v>152326196306020410</v>
      </c>
      <c r="E2147" s="1" t="s">
        <v>2227</v>
      </c>
      <c r="F2147" s="1" t="s">
        <v>25</v>
      </c>
      <c r="G2147" s="1" t="s">
        <v>17</v>
      </c>
      <c r="H2147" s="1" t="str">
        <f>"61"</f>
        <v>61</v>
      </c>
      <c r="I2147" s="1" t="str">
        <f>"165.03"</f>
        <v>165.03</v>
      </c>
      <c r="J2147" s="1" t="str">
        <f t="shared" si="1434"/>
        <v>0</v>
      </c>
      <c r="K2147" s="1" t="str">
        <f t="shared" si="1435"/>
        <v>103</v>
      </c>
      <c r="L2147" s="1" t="str">
        <f t="shared" si="1436"/>
        <v>47</v>
      </c>
      <c r="M2147" s="1" t="str">
        <f t="shared" si="1430"/>
        <v>0</v>
      </c>
      <c r="N2147" s="1" t="str">
        <f t="shared" si="1431"/>
        <v>0</v>
      </c>
      <c r="O2147" s="1" t="str">
        <f>"15.03"</f>
        <v>15.03</v>
      </c>
    </row>
    <row r="2148" s="1" customFormat="1" spans="1:15">
      <c r="A2148" s="1" t="str">
        <f t="shared" si="1432"/>
        <v>202406</v>
      </c>
      <c r="B2148" s="1" t="str">
        <f t="shared" si="1433"/>
        <v>150525100</v>
      </c>
      <c r="C2148" s="1" t="str">
        <f>"1014563089"</f>
        <v>1014563089</v>
      </c>
      <c r="D2148" s="1" t="str">
        <f>"152326196205030417"</f>
        <v>152326196205030417</v>
      </c>
      <c r="E2148" s="1" t="s">
        <v>2228</v>
      </c>
      <c r="F2148" s="1" t="s">
        <v>25</v>
      </c>
      <c r="G2148" s="1" t="s">
        <v>17</v>
      </c>
      <c r="H2148" s="1" t="str">
        <f t="shared" si="1439"/>
        <v>62</v>
      </c>
      <c r="I2148" s="1" t="str">
        <f>"163.24"</f>
        <v>163.24</v>
      </c>
      <c r="J2148" s="1" t="str">
        <f t="shared" si="1434"/>
        <v>0</v>
      </c>
      <c r="K2148" s="1" t="str">
        <f t="shared" si="1435"/>
        <v>103</v>
      </c>
      <c r="L2148" s="1" t="str">
        <f t="shared" si="1436"/>
        <v>47</v>
      </c>
      <c r="M2148" s="1" t="str">
        <f t="shared" si="1430"/>
        <v>0</v>
      </c>
      <c r="N2148" s="1" t="str">
        <f t="shared" si="1431"/>
        <v>0</v>
      </c>
      <c r="O2148" s="1" t="str">
        <f>"13.24"</f>
        <v>13.24</v>
      </c>
    </row>
    <row r="2149" s="1" customFormat="1" spans="1:15">
      <c r="A2149" s="1" t="str">
        <f t="shared" si="1432"/>
        <v>202406</v>
      </c>
      <c r="B2149" s="1" t="str">
        <f t="shared" si="1433"/>
        <v>150525100</v>
      </c>
      <c r="C2149" s="1" t="str">
        <f>"1014563102"</f>
        <v>1014563102</v>
      </c>
      <c r="D2149" s="1" t="str">
        <f>"152326195707060427"</f>
        <v>152326195707060427</v>
      </c>
      <c r="E2149" s="1" t="s">
        <v>2229</v>
      </c>
      <c r="F2149" s="1" t="s">
        <v>16</v>
      </c>
      <c r="G2149" s="1" t="s">
        <v>17</v>
      </c>
      <c r="H2149" s="1" t="str">
        <f>"67"</f>
        <v>67</v>
      </c>
      <c r="I2149" s="1" t="str">
        <f>"156.1"</f>
        <v>156.1</v>
      </c>
      <c r="J2149" s="1" t="str">
        <f t="shared" si="1434"/>
        <v>0</v>
      </c>
      <c r="K2149" s="1" t="str">
        <f t="shared" si="1435"/>
        <v>103</v>
      </c>
      <c r="L2149" s="1" t="str">
        <f t="shared" si="1436"/>
        <v>47</v>
      </c>
      <c r="M2149" s="1" t="str">
        <f t="shared" si="1430"/>
        <v>0</v>
      </c>
      <c r="N2149" s="1" t="str">
        <f t="shared" si="1431"/>
        <v>0</v>
      </c>
      <c r="O2149" s="1" t="str">
        <f>"6.1"</f>
        <v>6.1</v>
      </c>
    </row>
    <row r="2150" s="1" customFormat="1" spans="1:15">
      <c r="A2150" s="1" t="str">
        <f t="shared" si="1432"/>
        <v>202406</v>
      </c>
      <c r="B2150" s="1" t="str">
        <f t="shared" si="1433"/>
        <v>150525100</v>
      </c>
      <c r="C2150" s="1" t="str">
        <f>"1014563463"</f>
        <v>1014563463</v>
      </c>
      <c r="D2150" s="1" t="str">
        <f>"152326196211270433"</f>
        <v>152326196211270433</v>
      </c>
      <c r="E2150" s="1" t="s">
        <v>2230</v>
      </c>
      <c r="F2150" s="1" t="s">
        <v>25</v>
      </c>
      <c r="G2150" s="1" t="s">
        <v>17</v>
      </c>
      <c r="H2150" s="1" t="str">
        <f>"62"</f>
        <v>62</v>
      </c>
      <c r="I2150" s="1" t="str">
        <f>"163.2"</f>
        <v>163.2</v>
      </c>
      <c r="J2150" s="1" t="str">
        <f t="shared" si="1434"/>
        <v>0</v>
      </c>
      <c r="K2150" s="1" t="str">
        <f t="shared" si="1435"/>
        <v>103</v>
      </c>
      <c r="L2150" s="1" t="str">
        <f t="shared" si="1436"/>
        <v>47</v>
      </c>
      <c r="M2150" s="1" t="str">
        <f t="shared" si="1430"/>
        <v>0</v>
      </c>
      <c r="N2150" s="1" t="str">
        <f t="shared" si="1431"/>
        <v>0</v>
      </c>
      <c r="O2150" s="1" t="str">
        <f>"13.2"</f>
        <v>13.2</v>
      </c>
    </row>
    <row r="2151" s="1" customFormat="1" spans="1:15">
      <c r="A2151" s="1" t="str">
        <f t="shared" si="1432"/>
        <v>202406</v>
      </c>
      <c r="B2151" s="1" t="str">
        <f t="shared" si="1433"/>
        <v>150525100</v>
      </c>
      <c r="C2151" s="1" t="str">
        <f>"1014569886"</f>
        <v>1014569886</v>
      </c>
      <c r="D2151" s="1" t="str">
        <f>"152326196208050421"</f>
        <v>152326196208050421</v>
      </c>
      <c r="E2151" s="1" t="s">
        <v>2231</v>
      </c>
      <c r="F2151" s="1" t="s">
        <v>16</v>
      </c>
      <c r="G2151" s="1" t="s">
        <v>17</v>
      </c>
      <c r="H2151" s="1" t="str">
        <f>"62"</f>
        <v>62</v>
      </c>
      <c r="I2151" s="1" t="str">
        <f>"162.91"</f>
        <v>162.91</v>
      </c>
      <c r="J2151" s="1" t="str">
        <f t="shared" si="1434"/>
        <v>0</v>
      </c>
      <c r="K2151" s="1" t="str">
        <f t="shared" si="1435"/>
        <v>103</v>
      </c>
      <c r="L2151" s="1" t="str">
        <f t="shared" si="1436"/>
        <v>47</v>
      </c>
      <c r="M2151" s="1" t="str">
        <f t="shared" si="1430"/>
        <v>0</v>
      </c>
      <c r="N2151" s="1" t="str">
        <f t="shared" si="1431"/>
        <v>0</v>
      </c>
      <c r="O2151" s="1" t="str">
        <f>"12.91"</f>
        <v>12.91</v>
      </c>
    </row>
    <row r="2152" s="1" customFormat="1" spans="1:15">
      <c r="A2152" s="1" t="str">
        <f t="shared" si="1432"/>
        <v>202406</v>
      </c>
      <c r="B2152" s="1" t="str">
        <f t="shared" si="1433"/>
        <v>150525100</v>
      </c>
      <c r="C2152" s="1" t="str">
        <f>"1014584116"</f>
        <v>1014584116</v>
      </c>
      <c r="D2152" s="1" t="str">
        <f>"152326195811190459"</f>
        <v>152326195811190459</v>
      </c>
      <c r="E2152" s="1" t="s">
        <v>2232</v>
      </c>
      <c r="F2152" s="1" t="s">
        <v>25</v>
      </c>
      <c r="G2152" s="1" t="s">
        <v>17</v>
      </c>
      <c r="H2152" s="1" t="str">
        <f t="shared" ref="H2152:H2155" si="1440">"66"</f>
        <v>66</v>
      </c>
      <c r="I2152" s="1" t="str">
        <f>"157.14"</f>
        <v>157.14</v>
      </c>
      <c r="J2152" s="1" t="str">
        <f t="shared" si="1434"/>
        <v>0</v>
      </c>
      <c r="K2152" s="1" t="str">
        <f t="shared" si="1435"/>
        <v>103</v>
      </c>
      <c r="L2152" s="1" t="str">
        <f t="shared" si="1436"/>
        <v>47</v>
      </c>
      <c r="M2152" s="1" t="str">
        <f t="shared" si="1430"/>
        <v>0</v>
      </c>
      <c r="N2152" s="1" t="str">
        <f t="shared" si="1431"/>
        <v>0</v>
      </c>
      <c r="O2152" s="1" t="str">
        <f>"7.14"</f>
        <v>7.14</v>
      </c>
    </row>
    <row r="2153" s="1" customFormat="1" spans="1:15">
      <c r="A2153" s="1" t="str">
        <f t="shared" si="1432"/>
        <v>202406</v>
      </c>
      <c r="B2153" s="1" t="str">
        <f t="shared" si="1433"/>
        <v>150525100</v>
      </c>
      <c r="C2153" s="1" t="str">
        <f>"1014584117"</f>
        <v>1014584117</v>
      </c>
      <c r="D2153" s="1" t="str">
        <f>"152326195811200426"</f>
        <v>152326195811200426</v>
      </c>
      <c r="E2153" s="1" t="s">
        <v>2233</v>
      </c>
      <c r="F2153" s="1" t="s">
        <v>16</v>
      </c>
      <c r="G2153" s="1" t="s">
        <v>17</v>
      </c>
      <c r="H2153" s="1" t="str">
        <f t="shared" si="1440"/>
        <v>66</v>
      </c>
      <c r="I2153" s="1" t="str">
        <f>"157.14"</f>
        <v>157.14</v>
      </c>
      <c r="J2153" s="1" t="str">
        <f t="shared" si="1434"/>
        <v>0</v>
      </c>
      <c r="K2153" s="1" t="str">
        <f t="shared" si="1435"/>
        <v>103</v>
      </c>
      <c r="L2153" s="1" t="str">
        <f t="shared" si="1436"/>
        <v>47</v>
      </c>
      <c r="M2153" s="1" t="str">
        <f t="shared" si="1430"/>
        <v>0</v>
      </c>
      <c r="N2153" s="1" t="str">
        <f t="shared" si="1431"/>
        <v>0</v>
      </c>
      <c r="O2153" s="1" t="str">
        <f>"7.14"</f>
        <v>7.14</v>
      </c>
    </row>
    <row r="2154" s="1" customFormat="1" spans="1:15">
      <c r="A2154" s="1" t="str">
        <f t="shared" si="1432"/>
        <v>202406</v>
      </c>
      <c r="B2154" s="1" t="str">
        <f t="shared" si="1433"/>
        <v>150525100</v>
      </c>
      <c r="C2154" s="1" t="str">
        <f>"1014549660"</f>
        <v>1014549660</v>
      </c>
      <c r="D2154" s="1" t="s">
        <v>2234</v>
      </c>
      <c r="E2154" s="1" t="s">
        <v>2235</v>
      </c>
      <c r="F2154" s="1" t="s">
        <v>16</v>
      </c>
      <c r="G2154" s="1" t="s">
        <v>17</v>
      </c>
      <c r="H2154" s="1" t="str">
        <f t="shared" si="1440"/>
        <v>66</v>
      </c>
      <c r="I2154" s="1" t="str">
        <f>"157.09"</f>
        <v>157.09</v>
      </c>
      <c r="J2154" s="1" t="str">
        <f t="shared" si="1434"/>
        <v>0</v>
      </c>
      <c r="K2154" s="1" t="str">
        <f t="shared" si="1435"/>
        <v>103</v>
      </c>
      <c r="L2154" s="1" t="str">
        <f t="shared" si="1436"/>
        <v>47</v>
      </c>
      <c r="M2154" s="1" t="str">
        <f t="shared" si="1430"/>
        <v>0</v>
      </c>
      <c r="N2154" s="1" t="str">
        <f t="shared" si="1431"/>
        <v>0</v>
      </c>
      <c r="O2154" s="1" t="str">
        <f>"7.09"</f>
        <v>7.09</v>
      </c>
    </row>
    <row r="2155" s="1" customFormat="1" spans="1:15">
      <c r="A2155" s="1" t="str">
        <f t="shared" si="1432"/>
        <v>202406</v>
      </c>
      <c r="B2155" s="1" t="str">
        <f t="shared" si="1433"/>
        <v>150525100</v>
      </c>
      <c r="C2155" s="1" t="str">
        <f>"1014549663"</f>
        <v>1014549663</v>
      </c>
      <c r="D2155" s="1" t="s">
        <v>2236</v>
      </c>
      <c r="E2155" s="1" t="s">
        <v>2237</v>
      </c>
      <c r="F2155" s="1" t="s">
        <v>16</v>
      </c>
      <c r="G2155" s="1" t="s">
        <v>17</v>
      </c>
      <c r="H2155" s="1" t="str">
        <f t="shared" si="1440"/>
        <v>66</v>
      </c>
      <c r="I2155" s="1" t="str">
        <f>"156.92"</f>
        <v>156.92</v>
      </c>
      <c r="J2155" s="1" t="str">
        <f t="shared" si="1434"/>
        <v>0</v>
      </c>
      <c r="K2155" s="1" t="str">
        <f t="shared" si="1435"/>
        <v>103</v>
      </c>
      <c r="L2155" s="1" t="str">
        <f t="shared" si="1436"/>
        <v>47</v>
      </c>
      <c r="M2155" s="1" t="str">
        <f t="shared" si="1430"/>
        <v>0</v>
      </c>
      <c r="N2155" s="1" t="str">
        <f t="shared" si="1431"/>
        <v>0</v>
      </c>
      <c r="O2155" s="1" t="str">
        <f>"6.92"</f>
        <v>6.92</v>
      </c>
    </row>
    <row r="2156" s="1" customFormat="1" spans="1:15">
      <c r="A2156" s="1" t="str">
        <f t="shared" si="1432"/>
        <v>202406</v>
      </c>
      <c r="B2156" s="1" t="str">
        <f t="shared" si="1433"/>
        <v>150525100</v>
      </c>
      <c r="C2156" s="1" t="str">
        <f>"1014550192"</f>
        <v>1014550192</v>
      </c>
      <c r="D2156" s="1" t="str">
        <f>"152326195710260665"</f>
        <v>152326195710260665</v>
      </c>
      <c r="E2156" s="1" t="s">
        <v>2238</v>
      </c>
      <c r="F2156" s="1" t="s">
        <v>16</v>
      </c>
      <c r="G2156" s="1" t="s">
        <v>96</v>
      </c>
      <c r="H2156" s="1" t="str">
        <f t="shared" ref="H2156:H2158" si="1441">"67"</f>
        <v>67</v>
      </c>
      <c r="I2156" s="1" t="str">
        <f>"156.11"</f>
        <v>156.11</v>
      </c>
      <c r="J2156" s="1" t="str">
        <f t="shared" si="1434"/>
        <v>0</v>
      </c>
      <c r="K2156" s="1" t="str">
        <f t="shared" si="1435"/>
        <v>103</v>
      </c>
      <c r="L2156" s="1" t="str">
        <f t="shared" si="1436"/>
        <v>47</v>
      </c>
      <c r="M2156" s="1" t="str">
        <f t="shared" si="1430"/>
        <v>0</v>
      </c>
      <c r="N2156" s="1" t="str">
        <f t="shared" si="1431"/>
        <v>0</v>
      </c>
      <c r="O2156" s="1" t="str">
        <f>"6.11"</f>
        <v>6.11</v>
      </c>
    </row>
    <row r="2157" s="1" customFormat="1" spans="1:15">
      <c r="A2157" s="1" t="str">
        <f t="shared" si="1432"/>
        <v>202406</v>
      </c>
      <c r="B2157" s="1" t="str">
        <f t="shared" si="1433"/>
        <v>150525100</v>
      </c>
      <c r="C2157" s="1" t="str">
        <f>"1014550195"</f>
        <v>1014550195</v>
      </c>
      <c r="D2157" s="1" t="str">
        <f>"152326195712160086"</f>
        <v>152326195712160086</v>
      </c>
      <c r="E2157" s="1" t="s">
        <v>2239</v>
      </c>
      <c r="F2157" s="1" t="s">
        <v>16</v>
      </c>
      <c r="G2157" s="1" t="s">
        <v>17</v>
      </c>
      <c r="H2157" s="1" t="str">
        <f t="shared" si="1441"/>
        <v>67</v>
      </c>
      <c r="I2157" s="1" t="str">
        <f>"156.12"</f>
        <v>156.12</v>
      </c>
      <c r="J2157" s="1" t="str">
        <f t="shared" si="1434"/>
        <v>0</v>
      </c>
      <c r="K2157" s="1" t="str">
        <f t="shared" si="1435"/>
        <v>103</v>
      </c>
      <c r="L2157" s="1" t="str">
        <f t="shared" si="1436"/>
        <v>47</v>
      </c>
      <c r="M2157" s="1" t="str">
        <f t="shared" si="1430"/>
        <v>0</v>
      </c>
      <c r="N2157" s="1" t="str">
        <f t="shared" si="1431"/>
        <v>0</v>
      </c>
      <c r="O2157" s="1" t="str">
        <f>"6.12"</f>
        <v>6.12</v>
      </c>
    </row>
    <row r="2158" s="1" customFormat="1" spans="1:15">
      <c r="A2158" s="1" t="str">
        <f t="shared" si="1432"/>
        <v>202406</v>
      </c>
      <c r="B2158" s="1" t="str">
        <f t="shared" si="1433"/>
        <v>150525100</v>
      </c>
      <c r="C2158" s="1" t="str">
        <f>"1014550198"</f>
        <v>1014550198</v>
      </c>
      <c r="D2158" s="1" t="str">
        <f>"152326195712230670"</f>
        <v>152326195712230670</v>
      </c>
      <c r="E2158" s="1" t="s">
        <v>2240</v>
      </c>
      <c r="F2158" s="1" t="s">
        <v>25</v>
      </c>
      <c r="G2158" s="1" t="s">
        <v>17</v>
      </c>
      <c r="H2158" s="1" t="str">
        <f t="shared" si="1441"/>
        <v>67</v>
      </c>
      <c r="I2158" s="1" t="str">
        <f>"156.12"</f>
        <v>156.12</v>
      </c>
      <c r="J2158" s="1" t="str">
        <f t="shared" si="1434"/>
        <v>0</v>
      </c>
      <c r="K2158" s="1" t="str">
        <f t="shared" si="1435"/>
        <v>103</v>
      </c>
      <c r="L2158" s="1" t="str">
        <f t="shared" si="1436"/>
        <v>47</v>
      </c>
      <c r="M2158" s="1" t="str">
        <f t="shared" si="1430"/>
        <v>0</v>
      </c>
      <c r="N2158" s="1" t="str">
        <f t="shared" si="1431"/>
        <v>0</v>
      </c>
      <c r="O2158" s="1" t="str">
        <f>"6.12"</f>
        <v>6.12</v>
      </c>
    </row>
    <row r="2159" s="1" customFormat="1" spans="1:15">
      <c r="A2159" s="1" t="str">
        <f t="shared" si="1432"/>
        <v>202406</v>
      </c>
      <c r="B2159" s="1" t="str">
        <f t="shared" si="1433"/>
        <v>150525100</v>
      </c>
      <c r="C2159" s="1" t="str">
        <f>"1014550199"</f>
        <v>1014550199</v>
      </c>
      <c r="D2159" s="1" t="str">
        <f>"152326195801183810"</f>
        <v>152326195801183810</v>
      </c>
      <c r="E2159" s="1" t="s">
        <v>2241</v>
      </c>
      <c r="F2159" s="1" t="s">
        <v>25</v>
      </c>
      <c r="G2159" s="1" t="s">
        <v>19</v>
      </c>
      <c r="H2159" s="1" t="str">
        <f>"66"</f>
        <v>66</v>
      </c>
      <c r="I2159" s="1" t="str">
        <f>"157.06"</f>
        <v>157.06</v>
      </c>
      <c r="J2159" s="1" t="str">
        <f t="shared" si="1434"/>
        <v>0</v>
      </c>
      <c r="K2159" s="1" t="str">
        <f t="shared" si="1435"/>
        <v>103</v>
      </c>
      <c r="L2159" s="1" t="str">
        <f t="shared" si="1436"/>
        <v>47</v>
      </c>
      <c r="M2159" s="1" t="str">
        <f t="shared" si="1430"/>
        <v>0</v>
      </c>
      <c r="N2159" s="1" t="str">
        <f t="shared" si="1431"/>
        <v>0</v>
      </c>
      <c r="O2159" s="1" t="str">
        <f>"7.06"</f>
        <v>7.06</v>
      </c>
    </row>
    <row r="2160" s="1" customFormat="1" spans="1:15">
      <c r="A2160" s="1" t="str">
        <f t="shared" si="1432"/>
        <v>202406</v>
      </c>
      <c r="B2160" s="1" t="str">
        <f t="shared" si="1433"/>
        <v>150525100</v>
      </c>
      <c r="C2160" s="1" t="str">
        <f>"1014550678"</f>
        <v>1014550678</v>
      </c>
      <c r="D2160" s="1" t="str">
        <f>"152326195306170668"</f>
        <v>152326195306170668</v>
      </c>
      <c r="E2160" s="1" t="s">
        <v>2242</v>
      </c>
      <c r="F2160" s="1" t="s">
        <v>16</v>
      </c>
      <c r="G2160" s="1" t="s">
        <v>17</v>
      </c>
      <c r="H2160" s="1" t="str">
        <f>"71"</f>
        <v>71</v>
      </c>
      <c r="I2160" s="1" t="str">
        <f>"163.16"</f>
        <v>163.16</v>
      </c>
      <c r="J2160" s="1" t="str">
        <f t="shared" si="1434"/>
        <v>0</v>
      </c>
      <c r="K2160" s="1" t="str">
        <f t="shared" si="1435"/>
        <v>103</v>
      </c>
      <c r="L2160" s="1" t="str">
        <f t="shared" si="1436"/>
        <v>47</v>
      </c>
      <c r="M2160" s="1" t="str">
        <f t="shared" si="1430"/>
        <v>0</v>
      </c>
      <c r="N2160" s="1" t="str">
        <f t="shared" si="1431"/>
        <v>0</v>
      </c>
      <c r="O2160" s="1" t="str">
        <f>"3.16"</f>
        <v>3.16</v>
      </c>
    </row>
    <row r="2161" s="1" customFormat="1" spans="1:15">
      <c r="A2161" s="1" t="str">
        <f t="shared" si="1432"/>
        <v>202406</v>
      </c>
      <c r="B2161" s="1" t="str">
        <f t="shared" si="1433"/>
        <v>150525100</v>
      </c>
      <c r="C2161" s="1" t="str">
        <f>"1040642182"</f>
        <v>1040642182</v>
      </c>
      <c r="D2161" s="1" t="str">
        <f>"152326195803033314"</f>
        <v>152326195803033314</v>
      </c>
      <c r="E2161" s="1" t="s">
        <v>2243</v>
      </c>
      <c r="F2161" s="1" t="s">
        <v>25</v>
      </c>
      <c r="G2161" s="1" t="s">
        <v>19</v>
      </c>
      <c r="H2161" s="1" t="str">
        <f>"66"</f>
        <v>66</v>
      </c>
      <c r="I2161" s="1" t="str">
        <f>"156.5"</f>
        <v>156.5</v>
      </c>
      <c r="J2161" s="1" t="str">
        <f t="shared" si="1434"/>
        <v>0</v>
      </c>
      <c r="K2161" s="1" t="str">
        <f t="shared" si="1435"/>
        <v>103</v>
      </c>
      <c r="L2161" s="1" t="str">
        <f t="shared" si="1436"/>
        <v>47</v>
      </c>
      <c r="M2161" s="1" t="str">
        <f t="shared" si="1430"/>
        <v>0</v>
      </c>
      <c r="N2161" s="1" t="str">
        <f t="shared" si="1431"/>
        <v>0</v>
      </c>
      <c r="O2161" s="1" t="str">
        <f>"6.5"</f>
        <v>6.5</v>
      </c>
    </row>
    <row r="2162" s="1" customFormat="1" spans="1:15">
      <c r="A2162" s="1" t="str">
        <f t="shared" si="1432"/>
        <v>202406</v>
      </c>
      <c r="B2162" s="1" t="str">
        <f t="shared" si="1433"/>
        <v>150525100</v>
      </c>
      <c r="C2162" s="1" t="str">
        <f>"1040642161"</f>
        <v>1040642161</v>
      </c>
      <c r="D2162" s="1" t="str">
        <f>"152326196401243321"</f>
        <v>152326196401243321</v>
      </c>
      <c r="E2162" s="1" t="s">
        <v>2244</v>
      </c>
      <c r="F2162" s="1" t="s">
        <v>16</v>
      </c>
      <c r="G2162" s="1" t="s">
        <v>19</v>
      </c>
      <c r="H2162" s="1" t="str">
        <f>"60"</f>
        <v>60</v>
      </c>
      <c r="I2162" s="1" t="str">
        <f>"168.61"</f>
        <v>168.61</v>
      </c>
      <c r="J2162" s="1" t="str">
        <f t="shared" si="1434"/>
        <v>0</v>
      </c>
      <c r="K2162" s="1" t="str">
        <f t="shared" si="1435"/>
        <v>103</v>
      </c>
      <c r="L2162" s="1" t="str">
        <f t="shared" si="1436"/>
        <v>47</v>
      </c>
      <c r="M2162" s="1" t="str">
        <f t="shared" si="1430"/>
        <v>0</v>
      </c>
      <c r="N2162" s="1" t="str">
        <f t="shared" si="1431"/>
        <v>0</v>
      </c>
      <c r="O2162" s="1" t="str">
        <f>"18.61"</f>
        <v>18.61</v>
      </c>
    </row>
    <row r="2163" s="1" customFormat="1" spans="1:15">
      <c r="A2163" s="1" t="str">
        <f t="shared" si="1432"/>
        <v>202406</v>
      </c>
      <c r="B2163" s="1" t="str">
        <f t="shared" si="1433"/>
        <v>150525100</v>
      </c>
      <c r="C2163" s="1" t="str">
        <f>"1040642165"</f>
        <v>1040642165</v>
      </c>
      <c r="D2163" s="1" t="str">
        <f>"152326195509133322"</f>
        <v>152326195509133322</v>
      </c>
      <c r="E2163" s="1" t="s">
        <v>2245</v>
      </c>
      <c r="F2163" s="1" t="s">
        <v>16</v>
      </c>
      <c r="G2163" s="1" t="s">
        <v>19</v>
      </c>
      <c r="H2163" s="1" t="str">
        <f t="shared" ref="H2163:H2166" si="1442">"69"</f>
        <v>69</v>
      </c>
      <c r="I2163" s="1" t="str">
        <f>"154.52"</f>
        <v>154.52</v>
      </c>
      <c r="J2163" s="1" t="str">
        <f t="shared" si="1434"/>
        <v>0</v>
      </c>
      <c r="K2163" s="1" t="str">
        <f t="shared" si="1435"/>
        <v>103</v>
      </c>
      <c r="L2163" s="1" t="str">
        <f t="shared" si="1436"/>
        <v>47</v>
      </c>
      <c r="M2163" s="1" t="str">
        <f t="shared" si="1430"/>
        <v>0</v>
      </c>
      <c r="N2163" s="1" t="str">
        <f t="shared" si="1431"/>
        <v>0</v>
      </c>
      <c r="O2163" s="1" t="str">
        <f>"4.52"</f>
        <v>4.52</v>
      </c>
    </row>
    <row r="2164" s="1" customFormat="1" spans="1:15">
      <c r="A2164" s="1" t="str">
        <f t="shared" si="1432"/>
        <v>202406</v>
      </c>
      <c r="B2164" s="1" t="str">
        <f t="shared" si="1433"/>
        <v>150525100</v>
      </c>
      <c r="C2164" s="1" t="str">
        <f>"1040642223"</f>
        <v>1040642223</v>
      </c>
      <c r="D2164" s="1" t="str">
        <f>"152326195510153339"</f>
        <v>152326195510153339</v>
      </c>
      <c r="E2164" s="1" t="s">
        <v>2246</v>
      </c>
      <c r="F2164" s="1" t="s">
        <v>25</v>
      </c>
      <c r="G2164" s="1" t="s">
        <v>19</v>
      </c>
      <c r="H2164" s="1" t="str">
        <f t="shared" si="1442"/>
        <v>69</v>
      </c>
      <c r="I2164" s="1" t="str">
        <f>"154.52"</f>
        <v>154.52</v>
      </c>
      <c r="J2164" s="1" t="str">
        <f t="shared" si="1434"/>
        <v>0</v>
      </c>
      <c r="K2164" s="1" t="str">
        <f t="shared" si="1435"/>
        <v>103</v>
      </c>
      <c r="L2164" s="1" t="str">
        <f t="shared" si="1436"/>
        <v>47</v>
      </c>
      <c r="M2164" s="1" t="str">
        <f t="shared" si="1430"/>
        <v>0</v>
      </c>
      <c r="N2164" s="1" t="str">
        <f t="shared" si="1431"/>
        <v>0</v>
      </c>
      <c r="O2164" s="1" t="str">
        <f>"4.52"</f>
        <v>4.52</v>
      </c>
    </row>
    <row r="2165" s="1" customFormat="1" spans="1:15">
      <c r="A2165" s="1" t="str">
        <f t="shared" si="1432"/>
        <v>202406</v>
      </c>
      <c r="B2165" s="1" t="str">
        <f t="shared" si="1433"/>
        <v>150525100</v>
      </c>
      <c r="C2165" s="1" t="str">
        <f>"1040642234"</f>
        <v>1040642234</v>
      </c>
      <c r="D2165" s="1" t="str">
        <f>"152326196211103328"</f>
        <v>152326196211103328</v>
      </c>
      <c r="E2165" s="1" t="s">
        <v>2247</v>
      </c>
      <c r="F2165" s="1" t="s">
        <v>16</v>
      </c>
      <c r="G2165" s="1" t="s">
        <v>19</v>
      </c>
      <c r="H2165" s="1" t="str">
        <f>"62"</f>
        <v>62</v>
      </c>
      <c r="I2165" s="1" t="str">
        <f>"162.51"</f>
        <v>162.51</v>
      </c>
      <c r="J2165" s="1" t="str">
        <f t="shared" si="1434"/>
        <v>0</v>
      </c>
      <c r="K2165" s="1" t="str">
        <f t="shared" si="1435"/>
        <v>103</v>
      </c>
      <c r="L2165" s="1" t="str">
        <f t="shared" si="1436"/>
        <v>47</v>
      </c>
      <c r="M2165" s="1" t="str">
        <f t="shared" si="1430"/>
        <v>0</v>
      </c>
      <c r="N2165" s="1" t="str">
        <f t="shared" si="1431"/>
        <v>0</v>
      </c>
      <c r="O2165" s="1" t="str">
        <f>"12.51"</f>
        <v>12.51</v>
      </c>
    </row>
    <row r="2166" s="1" customFormat="1" spans="1:15">
      <c r="A2166" s="1" t="str">
        <f t="shared" si="1432"/>
        <v>202406</v>
      </c>
      <c r="B2166" s="1" t="str">
        <f t="shared" si="1433"/>
        <v>150525100</v>
      </c>
      <c r="C2166" s="1" t="str">
        <f>"1040641607"</f>
        <v>1040641607</v>
      </c>
      <c r="D2166" s="1" t="str">
        <f>"152326195504070924"</f>
        <v>152326195504070924</v>
      </c>
      <c r="E2166" s="1" t="s">
        <v>2248</v>
      </c>
      <c r="F2166" s="1" t="s">
        <v>16</v>
      </c>
      <c r="G2166" s="1" t="s">
        <v>19</v>
      </c>
      <c r="H2166" s="1" t="str">
        <f t="shared" si="1442"/>
        <v>69</v>
      </c>
      <c r="I2166" s="1" t="str">
        <f>"154.26"</f>
        <v>154.26</v>
      </c>
      <c r="J2166" s="1" t="str">
        <f t="shared" si="1434"/>
        <v>0</v>
      </c>
      <c r="K2166" s="1" t="str">
        <f t="shared" si="1435"/>
        <v>103</v>
      </c>
      <c r="L2166" s="1" t="str">
        <f t="shared" si="1436"/>
        <v>47</v>
      </c>
      <c r="M2166" s="1" t="str">
        <f t="shared" si="1430"/>
        <v>0</v>
      </c>
      <c r="N2166" s="1" t="str">
        <f t="shared" si="1431"/>
        <v>0</v>
      </c>
      <c r="O2166" s="1" t="str">
        <f>"4.26"</f>
        <v>4.26</v>
      </c>
    </row>
    <row r="2167" s="1" customFormat="1" spans="1:15">
      <c r="A2167" s="1" t="str">
        <f t="shared" si="1432"/>
        <v>202406</v>
      </c>
      <c r="B2167" s="1" t="str">
        <f t="shared" si="1433"/>
        <v>150525100</v>
      </c>
      <c r="C2167" s="1" t="str">
        <f>"1040641617"</f>
        <v>1040641617</v>
      </c>
      <c r="D2167" s="1" t="str">
        <f>"152326195408240911"</f>
        <v>152326195408240911</v>
      </c>
      <c r="E2167" s="1" t="s">
        <v>2249</v>
      </c>
      <c r="F2167" s="1" t="s">
        <v>25</v>
      </c>
      <c r="G2167" s="1" t="s">
        <v>19</v>
      </c>
      <c r="H2167" s="1" t="str">
        <f>"70"</f>
        <v>70</v>
      </c>
      <c r="I2167" s="1" t="str">
        <f>"153.55"</f>
        <v>153.55</v>
      </c>
      <c r="J2167" s="1" t="str">
        <f t="shared" si="1434"/>
        <v>0</v>
      </c>
      <c r="K2167" s="1" t="str">
        <f t="shared" si="1435"/>
        <v>103</v>
      </c>
      <c r="L2167" s="1" t="str">
        <f t="shared" si="1436"/>
        <v>47</v>
      </c>
      <c r="M2167" s="1" t="str">
        <f t="shared" si="1430"/>
        <v>0</v>
      </c>
      <c r="N2167" s="1" t="str">
        <f t="shared" si="1431"/>
        <v>0</v>
      </c>
      <c r="O2167" s="1" t="str">
        <f>"3.55"</f>
        <v>3.55</v>
      </c>
    </row>
    <row r="2168" s="1" customFormat="1" spans="1:15">
      <c r="A2168" s="1" t="str">
        <f t="shared" si="1432"/>
        <v>202406</v>
      </c>
      <c r="B2168" s="1" t="str">
        <f t="shared" si="1433"/>
        <v>150525100</v>
      </c>
      <c r="C2168" s="1" t="str">
        <f>"1014562612"</f>
        <v>1014562612</v>
      </c>
      <c r="D2168" s="1" t="s">
        <v>2250</v>
      </c>
      <c r="E2168" s="1" t="s">
        <v>2251</v>
      </c>
      <c r="F2168" s="1" t="s">
        <v>16</v>
      </c>
      <c r="G2168" s="1" t="s">
        <v>19</v>
      </c>
      <c r="H2168" s="1" t="str">
        <f>"69"</f>
        <v>69</v>
      </c>
      <c r="I2168" s="1" t="str">
        <f>"155.12"</f>
        <v>155.12</v>
      </c>
      <c r="J2168" s="1" t="str">
        <f t="shared" si="1434"/>
        <v>0</v>
      </c>
      <c r="K2168" s="1" t="str">
        <f t="shared" si="1435"/>
        <v>103</v>
      </c>
      <c r="L2168" s="1" t="str">
        <f t="shared" si="1436"/>
        <v>47</v>
      </c>
      <c r="M2168" s="1" t="str">
        <f t="shared" si="1430"/>
        <v>0</v>
      </c>
      <c r="N2168" s="1" t="str">
        <f t="shared" si="1431"/>
        <v>0</v>
      </c>
      <c r="O2168" s="1" t="str">
        <f>"5.12"</f>
        <v>5.12</v>
      </c>
    </row>
    <row r="2169" s="1" customFormat="1" spans="1:15">
      <c r="A2169" s="1" t="str">
        <f t="shared" si="1432"/>
        <v>202406</v>
      </c>
      <c r="B2169" s="1" t="str">
        <f t="shared" si="1433"/>
        <v>150525100</v>
      </c>
      <c r="C2169" s="1" t="str">
        <f>"1014550207"</f>
        <v>1014550207</v>
      </c>
      <c r="D2169" s="1" t="str">
        <f>"152326195803110666"</f>
        <v>152326195803110666</v>
      </c>
      <c r="E2169" s="1" t="s">
        <v>1486</v>
      </c>
      <c r="F2169" s="1" t="s">
        <v>16</v>
      </c>
      <c r="G2169" s="1" t="s">
        <v>17</v>
      </c>
      <c r="H2169" s="1" t="str">
        <f>"66"</f>
        <v>66</v>
      </c>
      <c r="I2169" s="1" t="str">
        <f>"157.09"</f>
        <v>157.09</v>
      </c>
      <c r="J2169" s="1" t="str">
        <f t="shared" si="1434"/>
        <v>0</v>
      </c>
      <c r="K2169" s="1" t="str">
        <f t="shared" si="1435"/>
        <v>103</v>
      </c>
      <c r="L2169" s="1" t="str">
        <f t="shared" si="1436"/>
        <v>47</v>
      </c>
      <c r="M2169" s="1" t="str">
        <f t="shared" si="1430"/>
        <v>0</v>
      </c>
      <c r="N2169" s="1" t="str">
        <f t="shared" si="1431"/>
        <v>0</v>
      </c>
      <c r="O2169" s="1" t="str">
        <f>"7.09"</f>
        <v>7.09</v>
      </c>
    </row>
    <row r="2170" s="1" customFormat="1" spans="1:15">
      <c r="A2170" s="1" t="str">
        <f t="shared" si="1432"/>
        <v>202406</v>
      </c>
      <c r="B2170" s="1" t="str">
        <f t="shared" si="1433"/>
        <v>150525100</v>
      </c>
      <c r="C2170" s="1" t="str">
        <f>"1014550708"</f>
        <v>1014550708</v>
      </c>
      <c r="D2170" s="1" t="str">
        <f>"152326195312220668"</f>
        <v>152326195312220668</v>
      </c>
      <c r="E2170" s="1" t="s">
        <v>2252</v>
      </c>
      <c r="F2170" s="1" t="s">
        <v>16</v>
      </c>
      <c r="G2170" s="1" t="s">
        <v>19</v>
      </c>
      <c r="H2170" s="1" t="str">
        <f>"71"</f>
        <v>71</v>
      </c>
      <c r="I2170" s="1" t="str">
        <f>"163.16"</f>
        <v>163.16</v>
      </c>
      <c r="J2170" s="1" t="str">
        <f t="shared" si="1434"/>
        <v>0</v>
      </c>
      <c r="K2170" s="1" t="str">
        <f t="shared" si="1435"/>
        <v>103</v>
      </c>
      <c r="L2170" s="1" t="str">
        <f t="shared" si="1436"/>
        <v>47</v>
      </c>
      <c r="M2170" s="1" t="str">
        <f t="shared" si="1430"/>
        <v>0</v>
      </c>
      <c r="N2170" s="1" t="str">
        <f t="shared" si="1431"/>
        <v>0</v>
      </c>
      <c r="O2170" s="1" t="str">
        <f>"3.16"</f>
        <v>3.16</v>
      </c>
    </row>
    <row r="2171" s="1" customFormat="1" spans="1:15">
      <c r="A2171" s="1" t="str">
        <f t="shared" si="1432"/>
        <v>202406</v>
      </c>
      <c r="B2171" s="1" t="str">
        <f t="shared" si="1433"/>
        <v>150525100</v>
      </c>
      <c r="C2171" s="1" t="str">
        <f>"1014585270"</f>
        <v>1014585270</v>
      </c>
      <c r="D2171" s="1" t="str">
        <f>"152326196303020693"</f>
        <v>152326196303020693</v>
      </c>
      <c r="E2171" s="1" t="s">
        <v>2253</v>
      </c>
      <c r="F2171" s="1" t="s">
        <v>25</v>
      </c>
      <c r="G2171" s="1" t="s">
        <v>17</v>
      </c>
      <c r="H2171" s="1" t="str">
        <f>"61"</f>
        <v>61</v>
      </c>
      <c r="I2171" s="1" t="str">
        <f>"163.9"</f>
        <v>163.9</v>
      </c>
      <c r="J2171" s="1" t="str">
        <f t="shared" si="1434"/>
        <v>0</v>
      </c>
      <c r="K2171" s="1" t="str">
        <f t="shared" si="1435"/>
        <v>103</v>
      </c>
      <c r="L2171" s="1" t="str">
        <f t="shared" si="1436"/>
        <v>47</v>
      </c>
      <c r="M2171" s="1" t="str">
        <f t="shared" si="1430"/>
        <v>0</v>
      </c>
      <c r="N2171" s="1" t="str">
        <f t="shared" si="1431"/>
        <v>0</v>
      </c>
      <c r="O2171" s="1" t="str">
        <f>"13.9"</f>
        <v>13.9</v>
      </c>
    </row>
    <row r="2172" s="1" customFormat="1" spans="1:15">
      <c r="A2172" s="1" t="str">
        <f t="shared" si="1432"/>
        <v>202406</v>
      </c>
      <c r="B2172" s="1" t="str">
        <f t="shared" si="1433"/>
        <v>150525100</v>
      </c>
      <c r="C2172" s="1" t="str">
        <f>"1014573827"</f>
        <v>1014573827</v>
      </c>
      <c r="D2172" s="1" t="str">
        <f>"152326195104070423"</f>
        <v>152326195104070423</v>
      </c>
      <c r="E2172" s="1" t="s">
        <v>2254</v>
      </c>
      <c r="F2172" s="1" t="s">
        <v>16</v>
      </c>
      <c r="G2172" s="1" t="s">
        <v>17</v>
      </c>
      <c r="H2172" s="1" t="str">
        <f>"73"</f>
        <v>73</v>
      </c>
      <c r="I2172" s="1" t="str">
        <f>"160"</f>
        <v>160</v>
      </c>
      <c r="J2172" s="1" t="str">
        <f t="shared" si="1434"/>
        <v>0</v>
      </c>
      <c r="K2172" s="1" t="str">
        <f t="shared" si="1435"/>
        <v>103</v>
      </c>
      <c r="L2172" s="1" t="str">
        <f t="shared" si="1436"/>
        <v>47</v>
      </c>
      <c r="M2172" s="1" t="str">
        <f t="shared" si="1430"/>
        <v>0</v>
      </c>
      <c r="N2172" s="1" t="str">
        <f t="shared" si="1431"/>
        <v>0</v>
      </c>
      <c r="O2172" s="1" t="str">
        <f>"0"</f>
        <v>0</v>
      </c>
    </row>
    <row r="2173" s="1" customFormat="1" spans="1:15">
      <c r="A2173" s="1" t="str">
        <f t="shared" si="1432"/>
        <v>202406</v>
      </c>
      <c r="B2173" s="1" t="str">
        <f t="shared" si="1433"/>
        <v>150525100</v>
      </c>
      <c r="C2173" s="1" t="str">
        <f>"1014561145"</f>
        <v>1014561145</v>
      </c>
      <c r="D2173" s="1" t="str">
        <f>"152326195503100423"</f>
        <v>152326195503100423</v>
      </c>
      <c r="E2173" s="1" t="s">
        <v>2255</v>
      </c>
      <c r="F2173" s="1" t="s">
        <v>16</v>
      </c>
      <c r="G2173" s="1" t="s">
        <v>17</v>
      </c>
      <c r="H2173" s="1" t="str">
        <f>"69"</f>
        <v>69</v>
      </c>
      <c r="I2173" s="1" t="str">
        <f>"155.1"</f>
        <v>155.1</v>
      </c>
      <c r="J2173" s="1" t="str">
        <f t="shared" si="1434"/>
        <v>0</v>
      </c>
      <c r="K2173" s="1" t="str">
        <f t="shared" si="1435"/>
        <v>103</v>
      </c>
      <c r="L2173" s="1" t="str">
        <f t="shared" si="1436"/>
        <v>47</v>
      </c>
      <c r="M2173" s="1" t="str">
        <f t="shared" si="1430"/>
        <v>0</v>
      </c>
      <c r="N2173" s="1" t="str">
        <f t="shared" si="1431"/>
        <v>0</v>
      </c>
      <c r="O2173" s="1" t="str">
        <f>"5.1"</f>
        <v>5.1</v>
      </c>
    </row>
    <row r="2174" s="1" customFormat="1" spans="1:15">
      <c r="A2174" s="1" t="str">
        <f t="shared" si="1432"/>
        <v>202406</v>
      </c>
      <c r="B2174" s="1" t="str">
        <f t="shared" si="1433"/>
        <v>150525100</v>
      </c>
      <c r="C2174" s="1" t="str">
        <f>"1014561424"</f>
        <v>1014561424</v>
      </c>
      <c r="D2174" s="1" t="str">
        <f>"152326195205090423"</f>
        <v>152326195205090423</v>
      </c>
      <c r="E2174" s="1" t="s">
        <v>2256</v>
      </c>
      <c r="F2174" s="1" t="s">
        <v>16</v>
      </c>
      <c r="G2174" s="1" t="s">
        <v>17</v>
      </c>
      <c r="H2174" s="1" t="str">
        <f>"72"</f>
        <v>72</v>
      </c>
      <c r="I2174" s="1" t="str">
        <f>"162.15"</f>
        <v>162.15</v>
      </c>
      <c r="J2174" s="1" t="str">
        <f t="shared" si="1434"/>
        <v>0</v>
      </c>
      <c r="K2174" s="1" t="str">
        <f t="shared" si="1435"/>
        <v>103</v>
      </c>
      <c r="L2174" s="1" t="str">
        <f t="shared" si="1436"/>
        <v>47</v>
      </c>
      <c r="M2174" s="1" t="str">
        <f t="shared" si="1430"/>
        <v>0</v>
      </c>
      <c r="N2174" s="1" t="str">
        <f t="shared" si="1431"/>
        <v>0</v>
      </c>
      <c r="O2174" s="1" t="str">
        <f>"2.15"</f>
        <v>2.15</v>
      </c>
    </row>
    <row r="2175" s="1" customFormat="1" spans="1:15">
      <c r="A2175" s="1" t="str">
        <f t="shared" si="1432"/>
        <v>202406</v>
      </c>
      <c r="B2175" s="1" t="str">
        <f t="shared" si="1433"/>
        <v>150525100</v>
      </c>
      <c r="C2175" s="1" t="str">
        <f>"1014583851"</f>
        <v>1014583851</v>
      </c>
      <c r="D2175" s="1" t="str">
        <f>"152326196004100685"</f>
        <v>152326196004100685</v>
      </c>
      <c r="E2175" s="1" t="s">
        <v>1337</v>
      </c>
      <c r="F2175" s="1" t="s">
        <v>16</v>
      </c>
      <c r="G2175" s="1" t="s">
        <v>19</v>
      </c>
      <c r="H2175" s="1" t="str">
        <f>"64"</f>
        <v>64</v>
      </c>
      <c r="I2175" s="1" t="str">
        <f>"160.45"</f>
        <v>160.45</v>
      </c>
      <c r="J2175" s="1" t="str">
        <f t="shared" si="1434"/>
        <v>0</v>
      </c>
      <c r="K2175" s="1" t="str">
        <f t="shared" si="1435"/>
        <v>103</v>
      </c>
      <c r="L2175" s="1" t="str">
        <f t="shared" si="1436"/>
        <v>47</v>
      </c>
      <c r="M2175" s="1" t="str">
        <f t="shared" si="1430"/>
        <v>0</v>
      </c>
      <c r="N2175" s="1" t="str">
        <f t="shared" si="1431"/>
        <v>0</v>
      </c>
      <c r="O2175" s="1" t="str">
        <f>"10.45"</f>
        <v>10.45</v>
      </c>
    </row>
    <row r="2176" s="1" customFormat="1" spans="1:15">
      <c r="A2176" s="1" t="str">
        <f t="shared" si="1432"/>
        <v>202406</v>
      </c>
      <c r="B2176" s="1" t="str">
        <f t="shared" si="1433"/>
        <v>150525100</v>
      </c>
      <c r="C2176" s="1" t="str">
        <f>"1014583858"</f>
        <v>1014583858</v>
      </c>
      <c r="D2176" s="1" t="str">
        <f>"152326196107103811"</f>
        <v>152326196107103811</v>
      </c>
      <c r="E2176" s="1" t="s">
        <v>2257</v>
      </c>
      <c r="F2176" s="1" t="s">
        <v>25</v>
      </c>
      <c r="G2176" s="1" t="s">
        <v>19</v>
      </c>
      <c r="H2176" s="1" t="str">
        <f>"63"</f>
        <v>63</v>
      </c>
      <c r="I2176" s="1" t="str">
        <f>"159.74"</f>
        <v>159.74</v>
      </c>
      <c r="J2176" s="1" t="str">
        <f t="shared" si="1434"/>
        <v>0</v>
      </c>
      <c r="K2176" s="1" t="str">
        <f t="shared" si="1435"/>
        <v>103</v>
      </c>
      <c r="L2176" s="1" t="str">
        <f t="shared" si="1436"/>
        <v>47</v>
      </c>
      <c r="M2176" s="1" t="str">
        <f t="shared" si="1430"/>
        <v>0</v>
      </c>
      <c r="N2176" s="1" t="str">
        <f t="shared" si="1431"/>
        <v>0</v>
      </c>
      <c r="O2176" s="1" t="str">
        <f>"9.74"</f>
        <v>9.74</v>
      </c>
    </row>
    <row r="2177" s="1" customFormat="1" spans="1:15">
      <c r="A2177" s="1" t="str">
        <f t="shared" si="1432"/>
        <v>202406</v>
      </c>
      <c r="B2177" s="1" t="str">
        <f t="shared" si="1433"/>
        <v>150525100</v>
      </c>
      <c r="C2177" s="1" t="str">
        <f>"1014583859"</f>
        <v>1014583859</v>
      </c>
      <c r="D2177" s="1" t="str">
        <f>"152326196109020665"</f>
        <v>152326196109020665</v>
      </c>
      <c r="E2177" s="1" t="s">
        <v>1177</v>
      </c>
      <c r="F2177" s="1" t="s">
        <v>16</v>
      </c>
      <c r="G2177" s="1" t="s">
        <v>19</v>
      </c>
      <c r="H2177" s="1" t="str">
        <f>"63"</f>
        <v>63</v>
      </c>
      <c r="I2177" s="1" t="str">
        <f>"160.36"</f>
        <v>160.36</v>
      </c>
      <c r="J2177" s="1" t="str">
        <f t="shared" si="1434"/>
        <v>0</v>
      </c>
      <c r="K2177" s="1" t="str">
        <f t="shared" si="1435"/>
        <v>103</v>
      </c>
      <c r="L2177" s="1" t="str">
        <f t="shared" si="1436"/>
        <v>47</v>
      </c>
      <c r="M2177" s="1" t="str">
        <f t="shared" ref="M2177:M2240" si="1443">"0"</f>
        <v>0</v>
      </c>
      <c r="N2177" s="1" t="str">
        <f t="shared" ref="N2177:N2240" si="1444">"0"</f>
        <v>0</v>
      </c>
      <c r="O2177" s="1" t="str">
        <f>"10.36"</f>
        <v>10.36</v>
      </c>
    </row>
    <row r="2178" s="1" customFormat="1" spans="1:15">
      <c r="A2178" s="1" t="str">
        <f t="shared" ref="A2178:A2241" si="1445">"202406"</f>
        <v>202406</v>
      </c>
      <c r="B2178" s="1" t="str">
        <f t="shared" ref="B2178:B2241" si="1446">"150525100"</f>
        <v>150525100</v>
      </c>
      <c r="C2178" s="1" t="str">
        <f>"1014550259"</f>
        <v>1014550259</v>
      </c>
      <c r="D2178" s="1" t="str">
        <f>"152326195806260678"</f>
        <v>152326195806260678</v>
      </c>
      <c r="E2178" s="1" t="s">
        <v>2258</v>
      </c>
      <c r="F2178" s="1" t="s">
        <v>25</v>
      </c>
      <c r="G2178" s="1" t="s">
        <v>17</v>
      </c>
      <c r="H2178" s="1" t="str">
        <f>"66"</f>
        <v>66</v>
      </c>
      <c r="I2178" s="1" t="str">
        <f>"156.88"</f>
        <v>156.88</v>
      </c>
      <c r="J2178" s="1" t="str">
        <f t="shared" si="1434"/>
        <v>0</v>
      </c>
      <c r="K2178" s="1" t="str">
        <f t="shared" si="1435"/>
        <v>103</v>
      </c>
      <c r="L2178" s="1" t="str">
        <f t="shared" si="1436"/>
        <v>47</v>
      </c>
      <c r="M2178" s="1" t="str">
        <f t="shared" si="1443"/>
        <v>0</v>
      </c>
      <c r="N2178" s="1" t="str">
        <f t="shared" si="1444"/>
        <v>0</v>
      </c>
      <c r="O2178" s="1" t="str">
        <f>"6.88"</f>
        <v>6.88</v>
      </c>
    </row>
    <row r="2179" s="1" customFormat="1" spans="1:15">
      <c r="A2179" s="1" t="str">
        <f t="shared" si="1445"/>
        <v>202406</v>
      </c>
      <c r="B2179" s="1" t="str">
        <f t="shared" si="1446"/>
        <v>150525100</v>
      </c>
      <c r="C2179" s="1" t="str">
        <f>"1014585280"</f>
        <v>1014585280</v>
      </c>
      <c r="D2179" s="1" t="str">
        <f>"152326196305050423"</f>
        <v>152326196305050423</v>
      </c>
      <c r="E2179" s="1" t="s">
        <v>2259</v>
      </c>
      <c r="F2179" s="1" t="s">
        <v>16</v>
      </c>
      <c r="G2179" s="1" t="s">
        <v>17</v>
      </c>
      <c r="H2179" s="1" t="str">
        <f t="shared" ref="H2179:H2183" si="1447">"61"</f>
        <v>61</v>
      </c>
      <c r="I2179" s="1" t="str">
        <f>"167.42"</f>
        <v>167.42</v>
      </c>
      <c r="J2179" s="1" t="str">
        <f t="shared" ref="J2179:J2221" si="1448">"0"</f>
        <v>0</v>
      </c>
      <c r="K2179" s="1" t="str">
        <f t="shared" ref="K2179:K2221" si="1449">"103"</f>
        <v>103</v>
      </c>
      <c r="L2179" s="1" t="str">
        <f t="shared" ref="L2179:L2221" si="1450">"47"</f>
        <v>47</v>
      </c>
      <c r="M2179" s="1" t="str">
        <f t="shared" si="1443"/>
        <v>0</v>
      </c>
      <c r="N2179" s="1" t="str">
        <f t="shared" si="1444"/>
        <v>0</v>
      </c>
      <c r="O2179" s="1" t="str">
        <f>"17.42"</f>
        <v>17.42</v>
      </c>
    </row>
    <row r="2180" s="1" customFormat="1" spans="1:15">
      <c r="A2180" s="1" t="str">
        <f t="shared" si="1445"/>
        <v>202406</v>
      </c>
      <c r="B2180" s="1" t="str">
        <f t="shared" si="1446"/>
        <v>150525100</v>
      </c>
      <c r="C2180" s="1" t="str">
        <f>"1014585283"</f>
        <v>1014585283</v>
      </c>
      <c r="D2180" s="1" t="str">
        <f>"152326196306240667"</f>
        <v>152326196306240667</v>
      </c>
      <c r="E2180" s="1" t="s">
        <v>80</v>
      </c>
      <c r="F2180" s="1" t="s">
        <v>16</v>
      </c>
      <c r="G2180" s="1" t="s">
        <v>17</v>
      </c>
      <c r="H2180" s="1" t="str">
        <f t="shared" si="1447"/>
        <v>61</v>
      </c>
      <c r="I2180" s="1" t="str">
        <f>"165.01"</f>
        <v>165.01</v>
      </c>
      <c r="J2180" s="1" t="str">
        <f t="shared" si="1448"/>
        <v>0</v>
      </c>
      <c r="K2180" s="1" t="str">
        <f t="shared" si="1449"/>
        <v>103</v>
      </c>
      <c r="L2180" s="1" t="str">
        <f t="shared" si="1450"/>
        <v>47</v>
      </c>
      <c r="M2180" s="1" t="str">
        <f t="shared" si="1443"/>
        <v>0</v>
      </c>
      <c r="N2180" s="1" t="str">
        <f t="shared" si="1444"/>
        <v>0</v>
      </c>
      <c r="O2180" s="1" t="str">
        <f>"15.01"</f>
        <v>15.01</v>
      </c>
    </row>
    <row r="2181" s="1" customFormat="1" spans="1:15">
      <c r="A2181" s="1" t="str">
        <f t="shared" si="1445"/>
        <v>202406</v>
      </c>
      <c r="B2181" s="1" t="str">
        <f t="shared" si="1446"/>
        <v>150525100</v>
      </c>
      <c r="C2181" s="1" t="str">
        <f>"1014585288"</f>
        <v>1014585288</v>
      </c>
      <c r="D2181" s="1" t="str">
        <f>"152326196307190681"</f>
        <v>152326196307190681</v>
      </c>
      <c r="E2181" s="1" t="s">
        <v>2260</v>
      </c>
      <c r="F2181" s="1" t="s">
        <v>16</v>
      </c>
      <c r="G2181" s="1" t="s">
        <v>17</v>
      </c>
      <c r="H2181" s="1" t="str">
        <f t="shared" si="1447"/>
        <v>61</v>
      </c>
      <c r="I2181" s="1" t="str">
        <f>"165.02"</f>
        <v>165.02</v>
      </c>
      <c r="J2181" s="1" t="str">
        <f t="shared" si="1448"/>
        <v>0</v>
      </c>
      <c r="K2181" s="1" t="str">
        <f t="shared" si="1449"/>
        <v>103</v>
      </c>
      <c r="L2181" s="1" t="str">
        <f t="shared" si="1450"/>
        <v>47</v>
      </c>
      <c r="M2181" s="1" t="str">
        <f t="shared" si="1443"/>
        <v>0</v>
      </c>
      <c r="N2181" s="1" t="str">
        <f t="shared" si="1444"/>
        <v>0</v>
      </c>
      <c r="O2181" s="1" t="str">
        <f>"15.02"</f>
        <v>15.02</v>
      </c>
    </row>
    <row r="2182" s="1" customFormat="1" spans="1:15">
      <c r="A2182" s="1" t="str">
        <f t="shared" si="1445"/>
        <v>202406</v>
      </c>
      <c r="B2182" s="1" t="str">
        <f t="shared" si="1446"/>
        <v>150525100</v>
      </c>
      <c r="C2182" s="1" t="str">
        <f>"1014585297"</f>
        <v>1014585297</v>
      </c>
      <c r="D2182" s="1" t="str">
        <f>"152326196310230672"</f>
        <v>152326196310230672</v>
      </c>
      <c r="E2182" s="1" t="s">
        <v>2261</v>
      </c>
      <c r="F2182" s="1" t="s">
        <v>25</v>
      </c>
      <c r="G2182" s="1" t="s">
        <v>17</v>
      </c>
      <c r="H2182" s="1" t="str">
        <f t="shared" si="1447"/>
        <v>61</v>
      </c>
      <c r="I2182" s="1" t="str">
        <f>"165.62"</f>
        <v>165.62</v>
      </c>
      <c r="J2182" s="1" t="str">
        <f t="shared" si="1448"/>
        <v>0</v>
      </c>
      <c r="K2182" s="1" t="str">
        <f t="shared" si="1449"/>
        <v>103</v>
      </c>
      <c r="L2182" s="1" t="str">
        <f t="shared" si="1450"/>
        <v>47</v>
      </c>
      <c r="M2182" s="1" t="str">
        <f t="shared" si="1443"/>
        <v>0</v>
      </c>
      <c r="N2182" s="1" t="str">
        <f t="shared" si="1444"/>
        <v>0</v>
      </c>
      <c r="O2182" s="1" t="str">
        <f>"15.62"</f>
        <v>15.62</v>
      </c>
    </row>
    <row r="2183" s="1" customFormat="1" spans="1:15">
      <c r="A2183" s="1" t="str">
        <f t="shared" si="1445"/>
        <v>202406</v>
      </c>
      <c r="B2183" s="1" t="str">
        <f t="shared" si="1446"/>
        <v>150525100</v>
      </c>
      <c r="C2183" s="1" t="str">
        <f>"1014585300"</f>
        <v>1014585300</v>
      </c>
      <c r="D2183" s="1" t="str">
        <f>"152326196311120416"</f>
        <v>152326196311120416</v>
      </c>
      <c r="E2183" s="1" t="s">
        <v>2262</v>
      </c>
      <c r="F2183" s="1" t="s">
        <v>25</v>
      </c>
      <c r="G2183" s="1" t="s">
        <v>17</v>
      </c>
      <c r="H2183" s="1" t="str">
        <f t="shared" si="1447"/>
        <v>61</v>
      </c>
      <c r="I2183" s="1" t="str">
        <f>"165.1"</f>
        <v>165.1</v>
      </c>
      <c r="J2183" s="1" t="str">
        <f t="shared" si="1448"/>
        <v>0</v>
      </c>
      <c r="K2183" s="1" t="str">
        <f t="shared" si="1449"/>
        <v>103</v>
      </c>
      <c r="L2183" s="1" t="str">
        <f t="shared" si="1450"/>
        <v>47</v>
      </c>
      <c r="M2183" s="1" t="str">
        <f t="shared" si="1443"/>
        <v>0</v>
      </c>
      <c r="N2183" s="1" t="str">
        <f t="shared" si="1444"/>
        <v>0</v>
      </c>
      <c r="O2183" s="1" t="str">
        <f>"15.1"</f>
        <v>15.1</v>
      </c>
    </row>
    <row r="2184" s="1" customFormat="1" spans="1:15">
      <c r="A2184" s="1" t="str">
        <f t="shared" si="1445"/>
        <v>202406</v>
      </c>
      <c r="B2184" s="1" t="str">
        <f t="shared" si="1446"/>
        <v>150525100</v>
      </c>
      <c r="C2184" s="1" t="str">
        <f>"1040641701"</f>
        <v>1040641701</v>
      </c>
      <c r="D2184" s="1" t="str">
        <f>"152326195709033086"</f>
        <v>152326195709033086</v>
      </c>
      <c r="E2184" s="1" t="s">
        <v>2263</v>
      </c>
      <c r="F2184" s="1" t="s">
        <v>16</v>
      </c>
      <c r="G2184" s="1" t="s">
        <v>17</v>
      </c>
      <c r="H2184" s="1" t="str">
        <f>"67"</f>
        <v>67</v>
      </c>
      <c r="I2184" s="1" t="str">
        <f>"155.5"</f>
        <v>155.5</v>
      </c>
      <c r="J2184" s="1" t="str">
        <f t="shared" si="1448"/>
        <v>0</v>
      </c>
      <c r="K2184" s="1" t="str">
        <f t="shared" si="1449"/>
        <v>103</v>
      </c>
      <c r="L2184" s="1" t="str">
        <f t="shared" si="1450"/>
        <v>47</v>
      </c>
      <c r="M2184" s="1" t="str">
        <f t="shared" si="1443"/>
        <v>0</v>
      </c>
      <c r="N2184" s="1" t="str">
        <f t="shared" si="1444"/>
        <v>0</v>
      </c>
      <c r="O2184" s="1" t="str">
        <f>"5.5"</f>
        <v>5.5</v>
      </c>
    </row>
    <row r="2185" s="1" customFormat="1" spans="1:15">
      <c r="A2185" s="1" t="str">
        <f t="shared" si="1445"/>
        <v>202406</v>
      </c>
      <c r="B2185" s="1" t="str">
        <f t="shared" si="1446"/>
        <v>150525100</v>
      </c>
      <c r="C2185" s="1" t="str">
        <f>"1040641703"</f>
        <v>1040641703</v>
      </c>
      <c r="D2185" s="1" t="str">
        <f>"150525195910050016"</f>
        <v>150525195910050016</v>
      </c>
      <c r="E2185" s="1" t="s">
        <v>2264</v>
      </c>
      <c r="F2185" s="1" t="s">
        <v>25</v>
      </c>
      <c r="G2185" s="1" t="s">
        <v>17</v>
      </c>
      <c r="H2185" s="1" t="str">
        <f>"65"</f>
        <v>65</v>
      </c>
      <c r="I2185" s="1" t="str">
        <f>"157.59"</f>
        <v>157.59</v>
      </c>
      <c r="J2185" s="1" t="str">
        <f t="shared" si="1448"/>
        <v>0</v>
      </c>
      <c r="K2185" s="1" t="str">
        <f t="shared" si="1449"/>
        <v>103</v>
      </c>
      <c r="L2185" s="1" t="str">
        <f t="shared" si="1450"/>
        <v>47</v>
      </c>
      <c r="M2185" s="1" t="str">
        <f t="shared" si="1443"/>
        <v>0</v>
      </c>
      <c r="N2185" s="1" t="str">
        <f t="shared" si="1444"/>
        <v>0</v>
      </c>
      <c r="O2185" s="1" t="str">
        <f>"7.59"</f>
        <v>7.59</v>
      </c>
    </row>
    <row r="2186" s="1" customFormat="1" spans="1:15">
      <c r="A2186" s="1" t="str">
        <f t="shared" si="1445"/>
        <v>202406</v>
      </c>
      <c r="B2186" s="1" t="str">
        <f t="shared" si="1446"/>
        <v>150525100</v>
      </c>
      <c r="C2186" s="1" t="str">
        <f>"1040641692"</f>
        <v>1040641692</v>
      </c>
      <c r="D2186" s="1" t="str">
        <f>"152326196208300662"</f>
        <v>152326196208300662</v>
      </c>
      <c r="E2186" s="1" t="s">
        <v>2265</v>
      </c>
      <c r="F2186" s="1" t="s">
        <v>16</v>
      </c>
      <c r="G2186" s="1" t="s">
        <v>17</v>
      </c>
      <c r="H2186" s="1" t="str">
        <f>"62"</f>
        <v>62</v>
      </c>
      <c r="I2186" s="1" t="str">
        <f>"161.77"</f>
        <v>161.77</v>
      </c>
      <c r="J2186" s="1" t="str">
        <f t="shared" si="1448"/>
        <v>0</v>
      </c>
      <c r="K2186" s="1" t="str">
        <f t="shared" si="1449"/>
        <v>103</v>
      </c>
      <c r="L2186" s="1" t="str">
        <f t="shared" si="1450"/>
        <v>47</v>
      </c>
      <c r="M2186" s="1" t="str">
        <f t="shared" si="1443"/>
        <v>0</v>
      </c>
      <c r="N2186" s="1" t="str">
        <f t="shared" si="1444"/>
        <v>0</v>
      </c>
      <c r="O2186" s="1" t="str">
        <f>"11.77"</f>
        <v>11.77</v>
      </c>
    </row>
    <row r="2187" s="1" customFormat="1" spans="1:15">
      <c r="A2187" s="1" t="str">
        <f t="shared" si="1445"/>
        <v>202406</v>
      </c>
      <c r="B2187" s="1" t="str">
        <f t="shared" si="1446"/>
        <v>150525100</v>
      </c>
      <c r="C2187" s="1" t="str">
        <f>"1040641696"</f>
        <v>1040641696</v>
      </c>
      <c r="D2187" s="1" t="str">
        <f>"152326196203213105"</f>
        <v>152326196203213105</v>
      </c>
      <c r="E2187" s="1" t="s">
        <v>2266</v>
      </c>
      <c r="F2187" s="1" t="s">
        <v>16</v>
      </c>
      <c r="G2187" s="1" t="s">
        <v>19</v>
      </c>
      <c r="H2187" s="1" t="str">
        <f>"62"</f>
        <v>62</v>
      </c>
      <c r="I2187" s="1" t="str">
        <f>"162.84"</f>
        <v>162.84</v>
      </c>
      <c r="J2187" s="1" t="str">
        <f t="shared" si="1448"/>
        <v>0</v>
      </c>
      <c r="K2187" s="1" t="str">
        <f t="shared" si="1449"/>
        <v>103</v>
      </c>
      <c r="L2187" s="1" t="str">
        <f t="shared" si="1450"/>
        <v>47</v>
      </c>
      <c r="M2187" s="1" t="str">
        <f t="shared" si="1443"/>
        <v>0</v>
      </c>
      <c r="N2187" s="1" t="str">
        <f t="shared" si="1444"/>
        <v>0</v>
      </c>
      <c r="O2187" s="1" t="str">
        <f>"12.84"</f>
        <v>12.84</v>
      </c>
    </row>
    <row r="2188" s="1" customFormat="1" spans="1:15">
      <c r="A2188" s="1" t="str">
        <f t="shared" si="1445"/>
        <v>202406</v>
      </c>
      <c r="B2188" s="1" t="str">
        <f t="shared" si="1446"/>
        <v>150525100</v>
      </c>
      <c r="C2188" s="1" t="str">
        <f>"1014562684"</f>
        <v>1014562684</v>
      </c>
      <c r="D2188" s="1" t="str">
        <f>"152326195201280422"</f>
        <v>152326195201280422</v>
      </c>
      <c r="E2188" s="1" t="s">
        <v>2267</v>
      </c>
      <c r="F2188" s="1" t="s">
        <v>16</v>
      </c>
      <c r="G2188" s="1" t="s">
        <v>17</v>
      </c>
      <c r="H2188" s="1" t="str">
        <f>"72"</f>
        <v>72</v>
      </c>
      <c r="I2188" s="1" t="str">
        <f>"162.16"</f>
        <v>162.16</v>
      </c>
      <c r="J2188" s="1" t="str">
        <f t="shared" si="1448"/>
        <v>0</v>
      </c>
      <c r="K2188" s="1" t="str">
        <f t="shared" si="1449"/>
        <v>103</v>
      </c>
      <c r="L2188" s="1" t="str">
        <f t="shared" si="1450"/>
        <v>47</v>
      </c>
      <c r="M2188" s="1" t="str">
        <f t="shared" si="1443"/>
        <v>0</v>
      </c>
      <c r="N2188" s="1" t="str">
        <f t="shared" si="1444"/>
        <v>0</v>
      </c>
      <c r="O2188" s="1" t="str">
        <f>"2.16"</f>
        <v>2.16</v>
      </c>
    </row>
    <row r="2189" s="1" customFormat="1" spans="1:15">
      <c r="A2189" s="1" t="str">
        <f t="shared" si="1445"/>
        <v>202406</v>
      </c>
      <c r="B2189" s="1" t="str">
        <f t="shared" si="1446"/>
        <v>150525100</v>
      </c>
      <c r="C2189" s="1" t="str">
        <f>"1014562686"</f>
        <v>1014562686</v>
      </c>
      <c r="D2189" s="1" t="s">
        <v>2268</v>
      </c>
      <c r="E2189" s="1" t="s">
        <v>2269</v>
      </c>
      <c r="F2189" s="1" t="s">
        <v>16</v>
      </c>
      <c r="G2189" s="1" t="s">
        <v>17</v>
      </c>
      <c r="H2189" s="1" t="str">
        <f>"67"</f>
        <v>67</v>
      </c>
      <c r="I2189" s="1" t="str">
        <f>"155.72"</f>
        <v>155.72</v>
      </c>
      <c r="J2189" s="1" t="str">
        <f t="shared" si="1448"/>
        <v>0</v>
      </c>
      <c r="K2189" s="1" t="str">
        <f t="shared" si="1449"/>
        <v>103</v>
      </c>
      <c r="L2189" s="1" t="str">
        <f t="shared" si="1450"/>
        <v>47</v>
      </c>
      <c r="M2189" s="1" t="str">
        <f t="shared" si="1443"/>
        <v>0</v>
      </c>
      <c r="N2189" s="1" t="str">
        <f t="shared" si="1444"/>
        <v>0</v>
      </c>
      <c r="O2189" s="1" t="str">
        <f>"5.72"</f>
        <v>5.72</v>
      </c>
    </row>
    <row r="2190" s="1" customFormat="1" spans="1:15">
      <c r="A2190" s="1" t="str">
        <f t="shared" si="1445"/>
        <v>202406</v>
      </c>
      <c r="B2190" s="1" t="str">
        <f t="shared" si="1446"/>
        <v>150525100</v>
      </c>
      <c r="C2190" s="1" t="str">
        <f>"1014583905"</f>
        <v>1014583905</v>
      </c>
      <c r="D2190" s="1" t="str">
        <f>"152326195510020421"</f>
        <v>152326195510020421</v>
      </c>
      <c r="E2190" s="1" t="s">
        <v>2270</v>
      </c>
      <c r="F2190" s="1" t="s">
        <v>16</v>
      </c>
      <c r="G2190" s="1" t="s">
        <v>17</v>
      </c>
      <c r="H2190" s="1" t="str">
        <f>"69"</f>
        <v>69</v>
      </c>
      <c r="I2190" s="1" t="str">
        <f>"155.09"</f>
        <v>155.09</v>
      </c>
      <c r="J2190" s="1" t="str">
        <f t="shared" si="1448"/>
        <v>0</v>
      </c>
      <c r="K2190" s="1" t="str">
        <f t="shared" si="1449"/>
        <v>103</v>
      </c>
      <c r="L2190" s="1" t="str">
        <f t="shared" si="1450"/>
        <v>47</v>
      </c>
      <c r="M2190" s="1" t="str">
        <f t="shared" si="1443"/>
        <v>0</v>
      </c>
      <c r="N2190" s="1" t="str">
        <f t="shared" si="1444"/>
        <v>0</v>
      </c>
      <c r="O2190" s="1" t="str">
        <f>"5.09"</f>
        <v>5.09</v>
      </c>
    </row>
    <row r="2191" s="1" customFormat="1" spans="1:15">
      <c r="A2191" s="1" t="str">
        <f t="shared" si="1445"/>
        <v>202406</v>
      </c>
      <c r="B2191" s="1" t="str">
        <f t="shared" si="1446"/>
        <v>150525100</v>
      </c>
      <c r="C2191" s="1" t="str">
        <f>"1014584190"</f>
        <v>1014584190</v>
      </c>
      <c r="D2191" s="1" t="str">
        <f>"152326195911290668"</f>
        <v>152326195911290668</v>
      </c>
      <c r="E2191" s="1" t="s">
        <v>2271</v>
      </c>
      <c r="F2191" s="1" t="s">
        <v>16</v>
      </c>
      <c r="G2191" s="1" t="s">
        <v>17</v>
      </c>
      <c r="H2191" s="1" t="str">
        <f>"65"</f>
        <v>65</v>
      </c>
      <c r="I2191" s="1" t="str">
        <f>"158.19"</f>
        <v>158.19</v>
      </c>
      <c r="J2191" s="1" t="str">
        <f t="shared" si="1448"/>
        <v>0</v>
      </c>
      <c r="K2191" s="1" t="str">
        <f t="shared" si="1449"/>
        <v>103</v>
      </c>
      <c r="L2191" s="1" t="str">
        <f t="shared" si="1450"/>
        <v>47</v>
      </c>
      <c r="M2191" s="1" t="str">
        <f t="shared" si="1443"/>
        <v>0</v>
      </c>
      <c r="N2191" s="1" t="str">
        <f t="shared" si="1444"/>
        <v>0</v>
      </c>
      <c r="O2191" s="1" t="str">
        <f>"8.19"</f>
        <v>8.19</v>
      </c>
    </row>
    <row r="2192" s="1" customFormat="1" spans="1:15">
      <c r="A2192" s="1" t="str">
        <f t="shared" si="1445"/>
        <v>202406</v>
      </c>
      <c r="B2192" s="1" t="str">
        <f t="shared" si="1446"/>
        <v>150525100</v>
      </c>
      <c r="C2192" s="1" t="str">
        <f>"1014584192"</f>
        <v>1014584192</v>
      </c>
      <c r="D2192" s="1" t="str">
        <f>"152326195912110665"</f>
        <v>152326195912110665</v>
      </c>
      <c r="E2192" s="1" t="s">
        <v>2272</v>
      </c>
      <c r="F2192" s="1" t="s">
        <v>16</v>
      </c>
      <c r="G2192" s="1" t="s">
        <v>17</v>
      </c>
      <c r="H2192" s="1" t="str">
        <f>"65"</f>
        <v>65</v>
      </c>
      <c r="I2192" s="1" t="str">
        <f>"157.97"</f>
        <v>157.97</v>
      </c>
      <c r="J2192" s="1" t="str">
        <f t="shared" si="1448"/>
        <v>0</v>
      </c>
      <c r="K2192" s="1" t="str">
        <f t="shared" si="1449"/>
        <v>103</v>
      </c>
      <c r="L2192" s="1" t="str">
        <f t="shared" si="1450"/>
        <v>47</v>
      </c>
      <c r="M2192" s="1" t="str">
        <f t="shared" si="1443"/>
        <v>0</v>
      </c>
      <c r="N2192" s="1" t="str">
        <f t="shared" si="1444"/>
        <v>0</v>
      </c>
      <c r="O2192" s="1" t="str">
        <f>"7.97"</f>
        <v>7.97</v>
      </c>
    </row>
    <row r="2193" s="1" customFormat="1" spans="1:15">
      <c r="A2193" s="1" t="str">
        <f t="shared" si="1445"/>
        <v>202406</v>
      </c>
      <c r="B2193" s="1" t="str">
        <f t="shared" si="1446"/>
        <v>150525100</v>
      </c>
      <c r="C2193" s="1" t="str">
        <f>"1014584199"</f>
        <v>1014584199</v>
      </c>
      <c r="D2193" s="1" t="str">
        <f>"152326196003230664"</f>
        <v>152326196003230664</v>
      </c>
      <c r="E2193" s="1" t="s">
        <v>1285</v>
      </c>
      <c r="F2193" s="1" t="s">
        <v>16</v>
      </c>
      <c r="G2193" s="1" t="s">
        <v>17</v>
      </c>
      <c r="H2193" s="1" t="str">
        <f t="shared" ref="H2193:H2198" si="1451">"64"</f>
        <v>64</v>
      </c>
      <c r="I2193" s="1" t="str">
        <f>"158.66"</f>
        <v>158.66</v>
      </c>
      <c r="J2193" s="1" t="str">
        <f t="shared" si="1448"/>
        <v>0</v>
      </c>
      <c r="K2193" s="1" t="str">
        <f t="shared" si="1449"/>
        <v>103</v>
      </c>
      <c r="L2193" s="1" t="str">
        <f t="shared" si="1450"/>
        <v>47</v>
      </c>
      <c r="M2193" s="1" t="str">
        <f t="shared" si="1443"/>
        <v>0</v>
      </c>
      <c r="N2193" s="1" t="str">
        <f t="shared" si="1444"/>
        <v>0</v>
      </c>
      <c r="O2193" s="1" t="str">
        <f>"8.66"</f>
        <v>8.66</v>
      </c>
    </row>
    <row r="2194" s="1" customFormat="1" spans="1:15">
      <c r="A2194" s="1" t="str">
        <f t="shared" si="1445"/>
        <v>202406</v>
      </c>
      <c r="B2194" s="1" t="str">
        <f t="shared" si="1446"/>
        <v>150525100</v>
      </c>
      <c r="C2194" s="1" t="str">
        <f>"1014584203"</f>
        <v>1014584203</v>
      </c>
      <c r="D2194" s="1" t="str">
        <f>"152326196006140672"</f>
        <v>152326196006140672</v>
      </c>
      <c r="E2194" s="1" t="s">
        <v>2273</v>
      </c>
      <c r="F2194" s="1" t="s">
        <v>25</v>
      </c>
      <c r="G2194" s="1" t="s">
        <v>17</v>
      </c>
      <c r="H2194" s="1" t="str">
        <f t="shared" si="1451"/>
        <v>64</v>
      </c>
      <c r="I2194" s="1" t="str">
        <f>"159.21"</f>
        <v>159.21</v>
      </c>
      <c r="J2194" s="1" t="str">
        <f t="shared" si="1448"/>
        <v>0</v>
      </c>
      <c r="K2194" s="1" t="str">
        <f t="shared" si="1449"/>
        <v>103</v>
      </c>
      <c r="L2194" s="1" t="str">
        <f t="shared" si="1450"/>
        <v>47</v>
      </c>
      <c r="M2194" s="1" t="str">
        <f t="shared" si="1443"/>
        <v>0</v>
      </c>
      <c r="N2194" s="1" t="str">
        <f t="shared" si="1444"/>
        <v>0</v>
      </c>
      <c r="O2194" s="1" t="str">
        <f>"9.21"</f>
        <v>9.21</v>
      </c>
    </row>
    <row r="2195" s="1" customFormat="1" spans="1:15">
      <c r="A2195" s="1" t="str">
        <f t="shared" si="1445"/>
        <v>202406</v>
      </c>
      <c r="B2195" s="1" t="str">
        <f t="shared" si="1446"/>
        <v>150525100</v>
      </c>
      <c r="C2195" s="1" t="str">
        <f>"1014549761"</f>
        <v>1014549761</v>
      </c>
      <c r="D2195" s="1" t="str">
        <f>"152326196003060677"</f>
        <v>152326196003060677</v>
      </c>
      <c r="E2195" s="1" t="s">
        <v>2274</v>
      </c>
      <c r="F2195" s="1" t="s">
        <v>25</v>
      </c>
      <c r="G2195" s="1" t="s">
        <v>17</v>
      </c>
      <c r="H2195" s="1" t="str">
        <f t="shared" si="1451"/>
        <v>64</v>
      </c>
      <c r="I2195" s="1" t="str">
        <f>"159.19"</f>
        <v>159.19</v>
      </c>
      <c r="J2195" s="1" t="str">
        <f t="shared" si="1448"/>
        <v>0</v>
      </c>
      <c r="K2195" s="1" t="str">
        <f t="shared" si="1449"/>
        <v>103</v>
      </c>
      <c r="L2195" s="1" t="str">
        <f t="shared" si="1450"/>
        <v>47</v>
      </c>
      <c r="M2195" s="1" t="str">
        <f t="shared" si="1443"/>
        <v>0</v>
      </c>
      <c r="N2195" s="1" t="str">
        <f t="shared" si="1444"/>
        <v>0</v>
      </c>
      <c r="O2195" s="1" t="str">
        <f>"9.19"</f>
        <v>9.19</v>
      </c>
    </row>
    <row r="2196" s="1" customFormat="1" spans="1:15">
      <c r="A2196" s="1" t="str">
        <f t="shared" si="1445"/>
        <v>202406</v>
      </c>
      <c r="B2196" s="1" t="str">
        <f t="shared" si="1446"/>
        <v>150525100</v>
      </c>
      <c r="C2196" s="1" t="str">
        <f>"1014549762"</f>
        <v>1014549762</v>
      </c>
      <c r="D2196" s="1" t="str">
        <f>"152326196003140677"</f>
        <v>152326196003140677</v>
      </c>
      <c r="E2196" s="1" t="s">
        <v>2275</v>
      </c>
      <c r="F2196" s="1" t="s">
        <v>25</v>
      </c>
      <c r="G2196" s="1" t="s">
        <v>17</v>
      </c>
      <c r="H2196" s="1" t="str">
        <f t="shared" si="1451"/>
        <v>64</v>
      </c>
      <c r="I2196" s="1" t="str">
        <f>"159.19"</f>
        <v>159.19</v>
      </c>
      <c r="J2196" s="1" t="str">
        <f t="shared" si="1448"/>
        <v>0</v>
      </c>
      <c r="K2196" s="1" t="str">
        <f t="shared" si="1449"/>
        <v>103</v>
      </c>
      <c r="L2196" s="1" t="str">
        <f t="shared" si="1450"/>
        <v>47</v>
      </c>
      <c r="M2196" s="1" t="str">
        <f t="shared" si="1443"/>
        <v>0</v>
      </c>
      <c r="N2196" s="1" t="str">
        <f t="shared" si="1444"/>
        <v>0</v>
      </c>
      <c r="O2196" s="1" t="str">
        <f>"9.19"</f>
        <v>9.19</v>
      </c>
    </row>
    <row r="2197" s="1" customFormat="1" spans="1:15">
      <c r="A2197" s="1" t="str">
        <f t="shared" si="1445"/>
        <v>202406</v>
      </c>
      <c r="B2197" s="1" t="str">
        <f t="shared" si="1446"/>
        <v>150525100</v>
      </c>
      <c r="C2197" s="1" t="str">
        <f>"1014549764"</f>
        <v>1014549764</v>
      </c>
      <c r="D2197" s="1" t="str">
        <f>"152326196004050024"</f>
        <v>152326196004050024</v>
      </c>
      <c r="E2197" s="1" t="s">
        <v>2276</v>
      </c>
      <c r="F2197" s="1" t="s">
        <v>16</v>
      </c>
      <c r="G2197" s="1" t="s">
        <v>19</v>
      </c>
      <c r="H2197" s="1" t="str">
        <f t="shared" si="1451"/>
        <v>64</v>
      </c>
      <c r="I2197" s="1" t="str">
        <f>"159.2"</f>
        <v>159.2</v>
      </c>
      <c r="J2197" s="1" t="str">
        <f t="shared" si="1448"/>
        <v>0</v>
      </c>
      <c r="K2197" s="1" t="str">
        <f t="shared" si="1449"/>
        <v>103</v>
      </c>
      <c r="L2197" s="1" t="str">
        <f t="shared" si="1450"/>
        <v>47</v>
      </c>
      <c r="M2197" s="1" t="str">
        <f t="shared" si="1443"/>
        <v>0</v>
      </c>
      <c r="N2197" s="1" t="str">
        <f t="shared" si="1444"/>
        <v>0</v>
      </c>
      <c r="O2197" s="1" t="str">
        <f>"9.2"</f>
        <v>9.2</v>
      </c>
    </row>
    <row r="2198" s="1" customFormat="1" spans="1:15">
      <c r="A2198" s="1" t="str">
        <f t="shared" si="1445"/>
        <v>202406</v>
      </c>
      <c r="B2198" s="1" t="str">
        <f t="shared" si="1446"/>
        <v>150525100</v>
      </c>
      <c r="C2198" s="1" t="str">
        <f>"1014549766"</f>
        <v>1014549766</v>
      </c>
      <c r="D2198" s="1" t="str">
        <f>"152326196004080696"</f>
        <v>152326196004080696</v>
      </c>
      <c r="E2198" s="1" t="s">
        <v>2277</v>
      </c>
      <c r="F2198" s="1" t="s">
        <v>25</v>
      </c>
      <c r="G2198" s="1" t="s">
        <v>17</v>
      </c>
      <c r="H2198" s="1" t="str">
        <f t="shared" si="1451"/>
        <v>64</v>
      </c>
      <c r="I2198" s="1" t="str">
        <f>"159.2"</f>
        <v>159.2</v>
      </c>
      <c r="J2198" s="1" t="str">
        <f t="shared" si="1448"/>
        <v>0</v>
      </c>
      <c r="K2198" s="1" t="str">
        <f t="shared" si="1449"/>
        <v>103</v>
      </c>
      <c r="L2198" s="1" t="str">
        <f t="shared" si="1450"/>
        <v>47</v>
      </c>
      <c r="M2198" s="1" t="str">
        <f t="shared" si="1443"/>
        <v>0</v>
      </c>
      <c r="N2198" s="1" t="str">
        <f t="shared" si="1444"/>
        <v>0</v>
      </c>
      <c r="O2198" s="1" t="str">
        <f>"9.2"</f>
        <v>9.2</v>
      </c>
    </row>
    <row r="2199" s="1" customFormat="1" spans="1:15">
      <c r="A2199" s="1" t="str">
        <f t="shared" si="1445"/>
        <v>202406</v>
      </c>
      <c r="B2199" s="1" t="str">
        <f t="shared" si="1446"/>
        <v>150525100</v>
      </c>
      <c r="C2199" s="1" t="str">
        <f>"1014550286"</f>
        <v>1014550286</v>
      </c>
      <c r="D2199" s="1" t="str">
        <f>"152326195902210662"</f>
        <v>152326195902210662</v>
      </c>
      <c r="E2199" s="1" t="s">
        <v>2278</v>
      </c>
      <c r="F2199" s="1" t="s">
        <v>16</v>
      </c>
      <c r="G2199" s="1" t="s">
        <v>19</v>
      </c>
      <c r="H2199" s="1" t="str">
        <f>"65"</f>
        <v>65</v>
      </c>
      <c r="I2199" s="1" t="str">
        <f>"158.12"</f>
        <v>158.12</v>
      </c>
      <c r="J2199" s="1" t="str">
        <f t="shared" si="1448"/>
        <v>0</v>
      </c>
      <c r="K2199" s="1" t="str">
        <f t="shared" si="1449"/>
        <v>103</v>
      </c>
      <c r="L2199" s="1" t="str">
        <f t="shared" si="1450"/>
        <v>47</v>
      </c>
      <c r="M2199" s="1" t="str">
        <f t="shared" si="1443"/>
        <v>0</v>
      </c>
      <c r="N2199" s="1" t="str">
        <f t="shared" si="1444"/>
        <v>0</v>
      </c>
      <c r="O2199" s="1" t="str">
        <f>"8.12"</f>
        <v>8.12</v>
      </c>
    </row>
    <row r="2200" s="1" customFormat="1" spans="1:15">
      <c r="A2200" s="1" t="str">
        <f t="shared" si="1445"/>
        <v>202406</v>
      </c>
      <c r="B2200" s="1" t="str">
        <f t="shared" si="1446"/>
        <v>150525100</v>
      </c>
      <c r="C2200" s="1" t="str">
        <f>"1014550784"</f>
        <v>1014550784</v>
      </c>
      <c r="D2200" s="1" t="str">
        <f>"152326195403010682"</f>
        <v>152326195403010682</v>
      </c>
      <c r="E2200" s="1" t="s">
        <v>2279</v>
      </c>
      <c r="F2200" s="1" t="s">
        <v>16</v>
      </c>
      <c r="G2200" s="1" t="s">
        <v>17</v>
      </c>
      <c r="H2200" s="1" t="str">
        <f t="shared" ref="H2200:H2203" si="1452">"70"</f>
        <v>70</v>
      </c>
      <c r="I2200" s="1" t="str">
        <f>"164.15"</f>
        <v>164.15</v>
      </c>
      <c r="J2200" s="1" t="str">
        <f t="shared" si="1448"/>
        <v>0</v>
      </c>
      <c r="K2200" s="1" t="str">
        <f t="shared" si="1449"/>
        <v>103</v>
      </c>
      <c r="L2200" s="1" t="str">
        <f t="shared" si="1450"/>
        <v>47</v>
      </c>
      <c r="M2200" s="1" t="str">
        <f t="shared" si="1443"/>
        <v>0</v>
      </c>
      <c r="N2200" s="1" t="str">
        <f t="shared" si="1444"/>
        <v>0</v>
      </c>
      <c r="O2200" s="1" t="str">
        <f>"4.15"</f>
        <v>4.15</v>
      </c>
    </row>
    <row r="2201" s="1" customFormat="1" spans="1:15">
      <c r="A2201" s="1" t="str">
        <f t="shared" si="1445"/>
        <v>202406</v>
      </c>
      <c r="B2201" s="1" t="str">
        <f t="shared" si="1446"/>
        <v>150525100</v>
      </c>
      <c r="C2201" s="1" t="str">
        <f>"1014585307"</f>
        <v>1014585307</v>
      </c>
      <c r="D2201" s="1" t="str">
        <f>"152326196401280421"</f>
        <v>152326196401280421</v>
      </c>
      <c r="E2201" s="1" t="s">
        <v>2280</v>
      </c>
      <c r="F2201" s="1" t="s">
        <v>16</v>
      </c>
      <c r="G2201" s="1" t="s">
        <v>17</v>
      </c>
      <c r="H2201" s="1" t="str">
        <f>"60"</f>
        <v>60</v>
      </c>
      <c r="I2201" s="1" t="str">
        <f>"168.46"</f>
        <v>168.46</v>
      </c>
      <c r="J2201" s="1" t="str">
        <f t="shared" si="1448"/>
        <v>0</v>
      </c>
      <c r="K2201" s="1" t="str">
        <f t="shared" si="1449"/>
        <v>103</v>
      </c>
      <c r="L2201" s="1" t="str">
        <f t="shared" si="1450"/>
        <v>47</v>
      </c>
      <c r="M2201" s="1" t="str">
        <f t="shared" si="1443"/>
        <v>0</v>
      </c>
      <c r="N2201" s="1" t="str">
        <f t="shared" si="1444"/>
        <v>0</v>
      </c>
      <c r="O2201" s="1" t="str">
        <f>"18.46"</f>
        <v>18.46</v>
      </c>
    </row>
    <row r="2202" s="1" customFormat="1" spans="1:15">
      <c r="A2202" s="1" t="str">
        <f t="shared" si="1445"/>
        <v>202406</v>
      </c>
      <c r="B2202" s="1" t="str">
        <f t="shared" si="1446"/>
        <v>150525100</v>
      </c>
      <c r="C2202" s="1" t="str">
        <f>"1014561458"</f>
        <v>1014561458</v>
      </c>
      <c r="D2202" s="1" t="str">
        <f>"152326195406270420"</f>
        <v>152326195406270420</v>
      </c>
      <c r="E2202" s="1" t="s">
        <v>2281</v>
      </c>
      <c r="F2202" s="1" t="s">
        <v>16</v>
      </c>
      <c r="G2202" s="1" t="s">
        <v>17</v>
      </c>
      <c r="H2202" s="1" t="str">
        <f t="shared" si="1452"/>
        <v>70</v>
      </c>
      <c r="I2202" s="1" t="str">
        <f>"153.91"</f>
        <v>153.91</v>
      </c>
      <c r="J2202" s="1" t="str">
        <f t="shared" si="1448"/>
        <v>0</v>
      </c>
      <c r="K2202" s="1" t="str">
        <f t="shared" si="1449"/>
        <v>103</v>
      </c>
      <c r="L2202" s="1" t="str">
        <f t="shared" si="1450"/>
        <v>47</v>
      </c>
      <c r="M2202" s="1" t="str">
        <f t="shared" si="1443"/>
        <v>0</v>
      </c>
      <c r="N2202" s="1" t="str">
        <f t="shared" si="1444"/>
        <v>0</v>
      </c>
      <c r="O2202" s="1" t="str">
        <f>"3.91"</f>
        <v>3.91</v>
      </c>
    </row>
    <row r="2203" s="1" customFormat="1" spans="1:15">
      <c r="A2203" s="1" t="str">
        <f t="shared" si="1445"/>
        <v>202406</v>
      </c>
      <c r="B2203" s="1" t="str">
        <f t="shared" si="1446"/>
        <v>150525100</v>
      </c>
      <c r="C2203" s="1" t="str">
        <f>"1014561464"</f>
        <v>1014561464</v>
      </c>
      <c r="D2203" s="1" t="str">
        <f>"152326195408220427"</f>
        <v>152326195408220427</v>
      </c>
      <c r="E2203" s="1" t="s">
        <v>2282</v>
      </c>
      <c r="F2203" s="1" t="s">
        <v>16</v>
      </c>
      <c r="G2203" s="1" t="s">
        <v>17</v>
      </c>
      <c r="H2203" s="1" t="str">
        <f t="shared" si="1452"/>
        <v>70</v>
      </c>
      <c r="I2203" s="1" t="str">
        <f>"154.14"</f>
        <v>154.14</v>
      </c>
      <c r="J2203" s="1" t="str">
        <f t="shared" si="1448"/>
        <v>0</v>
      </c>
      <c r="K2203" s="1" t="str">
        <f t="shared" si="1449"/>
        <v>103</v>
      </c>
      <c r="L2203" s="1" t="str">
        <f t="shared" si="1450"/>
        <v>47</v>
      </c>
      <c r="M2203" s="1" t="str">
        <f t="shared" si="1443"/>
        <v>0</v>
      </c>
      <c r="N2203" s="1" t="str">
        <f t="shared" si="1444"/>
        <v>0</v>
      </c>
      <c r="O2203" s="1" t="str">
        <f>"4.14"</f>
        <v>4.14</v>
      </c>
    </row>
    <row r="2204" s="1" customFormat="1" spans="1:15">
      <c r="A2204" s="1" t="str">
        <f t="shared" si="1445"/>
        <v>202406</v>
      </c>
      <c r="B2204" s="1" t="str">
        <f t="shared" si="1446"/>
        <v>150525100</v>
      </c>
      <c r="C2204" s="1" t="str">
        <f>"1014562728"</f>
        <v>1014562728</v>
      </c>
      <c r="D2204" s="1" t="s">
        <v>2283</v>
      </c>
      <c r="E2204" s="1" t="s">
        <v>2284</v>
      </c>
      <c r="F2204" s="1" t="s">
        <v>16</v>
      </c>
      <c r="G2204" s="1" t="s">
        <v>17</v>
      </c>
      <c r="H2204" s="1" t="str">
        <f>"72"</f>
        <v>72</v>
      </c>
      <c r="I2204" s="1" t="str">
        <f>"162.16"</f>
        <v>162.16</v>
      </c>
      <c r="J2204" s="1" t="str">
        <f t="shared" si="1448"/>
        <v>0</v>
      </c>
      <c r="K2204" s="1" t="str">
        <f t="shared" si="1449"/>
        <v>103</v>
      </c>
      <c r="L2204" s="1" t="str">
        <f t="shared" si="1450"/>
        <v>47</v>
      </c>
      <c r="M2204" s="1" t="str">
        <f t="shared" si="1443"/>
        <v>0</v>
      </c>
      <c r="N2204" s="1" t="str">
        <f t="shared" si="1444"/>
        <v>0</v>
      </c>
      <c r="O2204" s="1" t="str">
        <f>"2.16"</f>
        <v>2.16</v>
      </c>
    </row>
    <row r="2205" s="1" customFormat="1" spans="1:15">
      <c r="A2205" s="1" t="str">
        <f t="shared" si="1445"/>
        <v>202406</v>
      </c>
      <c r="B2205" s="1" t="str">
        <f t="shared" si="1446"/>
        <v>150525100</v>
      </c>
      <c r="C2205" s="1" t="str">
        <f>"1014583910"</f>
        <v>1014583910</v>
      </c>
      <c r="D2205" s="1" t="str">
        <f>"152326195512150449"</f>
        <v>152326195512150449</v>
      </c>
      <c r="E2205" s="1" t="s">
        <v>2285</v>
      </c>
      <c r="F2205" s="1" t="s">
        <v>16</v>
      </c>
      <c r="G2205" s="1" t="s">
        <v>17</v>
      </c>
      <c r="H2205" s="1" t="str">
        <f>"69"</f>
        <v>69</v>
      </c>
      <c r="I2205" s="1" t="str">
        <f>"155.09"</f>
        <v>155.09</v>
      </c>
      <c r="J2205" s="1" t="str">
        <f t="shared" si="1448"/>
        <v>0</v>
      </c>
      <c r="K2205" s="1" t="str">
        <f t="shared" si="1449"/>
        <v>103</v>
      </c>
      <c r="L2205" s="1" t="str">
        <f t="shared" si="1450"/>
        <v>47</v>
      </c>
      <c r="M2205" s="1" t="str">
        <f t="shared" si="1443"/>
        <v>0</v>
      </c>
      <c r="N2205" s="1" t="str">
        <f t="shared" si="1444"/>
        <v>0</v>
      </c>
      <c r="O2205" s="1" t="str">
        <f>"5.09"</f>
        <v>5.09</v>
      </c>
    </row>
    <row r="2206" s="1" customFormat="1" spans="1:15">
      <c r="A2206" s="1" t="str">
        <f t="shared" si="1445"/>
        <v>202406</v>
      </c>
      <c r="B2206" s="1" t="str">
        <f t="shared" si="1446"/>
        <v>150525100</v>
      </c>
      <c r="C2206" s="1" t="str">
        <f>"1014550792"</f>
        <v>1014550792</v>
      </c>
      <c r="D2206" s="1" t="str">
        <f>"152326195405200666"</f>
        <v>152326195405200666</v>
      </c>
      <c r="E2206" s="1" t="s">
        <v>97</v>
      </c>
      <c r="F2206" s="1" t="s">
        <v>16</v>
      </c>
      <c r="G2206" s="1" t="s">
        <v>17</v>
      </c>
      <c r="H2206" s="1" t="str">
        <f t="shared" ref="H2206:H2210" si="1453">"70"</f>
        <v>70</v>
      </c>
      <c r="I2206" s="1" t="str">
        <f>"164.15"</f>
        <v>164.15</v>
      </c>
      <c r="J2206" s="1" t="str">
        <f t="shared" si="1448"/>
        <v>0</v>
      </c>
      <c r="K2206" s="1" t="str">
        <f t="shared" si="1449"/>
        <v>103</v>
      </c>
      <c r="L2206" s="1" t="str">
        <f t="shared" si="1450"/>
        <v>47</v>
      </c>
      <c r="M2206" s="1" t="str">
        <f t="shared" si="1443"/>
        <v>0</v>
      </c>
      <c r="N2206" s="1" t="str">
        <f t="shared" si="1444"/>
        <v>0</v>
      </c>
      <c r="O2206" s="1" t="str">
        <f t="shared" ref="O2206:O2208" si="1454">"4.15"</f>
        <v>4.15</v>
      </c>
    </row>
    <row r="2207" s="1" customFormat="1" spans="1:15">
      <c r="A2207" s="1" t="str">
        <f t="shared" si="1445"/>
        <v>202406</v>
      </c>
      <c r="B2207" s="1" t="str">
        <f t="shared" si="1446"/>
        <v>150525100</v>
      </c>
      <c r="C2207" s="1" t="str">
        <f>"1014550795"</f>
        <v>1014550795</v>
      </c>
      <c r="D2207" s="1" t="str">
        <f>"152326195408080663"</f>
        <v>152326195408080663</v>
      </c>
      <c r="E2207" s="1" t="s">
        <v>2286</v>
      </c>
      <c r="F2207" s="1" t="s">
        <v>16</v>
      </c>
      <c r="G2207" s="1" t="s">
        <v>17</v>
      </c>
      <c r="H2207" s="1" t="str">
        <f t="shared" si="1453"/>
        <v>70</v>
      </c>
      <c r="I2207" s="1" t="str">
        <f>"154.15"</f>
        <v>154.15</v>
      </c>
      <c r="J2207" s="1" t="str">
        <f t="shared" si="1448"/>
        <v>0</v>
      </c>
      <c r="K2207" s="1" t="str">
        <f t="shared" si="1449"/>
        <v>103</v>
      </c>
      <c r="L2207" s="1" t="str">
        <f t="shared" si="1450"/>
        <v>47</v>
      </c>
      <c r="M2207" s="1" t="str">
        <f t="shared" si="1443"/>
        <v>0</v>
      </c>
      <c r="N2207" s="1" t="str">
        <f t="shared" si="1444"/>
        <v>0</v>
      </c>
      <c r="O2207" s="1" t="str">
        <f t="shared" si="1454"/>
        <v>4.15</v>
      </c>
    </row>
    <row r="2208" s="1" customFormat="1" spans="1:15">
      <c r="A2208" s="1" t="str">
        <f t="shared" si="1445"/>
        <v>202406</v>
      </c>
      <c r="B2208" s="1" t="str">
        <f t="shared" si="1446"/>
        <v>150525100</v>
      </c>
      <c r="C2208" s="1" t="str">
        <f>"1014550802"</f>
        <v>1014550802</v>
      </c>
      <c r="D2208" s="1" t="str">
        <f>"152326195409230678"</f>
        <v>152326195409230678</v>
      </c>
      <c r="E2208" s="1" t="s">
        <v>2287</v>
      </c>
      <c r="F2208" s="1" t="s">
        <v>25</v>
      </c>
      <c r="G2208" s="1" t="s">
        <v>19</v>
      </c>
      <c r="H2208" s="1" t="str">
        <f t="shared" si="1453"/>
        <v>70</v>
      </c>
      <c r="I2208" s="1" t="str">
        <f>"154.15"</f>
        <v>154.15</v>
      </c>
      <c r="J2208" s="1" t="str">
        <f t="shared" si="1448"/>
        <v>0</v>
      </c>
      <c r="K2208" s="1" t="str">
        <f t="shared" si="1449"/>
        <v>103</v>
      </c>
      <c r="L2208" s="1" t="str">
        <f t="shared" si="1450"/>
        <v>47</v>
      </c>
      <c r="M2208" s="1" t="str">
        <f t="shared" si="1443"/>
        <v>0</v>
      </c>
      <c r="N2208" s="1" t="str">
        <f t="shared" si="1444"/>
        <v>0</v>
      </c>
      <c r="O2208" s="1" t="str">
        <f t="shared" si="1454"/>
        <v>4.15</v>
      </c>
    </row>
    <row r="2209" s="1" customFormat="1" spans="1:15">
      <c r="A2209" s="1" t="str">
        <f t="shared" si="1445"/>
        <v>202406</v>
      </c>
      <c r="B2209" s="1" t="str">
        <f t="shared" si="1446"/>
        <v>150525100</v>
      </c>
      <c r="C2209" s="1" t="str">
        <f>"1014550821"</f>
        <v>1014550821</v>
      </c>
      <c r="D2209" s="1" t="str">
        <f>"152326195501047614"</f>
        <v>152326195501047614</v>
      </c>
      <c r="E2209" s="1" t="s">
        <v>2288</v>
      </c>
      <c r="F2209" s="1" t="s">
        <v>25</v>
      </c>
      <c r="G2209" s="1" t="s">
        <v>19</v>
      </c>
      <c r="H2209" s="1" t="str">
        <f t="shared" si="1453"/>
        <v>70</v>
      </c>
      <c r="I2209" s="1" t="str">
        <f>"155.11"</f>
        <v>155.11</v>
      </c>
      <c r="J2209" s="1" t="str">
        <f t="shared" si="1448"/>
        <v>0</v>
      </c>
      <c r="K2209" s="1" t="str">
        <f t="shared" si="1449"/>
        <v>103</v>
      </c>
      <c r="L2209" s="1" t="str">
        <f t="shared" si="1450"/>
        <v>47</v>
      </c>
      <c r="M2209" s="1" t="str">
        <f t="shared" si="1443"/>
        <v>0</v>
      </c>
      <c r="N2209" s="1" t="str">
        <f t="shared" si="1444"/>
        <v>0</v>
      </c>
      <c r="O2209" s="1" t="str">
        <f>"5.11"</f>
        <v>5.11</v>
      </c>
    </row>
    <row r="2210" s="1" customFormat="1" spans="1:15">
      <c r="A2210" s="1" t="str">
        <f t="shared" si="1445"/>
        <v>202406</v>
      </c>
      <c r="B2210" s="1" t="str">
        <f t="shared" si="1446"/>
        <v>150525100</v>
      </c>
      <c r="C2210" s="1" t="str">
        <f>"1014570743"</f>
        <v>1014570743</v>
      </c>
      <c r="D2210" s="1" t="str">
        <f>"152326195404120082"</f>
        <v>152326195404120082</v>
      </c>
      <c r="E2210" s="1" t="s">
        <v>2289</v>
      </c>
      <c r="F2210" s="1" t="s">
        <v>16</v>
      </c>
      <c r="G2210" s="1" t="s">
        <v>17</v>
      </c>
      <c r="H2210" s="1" t="str">
        <f t="shared" si="1453"/>
        <v>70</v>
      </c>
      <c r="I2210" s="1" t="str">
        <f>"175.83"</f>
        <v>175.83</v>
      </c>
      <c r="J2210" s="1" t="str">
        <f t="shared" si="1448"/>
        <v>0</v>
      </c>
      <c r="K2210" s="1" t="str">
        <f t="shared" si="1449"/>
        <v>103</v>
      </c>
      <c r="L2210" s="1" t="str">
        <f t="shared" si="1450"/>
        <v>47</v>
      </c>
      <c r="M2210" s="1" t="str">
        <f t="shared" si="1443"/>
        <v>0</v>
      </c>
      <c r="N2210" s="1" t="str">
        <f t="shared" si="1444"/>
        <v>0</v>
      </c>
      <c r="O2210" s="1" t="str">
        <f>"15.83"</f>
        <v>15.83</v>
      </c>
    </row>
    <row r="2211" s="1" customFormat="1" spans="1:15">
      <c r="A2211" s="1" t="str">
        <f t="shared" si="1445"/>
        <v>202406</v>
      </c>
      <c r="B2211" s="1" t="str">
        <f t="shared" si="1446"/>
        <v>150525100</v>
      </c>
      <c r="C2211" s="1" t="str">
        <f>"1014612853"</f>
        <v>1014612853</v>
      </c>
      <c r="D2211" s="1" t="str">
        <f>"152326193809190426"</f>
        <v>152326193809190426</v>
      </c>
      <c r="E2211" s="1" t="s">
        <v>2290</v>
      </c>
      <c r="F2211" s="1" t="s">
        <v>16</v>
      </c>
      <c r="G2211" s="1" t="s">
        <v>17</v>
      </c>
      <c r="H2211" s="1" t="str">
        <f>"86"</f>
        <v>86</v>
      </c>
      <c r="I2211" s="1" t="str">
        <f>"170"</f>
        <v>170</v>
      </c>
      <c r="J2211" s="1" t="str">
        <f t="shared" si="1448"/>
        <v>0</v>
      </c>
      <c r="K2211" s="1" t="str">
        <f t="shared" si="1449"/>
        <v>103</v>
      </c>
      <c r="L2211" s="1" t="str">
        <f t="shared" si="1450"/>
        <v>47</v>
      </c>
      <c r="M2211" s="1" t="str">
        <f t="shared" si="1443"/>
        <v>0</v>
      </c>
      <c r="N2211" s="1" t="str">
        <f t="shared" si="1444"/>
        <v>0</v>
      </c>
      <c r="O2211" s="1" t="str">
        <f t="shared" ref="O2211:O2232" si="1455">"0"</f>
        <v>0</v>
      </c>
    </row>
    <row r="2212" s="1" customFormat="1" spans="1:15">
      <c r="A2212" s="1" t="str">
        <f t="shared" si="1445"/>
        <v>202406</v>
      </c>
      <c r="B2212" s="1" t="str">
        <f t="shared" si="1446"/>
        <v>150525100</v>
      </c>
      <c r="C2212" s="1" t="str">
        <f>"1014612855"</f>
        <v>1014612855</v>
      </c>
      <c r="D2212" s="1" t="str">
        <f>"152326194409060424"</f>
        <v>152326194409060424</v>
      </c>
      <c r="E2212" s="1" t="s">
        <v>50</v>
      </c>
      <c r="F2212" s="1" t="s">
        <v>16</v>
      </c>
      <c r="G2212" s="1" t="s">
        <v>17</v>
      </c>
      <c r="H2212" s="1" t="str">
        <f>"80"</f>
        <v>80</v>
      </c>
      <c r="I2212" s="1" t="str">
        <f t="shared" ref="I2212:I2217" si="1456">"160"</f>
        <v>160</v>
      </c>
      <c r="J2212" s="1" t="str">
        <f t="shared" si="1448"/>
        <v>0</v>
      </c>
      <c r="K2212" s="1" t="str">
        <f t="shared" si="1449"/>
        <v>103</v>
      </c>
      <c r="L2212" s="1" t="str">
        <f t="shared" si="1450"/>
        <v>47</v>
      </c>
      <c r="M2212" s="1" t="str">
        <f t="shared" si="1443"/>
        <v>0</v>
      </c>
      <c r="N2212" s="1" t="str">
        <f t="shared" si="1444"/>
        <v>0</v>
      </c>
      <c r="O2212" s="1" t="str">
        <f t="shared" si="1455"/>
        <v>0</v>
      </c>
    </row>
    <row r="2213" s="1" customFormat="1" spans="1:15">
      <c r="A2213" s="1" t="str">
        <f t="shared" si="1445"/>
        <v>202406</v>
      </c>
      <c r="B2213" s="1" t="str">
        <f t="shared" si="1446"/>
        <v>150525100</v>
      </c>
      <c r="C2213" s="1" t="str">
        <f>"1014613152"</f>
        <v>1014613152</v>
      </c>
      <c r="D2213" s="1" t="str">
        <f>"152326194106170415"</f>
        <v>152326194106170415</v>
      </c>
      <c r="E2213" s="1" t="s">
        <v>2291</v>
      </c>
      <c r="F2213" s="1" t="s">
        <v>25</v>
      </c>
      <c r="G2213" s="1" t="s">
        <v>19</v>
      </c>
      <c r="H2213" s="1" t="str">
        <f>"83"</f>
        <v>83</v>
      </c>
      <c r="I2213" s="1" t="str">
        <f>"170"</f>
        <v>170</v>
      </c>
      <c r="J2213" s="1" t="str">
        <f t="shared" si="1448"/>
        <v>0</v>
      </c>
      <c r="K2213" s="1" t="str">
        <f t="shared" si="1449"/>
        <v>103</v>
      </c>
      <c r="L2213" s="1" t="str">
        <f t="shared" si="1450"/>
        <v>47</v>
      </c>
      <c r="M2213" s="1" t="str">
        <f t="shared" si="1443"/>
        <v>0</v>
      </c>
      <c r="N2213" s="1" t="str">
        <f t="shared" si="1444"/>
        <v>0</v>
      </c>
      <c r="O2213" s="1" t="str">
        <f t="shared" si="1455"/>
        <v>0</v>
      </c>
    </row>
    <row r="2214" s="1" customFormat="1" spans="1:15">
      <c r="A2214" s="1" t="str">
        <f t="shared" si="1445"/>
        <v>202406</v>
      </c>
      <c r="B2214" s="1" t="str">
        <f t="shared" si="1446"/>
        <v>150525100</v>
      </c>
      <c r="C2214" s="1" t="str">
        <f>"1014622197"</f>
        <v>1014622197</v>
      </c>
      <c r="D2214" s="1" t="str">
        <f>"152326194710130671"</f>
        <v>152326194710130671</v>
      </c>
      <c r="E2214" s="1" t="s">
        <v>2292</v>
      </c>
      <c r="F2214" s="1" t="s">
        <v>25</v>
      </c>
      <c r="G2214" s="1" t="s">
        <v>17</v>
      </c>
      <c r="H2214" s="1" t="str">
        <f>"77"</f>
        <v>77</v>
      </c>
      <c r="I2214" s="1" t="str">
        <f t="shared" si="1456"/>
        <v>160</v>
      </c>
      <c r="J2214" s="1" t="str">
        <f t="shared" si="1448"/>
        <v>0</v>
      </c>
      <c r="K2214" s="1" t="str">
        <f t="shared" si="1449"/>
        <v>103</v>
      </c>
      <c r="L2214" s="1" t="str">
        <f t="shared" si="1450"/>
        <v>47</v>
      </c>
      <c r="M2214" s="1" t="str">
        <f t="shared" si="1443"/>
        <v>0</v>
      </c>
      <c r="N2214" s="1" t="str">
        <f t="shared" si="1444"/>
        <v>0</v>
      </c>
      <c r="O2214" s="1" t="str">
        <f t="shared" si="1455"/>
        <v>0</v>
      </c>
    </row>
    <row r="2215" s="1" customFormat="1" spans="1:15">
      <c r="A2215" s="1" t="str">
        <f t="shared" si="1445"/>
        <v>202406</v>
      </c>
      <c r="B2215" s="1" t="str">
        <f t="shared" si="1446"/>
        <v>150525100</v>
      </c>
      <c r="C2215" s="1" t="str">
        <f>"1014622592"</f>
        <v>1014622592</v>
      </c>
      <c r="D2215" s="1" t="str">
        <f>"152326195110090674"</f>
        <v>152326195110090674</v>
      </c>
      <c r="E2215" s="1" t="s">
        <v>2293</v>
      </c>
      <c r="F2215" s="1" t="s">
        <v>25</v>
      </c>
      <c r="G2215" s="1" t="s">
        <v>17</v>
      </c>
      <c r="H2215" s="1" t="str">
        <f>"73"</f>
        <v>73</v>
      </c>
      <c r="I2215" s="1" t="str">
        <f t="shared" si="1456"/>
        <v>160</v>
      </c>
      <c r="J2215" s="1" t="str">
        <f t="shared" si="1448"/>
        <v>0</v>
      </c>
      <c r="K2215" s="1" t="str">
        <f t="shared" si="1449"/>
        <v>103</v>
      </c>
      <c r="L2215" s="1" t="str">
        <f t="shared" si="1450"/>
        <v>47</v>
      </c>
      <c r="M2215" s="1" t="str">
        <f t="shared" si="1443"/>
        <v>0</v>
      </c>
      <c r="N2215" s="1" t="str">
        <f t="shared" si="1444"/>
        <v>0</v>
      </c>
      <c r="O2215" s="1" t="str">
        <f t="shared" si="1455"/>
        <v>0</v>
      </c>
    </row>
    <row r="2216" s="1" customFormat="1" spans="1:15">
      <c r="A2216" s="1" t="str">
        <f t="shared" si="1445"/>
        <v>202406</v>
      </c>
      <c r="B2216" s="1" t="str">
        <f t="shared" si="1446"/>
        <v>150525100</v>
      </c>
      <c r="C2216" s="1" t="str">
        <f>"1014624434"</f>
        <v>1014624434</v>
      </c>
      <c r="D2216" s="1" t="str">
        <f>"152326194408150663"</f>
        <v>152326194408150663</v>
      </c>
      <c r="E2216" s="1" t="s">
        <v>2294</v>
      </c>
      <c r="F2216" s="1" t="s">
        <v>16</v>
      </c>
      <c r="G2216" s="1" t="s">
        <v>17</v>
      </c>
      <c r="H2216" s="1" t="str">
        <f>"80"</f>
        <v>80</v>
      </c>
      <c r="I2216" s="1" t="str">
        <f t="shared" si="1456"/>
        <v>160</v>
      </c>
      <c r="J2216" s="1" t="str">
        <f t="shared" si="1448"/>
        <v>0</v>
      </c>
      <c r="K2216" s="1" t="str">
        <f t="shared" si="1449"/>
        <v>103</v>
      </c>
      <c r="L2216" s="1" t="str">
        <f t="shared" si="1450"/>
        <v>47</v>
      </c>
      <c r="M2216" s="1" t="str">
        <f t="shared" si="1443"/>
        <v>0</v>
      </c>
      <c r="N2216" s="1" t="str">
        <f t="shared" si="1444"/>
        <v>0</v>
      </c>
      <c r="O2216" s="1" t="str">
        <f t="shared" si="1455"/>
        <v>0</v>
      </c>
    </row>
    <row r="2217" s="1" customFormat="1" spans="1:15">
      <c r="A2217" s="1" t="str">
        <f t="shared" si="1445"/>
        <v>202406</v>
      </c>
      <c r="B2217" s="1" t="str">
        <f t="shared" si="1446"/>
        <v>150525100</v>
      </c>
      <c r="C2217" s="1" t="str">
        <f>"1014624440"</f>
        <v>1014624440</v>
      </c>
      <c r="D2217" s="1" t="str">
        <f>"152326194612200664"</f>
        <v>152326194612200664</v>
      </c>
      <c r="E2217" s="1" t="s">
        <v>2295</v>
      </c>
      <c r="F2217" s="1" t="s">
        <v>16</v>
      </c>
      <c r="G2217" s="1" t="s">
        <v>17</v>
      </c>
      <c r="H2217" s="1" t="str">
        <f>"78"</f>
        <v>78</v>
      </c>
      <c r="I2217" s="1" t="str">
        <f t="shared" si="1456"/>
        <v>160</v>
      </c>
      <c r="J2217" s="1" t="str">
        <f t="shared" si="1448"/>
        <v>0</v>
      </c>
      <c r="K2217" s="1" t="str">
        <f t="shared" si="1449"/>
        <v>103</v>
      </c>
      <c r="L2217" s="1" t="str">
        <f t="shared" si="1450"/>
        <v>47</v>
      </c>
      <c r="M2217" s="1" t="str">
        <f t="shared" si="1443"/>
        <v>0</v>
      </c>
      <c r="N2217" s="1" t="str">
        <f t="shared" si="1444"/>
        <v>0</v>
      </c>
      <c r="O2217" s="1" t="str">
        <f t="shared" si="1455"/>
        <v>0</v>
      </c>
    </row>
    <row r="2218" s="1" customFormat="1" spans="1:15">
      <c r="A2218" s="1" t="str">
        <f t="shared" si="1445"/>
        <v>202406</v>
      </c>
      <c r="B2218" s="1" t="str">
        <f t="shared" si="1446"/>
        <v>150525100</v>
      </c>
      <c r="C2218" s="1" t="str">
        <f>"1014624445"</f>
        <v>1014624445</v>
      </c>
      <c r="D2218" s="1" t="str">
        <f>"152326193803020661"</f>
        <v>152326193803020661</v>
      </c>
      <c r="E2218" s="1" t="s">
        <v>796</v>
      </c>
      <c r="F2218" s="1" t="s">
        <v>16</v>
      </c>
      <c r="G2218" s="1" t="s">
        <v>17</v>
      </c>
      <c r="H2218" s="1" t="str">
        <f>"86"</f>
        <v>86</v>
      </c>
      <c r="I2218" s="1" t="str">
        <f>"170"</f>
        <v>170</v>
      </c>
      <c r="J2218" s="1" t="str">
        <f t="shared" si="1448"/>
        <v>0</v>
      </c>
      <c r="K2218" s="1" t="str">
        <f t="shared" si="1449"/>
        <v>103</v>
      </c>
      <c r="L2218" s="1" t="str">
        <f t="shared" si="1450"/>
        <v>47</v>
      </c>
      <c r="M2218" s="1" t="str">
        <f t="shared" si="1443"/>
        <v>0</v>
      </c>
      <c r="N2218" s="1" t="str">
        <f t="shared" si="1444"/>
        <v>0</v>
      </c>
      <c r="O2218" s="1" t="str">
        <f t="shared" si="1455"/>
        <v>0</v>
      </c>
    </row>
    <row r="2219" s="1" customFormat="1" spans="1:15">
      <c r="A2219" s="1" t="str">
        <f t="shared" si="1445"/>
        <v>202406</v>
      </c>
      <c r="B2219" s="1" t="str">
        <f t="shared" si="1446"/>
        <v>150525100</v>
      </c>
      <c r="C2219" s="1" t="str">
        <f>"1014629350"</f>
        <v>1014629350</v>
      </c>
      <c r="D2219" s="1" t="s">
        <v>2296</v>
      </c>
      <c r="E2219" s="1" t="s">
        <v>2297</v>
      </c>
      <c r="F2219" s="1" t="s">
        <v>16</v>
      </c>
      <c r="G2219" s="1" t="s">
        <v>17</v>
      </c>
      <c r="H2219" s="1" t="str">
        <f>"83"</f>
        <v>83</v>
      </c>
      <c r="I2219" s="1" t="str">
        <f>"170"</f>
        <v>170</v>
      </c>
      <c r="J2219" s="1" t="str">
        <f t="shared" si="1448"/>
        <v>0</v>
      </c>
      <c r="K2219" s="1" t="str">
        <f t="shared" si="1449"/>
        <v>103</v>
      </c>
      <c r="L2219" s="1" t="str">
        <f t="shared" si="1450"/>
        <v>47</v>
      </c>
      <c r="M2219" s="1" t="str">
        <f t="shared" si="1443"/>
        <v>0</v>
      </c>
      <c r="N2219" s="1" t="str">
        <f t="shared" si="1444"/>
        <v>0</v>
      </c>
      <c r="O2219" s="1" t="str">
        <f t="shared" si="1455"/>
        <v>0</v>
      </c>
    </row>
    <row r="2220" s="1" customFormat="1" spans="1:15">
      <c r="A2220" s="1" t="str">
        <f t="shared" si="1445"/>
        <v>202406</v>
      </c>
      <c r="B2220" s="1" t="str">
        <f t="shared" si="1446"/>
        <v>150525100</v>
      </c>
      <c r="C2220" s="1" t="str">
        <f>"1014629353"</f>
        <v>1014629353</v>
      </c>
      <c r="D2220" s="1" t="str">
        <f>"152326194901310034"</f>
        <v>152326194901310034</v>
      </c>
      <c r="E2220" s="1" t="s">
        <v>2298</v>
      </c>
      <c r="F2220" s="1" t="s">
        <v>25</v>
      </c>
      <c r="G2220" s="1" t="s">
        <v>17</v>
      </c>
      <c r="H2220" s="1" t="str">
        <f>"75"</f>
        <v>75</v>
      </c>
      <c r="I2220" s="1" t="str">
        <f t="shared" ref="I2220:I2223" si="1457">"160"</f>
        <v>160</v>
      </c>
      <c r="J2220" s="1" t="str">
        <f t="shared" si="1448"/>
        <v>0</v>
      </c>
      <c r="K2220" s="1" t="str">
        <f t="shared" si="1449"/>
        <v>103</v>
      </c>
      <c r="L2220" s="1" t="str">
        <f t="shared" si="1450"/>
        <v>47</v>
      </c>
      <c r="M2220" s="1" t="str">
        <f t="shared" si="1443"/>
        <v>0</v>
      </c>
      <c r="N2220" s="1" t="str">
        <f t="shared" si="1444"/>
        <v>0</v>
      </c>
      <c r="O2220" s="1" t="str">
        <f t="shared" si="1455"/>
        <v>0</v>
      </c>
    </row>
    <row r="2221" s="1" customFormat="1" spans="1:15">
      <c r="A2221" s="1" t="str">
        <f t="shared" si="1445"/>
        <v>202406</v>
      </c>
      <c r="B2221" s="1" t="str">
        <f t="shared" si="1446"/>
        <v>150525100</v>
      </c>
      <c r="C2221" s="1" t="str">
        <f>"1014629403"</f>
        <v>1014629403</v>
      </c>
      <c r="D2221" s="1" t="str">
        <f>"152326195102040028"</f>
        <v>152326195102040028</v>
      </c>
      <c r="E2221" s="1" t="s">
        <v>2299</v>
      </c>
      <c r="F2221" s="1" t="s">
        <v>16</v>
      </c>
      <c r="G2221" s="1" t="s">
        <v>17</v>
      </c>
      <c r="H2221" s="1" t="str">
        <f>"73"</f>
        <v>73</v>
      </c>
      <c r="I2221" s="1" t="str">
        <f t="shared" si="1457"/>
        <v>160</v>
      </c>
      <c r="J2221" s="1" t="str">
        <f t="shared" si="1448"/>
        <v>0</v>
      </c>
      <c r="K2221" s="1" t="str">
        <f t="shared" si="1449"/>
        <v>103</v>
      </c>
      <c r="L2221" s="1" t="str">
        <f t="shared" si="1450"/>
        <v>47</v>
      </c>
      <c r="M2221" s="1" t="str">
        <f t="shared" si="1443"/>
        <v>0</v>
      </c>
      <c r="N2221" s="1" t="str">
        <f t="shared" si="1444"/>
        <v>0</v>
      </c>
      <c r="O2221" s="1" t="str">
        <f t="shared" si="1455"/>
        <v>0</v>
      </c>
    </row>
    <row r="2222" s="1" customFormat="1" spans="1:15">
      <c r="A2222" s="1" t="str">
        <f t="shared" si="1445"/>
        <v>202406</v>
      </c>
      <c r="B2222" s="1" t="str">
        <f t="shared" si="1446"/>
        <v>150525100</v>
      </c>
      <c r="C2222" s="1" t="str">
        <f>"1014619418"</f>
        <v>1014619418</v>
      </c>
      <c r="D2222" s="1" t="s">
        <v>2300</v>
      </c>
      <c r="E2222" s="1" t="s">
        <v>2301</v>
      </c>
      <c r="F2222" s="1" t="s">
        <v>25</v>
      </c>
      <c r="G2222" s="1" t="s">
        <v>17</v>
      </c>
      <c r="H2222" s="1" t="str">
        <f>"75"</f>
        <v>75</v>
      </c>
      <c r="I2222" s="1" t="str">
        <f>"960"</f>
        <v>960</v>
      </c>
      <c r="J2222" s="1" t="str">
        <f>"800"</f>
        <v>800</v>
      </c>
      <c r="K2222" s="1" t="str">
        <f>"618"</f>
        <v>618</v>
      </c>
      <c r="L2222" s="1" t="str">
        <f>"282"</f>
        <v>282</v>
      </c>
      <c r="M2222" s="1" t="str">
        <f t="shared" si="1443"/>
        <v>0</v>
      </c>
      <c r="N2222" s="1" t="str">
        <f t="shared" si="1444"/>
        <v>0</v>
      </c>
      <c r="O2222" s="1" t="str">
        <f t="shared" si="1455"/>
        <v>0</v>
      </c>
    </row>
    <row r="2223" s="1" customFormat="1" spans="1:15">
      <c r="A2223" s="1" t="str">
        <f t="shared" si="1445"/>
        <v>202406</v>
      </c>
      <c r="B2223" s="1" t="str">
        <f t="shared" si="1446"/>
        <v>150525100</v>
      </c>
      <c r="C2223" s="1" t="str">
        <f>"1014619433"</f>
        <v>1014619433</v>
      </c>
      <c r="D2223" s="1" t="str">
        <f>"152326194804130672"</f>
        <v>152326194804130672</v>
      </c>
      <c r="E2223" s="1" t="s">
        <v>2302</v>
      </c>
      <c r="F2223" s="1" t="s">
        <v>25</v>
      </c>
      <c r="G2223" s="1" t="s">
        <v>19</v>
      </c>
      <c r="H2223" s="1" t="str">
        <f>"76"</f>
        <v>76</v>
      </c>
      <c r="I2223" s="1" t="str">
        <f t="shared" si="1457"/>
        <v>160</v>
      </c>
      <c r="J2223" s="1" t="str">
        <f t="shared" ref="J2223:J2286" si="1458">"0"</f>
        <v>0</v>
      </c>
      <c r="K2223" s="1" t="str">
        <f t="shared" ref="K2223:K2286" si="1459">"103"</f>
        <v>103</v>
      </c>
      <c r="L2223" s="1" t="str">
        <f t="shared" ref="L2223:L2286" si="1460">"47"</f>
        <v>47</v>
      </c>
      <c r="M2223" s="1" t="str">
        <f t="shared" si="1443"/>
        <v>0</v>
      </c>
      <c r="N2223" s="1" t="str">
        <f t="shared" si="1444"/>
        <v>0</v>
      </c>
      <c r="O2223" s="1" t="str">
        <f t="shared" si="1455"/>
        <v>0</v>
      </c>
    </row>
    <row r="2224" s="1" customFormat="1" spans="1:15">
      <c r="A2224" s="1" t="str">
        <f t="shared" si="1445"/>
        <v>202406</v>
      </c>
      <c r="B2224" s="1" t="str">
        <f t="shared" si="1446"/>
        <v>150525100</v>
      </c>
      <c r="C2224" s="1" t="str">
        <f>"1014623478"</f>
        <v>1014623478</v>
      </c>
      <c r="D2224" s="1" t="str">
        <f>"152326193903103827"</f>
        <v>152326193903103827</v>
      </c>
      <c r="E2224" s="1" t="s">
        <v>2303</v>
      </c>
      <c r="F2224" s="1" t="s">
        <v>16</v>
      </c>
      <c r="G2224" s="1" t="s">
        <v>19</v>
      </c>
      <c r="H2224" s="1" t="str">
        <f>"85"</f>
        <v>85</v>
      </c>
      <c r="I2224" s="1" t="str">
        <f t="shared" ref="I2224:I2229" si="1461">"170"</f>
        <v>170</v>
      </c>
      <c r="J2224" s="1" t="str">
        <f t="shared" si="1458"/>
        <v>0</v>
      </c>
      <c r="K2224" s="1" t="str">
        <f t="shared" si="1459"/>
        <v>103</v>
      </c>
      <c r="L2224" s="1" t="str">
        <f t="shared" si="1460"/>
        <v>47</v>
      </c>
      <c r="M2224" s="1" t="str">
        <f t="shared" si="1443"/>
        <v>0</v>
      </c>
      <c r="N2224" s="1" t="str">
        <f t="shared" si="1444"/>
        <v>0</v>
      </c>
      <c r="O2224" s="1" t="str">
        <f t="shared" si="1455"/>
        <v>0</v>
      </c>
    </row>
    <row r="2225" s="1" customFormat="1" spans="1:15">
      <c r="A2225" s="1" t="str">
        <f t="shared" si="1445"/>
        <v>202406</v>
      </c>
      <c r="B2225" s="1" t="str">
        <f t="shared" si="1446"/>
        <v>150525100</v>
      </c>
      <c r="C2225" s="1" t="str">
        <f>"1014629838"</f>
        <v>1014629838</v>
      </c>
      <c r="D2225" s="1" t="str">
        <f>"152326195109233105"</f>
        <v>152326195109233105</v>
      </c>
      <c r="E2225" s="1" t="s">
        <v>2304</v>
      </c>
      <c r="F2225" s="1" t="s">
        <v>16</v>
      </c>
      <c r="G2225" s="1" t="s">
        <v>17</v>
      </c>
      <c r="H2225" s="1" t="str">
        <f>"73"</f>
        <v>73</v>
      </c>
      <c r="I2225" s="1" t="str">
        <f t="shared" ref="I2225:I2228" si="1462">"160"</f>
        <v>160</v>
      </c>
      <c r="J2225" s="1" t="str">
        <f t="shared" si="1458"/>
        <v>0</v>
      </c>
      <c r="K2225" s="1" t="str">
        <f t="shared" si="1459"/>
        <v>103</v>
      </c>
      <c r="L2225" s="1" t="str">
        <f t="shared" si="1460"/>
        <v>47</v>
      </c>
      <c r="M2225" s="1" t="str">
        <f t="shared" si="1443"/>
        <v>0</v>
      </c>
      <c r="N2225" s="1" t="str">
        <f t="shared" si="1444"/>
        <v>0</v>
      </c>
      <c r="O2225" s="1" t="str">
        <f t="shared" si="1455"/>
        <v>0</v>
      </c>
    </row>
    <row r="2226" s="1" customFormat="1" spans="1:15">
      <c r="A2226" s="1" t="str">
        <f t="shared" si="1445"/>
        <v>202406</v>
      </c>
      <c r="B2226" s="1" t="str">
        <f t="shared" si="1446"/>
        <v>150525100</v>
      </c>
      <c r="C2226" s="1" t="str">
        <f>"1014629840"</f>
        <v>1014629840</v>
      </c>
      <c r="D2226" s="1" t="str">
        <f>"152326194309023079"</f>
        <v>152326194309023079</v>
      </c>
      <c r="E2226" s="1" t="s">
        <v>2305</v>
      </c>
      <c r="F2226" s="1" t="s">
        <v>25</v>
      </c>
      <c r="G2226" s="1" t="s">
        <v>17</v>
      </c>
      <c r="H2226" s="1" t="str">
        <f>"81"</f>
        <v>81</v>
      </c>
      <c r="I2226" s="1" t="str">
        <f t="shared" si="1461"/>
        <v>170</v>
      </c>
      <c r="J2226" s="1" t="str">
        <f t="shared" si="1458"/>
        <v>0</v>
      </c>
      <c r="K2226" s="1" t="str">
        <f t="shared" si="1459"/>
        <v>103</v>
      </c>
      <c r="L2226" s="1" t="str">
        <f t="shared" si="1460"/>
        <v>47</v>
      </c>
      <c r="M2226" s="1" t="str">
        <f t="shared" si="1443"/>
        <v>0</v>
      </c>
      <c r="N2226" s="1" t="str">
        <f t="shared" si="1444"/>
        <v>0</v>
      </c>
      <c r="O2226" s="1" t="str">
        <f t="shared" si="1455"/>
        <v>0</v>
      </c>
    </row>
    <row r="2227" s="1" customFormat="1" spans="1:15">
      <c r="A2227" s="1" t="str">
        <f t="shared" si="1445"/>
        <v>202406</v>
      </c>
      <c r="B2227" s="1" t="str">
        <f t="shared" si="1446"/>
        <v>150525100</v>
      </c>
      <c r="C2227" s="1" t="str">
        <f>"1014629843"</f>
        <v>1014629843</v>
      </c>
      <c r="D2227" s="1" t="str">
        <f>"152326195001263070"</f>
        <v>152326195001263070</v>
      </c>
      <c r="E2227" s="1" t="s">
        <v>2306</v>
      </c>
      <c r="F2227" s="1" t="s">
        <v>25</v>
      </c>
      <c r="G2227" s="1" t="s">
        <v>17</v>
      </c>
      <c r="H2227" s="1" t="str">
        <f>"74"</f>
        <v>74</v>
      </c>
      <c r="I2227" s="1" t="str">
        <f t="shared" si="1462"/>
        <v>160</v>
      </c>
      <c r="J2227" s="1" t="str">
        <f t="shared" si="1458"/>
        <v>0</v>
      </c>
      <c r="K2227" s="1" t="str">
        <f t="shared" si="1459"/>
        <v>103</v>
      </c>
      <c r="L2227" s="1" t="str">
        <f t="shared" si="1460"/>
        <v>47</v>
      </c>
      <c r="M2227" s="1" t="str">
        <f t="shared" si="1443"/>
        <v>0</v>
      </c>
      <c r="N2227" s="1" t="str">
        <f t="shared" si="1444"/>
        <v>0</v>
      </c>
      <c r="O2227" s="1" t="str">
        <f t="shared" si="1455"/>
        <v>0</v>
      </c>
    </row>
    <row r="2228" s="1" customFormat="1" spans="1:15">
      <c r="A2228" s="1" t="str">
        <f t="shared" si="1445"/>
        <v>202406</v>
      </c>
      <c r="B2228" s="1" t="str">
        <f t="shared" si="1446"/>
        <v>150525100</v>
      </c>
      <c r="C2228" s="1" t="str">
        <f>"1014629888"</f>
        <v>1014629888</v>
      </c>
      <c r="D2228" s="1" t="str">
        <f>"152326195004260043"</f>
        <v>152326195004260043</v>
      </c>
      <c r="E2228" s="1" t="s">
        <v>2307</v>
      </c>
      <c r="F2228" s="1" t="s">
        <v>16</v>
      </c>
      <c r="G2228" s="1" t="s">
        <v>96</v>
      </c>
      <c r="H2228" s="1" t="str">
        <f>"74"</f>
        <v>74</v>
      </c>
      <c r="I2228" s="1" t="str">
        <f t="shared" si="1462"/>
        <v>160</v>
      </c>
      <c r="J2228" s="1" t="str">
        <f t="shared" si="1458"/>
        <v>0</v>
      </c>
      <c r="K2228" s="1" t="str">
        <f t="shared" si="1459"/>
        <v>103</v>
      </c>
      <c r="L2228" s="1" t="str">
        <f t="shared" si="1460"/>
        <v>47</v>
      </c>
      <c r="M2228" s="1" t="str">
        <f t="shared" si="1443"/>
        <v>0</v>
      </c>
      <c r="N2228" s="1" t="str">
        <f t="shared" si="1444"/>
        <v>0</v>
      </c>
      <c r="O2228" s="1" t="str">
        <f t="shared" si="1455"/>
        <v>0</v>
      </c>
    </row>
    <row r="2229" s="1" customFormat="1" spans="1:15">
      <c r="A2229" s="1" t="str">
        <f t="shared" si="1445"/>
        <v>202406</v>
      </c>
      <c r="B2229" s="1" t="str">
        <f t="shared" si="1446"/>
        <v>150525100</v>
      </c>
      <c r="C2229" s="1" t="str">
        <f>"1014629894"</f>
        <v>1014629894</v>
      </c>
      <c r="D2229" s="1" t="str">
        <f>"152326193902093823"</f>
        <v>152326193902093823</v>
      </c>
      <c r="E2229" s="1" t="s">
        <v>2308</v>
      </c>
      <c r="F2229" s="1" t="s">
        <v>16</v>
      </c>
      <c r="G2229" s="1" t="s">
        <v>19</v>
      </c>
      <c r="H2229" s="1" t="str">
        <f>"85"</f>
        <v>85</v>
      </c>
      <c r="I2229" s="1" t="str">
        <f t="shared" si="1461"/>
        <v>170</v>
      </c>
      <c r="J2229" s="1" t="str">
        <f t="shared" si="1458"/>
        <v>0</v>
      </c>
      <c r="K2229" s="1" t="str">
        <f t="shared" si="1459"/>
        <v>103</v>
      </c>
      <c r="L2229" s="1" t="str">
        <f t="shared" si="1460"/>
        <v>47</v>
      </c>
      <c r="M2229" s="1" t="str">
        <f t="shared" si="1443"/>
        <v>0</v>
      </c>
      <c r="N2229" s="1" t="str">
        <f t="shared" si="1444"/>
        <v>0</v>
      </c>
      <c r="O2229" s="1" t="str">
        <f t="shared" si="1455"/>
        <v>0</v>
      </c>
    </row>
    <row r="2230" s="1" customFormat="1" spans="1:15">
      <c r="A2230" s="1" t="str">
        <f t="shared" si="1445"/>
        <v>202406</v>
      </c>
      <c r="B2230" s="1" t="str">
        <f t="shared" si="1446"/>
        <v>150525100</v>
      </c>
      <c r="C2230" s="1" t="str">
        <f>"1014629902"</f>
        <v>1014629902</v>
      </c>
      <c r="D2230" s="1" t="str">
        <f>"152326194803103832"</f>
        <v>152326194803103832</v>
      </c>
      <c r="E2230" s="1" t="s">
        <v>2309</v>
      </c>
      <c r="F2230" s="1" t="s">
        <v>25</v>
      </c>
      <c r="G2230" s="1" t="s">
        <v>19</v>
      </c>
      <c r="H2230" s="1" t="str">
        <f>"76"</f>
        <v>76</v>
      </c>
      <c r="I2230" s="1" t="str">
        <f t="shared" ref="I2230:I2232" si="1463">"160"</f>
        <v>160</v>
      </c>
      <c r="J2230" s="1" t="str">
        <f t="shared" si="1458"/>
        <v>0</v>
      </c>
      <c r="K2230" s="1" t="str">
        <f t="shared" si="1459"/>
        <v>103</v>
      </c>
      <c r="L2230" s="1" t="str">
        <f t="shared" si="1460"/>
        <v>47</v>
      </c>
      <c r="M2230" s="1" t="str">
        <f t="shared" si="1443"/>
        <v>0</v>
      </c>
      <c r="N2230" s="1" t="str">
        <f t="shared" si="1444"/>
        <v>0</v>
      </c>
      <c r="O2230" s="1" t="str">
        <f t="shared" si="1455"/>
        <v>0</v>
      </c>
    </row>
    <row r="2231" s="1" customFormat="1" spans="1:15">
      <c r="A2231" s="1" t="str">
        <f t="shared" si="1445"/>
        <v>202406</v>
      </c>
      <c r="B2231" s="1" t="str">
        <f t="shared" si="1446"/>
        <v>150525100</v>
      </c>
      <c r="C2231" s="1" t="str">
        <f>"1014629926"</f>
        <v>1014629926</v>
      </c>
      <c r="D2231" s="1" t="str">
        <f>"152326194806100020"</f>
        <v>152326194806100020</v>
      </c>
      <c r="E2231" s="1" t="s">
        <v>2310</v>
      </c>
      <c r="F2231" s="1" t="s">
        <v>16</v>
      </c>
      <c r="G2231" s="1" t="s">
        <v>17</v>
      </c>
      <c r="H2231" s="1" t="str">
        <f>"76"</f>
        <v>76</v>
      </c>
      <c r="I2231" s="1" t="str">
        <f t="shared" si="1463"/>
        <v>160</v>
      </c>
      <c r="J2231" s="1" t="str">
        <f t="shared" si="1458"/>
        <v>0</v>
      </c>
      <c r="K2231" s="1" t="str">
        <f t="shared" si="1459"/>
        <v>103</v>
      </c>
      <c r="L2231" s="1" t="str">
        <f t="shared" si="1460"/>
        <v>47</v>
      </c>
      <c r="M2231" s="1" t="str">
        <f t="shared" si="1443"/>
        <v>0</v>
      </c>
      <c r="N2231" s="1" t="str">
        <f t="shared" si="1444"/>
        <v>0</v>
      </c>
      <c r="O2231" s="1" t="str">
        <f t="shared" si="1455"/>
        <v>0</v>
      </c>
    </row>
    <row r="2232" s="1" customFormat="1" spans="1:15">
      <c r="A2232" s="1" t="str">
        <f t="shared" si="1445"/>
        <v>202406</v>
      </c>
      <c r="B2232" s="1" t="str">
        <f t="shared" si="1446"/>
        <v>150525100</v>
      </c>
      <c r="C2232" s="1" t="str">
        <f>"1014629928"</f>
        <v>1014629928</v>
      </c>
      <c r="D2232" s="1" t="str">
        <f>"152326195104090029"</f>
        <v>152326195104090029</v>
      </c>
      <c r="E2232" s="1" t="s">
        <v>2311</v>
      </c>
      <c r="F2232" s="1" t="s">
        <v>16</v>
      </c>
      <c r="G2232" s="1" t="s">
        <v>17</v>
      </c>
      <c r="H2232" s="1" t="str">
        <f>"73"</f>
        <v>73</v>
      </c>
      <c r="I2232" s="1" t="str">
        <f t="shared" si="1463"/>
        <v>160</v>
      </c>
      <c r="J2232" s="1" t="str">
        <f t="shared" si="1458"/>
        <v>0</v>
      </c>
      <c r="K2232" s="1" t="str">
        <f t="shared" si="1459"/>
        <v>103</v>
      </c>
      <c r="L2232" s="1" t="str">
        <f t="shared" si="1460"/>
        <v>47</v>
      </c>
      <c r="M2232" s="1" t="str">
        <f t="shared" si="1443"/>
        <v>0</v>
      </c>
      <c r="N2232" s="1" t="str">
        <f t="shared" si="1444"/>
        <v>0</v>
      </c>
      <c r="O2232" s="1" t="str">
        <f t="shared" si="1455"/>
        <v>0</v>
      </c>
    </row>
    <row r="2233" s="1" customFormat="1" spans="1:15">
      <c r="A2233" s="1" t="str">
        <f t="shared" si="1445"/>
        <v>202406</v>
      </c>
      <c r="B2233" s="1" t="str">
        <f t="shared" si="1446"/>
        <v>150525100</v>
      </c>
      <c r="C2233" s="1" t="str">
        <f>"1014563145"</f>
        <v>1014563145</v>
      </c>
      <c r="D2233" s="1" t="str">
        <f>"152326196006010421"</f>
        <v>152326196006010421</v>
      </c>
      <c r="E2233" s="1" t="s">
        <v>2312</v>
      </c>
      <c r="F2233" s="1" t="s">
        <v>16</v>
      </c>
      <c r="G2233" s="1" t="s">
        <v>17</v>
      </c>
      <c r="H2233" s="1" t="str">
        <f>"64"</f>
        <v>64</v>
      </c>
      <c r="I2233" s="1" t="str">
        <f>"159.24"</f>
        <v>159.24</v>
      </c>
      <c r="J2233" s="1" t="str">
        <f t="shared" si="1458"/>
        <v>0</v>
      </c>
      <c r="K2233" s="1" t="str">
        <f t="shared" si="1459"/>
        <v>103</v>
      </c>
      <c r="L2233" s="1" t="str">
        <f t="shared" si="1460"/>
        <v>47</v>
      </c>
      <c r="M2233" s="1" t="str">
        <f t="shared" si="1443"/>
        <v>0</v>
      </c>
      <c r="N2233" s="1" t="str">
        <f t="shared" si="1444"/>
        <v>0</v>
      </c>
      <c r="O2233" s="1" t="str">
        <f>"9.24"</f>
        <v>9.24</v>
      </c>
    </row>
    <row r="2234" s="1" customFormat="1" spans="1:15">
      <c r="A2234" s="1" t="str">
        <f t="shared" si="1445"/>
        <v>202406</v>
      </c>
      <c r="B2234" s="1" t="str">
        <f t="shared" si="1446"/>
        <v>150525100</v>
      </c>
      <c r="C2234" s="1" t="str">
        <f>"1014549835"</f>
        <v>1014549835</v>
      </c>
      <c r="D2234" s="1" t="str">
        <f>"152326196012160661"</f>
        <v>152326196012160661</v>
      </c>
      <c r="E2234" s="1" t="s">
        <v>2313</v>
      </c>
      <c r="F2234" s="1" t="s">
        <v>16</v>
      </c>
      <c r="G2234" s="1" t="s">
        <v>17</v>
      </c>
      <c r="H2234" s="1" t="str">
        <f>"64"</f>
        <v>64</v>
      </c>
      <c r="I2234" s="1" t="str">
        <f>"159.3"</f>
        <v>159.3</v>
      </c>
      <c r="J2234" s="1" t="str">
        <f t="shared" si="1458"/>
        <v>0</v>
      </c>
      <c r="K2234" s="1" t="str">
        <f t="shared" si="1459"/>
        <v>103</v>
      </c>
      <c r="L2234" s="1" t="str">
        <f t="shared" si="1460"/>
        <v>47</v>
      </c>
      <c r="M2234" s="1" t="str">
        <f t="shared" si="1443"/>
        <v>0</v>
      </c>
      <c r="N2234" s="1" t="str">
        <f t="shared" si="1444"/>
        <v>0</v>
      </c>
      <c r="O2234" s="1" t="str">
        <f>"9.3"</f>
        <v>9.3</v>
      </c>
    </row>
    <row r="2235" s="1" customFormat="1" spans="1:15">
      <c r="A2235" s="1" t="str">
        <f t="shared" si="1445"/>
        <v>202406</v>
      </c>
      <c r="B2235" s="1" t="str">
        <f t="shared" si="1446"/>
        <v>150525100</v>
      </c>
      <c r="C2235" s="1" t="str">
        <f>"1014549838"</f>
        <v>1014549838</v>
      </c>
      <c r="D2235" s="1" t="str">
        <f>"152326196102040663"</f>
        <v>152326196102040663</v>
      </c>
      <c r="E2235" s="1" t="s">
        <v>2314</v>
      </c>
      <c r="F2235" s="1" t="s">
        <v>16</v>
      </c>
      <c r="G2235" s="1" t="s">
        <v>17</v>
      </c>
      <c r="H2235" s="1" t="str">
        <f>"63"</f>
        <v>63</v>
      </c>
      <c r="I2235" s="1" t="str">
        <f>"163.55"</f>
        <v>163.55</v>
      </c>
      <c r="J2235" s="1" t="str">
        <f t="shared" si="1458"/>
        <v>0</v>
      </c>
      <c r="K2235" s="1" t="str">
        <f t="shared" si="1459"/>
        <v>103</v>
      </c>
      <c r="L2235" s="1" t="str">
        <f t="shared" si="1460"/>
        <v>47</v>
      </c>
      <c r="M2235" s="1" t="str">
        <f t="shared" si="1443"/>
        <v>0</v>
      </c>
      <c r="N2235" s="1" t="str">
        <f t="shared" si="1444"/>
        <v>0</v>
      </c>
      <c r="O2235" s="1" t="str">
        <f>"13.55"</f>
        <v>13.55</v>
      </c>
    </row>
    <row r="2236" s="1" customFormat="1" spans="1:15">
      <c r="A2236" s="1" t="str">
        <f t="shared" si="1445"/>
        <v>202406</v>
      </c>
      <c r="B2236" s="1" t="str">
        <f t="shared" si="1446"/>
        <v>150525100</v>
      </c>
      <c r="C2236" s="1" t="str">
        <f>"1014549845"</f>
        <v>1014549845</v>
      </c>
      <c r="D2236" s="1" t="str">
        <f>"152326196106120695"</f>
        <v>152326196106120695</v>
      </c>
      <c r="E2236" s="1" t="s">
        <v>2315</v>
      </c>
      <c r="F2236" s="1" t="s">
        <v>25</v>
      </c>
      <c r="G2236" s="1" t="s">
        <v>19</v>
      </c>
      <c r="H2236" s="1" t="str">
        <f>"63"</f>
        <v>63</v>
      </c>
      <c r="I2236" s="1" t="str">
        <f>"161.07"</f>
        <v>161.07</v>
      </c>
      <c r="J2236" s="1" t="str">
        <f t="shared" si="1458"/>
        <v>0</v>
      </c>
      <c r="K2236" s="1" t="str">
        <f t="shared" si="1459"/>
        <v>103</v>
      </c>
      <c r="L2236" s="1" t="str">
        <f t="shared" si="1460"/>
        <v>47</v>
      </c>
      <c r="M2236" s="1" t="str">
        <f t="shared" si="1443"/>
        <v>0</v>
      </c>
      <c r="N2236" s="1" t="str">
        <f t="shared" si="1444"/>
        <v>0</v>
      </c>
      <c r="O2236" s="1" t="str">
        <f>"11.07"</f>
        <v>11.07</v>
      </c>
    </row>
    <row r="2237" s="1" customFormat="1" spans="1:15">
      <c r="A2237" s="1" t="str">
        <f t="shared" si="1445"/>
        <v>202406</v>
      </c>
      <c r="B2237" s="1" t="str">
        <f t="shared" si="1446"/>
        <v>150525100</v>
      </c>
      <c r="C2237" s="1" t="str">
        <f>"1014550367"</f>
        <v>1014550367</v>
      </c>
      <c r="D2237" s="1" t="str">
        <f>"152326196304120688"</f>
        <v>152326196304120688</v>
      </c>
      <c r="E2237" s="1" t="s">
        <v>2316</v>
      </c>
      <c r="F2237" s="1" t="s">
        <v>16</v>
      </c>
      <c r="G2237" s="1" t="s">
        <v>17</v>
      </c>
      <c r="H2237" s="1" t="str">
        <f>"61"</f>
        <v>61</v>
      </c>
      <c r="I2237" s="1" t="str">
        <f>"164.99"</f>
        <v>164.99</v>
      </c>
      <c r="J2237" s="1" t="str">
        <f t="shared" si="1458"/>
        <v>0</v>
      </c>
      <c r="K2237" s="1" t="str">
        <f t="shared" si="1459"/>
        <v>103</v>
      </c>
      <c r="L2237" s="1" t="str">
        <f t="shared" si="1460"/>
        <v>47</v>
      </c>
      <c r="M2237" s="1" t="str">
        <f t="shared" si="1443"/>
        <v>0</v>
      </c>
      <c r="N2237" s="1" t="str">
        <f t="shared" si="1444"/>
        <v>0</v>
      </c>
      <c r="O2237" s="1" t="str">
        <f>"14.99"</f>
        <v>14.99</v>
      </c>
    </row>
    <row r="2238" s="1" customFormat="1" spans="1:15">
      <c r="A2238" s="1" t="str">
        <f t="shared" si="1445"/>
        <v>202406</v>
      </c>
      <c r="B2238" s="1" t="str">
        <f t="shared" si="1446"/>
        <v>150525100</v>
      </c>
      <c r="C2238" s="1" t="str">
        <f>"1014584902"</f>
        <v>1014584902</v>
      </c>
      <c r="D2238" s="1" t="s">
        <v>2317</v>
      </c>
      <c r="E2238" s="1" t="s">
        <v>2318</v>
      </c>
      <c r="F2238" s="1" t="s">
        <v>16</v>
      </c>
      <c r="G2238" s="1" t="s">
        <v>19</v>
      </c>
      <c r="H2238" s="1" t="str">
        <f>"67"</f>
        <v>67</v>
      </c>
      <c r="I2238" s="1" t="str">
        <f>"156.08"</f>
        <v>156.08</v>
      </c>
      <c r="J2238" s="1" t="str">
        <f t="shared" si="1458"/>
        <v>0</v>
      </c>
      <c r="K2238" s="1" t="str">
        <f t="shared" si="1459"/>
        <v>103</v>
      </c>
      <c r="L2238" s="1" t="str">
        <f t="shared" si="1460"/>
        <v>47</v>
      </c>
      <c r="M2238" s="1" t="str">
        <f t="shared" si="1443"/>
        <v>0</v>
      </c>
      <c r="N2238" s="1" t="str">
        <f t="shared" si="1444"/>
        <v>0</v>
      </c>
      <c r="O2238" s="1" t="str">
        <f>"6.08"</f>
        <v>6.08</v>
      </c>
    </row>
    <row r="2239" s="1" customFormat="1" spans="1:15">
      <c r="A2239" s="1" t="str">
        <f t="shared" si="1445"/>
        <v>202406</v>
      </c>
      <c r="B2239" s="1" t="str">
        <f t="shared" si="1446"/>
        <v>150525100</v>
      </c>
      <c r="C2239" s="1" t="str">
        <f>"1014562769"</f>
        <v>1014562769</v>
      </c>
      <c r="D2239" s="1" t="str">
        <f>"152326196206050460"</f>
        <v>152326196206050460</v>
      </c>
      <c r="E2239" s="1" t="s">
        <v>2319</v>
      </c>
      <c r="F2239" s="1" t="s">
        <v>16</v>
      </c>
      <c r="G2239" s="1" t="s">
        <v>17</v>
      </c>
      <c r="H2239" s="1" t="str">
        <f t="shared" ref="H2239:H2246" si="1464">"62"</f>
        <v>62</v>
      </c>
      <c r="I2239" s="1" t="str">
        <f>"163.06"</f>
        <v>163.06</v>
      </c>
      <c r="J2239" s="1" t="str">
        <f t="shared" si="1458"/>
        <v>0</v>
      </c>
      <c r="K2239" s="1" t="str">
        <f t="shared" si="1459"/>
        <v>103</v>
      </c>
      <c r="L2239" s="1" t="str">
        <f t="shared" si="1460"/>
        <v>47</v>
      </c>
      <c r="M2239" s="1" t="str">
        <f t="shared" si="1443"/>
        <v>0</v>
      </c>
      <c r="N2239" s="1" t="str">
        <f t="shared" si="1444"/>
        <v>0</v>
      </c>
      <c r="O2239" s="1" t="str">
        <f>"13.06"</f>
        <v>13.06</v>
      </c>
    </row>
    <row r="2240" s="1" customFormat="1" spans="1:15">
      <c r="A2240" s="1" t="str">
        <f t="shared" si="1445"/>
        <v>202406</v>
      </c>
      <c r="B2240" s="1" t="str">
        <f t="shared" si="1446"/>
        <v>150525100</v>
      </c>
      <c r="C2240" s="1" t="str">
        <f>"1014569585"</f>
        <v>1014569585</v>
      </c>
      <c r="D2240" s="1" t="str">
        <f>"152326195807210429"</f>
        <v>152326195807210429</v>
      </c>
      <c r="E2240" s="1" t="s">
        <v>2320</v>
      </c>
      <c r="F2240" s="1" t="s">
        <v>16</v>
      </c>
      <c r="G2240" s="1" t="s">
        <v>19</v>
      </c>
      <c r="H2240" s="1" t="str">
        <f>"66"</f>
        <v>66</v>
      </c>
      <c r="I2240" s="1" t="str">
        <f>"157.11"</f>
        <v>157.11</v>
      </c>
      <c r="J2240" s="1" t="str">
        <f t="shared" si="1458"/>
        <v>0</v>
      </c>
      <c r="K2240" s="1" t="str">
        <f t="shared" si="1459"/>
        <v>103</v>
      </c>
      <c r="L2240" s="1" t="str">
        <f t="shared" si="1460"/>
        <v>47</v>
      </c>
      <c r="M2240" s="1" t="str">
        <f t="shared" si="1443"/>
        <v>0</v>
      </c>
      <c r="N2240" s="1" t="str">
        <f t="shared" si="1444"/>
        <v>0</v>
      </c>
      <c r="O2240" s="1" t="str">
        <f>"7.11"</f>
        <v>7.11</v>
      </c>
    </row>
    <row r="2241" s="1" customFormat="1" spans="1:15">
      <c r="A2241" s="1" t="str">
        <f t="shared" si="1445"/>
        <v>202406</v>
      </c>
      <c r="B2241" s="1" t="str">
        <f t="shared" si="1446"/>
        <v>150525100</v>
      </c>
      <c r="C2241" s="1" t="str">
        <f>"1014569596"</f>
        <v>1014569596</v>
      </c>
      <c r="D2241" s="1" t="str">
        <f>"152326196006290419"</f>
        <v>152326196006290419</v>
      </c>
      <c r="E2241" s="1" t="s">
        <v>2321</v>
      </c>
      <c r="F2241" s="1" t="s">
        <v>25</v>
      </c>
      <c r="G2241" s="1" t="s">
        <v>19</v>
      </c>
      <c r="H2241" s="1" t="str">
        <f>"64"</f>
        <v>64</v>
      </c>
      <c r="I2241" s="1" t="str">
        <f>"160.03"</f>
        <v>160.03</v>
      </c>
      <c r="J2241" s="1" t="str">
        <f t="shared" si="1458"/>
        <v>0</v>
      </c>
      <c r="K2241" s="1" t="str">
        <f t="shared" si="1459"/>
        <v>103</v>
      </c>
      <c r="L2241" s="1" t="str">
        <f t="shared" si="1460"/>
        <v>47</v>
      </c>
      <c r="M2241" s="1" t="str">
        <f t="shared" ref="M2241:M2304" si="1465">"0"</f>
        <v>0</v>
      </c>
      <c r="N2241" s="1" t="str">
        <f t="shared" ref="N2241:N2304" si="1466">"0"</f>
        <v>0</v>
      </c>
      <c r="O2241" s="1" t="str">
        <f>"10.03"</f>
        <v>10.03</v>
      </c>
    </row>
    <row r="2242" s="1" customFormat="1" spans="1:15">
      <c r="A2242" s="1" t="str">
        <f t="shared" ref="A2242:A2305" si="1467">"202406"</f>
        <v>202406</v>
      </c>
      <c r="B2242" s="1" t="str">
        <f t="shared" ref="B2242:B2305" si="1468">"150525100"</f>
        <v>150525100</v>
      </c>
      <c r="C2242" s="1" t="str">
        <f>"1014583992"</f>
        <v>1014583992</v>
      </c>
      <c r="D2242" s="1" t="str">
        <f>"152326195609060669"</f>
        <v>152326195609060669</v>
      </c>
      <c r="E2242" s="1" t="s">
        <v>2322</v>
      </c>
      <c r="F2242" s="1" t="s">
        <v>16</v>
      </c>
      <c r="G2242" s="1" t="s">
        <v>17</v>
      </c>
      <c r="H2242" s="1" t="str">
        <f>"68"</f>
        <v>68</v>
      </c>
      <c r="I2242" s="1" t="str">
        <f>"156.01"</f>
        <v>156.01</v>
      </c>
      <c r="J2242" s="1" t="str">
        <f t="shared" si="1458"/>
        <v>0</v>
      </c>
      <c r="K2242" s="1" t="str">
        <f t="shared" si="1459"/>
        <v>103</v>
      </c>
      <c r="L2242" s="1" t="str">
        <f t="shared" si="1460"/>
        <v>47</v>
      </c>
      <c r="M2242" s="1" t="str">
        <f t="shared" si="1465"/>
        <v>0</v>
      </c>
      <c r="N2242" s="1" t="str">
        <f t="shared" si="1466"/>
        <v>0</v>
      </c>
      <c r="O2242" s="1" t="str">
        <f>"6.01"</f>
        <v>6.01</v>
      </c>
    </row>
    <row r="2243" s="1" customFormat="1" spans="1:15">
      <c r="A2243" s="1" t="str">
        <f t="shared" si="1467"/>
        <v>202406</v>
      </c>
      <c r="B2243" s="1" t="str">
        <f t="shared" si="1468"/>
        <v>150525100</v>
      </c>
      <c r="C2243" s="1" t="str">
        <f>"1014549855"</f>
        <v>1014549855</v>
      </c>
      <c r="D2243" s="1" t="str">
        <f>"152326196201280670"</f>
        <v>152326196201280670</v>
      </c>
      <c r="E2243" s="1" t="s">
        <v>2323</v>
      </c>
      <c r="F2243" s="1" t="s">
        <v>25</v>
      </c>
      <c r="G2243" s="1" t="s">
        <v>17</v>
      </c>
      <c r="H2243" s="1" t="str">
        <f t="shared" si="1464"/>
        <v>62</v>
      </c>
      <c r="I2243" s="1" t="str">
        <f>"162.9"</f>
        <v>162.9</v>
      </c>
      <c r="J2243" s="1" t="str">
        <f t="shared" si="1458"/>
        <v>0</v>
      </c>
      <c r="K2243" s="1" t="str">
        <f t="shared" si="1459"/>
        <v>103</v>
      </c>
      <c r="L2243" s="1" t="str">
        <f t="shared" si="1460"/>
        <v>47</v>
      </c>
      <c r="M2243" s="1" t="str">
        <f t="shared" si="1465"/>
        <v>0</v>
      </c>
      <c r="N2243" s="1" t="str">
        <f t="shared" si="1466"/>
        <v>0</v>
      </c>
      <c r="O2243" s="1" t="str">
        <f>"12.9"</f>
        <v>12.9</v>
      </c>
    </row>
    <row r="2244" s="1" customFormat="1" spans="1:15">
      <c r="A2244" s="1" t="str">
        <f t="shared" si="1467"/>
        <v>202406</v>
      </c>
      <c r="B2244" s="1" t="str">
        <f t="shared" si="1468"/>
        <v>150525100</v>
      </c>
      <c r="C2244" s="1" t="str">
        <f>"1014549866"</f>
        <v>1014549866</v>
      </c>
      <c r="D2244" s="1" t="str">
        <f>"152326196207013311"</f>
        <v>152326196207013311</v>
      </c>
      <c r="E2244" s="1" t="s">
        <v>2324</v>
      </c>
      <c r="F2244" s="1" t="s">
        <v>25</v>
      </c>
      <c r="G2244" s="1" t="s">
        <v>19</v>
      </c>
      <c r="H2244" s="1" t="str">
        <f t="shared" si="1464"/>
        <v>62</v>
      </c>
      <c r="I2244" s="1" t="str">
        <f>"163.08"</f>
        <v>163.08</v>
      </c>
      <c r="J2244" s="1" t="str">
        <f t="shared" si="1458"/>
        <v>0</v>
      </c>
      <c r="K2244" s="1" t="str">
        <f t="shared" si="1459"/>
        <v>103</v>
      </c>
      <c r="L2244" s="1" t="str">
        <f t="shared" si="1460"/>
        <v>47</v>
      </c>
      <c r="M2244" s="1" t="str">
        <f t="shared" si="1465"/>
        <v>0</v>
      </c>
      <c r="N2244" s="1" t="str">
        <f t="shared" si="1466"/>
        <v>0</v>
      </c>
      <c r="O2244" s="1" t="str">
        <f>"13.08"</f>
        <v>13.08</v>
      </c>
    </row>
    <row r="2245" s="1" customFormat="1" spans="1:15">
      <c r="A2245" s="1" t="str">
        <f t="shared" si="1467"/>
        <v>202406</v>
      </c>
      <c r="B2245" s="1" t="str">
        <f t="shared" si="1468"/>
        <v>150525100</v>
      </c>
      <c r="C2245" s="1" t="str">
        <f>"1014549870"</f>
        <v>1014549870</v>
      </c>
      <c r="D2245" s="1" t="str">
        <f>"152326196208090669"</f>
        <v>152326196208090669</v>
      </c>
      <c r="E2245" s="1" t="s">
        <v>2325</v>
      </c>
      <c r="F2245" s="1" t="s">
        <v>16</v>
      </c>
      <c r="G2245" s="1" t="s">
        <v>19</v>
      </c>
      <c r="H2245" s="1" t="str">
        <f t="shared" si="1464"/>
        <v>62</v>
      </c>
      <c r="I2245" s="1" t="str">
        <f>"163.9"</f>
        <v>163.9</v>
      </c>
      <c r="J2245" s="1" t="str">
        <f t="shared" si="1458"/>
        <v>0</v>
      </c>
      <c r="K2245" s="1" t="str">
        <f t="shared" si="1459"/>
        <v>103</v>
      </c>
      <c r="L2245" s="1" t="str">
        <f t="shared" si="1460"/>
        <v>47</v>
      </c>
      <c r="M2245" s="1" t="str">
        <f t="shared" si="1465"/>
        <v>0</v>
      </c>
      <c r="N2245" s="1" t="str">
        <f t="shared" si="1466"/>
        <v>0</v>
      </c>
      <c r="O2245" s="1" t="str">
        <f>"13.9"</f>
        <v>13.9</v>
      </c>
    </row>
    <row r="2246" s="1" customFormat="1" spans="1:15">
      <c r="A2246" s="1" t="str">
        <f t="shared" si="1467"/>
        <v>202406</v>
      </c>
      <c r="B2246" s="1" t="str">
        <f t="shared" si="1468"/>
        <v>150525100</v>
      </c>
      <c r="C2246" s="1" t="str">
        <f>"1014549874"</f>
        <v>1014549874</v>
      </c>
      <c r="D2246" s="1" t="str">
        <f>"152326196209290662"</f>
        <v>152326196209290662</v>
      </c>
      <c r="E2246" s="1" t="s">
        <v>2326</v>
      </c>
      <c r="F2246" s="1" t="s">
        <v>16</v>
      </c>
      <c r="G2246" s="1" t="s">
        <v>17</v>
      </c>
      <c r="H2246" s="1" t="str">
        <f t="shared" si="1464"/>
        <v>62</v>
      </c>
      <c r="I2246" s="1" t="str">
        <f>"163.13"</f>
        <v>163.13</v>
      </c>
      <c r="J2246" s="1" t="str">
        <f t="shared" si="1458"/>
        <v>0</v>
      </c>
      <c r="K2246" s="1" t="str">
        <f t="shared" si="1459"/>
        <v>103</v>
      </c>
      <c r="L2246" s="1" t="str">
        <f t="shared" si="1460"/>
        <v>47</v>
      </c>
      <c r="M2246" s="1" t="str">
        <f t="shared" si="1465"/>
        <v>0</v>
      </c>
      <c r="N2246" s="1" t="str">
        <f t="shared" si="1466"/>
        <v>0</v>
      </c>
      <c r="O2246" s="1" t="str">
        <f>"13.13"</f>
        <v>13.13</v>
      </c>
    </row>
    <row r="2247" s="1" customFormat="1" spans="1:15">
      <c r="A2247" s="1" t="str">
        <f t="shared" si="1467"/>
        <v>202406</v>
      </c>
      <c r="B2247" s="1" t="str">
        <f t="shared" si="1468"/>
        <v>150525100</v>
      </c>
      <c r="C2247" s="1" t="str">
        <f>"1014550385"</f>
        <v>1014550385</v>
      </c>
      <c r="D2247" s="1" t="str">
        <f>"152326196309230675"</f>
        <v>152326196309230675</v>
      </c>
      <c r="E2247" s="1" t="s">
        <v>2327</v>
      </c>
      <c r="F2247" s="1" t="s">
        <v>25</v>
      </c>
      <c r="G2247" s="1" t="s">
        <v>17</v>
      </c>
      <c r="H2247" s="1" t="str">
        <f t="shared" ref="H2247:H2250" si="1469">"61"</f>
        <v>61</v>
      </c>
      <c r="I2247" s="1" t="str">
        <f>"165.11"</f>
        <v>165.11</v>
      </c>
      <c r="J2247" s="1" t="str">
        <f t="shared" si="1458"/>
        <v>0</v>
      </c>
      <c r="K2247" s="1" t="str">
        <f t="shared" si="1459"/>
        <v>103</v>
      </c>
      <c r="L2247" s="1" t="str">
        <f t="shared" si="1460"/>
        <v>47</v>
      </c>
      <c r="M2247" s="1" t="str">
        <f t="shared" si="1465"/>
        <v>0</v>
      </c>
      <c r="N2247" s="1" t="str">
        <f t="shared" si="1466"/>
        <v>0</v>
      </c>
      <c r="O2247" s="1" t="str">
        <f>"15.11"</f>
        <v>15.11</v>
      </c>
    </row>
    <row r="2248" s="1" customFormat="1" spans="1:15">
      <c r="A2248" s="1" t="str">
        <f t="shared" si="1467"/>
        <v>202406</v>
      </c>
      <c r="B2248" s="1" t="str">
        <f t="shared" si="1468"/>
        <v>150525100</v>
      </c>
      <c r="C2248" s="1" t="str">
        <f>"1014550386"</f>
        <v>1014550386</v>
      </c>
      <c r="D2248" s="1" t="str">
        <f>"152326196309260663"</f>
        <v>152326196309260663</v>
      </c>
      <c r="E2248" s="1" t="s">
        <v>2328</v>
      </c>
      <c r="F2248" s="1" t="s">
        <v>16</v>
      </c>
      <c r="G2248" s="1" t="s">
        <v>17</v>
      </c>
      <c r="H2248" s="1" t="str">
        <f t="shared" si="1469"/>
        <v>61</v>
      </c>
      <c r="I2248" s="1" t="str">
        <f>"165.09"</f>
        <v>165.09</v>
      </c>
      <c r="J2248" s="1" t="str">
        <f t="shared" si="1458"/>
        <v>0</v>
      </c>
      <c r="K2248" s="1" t="str">
        <f t="shared" si="1459"/>
        <v>103</v>
      </c>
      <c r="L2248" s="1" t="str">
        <f t="shared" si="1460"/>
        <v>47</v>
      </c>
      <c r="M2248" s="1" t="str">
        <f t="shared" si="1465"/>
        <v>0</v>
      </c>
      <c r="N2248" s="1" t="str">
        <f t="shared" si="1466"/>
        <v>0</v>
      </c>
      <c r="O2248" s="1" t="str">
        <f>"15.09"</f>
        <v>15.09</v>
      </c>
    </row>
    <row r="2249" s="1" customFormat="1" spans="1:15">
      <c r="A2249" s="1" t="str">
        <f t="shared" si="1467"/>
        <v>202406</v>
      </c>
      <c r="B2249" s="1" t="str">
        <f t="shared" si="1468"/>
        <v>150525100</v>
      </c>
      <c r="C2249" s="1" t="str">
        <f>"1014548968"</f>
        <v>1014548968</v>
      </c>
      <c r="D2249" s="1" t="str">
        <f>"152326195302023329"</f>
        <v>152326195302023329</v>
      </c>
      <c r="E2249" s="1" t="s">
        <v>1045</v>
      </c>
      <c r="F2249" s="1" t="s">
        <v>16</v>
      </c>
      <c r="G2249" s="1" t="s">
        <v>19</v>
      </c>
      <c r="H2249" s="1" t="str">
        <f>"71"</f>
        <v>71</v>
      </c>
      <c r="I2249" s="1" t="str">
        <f>"163.16"</f>
        <v>163.16</v>
      </c>
      <c r="J2249" s="1" t="str">
        <f t="shared" si="1458"/>
        <v>0</v>
      </c>
      <c r="K2249" s="1" t="str">
        <f t="shared" si="1459"/>
        <v>103</v>
      </c>
      <c r="L2249" s="1" t="str">
        <f t="shared" si="1460"/>
        <v>47</v>
      </c>
      <c r="M2249" s="1" t="str">
        <f t="shared" si="1465"/>
        <v>0</v>
      </c>
      <c r="N2249" s="1" t="str">
        <f t="shared" si="1466"/>
        <v>0</v>
      </c>
      <c r="O2249" s="1" t="str">
        <f>"3.16"</f>
        <v>3.16</v>
      </c>
    </row>
    <row r="2250" s="1" customFormat="1" spans="1:15">
      <c r="A2250" s="1" t="str">
        <f t="shared" si="1467"/>
        <v>202406</v>
      </c>
      <c r="B2250" s="1" t="str">
        <f t="shared" si="1468"/>
        <v>150525100</v>
      </c>
      <c r="C2250" s="1" t="str">
        <f>"1014548990"</f>
        <v>1014548990</v>
      </c>
      <c r="D2250" s="1" t="str">
        <f>"152326196312253341"</f>
        <v>152326196312253341</v>
      </c>
      <c r="E2250" s="1" t="s">
        <v>2329</v>
      </c>
      <c r="F2250" s="1" t="s">
        <v>16</v>
      </c>
      <c r="G2250" s="1" t="s">
        <v>19</v>
      </c>
      <c r="H2250" s="1" t="str">
        <f t="shared" si="1469"/>
        <v>61</v>
      </c>
      <c r="I2250" s="1" t="str">
        <f>"167.71"</f>
        <v>167.71</v>
      </c>
      <c r="J2250" s="1" t="str">
        <f t="shared" si="1458"/>
        <v>0</v>
      </c>
      <c r="K2250" s="1" t="str">
        <f t="shared" si="1459"/>
        <v>103</v>
      </c>
      <c r="L2250" s="1" t="str">
        <f t="shared" si="1460"/>
        <v>47</v>
      </c>
      <c r="M2250" s="1" t="str">
        <f t="shared" si="1465"/>
        <v>0</v>
      </c>
      <c r="N2250" s="1" t="str">
        <f t="shared" si="1466"/>
        <v>0</v>
      </c>
      <c r="O2250" s="1" t="str">
        <f>"17.71"</f>
        <v>17.71</v>
      </c>
    </row>
    <row r="2251" s="1" customFormat="1" spans="1:15">
      <c r="A2251" s="1" t="str">
        <f t="shared" si="1467"/>
        <v>202406</v>
      </c>
      <c r="B2251" s="1" t="str">
        <f t="shared" si="1468"/>
        <v>150525100</v>
      </c>
      <c r="C2251" s="1" t="str">
        <f>"1014584906"</f>
        <v>1014584906</v>
      </c>
      <c r="D2251" s="1" t="s">
        <v>2330</v>
      </c>
      <c r="E2251" s="1" t="s">
        <v>2331</v>
      </c>
      <c r="F2251" s="1" t="s">
        <v>16</v>
      </c>
      <c r="G2251" s="1" t="s">
        <v>19</v>
      </c>
      <c r="H2251" s="1" t="str">
        <f>"64"</f>
        <v>64</v>
      </c>
      <c r="I2251" s="1" t="str">
        <f>"158.66"</f>
        <v>158.66</v>
      </c>
      <c r="J2251" s="1" t="str">
        <f t="shared" si="1458"/>
        <v>0</v>
      </c>
      <c r="K2251" s="1" t="str">
        <f t="shared" si="1459"/>
        <v>103</v>
      </c>
      <c r="L2251" s="1" t="str">
        <f t="shared" si="1460"/>
        <v>47</v>
      </c>
      <c r="M2251" s="1" t="str">
        <f t="shared" si="1465"/>
        <v>0</v>
      </c>
      <c r="N2251" s="1" t="str">
        <f t="shared" si="1466"/>
        <v>0</v>
      </c>
      <c r="O2251" s="1" t="str">
        <f>"8.66"</f>
        <v>8.66</v>
      </c>
    </row>
    <row r="2252" s="1" customFormat="1" spans="1:15">
      <c r="A2252" s="1" t="str">
        <f t="shared" si="1467"/>
        <v>202406</v>
      </c>
      <c r="B2252" s="1" t="str">
        <f t="shared" si="1468"/>
        <v>150525100</v>
      </c>
      <c r="C2252" s="1" t="str">
        <f>"1014584910"</f>
        <v>1014584910</v>
      </c>
      <c r="D2252" s="1" t="str">
        <f>"152326195206140429"</f>
        <v>152326195206140429</v>
      </c>
      <c r="E2252" s="1" t="s">
        <v>2332</v>
      </c>
      <c r="F2252" s="1" t="s">
        <v>16</v>
      </c>
      <c r="G2252" s="1" t="s">
        <v>17</v>
      </c>
      <c r="H2252" s="1" t="str">
        <f>"72"</f>
        <v>72</v>
      </c>
      <c r="I2252" s="1" t="str">
        <f>"162.14"</f>
        <v>162.14</v>
      </c>
      <c r="J2252" s="1" t="str">
        <f t="shared" si="1458"/>
        <v>0</v>
      </c>
      <c r="K2252" s="1" t="str">
        <f t="shared" si="1459"/>
        <v>103</v>
      </c>
      <c r="L2252" s="1" t="str">
        <f t="shared" si="1460"/>
        <v>47</v>
      </c>
      <c r="M2252" s="1" t="str">
        <f t="shared" si="1465"/>
        <v>0</v>
      </c>
      <c r="N2252" s="1" t="str">
        <f t="shared" si="1466"/>
        <v>0</v>
      </c>
      <c r="O2252" s="1" t="str">
        <f>"2.14"</f>
        <v>2.14</v>
      </c>
    </row>
    <row r="2253" s="1" customFormat="1" spans="1:15">
      <c r="A2253" s="1" t="str">
        <f t="shared" si="1467"/>
        <v>202406</v>
      </c>
      <c r="B2253" s="1" t="str">
        <f t="shared" si="1468"/>
        <v>150525100</v>
      </c>
      <c r="C2253" s="1" t="str">
        <f>"1014584924"</f>
        <v>1014584924</v>
      </c>
      <c r="D2253" s="1" t="str">
        <f>"152326195212230666"</f>
        <v>152326195212230666</v>
      </c>
      <c r="E2253" s="1" t="s">
        <v>2333</v>
      </c>
      <c r="F2253" s="1" t="s">
        <v>16</v>
      </c>
      <c r="G2253" s="1" t="s">
        <v>17</v>
      </c>
      <c r="H2253" s="1" t="str">
        <f>"72"</f>
        <v>72</v>
      </c>
      <c r="I2253" s="1" t="str">
        <f>"162.14"</f>
        <v>162.14</v>
      </c>
      <c r="J2253" s="1" t="str">
        <f t="shared" si="1458"/>
        <v>0</v>
      </c>
      <c r="K2253" s="1" t="str">
        <f t="shared" si="1459"/>
        <v>103</v>
      </c>
      <c r="L2253" s="1" t="str">
        <f t="shared" si="1460"/>
        <v>47</v>
      </c>
      <c r="M2253" s="1" t="str">
        <f t="shared" si="1465"/>
        <v>0</v>
      </c>
      <c r="N2253" s="1" t="str">
        <f t="shared" si="1466"/>
        <v>0</v>
      </c>
      <c r="O2253" s="1" t="str">
        <f>"2.14"</f>
        <v>2.14</v>
      </c>
    </row>
    <row r="2254" s="1" customFormat="1" spans="1:15">
      <c r="A2254" s="1" t="str">
        <f t="shared" si="1467"/>
        <v>202406</v>
      </c>
      <c r="B2254" s="1" t="str">
        <f t="shared" si="1468"/>
        <v>150525100</v>
      </c>
      <c r="C2254" s="1" t="str">
        <f>"1040641573"</f>
        <v>1040641573</v>
      </c>
      <c r="D2254" s="1" t="str">
        <f>"152326196308293076"</f>
        <v>152326196308293076</v>
      </c>
      <c r="E2254" s="1" t="s">
        <v>2334</v>
      </c>
      <c r="F2254" s="1" t="s">
        <v>25</v>
      </c>
      <c r="G2254" s="1" t="s">
        <v>17</v>
      </c>
      <c r="H2254" s="1" t="str">
        <f>"61"</f>
        <v>61</v>
      </c>
      <c r="I2254" s="1" t="str">
        <f>"164.38"</f>
        <v>164.38</v>
      </c>
      <c r="J2254" s="1" t="str">
        <f t="shared" si="1458"/>
        <v>0</v>
      </c>
      <c r="K2254" s="1" t="str">
        <f t="shared" si="1459"/>
        <v>103</v>
      </c>
      <c r="L2254" s="1" t="str">
        <f t="shared" si="1460"/>
        <v>47</v>
      </c>
      <c r="M2254" s="1" t="str">
        <f t="shared" si="1465"/>
        <v>0</v>
      </c>
      <c r="N2254" s="1" t="str">
        <f t="shared" si="1466"/>
        <v>0</v>
      </c>
      <c r="O2254" s="1" t="str">
        <f>"14.38"</f>
        <v>14.38</v>
      </c>
    </row>
    <row r="2255" s="1" customFormat="1" spans="1:15">
      <c r="A2255" s="1" t="str">
        <f t="shared" si="1467"/>
        <v>202406</v>
      </c>
      <c r="B2255" s="1" t="str">
        <f t="shared" si="1468"/>
        <v>150525100</v>
      </c>
      <c r="C2255" s="1" t="str">
        <f>"1040681589"</f>
        <v>1040681589</v>
      </c>
      <c r="D2255" s="1" t="str">
        <f>"152326196401160024"</f>
        <v>152326196401160024</v>
      </c>
      <c r="E2255" s="1" t="s">
        <v>2335</v>
      </c>
      <c r="F2255" s="1" t="s">
        <v>16</v>
      </c>
      <c r="G2255" s="1" t="s">
        <v>17</v>
      </c>
      <c r="H2255" s="1" t="str">
        <f>"60"</f>
        <v>60</v>
      </c>
      <c r="I2255" s="1" t="str">
        <f>"311.74"</f>
        <v>311.74</v>
      </c>
      <c r="J2255" s="1" t="str">
        <f t="shared" si="1458"/>
        <v>0</v>
      </c>
      <c r="K2255" s="1" t="str">
        <f t="shared" si="1459"/>
        <v>103</v>
      </c>
      <c r="L2255" s="1" t="str">
        <f t="shared" si="1460"/>
        <v>47</v>
      </c>
      <c r="M2255" s="1" t="str">
        <f t="shared" si="1465"/>
        <v>0</v>
      </c>
      <c r="N2255" s="1" t="str">
        <f t="shared" si="1466"/>
        <v>0</v>
      </c>
      <c r="O2255" s="1" t="str">
        <f>"161.74"</f>
        <v>161.74</v>
      </c>
    </row>
    <row r="2256" s="1" customFormat="1" spans="1:15">
      <c r="A2256" s="1" t="str">
        <f t="shared" si="1467"/>
        <v>202406</v>
      </c>
      <c r="B2256" s="1" t="str">
        <f t="shared" si="1468"/>
        <v>150525100</v>
      </c>
      <c r="C2256" s="1" t="str">
        <f>"1040681599"</f>
        <v>1040681599</v>
      </c>
      <c r="D2256" s="1" t="str">
        <f>"152326195503070025"</f>
        <v>152326195503070025</v>
      </c>
      <c r="E2256" s="1" t="s">
        <v>2336</v>
      </c>
      <c r="F2256" s="1" t="s">
        <v>16</v>
      </c>
      <c r="G2256" s="1" t="s">
        <v>17</v>
      </c>
      <c r="H2256" s="1" t="str">
        <f t="shared" ref="H2256:H2261" si="1470">"69"</f>
        <v>69</v>
      </c>
      <c r="I2256" s="1" t="str">
        <f>"153.88"</f>
        <v>153.88</v>
      </c>
      <c r="J2256" s="1" t="str">
        <f t="shared" si="1458"/>
        <v>0</v>
      </c>
      <c r="K2256" s="1" t="str">
        <f t="shared" si="1459"/>
        <v>103</v>
      </c>
      <c r="L2256" s="1" t="str">
        <f t="shared" si="1460"/>
        <v>47</v>
      </c>
      <c r="M2256" s="1" t="str">
        <f t="shared" si="1465"/>
        <v>0</v>
      </c>
      <c r="N2256" s="1" t="str">
        <f t="shared" si="1466"/>
        <v>0</v>
      </c>
      <c r="O2256" s="1" t="str">
        <f>"3.88"</f>
        <v>3.88</v>
      </c>
    </row>
    <row r="2257" s="1" customFormat="1" spans="1:15">
      <c r="A2257" s="1" t="str">
        <f t="shared" si="1467"/>
        <v>202406</v>
      </c>
      <c r="B2257" s="1" t="str">
        <f t="shared" si="1468"/>
        <v>150525100</v>
      </c>
      <c r="C2257" s="1" t="str">
        <f>"1040681605"</f>
        <v>1040681605</v>
      </c>
      <c r="D2257" s="1" t="str">
        <f>"152326195506013827"</f>
        <v>152326195506013827</v>
      </c>
      <c r="E2257" s="1" t="s">
        <v>2337</v>
      </c>
      <c r="F2257" s="1" t="s">
        <v>16</v>
      </c>
      <c r="G2257" s="1" t="s">
        <v>17</v>
      </c>
      <c r="H2257" s="1" t="str">
        <f t="shared" si="1470"/>
        <v>69</v>
      </c>
      <c r="I2257" s="1" t="str">
        <f>"153.81"</f>
        <v>153.81</v>
      </c>
      <c r="J2257" s="1" t="str">
        <f t="shared" si="1458"/>
        <v>0</v>
      </c>
      <c r="K2257" s="1" t="str">
        <f t="shared" si="1459"/>
        <v>103</v>
      </c>
      <c r="L2257" s="1" t="str">
        <f t="shared" si="1460"/>
        <v>47</v>
      </c>
      <c r="M2257" s="1" t="str">
        <f t="shared" si="1465"/>
        <v>0</v>
      </c>
      <c r="N2257" s="1" t="str">
        <f t="shared" si="1466"/>
        <v>0</v>
      </c>
      <c r="O2257" s="1" t="str">
        <f>"3.81"</f>
        <v>3.81</v>
      </c>
    </row>
    <row r="2258" s="1" customFormat="1" spans="1:15">
      <c r="A2258" s="1" t="str">
        <f t="shared" si="1467"/>
        <v>202406</v>
      </c>
      <c r="B2258" s="1" t="str">
        <f t="shared" si="1468"/>
        <v>150525100</v>
      </c>
      <c r="C2258" s="1" t="str">
        <f>"1040681670"</f>
        <v>1040681670</v>
      </c>
      <c r="D2258" s="1" t="str">
        <f>"152326195209143318"</f>
        <v>152326195209143318</v>
      </c>
      <c r="E2258" s="1" t="s">
        <v>2338</v>
      </c>
      <c r="F2258" s="1" t="s">
        <v>25</v>
      </c>
      <c r="G2258" s="1" t="s">
        <v>19</v>
      </c>
      <c r="H2258" s="1" t="str">
        <f>"72"</f>
        <v>72</v>
      </c>
      <c r="I2258" s="1" t="str">
        <f>"161.47"</f>
        <v>161.47</v>
      </c>
      <c r="J2258" s="1" t="str">
        <f t="shared" si="1458"/>
        <v>0</v>
      </c>
      <c r="K2258" s="1" t="str">
        <f t="shared" si="1459"/>
        <v>103</v>
      </c>
      <c r="L2258" s="1" t="str">
        <f t="shared" si="1460"/>
        <v>47</v>
      </c>
      <c r="M2258" s="1" t="str">
        <f t="shared" si="1465"/>
        <v>0</v>
      </c>
      <c r="N2258" s="1" t="str">
        <f t="shared" si="1466"/>
        <v>0</v>
      </c>
      <c r="O2258" s="1" t="str">
        <f>"1.47"</f>
        <v>1.47</v>
      </c>
    </row>
    <row r="2259" s="1" customFormat="1" spans="1:15">
      <c r="A2259" s="1" t="str">
        <f t="shared" si="1467"/>
        <v>202406</v>
      </c>
      <c r="B2259" s="1" t="str">
        <f t="shared" si="1468"/>
        <v>150525100</v>
      </c>
      <c r="C2259" s="1" t="str">
        <f>"1040681502"</f>
        <v>1040681502</v>
      </c>
      <c r="D2259" s="1" t="str">
        <f>"152326195409303814"</f>
        <v>152326195409303814</v>
      </c>
      <c r="E2259" s="1" t="s">
        <v>2339</v>
      </c>
      <c r="F2259" s="1" t="s">
        <v>25</v>
      </c>
      <c r="G2259" s="1" t="s">
        <v>17</v>
      </c>
      <c r="H2259" s="1" t="str">
        <f>"70"</f>
        <v>70</v>
      </c>
      <c r="I2259" s="1" t="str">
        <f>"152.93"</f>
        <v>152.93</v>
      </c>
      <c r="J2259" s="1" t="str">
        <f t="shared" si="1458"/>
        <v>0</v>
      </c>
      <c r="K2259" s="1" t="str">
        <f t="shared" si="1459"/>
        <v>103</v>
      </c>
      <c r="L2259" s="1" t="str">
        <f t="shared" si="1460"/>
        <v>47</v>
      </c>
      <c r="M2259" s="1" t="str">
        <f t="shared" si="1465"/>
        <v>0</v>
      </c>
      <c r="N2259" s="1" t="str">
        <f t="shared" si="1466"/>
        <v>0</v>
      </c>
      <c r="O2259" s="1" t="str">
        <f>"2.93"</f>
        <v>2.93</v>
      </c>
    </row>
    <row r="2260" s="1" customFormat="1" spans="1:15">
      <c r="A2260" s="1" t="str">
        <f t="shared" si="1467"/>
        <v>202406</v>
      </c>
      <c r="B2260" s="1" t="str">
        <f t="shared" si="1468"/>
        <v>150525100</v>
      </c>
      <c r="C2260" s="1" t="str">
        <f>"1040681505"</f>
        <v>1040681505</v>
      </c>
      <c r="D2260" s="1" t="str">
        <f>"152326196303233840"</f>
        <v>152326196303233840</v>
      </c>
      <c r="E2260" s="1" t="s">
        <v>2340</v>
      </c>
      <c r="F2260" s="1" t="s">
        <v>16</v>
      </c>
      <c r="G2260" s="1" t="s">
        <v>17</v>
      </c>
      <c r="H2260" s="1" t="str">
        <f>"61"</f>
        <v>61</v>
      </c>
      <c r="I2260" s="1" t="str">
        <f>"163.63"</f>
        <v>163.63</v>
      </c>
      <c r="J2260" s="1" t="str">
        <f t="shared" si="1458"/>
        <v>0</v>
      </c>
      <c r="K2260" s="1" t="str">
        <f t="shared" si="1459"/>
        <v>103</v>
      </c>
      <c r="L2260" s="1" t="str">
        <f t="shared" si="1460"/>
        <v>47</v>
      </c>
      <c r="M2260" s="1" t="str">
        <f t="shared" si="1465"/>
        <v>0</v>
      </c>
      <c r="N2260" s="1" t="str">
        <f t="shared" si="1466"/>
        <v>0</v>
      </c>
      <c r="O2260" s="1" t="str">
        <f>"13.63"</f>
        <v>13.63</v>
      </c>
    </row>
    <row r="2261" s="1" customFormat="1" spans="1:15">
      <c r="A2261" s="1" t="str">
        <f t="shared" si="1467"/>
        <v>202406</v>
      </c>
      <c r="B2261" s="1" t="str">
        <f t="shared" si="1468"/>
        <v>150525100</v>
      </c>
      <c r="C2261" s="1" t="str">
        <f>"1040681622"</f>
        <v>1040681622</v>
      </c>
      <c r="D2261" s="1" t="str">
        <f>"152326195508243837"</f>
        <v>152326195508243837</v>
      </c>
      <c r="E2261" s="1" t="s">
        <v>2341</v>
      </c>
      <c r="F2261" s="1" t="s">
        <v>25</v>
      </c>
      <c r="G2261" s="1" t="s">
        <v>19</v>
      </c>
      <c r="H2261" s="1" t="str">
        <f t="shared" si="1470"/>
        <v>69</v>
      </c>
      <c r="I2261" s="1" t="str">
        <f>"153.81"</f>
        <v>153.81</v>
      </c>
      <c r="J2261" s="1" t="str">
        <f t="shared" si="1458"/>
        <v>0</v>
      </c>
      <c r="K2261" s="1" t="str">
        <f t="shared" si="1459"/>
        <v>103</v>
      </c>
      <c r="L2261" s="1" t="str">
        <f t="shared" si="1460"/>
        <v>47</v>
      </c>
      <c r="M2261" s="1" t="str">
        <f t="shared" si="1465"/>
        <v>0</v>
      </c>
      <c r="N2261" s="1" t="str">
        <f t="shared" si="1466"/>
        <v>0</v>
      </c>
      <c r="O2261" s="1" t="str">
        <f>"3.81"</f>
        <v>3.81</v>
      </c>
    </row>
    <row r="2262" s="1" customFormat="1" spans="1:15">
      <c r="A2262" s="1" t="str">
        <f t="shared" si="1467"/>
        <v>202406</v>
      </c>
      <c r="B2262" s="1" t="str">
        <f t="shared" si="1468"/>
        <v>150525100</v>
      </c>
      <c r="C2262" s="1" t="str">
        <f>"1040681632"</f>
        <v>1040681632</v>
      </c>
      <c r="D2262" s="1" t="s">
        <v>2342</v>
      </c>
      <c r="E2262" s="1" t="s">
        <v>2343</v>
      </c>
      <c r="F2262" s="1" t="s">
        <v>16</v>
      </c>
      <c r="G2262" s="1" t="s">
        <v>19</v>
      </c>
      <c r="H2262" s="1" t="str">
        <f>"62"</f>
        <v>62</v>
      </c>
      <c r="I2262" s="1" t="str">
        <f>"161.79"</f>
        <v>161.79</v>
      </c>
      <c r="J2262" s="1" t="str">
        <f t="shared" si="1458"/>
        <v>0</v>
      </c>
      <c r="K2262" s="1" t="str">
        <f t="shared" si="1459"/>
        <v>103</v>
      </c>
      <c r="L2262" s="1" t="str">
        <f t="shared" si="1460"/>
        <v>47</v>
      </c>
      <c r="M2262" s="1" t="str">
        <f t="shared" si="1465"/>
        <v>0</v>
      </c>
      <c r="N2262" s="1" t="str">
        <f t="shared" si="1466"/>
        <v>0</v>
      </c>
      <c r="O2262" s="1" t="str">
        <f>"11.79"</f>
        <v>11.79</v>
      </c>
    </row>
    <row r="2263" s="1" customFormat="1" spans="1:15">
      <c r="A2263" s="1" t="str">
        <f t="shared" si="1467"/>
        <v>202406</v>
      </c>
      <c r="B2263" s="1" t="str">
        <f t="shared" si="1468"/>
        <v>150525100</v>
      </c>
      <c r="C2263" s="1" t="str">
        <f>"1040681636"</f>
        <v>1040681636</v>
      </c>
      <c r="D2263" s="1" t="str">
        <f>"152326196305243815"</f>
        <v>152326196305243815</v>
      </c>
      <c r="E2263" s="1" t="s">
        <v>2344</v>
      </c>
      <c r="F2263" s="1" t="s">
        <v>25</v>
      </c>
      <c r="G2263" s="1" t="s">
        <v>17</v>
      </c>
      <c r="H2263" s="1" t="str">
        <f>"61"</f>
        <v>61</v>
      </c>
      <c r="I2263" s="1" t="str">
        <f>"164.1"</f>
        <v>164.1</v>
      </c>
      <c r="J2263" s="1" t="str">
        <f t="shared" si="1458"/>
        <v>0</v>
      </c>
      <c r="K2263" s="1" t="str">
        <f t="shared" si="1459"/>
        <v>103</v>
      </c>
      <c r="L2263" s="1" t="str">
        <f t="shared" si="1460"/>
        <v>47</v>
      </c>
      <c r="M2263" s="1" t="str">
        <f t="shared" si="1465"/>
        <v>0</v>
      </c>
      <c r="N2263" s="1" t="str">
        <f t="shared" si="1466"/>
        <v>0</v>
      </c>
      <c r="O2263" s="1" t="str">
        <f>"14.1"</f>
        <v>14.1</v>
      </c>
    </row>
    <row r="2264" s="1" customFormat="1" spans="1:15">
      <c r="A2264" s="1" t="str">
        <f t="shared" si="1467"/>
        <v>202406</v>
      </c>
      <c r="B2264" s="1" t="str">
        <f t="shared" si="1468"/>
        <v>150525100</v>
      </c>
      <c r="C2264" s="1" t="str">
        <f>"1014622517"</f>
        <v>1014622517</v>
      </c>
      <c r="D2264" s="1" t="s">
        <v>2345</v>
      </c>
      <c r="E2264" s="1" t="s">
        <v>2346</v>
      </c>
      <c r="F2264" s="1" t="s">
        <v>16</v>
      </c>
      <c r="G2264" s="1" t="s">
        <v>19</v>
      </c>
      <c r="H2264" s="1" t="str">
        <f>"76"</f>
        <v>76</v>
      </c>
      <c r="I2264" s="1" t="str">
        <f t="shared" ref="I2264:I2273" si="1471">"160"</f>
        <v>160</v>
      </c>
      <c r="J2264" s="1" t="str">
        <f t="shared" si="1458"/>
        <v>0</v>
      </c>
      <c r="K2264" s="1" t="str">
        <f t="shared" si="1459"/>
        <v>103</v>
      </c>
      <c r="L2264" s="1" t="str">
        <f t="shared" si="1460"/>
        <v>47</v>
      </c>
      <c r="M2264" s="1" t="str">
        <f t="shared" si="1465"/>
        <v>0</v>
      </c>
      <c r="N2264" s="1" t="str">
        <f t="shared" si="1466"/>
        <v>0</v>
      </c>
      <c r="O2264" s="1" t="str">
        <f t="shared" ref="O2264:O2277" si="1472">"0"</f>
        <v>0</v>
      </c>
    </row>
    <row r="2265" s="1" customFormat="1" spans="1:15">
      <c r="A2265" s="1" t="str">
        <f t="shared" si="1467"/>
        <v>202406</v>
      </c>
      <c r="B2265" s="1" t="str">
        <f t="shared" si="1468"/>
        <v>150525100</v>
      </c>
      <c r="C2265" s="1" t="str">
        <f>"1014623888"</f>
        <v>1014623888</v>
      </c>
      <c r="D2265" s="1" t="str">
        <f>"152326194809090665"</f>
        <v>152326194809090665</v>
      </c>
      <c r="E2265" s="1" t="s">
        <v>2347</v>
      </c>
      <c r="F2265" s="1" t="s">
        <v>16</v>
      </c>
      <c r="G2265" s="1" t="s">
        <v>17</v>
      </c>
      <c r="H2265" s="1" t="str">
        <f>"76"</f>
        <v>76</v>
      </c>
      <c r="I2265" s="1" t="str">
        <f t="shared" si="1471"/>
        <v>160</v>
      </c>
      <c r="J2265" s="1" t="str">
        <f t="shared" si="1458"/>
        <v>0</v>
      </c>
      <c r="K2265" s="1" t="str">
        <f t="shared" si="1459"/>
        <v>103</v>
      </c>
      <c r="L2265" s="1" t="str">
        <f t="shared" si="1460"/>
        <v>47</v>
      </c>
      <c r="M2265" s="1" t="str">
        <f t="shared" si="1465"/>
        <v>0</v>
      </c>
      <c r="N2265" s="1" t="str">
        <f t="shared" si="1466"/>
        <v>0</v>
      </c>
      <c r="O2265" s="1" t="str">
        <f t="shared" si="1472"/>
        <v>0</v>
      </c>
    </row>
    <row r="2266" s="1" customFormat="1" spans="1:15">
      <c r="A2266" s="1" t="str">
        <f t="shared" si="1467"/>
        <v>202406</v>
      </c>
      <c r="B2266" s="1" t="str">
        <f t="shared" si="1468"/>
        <v>150525100</v>
      </c>
      <c r="C2266" s="1" t="str">
        <f>"1014623889"</f>
        <v>1014623889</v>
      </c>
      <c r="D2266" s="1" t="str">
        <f>"152326194410060675"</f>
        <v>152326194410060675</v>
      </c>
      <c r="E2266" s="1" t="s">
        <v>2348</v>
      </c>
      <c r="F2266" s="1" t="s">
        <v>25</v>
      </c>
      <c r="G2266" s="1" t="s">
        <v>17</v>
      </c>
      <c r="H2266" s="1" t="str">
        <f>"80"</f>
        <v>80</v>
      </c>
      <c r="I2266" s="1" t="str">
        <f t="shared" si="1471"/>
        <v>160</v>
      </c>
      <c r="J2266" s="1" t="str">
        <f t="shared" si="1458"/>
        <v>0</v>
      </c>
      <c r="K2266" s="1" t="str">
        <f t="shared" si="1459"/>
        <v>103</v>
      </c>
      <c r="L2266" s="1" t="str">
        <f t="shared" si="1460"/>
        <v>47</v>
      </c>
      <c r="M2266" s="1" t="str">
        <f t="shared" si="1465"/>
        <v>0</v>
      </c>
      <c r="N2266" s="1" t="str">
        <f t="shared" si="1466"/>
        <v>0</v>
      </c>
      <c r="O2266" s="1" t="str">
        <f t="shared" si="1472"/>
        <v>0</v>
      </c>
    </row>
    <row r="2267" s="1" customFormat="1" spans="1:15">
      <c r="A2267" s="1" t="str">
        <f t="shared" si="1467"/>
        <v>202406</v>
      </c>
      <c r="B2267" s="1" t="str">
        <f t="shared" si="1468"/>
        <v>150525100</v>
      </c>
      <c r="C2267" s="1" t="str">
        <f>"1014623890"</f>
        <v>1014623890</v>
      </c>
      <c r="D2267" s="1" t="str">
        <f>"152326194602210674"</f>
        <v>152326194602210674</v>
      </c>
      <c r="E2267" s="1" t="s">
        <v>2349</v>
      </c>
      <c r="F2267" s="1" t="s">
        <v>25</v>
      </c>
      <c r="G2267" s="1" t="s">
        <v>17</v>
      </c>
      <c r="H2267" s="1" t="str">
        <f>"78"</f>
        <v>78</v>
      </c>
      <c r="I2267" s="1" t="str">
        <f t="shared" si="1471"/>
        <v>160</v>
      </c>
      <c r="J2267" s="1" t="str">
        <f t="shared" si="1458"/>
        <v>0</v>
      </c>
      <c r="K2267" s="1" t="str">
        <f t="shared" si="1459"/>
        <v>103</v>
      </c>
      <c r="L2267" s="1" t="str">
        <f t="shared" si="1460"/>
        <v>47</v>
      </c>
      <c r="M2267" s="1" t="str">
        <f t="shared" si="1465"/>
        <v>0</v>
      </c>
      <c r="N2267" s="1" t="str">
        <f t="shared" si="1466"/>
        <v>0</v>
      </c>
      <c r="O2267" s="1" t="str">
        <f t="shared" si="1472"/>
        <v>0</v>
      </c>
    </row>
    <row r="2268" s="1" customFormat="1" spans="1:15">
      <c r="A2268" s="1" t="str">
        <f t="shared" si="1467"/>
        <v>202406</v>
      </c>
      <c r="B2268" s="1" t="str">
        <f t="shared" si="1468"/>
        <v>150525100</v>
      </c>
      <c r="C2268" s="1" t="str">
        <f>"1014623906"</f>
        <v>1014623906</v>
      </c>
      <c r="D2268" s="1" t="str">
        <f>"152326195106100665"</f>
        <v>152326195106100665</v>
      </c>
      <c r="E2268" s="1" t="s">
        <v>2350</v>
      </c>
      <c r="F2268" s="1" t="s">
        <v>16</v>
      </c>
      <c r="G2268" s="1" t="s">
        <v>17</v>
      </c>
      <c r="H2268" s="1" t="str">
        <f t="shared" ref="H2268:H2273" si="1473">"73"</f>
        <v>73</v>
      </c>
      <c r="I2268" s="1" t="str">
        <f t="shared" si="1471"/>
        <v>160</v>
      </c>
      <c r="J2268" s="1" t="str">
        <f t="shared" si="1458"/>
        <v>0</v>
      </c>
      <c r="K2268" s="1" t="str">
        <f t="shared" si="1459"/>
        <v>103</v>
      </c>
      <c r="L2268" s="1" t="str">
        <f t="shared" si="1460"/>
        <v>47</v>
      </c>
      <c r="M2268" s="1" t="str">
        <f t="shared" si="1465"/>
        <v>0</v>
      </c>
      <c r="N2268" s="1" t="str">
        <f t="shared" si="1466"/>
        <v>0</v>
      </c>
      <c r="O2268" s="1" t="str">
        <f t="shared" si="1472"/>
        <v>0</v>
      </c>
    </row>
    <row r="2269" s="1" customFormat="1" spans="1:15">
      <c r="A2269" s="1" t="str">
        <f t="shared" si="1467"/>
        <v>202406</v>
      </c>
      <c r="B2269" s="1" t="str">
        <f t="shared" si="1468"/>
        <v>150525100</v>
      </c>
      <c r="C2269" s="1" t="str">
        <f>"1014624377"</f>
        <v>1014624377</v>
      </c>
      <c r="D2269" s="1" t="str">
        <f>"152326194702270922"</f>
        <v>152326194702270922</v>
      </c>
      <c r="E2269" s="1" t="s">
        <v>2351</v>
      </c>
      <c r="F2269" s="1" t="s">
        <v>16</v>
      </c>
      <c r="G2269" s="1" t="s">
        <v>19</v>
      </c>
      <c r="H2269" s="1" t="str">
        <f>"77"</f>
        <v>77</v>
      </c>
      <c r="I2269" s="1" t="str">
        <f t="shared" si="1471"/>
        <v>160</v>
      </c>
      <c r="J2269" s="1" t="str">
        <f t="shared" si="1458"/>
        <v>0</v>
      </c>
      <c r="K2269" s="1" t="str">
        <f t="shared" si="1459"/>
        <v>103</v>
      </c>
      <c r="L2269" s="1" t="str">
        <f t="shared" si="1460"/>
        <v>47</v>
      </c>
      <c r="M2269" s="1" t="str">
        <f t="shared" si="1465"/>
        <v>0</v>
      </c>
      <c r="N2269" s="1" t="str">
        <f t="shared" si="1466"/>
        <v>0</v>
      </c>
      <c r="O2269" s="1" t="str">
        <f t="shared" si="1472"/>
        <v>0</v>
      </c>
    </row>
    <row r="2270" s="1" customFormat="1" spans="1:15">
      <c r="A2270" s="1" t="str">
        <f t="shared" si="1467"/>
        <v>202406</v>
      </c>
      <c r="B2270" s="1" t="str">
        <f t="shared" si="1468"/>
        <v>150525100</v>
      </c>
      <c r="C2270" s="1" t="str">
        <f>"1014624389"</f>
        <v>1014624389</v>
      </c>
      <c r="D2270" s="1" t="str">
        <f>"152326195104140911"</f>
        <v>152326195104140911</v>
      </c>
      <c r="E2270" s="1" t="s">
        <v>2352</v>
      </c>
      <c r="F2270" s="1" t="s">
        <v>25</v>
      </c>
      <c r="G2270" s="1" t="s">
        <v>19</v>
      </c>
      <c r="H2270" s="1" t="str">
        <f t="shared" si="1473"/>
        <v>73</v>
      </c>
      <c r="I2270" s="1" t="str">
        <f t="shared" si="1471"/>
        <v>160</v>
      </c>
      <c r="J2270" s="1" t="str">
        <f t="shared" si="1458"/>
        <v>0</v>
      </c>
      <c r="K2270" s="1" t="str">
        <f t="shared" si="1459"/>
        <v>103</v>
      </c>
      <c r="L2270" s="1" t="str">
        <f t="shared" si="1460"/>
        <v>47</v>
      </c>
      <c r="M2270" s="1" t="str">
        <f t="shared" si="1465"/>
        <v>0</v>
      </c>
      <c r="N2270" s="1" t="str">
        <f t="shared" si="1466"/>
        <v>0</v>
      </c>
      <c r="O2270" s="1" t="str">
        <f t="shared" si="1472"/>
        <v>0</v>
      </c>
    </row>
    <row r="2271" s="1" customFormat="1" spans="1:15">
      <c r="A2271" s="1" t="str">
        <f t="shared" si="1467"/>
        <v>202406</v>
      </c>
      <c r="B2271" s="1" t="str">
        <f t="shared" si="1468"/>
        <v>150525100</v>
      </c>
      <c r="C2271" s="1" t="str">
        <f>"1014624396"</f>
        <v>1014624396</v>
      </c>
      <c r="D2271" s="1" t="str">
        <f>"152326194804060918"</f>
        <v>152326194804060918</v>
      </c>
      <c r="E2271" s="1" t="s">
        <v>2353</v>
      </c>
      <c r="F2271" s="1" t="s">
        <v>25</v>
      </c>
      <c r="G2271" s="1" t="s">
        <v>19</v>
      </c>
      <c r="H2271" s="1" t="str">
        <f>"76"</f>
        <v>76</v>
      </c>
      <c r="I2271" s="1" t="str">
        <f t="shared" si="1471"/>
        <v>160</v>
      </c>
      <c r="J2271" s="1" t="str">
        <f t="shared" si="1458"/>
        <v>0</v>
      </c>
      <c r="K2271" s="1" t="str">
        <f t="shared" si="1459"/>
        <v>103</v>
      </c>
      <c r="L2271" s="1" t="str">
        <f t="shared" si="1460"/>
        <v>47</v>
      </c>
      <c r="M2271" s="1" t="str">
        <f t="shared" si="1465"/>
        <v>0</v>
      </c>
      <c r="N2271" s="1" t="str">
        <f t="shared" si="1466"/>
        <v>0</v>
      </c>
      <c r="O2271" s="1" t="str">
        <f t="shared" si="1472"/>
        <v>0</v>
      </c>
    </row>
    <row r="2272" s="1" customFormat="1" spans="1:15">
      <c r="A2272" s="1" t="str">
        <f t="shared" si="1467"/>
        <v>202406</v>
      </c>
      <c r="B2272" s="1" t="str">
        <f t="shared" si="1468"/>
        <v>150525100</v>
      </c>
      <c r="C2272" s="1" t="str">
        <f>"1014619382"</f>
        <v>1014619382</v>
      </c>
      <c r="D2272" s="1" t="str">
        <f>"152326195107120676"</f>
        <v>152326195107120676</v>
      </c>
      <c r="E2272" s="1" t="s">
        <v>2354</v>
      </c>
      <c r="F2272" s="1" t="s">
        <v>25</v>
      </c>
      <c r="G2272" s="1" t="s">
        <v>17</v>
      </c>
      <c r="H2272" s="1" t="str">
        <f t="shared" si="1473"/>
        <v>73</v>
      </c>
      <c r="I2272" s="1" t="str">
        <f t="shared" si="1471"/>
        <v>160</v>
      </c>
      <c r="J2272" s="1" t="str">
        <f t="shared" si="1458"/>
        <v>0</v>
      </c>
      <c r="K2272" s="1" t="str">
        <f t="shared" si="1459"/>
        <v>103</v>
      </c>
      <c r="L2272" s="1" t="str">
        <f t="shared" si="1460"/>
        <v>47</v>
      </c>
      <c r="M2272" s="1" t="str">
        <f t="shared" si="1465"/>
        <v>0</v>
      </c>
      <c r="N2272" s="1" t="str">
        <f t="shared" si="1466"/>
        <v>0</v>
      </c>
      <c r="O2272" s="1" t="str">
        <f t="shared" si="1472"/>
        <v>0</v>
      </c>
    </row>
    <row r="2273" s="1" customFormat="1" spans="1:15">
      <c r="A2273" s="1" t="str">
        <f t="shared" si="1467"/>
        <v>202406</v>
      </c>
      <c r="B2273" s="1" t="str">
        <f t="shared" si="1468"/>
        <v>150525100</v>
      </c>
      <c r="C2273" s="1" t="str">
        <f>"1014623383"</f>
        <v>1014623383</v>
      </c>
      <c r="D2273" s="1" t="str">
        <f>"152326195105083082"</f>
        <v>152326195105083082</v>
      </c>
      <c r="E2273" s="1" t="s">
        <v>2355</v>
      </c>
      <c r="F2273" s="1" t="s">
        <v>16</v>
      </c>
      <c r="G2273" s="1" t="s">
        <v>19</v>
      </c>
      <c r="H2273" s="1" t="str">
        <f t="shared" si="1473"/>
        <v>73</v>
      </c>
      <c r="I2273" s="1" t="str">
        <f t="shared" si="1471"/>
        <v>160</v>
      </c>
      <c r="J2273" s="1" t="str">
        <f t="shared" si="1458"/>
        <v>0</v>
      </c>
      <c r="K2273" s="1" t="str">
        <f t="shared" si="1459"/>
        <v>103</v>
      </c>
      <c r="L2273" s="1" t="str">
        <f t="shared" si="1460"/>
        <v>47</v>
      </c>
      <c r="M2273" s="1" t="str">
        <f t="shared" si="1465"/>
        <v>0</v>
      </c>
      <c r="N2273" s="1" t="str">
        <f t="shared" si="1466"/>
        <v>0</v>
      </c>
      <c r="O2273" s="1" t="str">
        <f t="shared" si="1472"/>
        <v>0</v>
      </c>
    </row>
    <row r="2274" s="1" customFormat="1" spans="1:15">
      <c r="A2274" s="1" t="str">
        <f t="shared" si="1467"/>
        <v>202406</v>
      </c>
      <c r="B2274" s="1" t="str">
        <f t="shared" si="1468"/>
        <v>150525100</v>
      </c>
      <c r="C2274" s="1" t="str">
        <f>"1014623386"</f>
        <v>1014623386</v>
      </c>
      <c r="D2274" s="1" t="str">
        <f>"152326193310223081"</f>
        <v>152326193310223081</v>
      </c>
      <c r="E2274" s="1" t="s">
        <v>2356</v>
      </c>
      <c r="F2274" s="1" t="s">
        <v>16</v>
      </c>
      <c r="G2274" s="1" t="s">
        <v>19</v>
      </c>
      <c r="H2274" s="1" t="str">
        <f>"91"</f>
        <v>91</v>
      </c>
      <c r="I2274" s="1" t="str">
        <f>"170"</f>
        <v>170</v>
      </c>
      <c r="J2274" s="1" t="str">
        <f t="shared" si="1458"/>
        <v>0</v>
      </c>
      <c r="K2274" s="1" t="str">
        <f t="shared" si="1459"/>
        <v>103</v>
      </c>
      <c r="L2274" s="1" t="str">
        <f t="shared" si="1460"/>
        <v>47</v>
      </c>
      <c r="M2274" s="1" t="str">
        <f t="shared" si="1465"/>
        <v>0</v>
      </c>
      <c r="N2274" s="1" t="str">
        <f t="shared" si="1466"/>
        <v>0</v>
      </c>
      <c r="O2274" s="1" t="str">
        <f t="shared" si="1472"/>
        <v>0</v>
      </c>
    </row>
    <row r="2275" s="1" customFormat="1" spans="1:15">
      <c r="A2275" s="1" t="str">
        <f t="shared" si="1467"/>
        <v>202406</v>
      </c>
      <c r="B2275" s="1" t="str">
        <f t="shared" si="1468"/>
        <v>150525100</v>
      </c>
      <c r="C2275" s="1" t="str">
        <f>"1014629383"</f>
        <v>1014629383</v>
      </c>
      <c r="D2275" s="1" t="str">
        <f>"152326194912240019"</f>
        <v>152326194912240019</v>
      </c>
      <c r="E2275" s="1" t="s">
        <v>2357</v>
      </c>
      <c r="F2275" s="1" t="s">
        <v>25</v>
      </c>
      <c r="G2275" s="1" t="s">
        <v>17</v>
      </c>
      <c r="H2275" s="1" t="str">
        <f>"75"</f>
        <v>75</v>
      </c>
      <c r="I2275" s="1" t="str">
        <f t="shared" ref="I2275:I2277" si="1474">"160"</f>
        <v>160</v>
      </c>
      <c r="J2275" s="1" t="str">
        <f t="shared" si="1458"/>
        <v>0</v>
      </c>
      <c r="K2275" s="1" t="str">
        <f t="shared" si="1459"/>
        <v>103</v>
      </c>
      <c r="L2275" s="1" t="str">
        <f t="shared" si="1460"/>
        <v>47</v>
      </c>
      <c r="M2275" s="1" t="str">
        <f t="shared" si="1465"/>
        <v>0</v>
      </c>
      <c r="N2275" s="1" t="str">
        <f t="shared" si="1466"/>
        <v>0</v>
      </c>
      <c r="O2275" s="1" t="str">
        <f t="shared" si="1472"/>
        <v>0</v>
      </c>
    </row>
    <row r="2276" s="1" customFormat="1" spans="1:15">
      <c r="A2276" s="1" t="str">
        <f t="shared" si="1467"/>
        <v>202406</v>
      </c>
      <c r="B2276" s="1" t="str">
        <f t="shared" si="1468"/>
        <v>150525100</v>
      </c>
      <c r="C2276" s="1" t="str">
        <f>"1014629411"</f>
        <v>1014629411</v>
      </c>
      <c r="D2276" s="1" t="str">
        <f>"152326195009243816"</f>
        <v>152326195009243816</v>
      </c>
      <c r="E2276" s="1" t="s">
        <v>2358</v>
      </c>
      <c r="F2276" s="1" t="s">
        <v>25</v>
      </c>
      <c r="G2276" s="1" t="s">
        <v>19</v>
      </c>
      <c r="H2276" s="1" t="str">
        <f>"74"</f>
        <v>74</v>
      </c>
      <c r="I2276" s="1" t="str">
        <f t="shared" si="1474"/>
        <v>160</v>
      </c>
      <c r="J2276" s="1" t="str">
        <f t="shared" si="1458"/>
        <v>0</v>
      </c>
      <c r="K2276" s="1" t="str">
        <f t="shared" si="1459"/>
        <v>103</v>
      </c>
      <c r="L2276" s="1" t="str">
        <f t="shared" si="1460"/>
        <v>47</v>
      </c>
      <c r="M2276" s="1" t="str">
        <f t="shared" si="1465"/>
        <v>0</v>
      </c>
      <c r="N2276" s="1" t="str">
        <f t="shared" si="1466"/>
        <v>0</v>
      </c>
      <c r="O2276" s="1" t="str">
        <f t="shared" si="1472"/>
        <v>0</v>
      </c>
    </row>
    <row r="2277" s="1" customFormat="1" spans="1:15">
      <c r="A2277" s="1" t="str">
        <f t="shared" si="1467"/>
        <v>202406</v>
      </c>
      <c r="B2277" s="1" t="str">
        <f t="shared" si="1468"/>
        <v>150525100</v>
      </c>
      <c r="C2277" s="1" t="str">
        <f>"1014629428"</f>
        <v>1014629428</v>
      </c>
      <c r="D2277" s="1" t="str">
        <f>"152326195002213817"</f>
        <v>152326195002213817</v>
      </c>
      <c r="E2277" s="1" t="s">
        <v>2359</v>
      </c>
      <c r="F2277" s="1" t="s">
        <v>25</v>
      </c>
      <c r="G2277" s="1" t="s">
        <v>19</v>
      </c>
      <c r="H2277" s="1" t="str">
        <f>"74"</f>
        <v>74</v>
      </c>
      <c r="I2277" s="1" t="str">
        <f t="shared" si="1474"/>
        <v>160</v>
      </c>
      <c r="J2277" s="1" t="str">
        <f t="shared" si="1458"/>
        <v>0</v>
      </c>
      <c r="K2277" s="1" t="str">
        <f t="shared" si="1459"/>
        <v>103</v>
      </c>
      <c r="L2277" s="1" t="str">
        <f t="shared" si="1460"/>
        <v>47</v>
      </c>
      <c r="M2277" s="1" t="str">
        <f t="shared" si="1465"/>
        <v>0</v>
      </c>
      <c r="N2277" s="1" t="str">
        <f t="shared" si="1466"/>
        <v>0</v>
      </c>
      <c r="O2277" s="1" t="str">
        <f t="shared" si="1472"/>
        <v>0</v>
      </c>
    </row>
    <row r="2278" s="1" customFormat="1" spans="1:15">
      <c r="A2278" s="1" t="str">
        <f t="shared" si="1467"/>
        <v>202406</v>
      </c>
      <c r="B2278" s="1" t="str">
        <f t="shared" si="1468"/>
        <v>150525100</v>
      </c>
      <c r="C2278" s="1" t="str">
        <f>"1014588961"</f>
        <v>1014588961</v>
      </c>
      <c r="D2278" s="1" t="str">
        <f>"152326195608090428"</f>
        <v>152326195608090428</v>
      </c>
      <c r="E2278" s="1" t="s">
        <v>2360</v>
      </c>
      <c r="F2278" s="1" t="s">
        <v>16</v>
      </c>
      <c r="G2278" s="1" t="s">
        <v>17</v>
      </c>
      <c r="H2278" s="1" t="str">
        <f>"68"</f>
        <v>68</v>
      </c>
      <c r="I2278" s="1" t="str">
        <f>"156.02"</f>
        <v>156.02</v>
      </c>
      <c r="J2278" s="1" t="str">
        <f t="shared" si="1458"/>
        <v>0</v>
      </c>
      <c r="K2278" s="1" t="str">
        <f t="shared" si="1459"/>
        <v>103</v>
      </c>
      <c r="L2278" s="1" t="str">
        <f t="shared" si="1460"/>
        <v>47</v>
      </c>
      <c r="M2278" s="1" t="str">
        <f t="shared" si="1465"/>
        <v>0</v>
      </c>
      <c r="N2278" s="1" t="str">
        <f t="shared" si="1466"/>
        <v>0</v>
      </c>
      <c r="O2278" s="1" t="str">
        <f>"6.02"</f>
        <v>6.02</v>
      </c>
    </row>
    <row r="2279" s="1" customFormat="1" spans="1:15">
      <c r="A2279" s="1" t="str">
        <f t="shared" si="1467"/>
        <v>202406</v>
      </c>
      <c r="B2279" s="1" t="str">
        <f t="shared" si="1468"/>
        <v>150525100</v>
      </c>
      <c r="C2279" s="1" t="str">
        <f>"1014588968"</f>
        <v>1014588968</v>
      </c>
      <c r="D2279" s="1" t="s">
        <v>2361</v>
      </c>
      <c r="E2279" s="1" t="s">
        <v>2362</v>
      </c>
      <c r="F2279" s="1" t="s">
        <v>16</v>
      </c>
      <c r="G2279" s="1" t="s">
        <v>17</v>
      </c>
      <c r="H2279" s="1" t="str">
        <f>"67"</f>
        <v>67</v>
      </c>
      <c r="I2279" s="1" t="str">
        <f>"156.11"</f>
        <v>156.11</v>
      </c>
      <c r="J2279" s="1" t="str">
        <f t="shared" si="1458"/>
        <v>0</v>
      </c>
      <c r="K2279" s="1" t="str">
        <f t="shared" si="1459"/>
        <v>103</v>
      </c>
      <c r="L2279" s="1" t="str">
        <f t="shared" si="1460"/>
        <v>47</v>
      </c>
      <c r="M2279" s="1" t="str">
        <f t="shared" si="1465"/>
        <v>0</v>
      </c>
      <c r="N2279" s="1" t="str">
        <f t="shared" si="1466"/>
        <v>0</v>
      </c>
      <c r="O2279" s="1" t="str">
        <f>"6.11"</f>
        <v>6.11</v>
      </c>
    </row>
    <row r="2280" s="1" customFormat="1" spans="1:15">
      <c r="A2280" s="1" t="str">
        <f t="shared" si="1467"/>
        <v>202406</v>
      </c>
      <c r="B2280" s="1" t="str">
        <f t="shared" si="1468"/>
        <v>150525100</v>
      </c>
      <c r="C2280" s="1" t="str">
        <f>"1014588969"</f>
        <v>1014588969</v>
      </c>
      <c r="D2280" s="1" t="str">
        <f>"152326195302220429"</f>
        <v>152326195302220429</v>
      </c>
      <c r="E2280" s="1" t="s">
        <v>413</v>
      </c>
      <c r="F2280" s="1" t="s">
        <v>16</v>
      </c>
      <c r="G2280" s="1" t="s">
        <v>17</v>
      </c>
      <c r="H2280" s="1" t="str">
        <f>"71"</f>
        <v>71</v>
      </c>
      <c r="I2280" s="1" t="str">
        <f>"163.16"</f>
        <v>163.16</v>
      </c>
      <c r="J2280" s="1" t="str">
        <f t="shared" si="1458"/>
        <v>0</v>
      </c>
      <c r="K2280" s="1" t="str">
        <f t="shared" si="1459"/>
        <v>103</v>
      </c>
      <c r="L2280" s="1" t="str">
        <f t="shared" si="1460"/>
        <v>47</v>
      </c>
      <c r="M2280" s="1" t="str">
        <f t="shared" si="1465"/>
        <v>0</v>
      </c>
      <c r="N2280" s="1" t="str">
        <f t="shared" si="1466"/>
        <v>0</v>
      </c>
      <c r="O2280" s="1" t="str">
        <f>"3.16"</f>
        <v>3.16</v>
      </c>
    </row>
    <row r="2281" s="1" customFormat="1" spans="1:15">
      <c r="A2281" s="1" t="str">
        <f t="shared" si="1467"/>
        <v>202406</v>
      </c>
      <c r="B2281" s="1" t="str">
        <f t="shared" si="1468"/>
        <v>150525100</v>
      </c>
      <c r="C2281" s="1" t="str">
        <f>"1014588978"</f>
        <v>1014588978</v>
      </c>
      <c r="D2281" s="1" t="str">
        <f>"152326196006040428"</f>
        <v>152326196006040428</v>
      </c>
      <c r="E2281" s="1" t="s">
        <v>2363</v>
      </c>
      <c r="F2281" s="1" t="s">
        <v>16</v>
      </c>
      <c r="G2281" s="1" t="s">
        <v>17</v>
      </c>
      <c r="H2281" s="1" t="str">
        <f>"64"</f>
        <v>64</v>
      </c>
      <c r="I2281" s="1" t="str">
        <f>"159.22"</f>
        <v>159.22</v>
      </c>
      <c r="J2281" s="1" t="str">
        <f t="shared" si="1458"/>
        <v>0</v>
      </c>
      <c r="K2281" s="1" t="str">
        <f t="shared" si="1459"/>
        <v>103</v>
      </c>
      <c r="L2281" s="1" t="str">
        <f t="shared" si="1460"/>
        <v>47</v>
      </c>
      <c r="M2281" s="1" t="str">
        <f t="shared" si="1465"/>
        <v>0</v>
      </c>
      <c r="N2281" s="1" t="str">
        <f t="shared" si="1466"/>
        <v>0</v>
      </c>
      <c r="O2281" s="1" t="str">
        <f>"9.22"</f>
        <v>9.22</v>
      </c>
    </row>
    <row r="2282" s="1" customFormat="1" spans="1:15">
      <c r="A2282" s="1" t="str">
        <f t="shared" si="1467"/>
        <v>202406</v>
      </c>
      <c r="B2282" s="1" t="str">
        <f t="shared" si="1468"/>
        <v>150525100</v>
      </c>
      <c r="C2282" s="1" t="str">
        <f>"1014613109"</f>
        <v>1014613109</v>
      </c>
      <c r="D2282" s="1" t="str">
        <f>"152326194907170415"</f>
        <v>152326194907170415</v>
      </c>
      <c r="E2282" s="1" t="s">
        <v>2364</v>
      </c>
      <c r="F2282" s="1" t="s">
        <v>25</v>
      </c>
      <c r="G2282" s="1" t="s">
        <v>17</v>
      </c>
      <c r="H2282" s="1" t="str">
        <f t="shared" ref="H2282:H2286" si="1475">"75"</f>
        <v>75</v>
      </c>
      <c r="I2282" s="1" t="str">
        <f t="shared" ref="I2282:I2286" si="1476">"160"</f>
        <v>160</v>
      </c>
      <c r="J2282" s="1" t="str">
        <f t="shared" si="1458"/>
        <v>0</v>
      </c>
      <c r="K2282" s="1" t="str">
        <f t="shared" si="1459"/>
        <v>103</v>
      </c>
      <c r="L2282" s="1" t="str">
        <f t="shared" si="1460"/>
        <v>47</v>
      </c>
      <c r="M2282" s="1" t="str">
        <f t="shared" si="1465"/>
        <v>0</v>
      </c>
      <c r="N2282" s="1" t="str">
        <f t="shared" si="1466"/>
        <v>0</v>
      </c>
      <c r="O2282" s="1" t="str">
        <f t="shared" ref="O2282:O2288" si="1477">"0"</f>
        <v>0</v>
      </c>
    </row>
    <row r="2283" s="1" customFormat="1" spans="1:15">
      <c r="A2283" s="1" t="str">
        <f t="shared" si="1467"/>
        <v>202406</v>
      </c>
      <c r="B2283" s="1" t="str">
        <f t="shared" si="1468"/>
        <v>150525100</v>
      </c>
      <c r="C2283" s="1" t="str">
        <f>"1014613115"</f>
        <v>1014613115</v>
      </c>
      <c r="D2283" s="1" t="str">
        <f>"152326194702220431"</f>
        <v>152326194702220431</v>
      </c>
      <c r="E2283" s="1" t="s">
        <v>2365</v>
      </c>
      <c r="F2283" s="1" t="s">
        <v>25</v>
      </c>
      <c r="G2283" s="1" t="s">
        <v>17</v>
      </c>
      <c r="H2283" s="1" t="str">
        <f>"77"</f>
        <v>77</v>
      </c>
      <c r="I2283" s="1" t="str">
        <f t="shared" si="1476"/>
        <v>160</v>
      </c>
      <c r="J2283" s="1" t="str">
        <f t="shared" si="1458"/>
        <v>0</v>
      </c>
      <c r="K2283" s="1" t="str">
        <f t="shared" si="1459"/>
        <v>103</v>
      </c>
      <c r="L2283" s="1" t="str">
        <f t="shared" si="1460"/>
        <v>47</v>
      </c>
      <c r="M2283" s="1" t="str">
        <f t="shared" si="1465"/>
        <v>0</v>
      </c>
      <c r="N2283" s="1" t="str">
        <f t="shared" si="1466"/>
        <v>0</v>
      </c>
      <c r="O2283" s="1" t="str">
        <f t="shared" si="1477"/>
        <v>0</v>
      </c>
    </row>
    <row r="2284" s="1" customFormat="1" spans="1:15">
      <c r="A2284" s="1" t="str">
        <f t="shared" si="1467"/>
        <v>202406</v>
      </c>
      <c r="B2284" s="1" t="str">
        <f t="shared" si="1468"/>
        <v>150525100</v>
      </c>
      <c r="C2284" s="1" t="str">
        <f>"1014622159"</f>
        <v>1014622159</v>
      </c>
      <c r="D2284" s="1" t="str">
        <f>"152326194909046370"</f>
        <v>152326194909046370</v>
      </c>
      <c r="E2284" s="1" t="s">
        <v>2366</v>
      </c>
      <c r="F2284" s="1" t="s">
        <v>25</v>
      </c>
      <c r="G2284" s="1" t="s">
        <v>17</v>
      </c>
      <c r="H2284" s="1" t="str">
        <f t="shared" si="1475"/>
        <v>75</v>
      </c>
      <c r="I2284" s="1" t="str">
        <f t="shared" si="1476"/>
        <v>160</v>
      </c>
      <c r="J2284" s="1" t="str">
        <f t="shared" si="1458"/>
        <v>0</v>
      </c>
      <c r="K2284" s="1" t="str">
        <f t="shared" si="1459"/>
        <v>103</v>
      </c>
      <c r="L2284" s="1" t="str">
        <f t="shared" si="1460"/>
        <v>47</v>
      </c>
      <c r="M2284" s="1" t="str">
        <f t="shared" si="1465"/>
        <v>0</v>
      </c>
      <c r="N2284" s="1" t="str">
        <f t="shared" si="1466"/>
        <v>0</v>
      </c>
      <c r="O2284" s="1" t="str">
        <f t="shared" si="1477"/>
        <v>0</v>
      </c>
    </row>
    <row r="2285" s="1" customFormat="1" spans="1:15">
      <c r="A2285" s="1" t="str">
        <f t="shared" si="1467"/>
        <v>202406</v>
      </c>
      <c r="B2285" s="1" t="str">
        <f t="shared" si="1468"/>
        <v>150525100</v>
      </c>
      <c r="C2285" s="1" t="str">
        <f>"1014622170"</f>
        <v>1014622170</v>
      </c>
      <c r="D2285" s="1" t="str">
        <f>"152326194712256374"</f>
        <v>152326194712256374</v>
      </c>
      <c r="E2285" s="1" t="s">
        <v>2334</v>
      </c>
      <c r="F2285" s="1" t="s">
        <v>25</v>
      </c>
      <c r="G2285" s="1" t="s">
        <v>17</v>
      </c>
      <c r="H2285" s="1" t="str">
        <f>"77"</f>
        <v>77</v>
      </c>
      <c r="I2285" s="1" t="str">
        <f t="shared" si="1476"/>
        <v>160</v>
      </c>
      <c r="J2285" s="1" t="str">
        <f t="shared" si="1458"/>
        <v>0</v>
      </c>
      <c r="K2285" s="1" t="str">
        <f t="shared" si="1459"/>
        <v>103</v>
      </c>
      <c r="L2285" s="1" t="str">
        <f t="shared" si="1460"/>
        <v>47</v>
      </c>
      <c r="M2285" s="1" t="str">
        <f t="shared" si="1465"/>
        <v>0</v>
      </c>
      <c r="N2285" s="1" t="str">
        <f t="shared" si="1466"/>
        <v>0</v>
      </c>
      <c r="O2285" s="1" t="str">
        <f t="shared" si="1477"/>
        <v>0</v>
      </c>
    </row>
    <row r="2286" s="1" customFormat="1" spans="1:15">
      <c r="A2286" s="1" t="str">
        <f t="shared" si="1467"/>
        <v>202406</v>
      </c>
      <c r="B2286" s="1" t="str">
        <f t="shared" si="1468"/>
        <v>150525100</v>
      </c>
      <c r="C2286" s="1" t="str">
        <f>"1014630134"</f>
        <v>1014630134</v>
      </c>
      <c r="D2286" s="1" t="str">
        <f>"152326194907040426"</f>
        <v>152326194907040426</v>
      </c>
      <c r="E2286" s="1" t="s">
        <v>2367</v>
      </c>
      <c r="F2286" s="1" t="s">
        <v>16</v>
      </c>
      <c r="G2286" s="1" t="s">
        <v>17</v>
      </c>
      <c r="H2286" s="1" t="str">
        <f t="shared" si="1475"/>
        <v>75</v>
      </c>
      <c r="I2286" s="1" t="str">
        <f t="shared" si="1476"/>
        <v>160</v>
      </c>
      <c r="J2286" s="1" t="str">
        <f t="shared" si="1458"/>
        <v>0</v>
      </c>
      <c r="K2286" s="1" t="str">
        <f t="shared" si="1459"/>
        <v>103</v>
      </c>
      <c r="L2286" s="1" t="str">
        <f t="shared" si="1460"/>
        <v>47</v>
      </c>
      <c r="M2286" s="1" t="str">
        <f t="shared" si="1465"/>
        <v>0</v>
      </c>
      <c r="N2286" s="1" t="str">
        <f t="shared" si="1466"/>
        <v>0</v>
      </c>
      <c r="O2286" s="1" t="str">
        <f t="shared" si="1477"/>
        <v>0</v>
      </c>
    </row>
    <row r="2287" s="1" customFormat="1" spans="1:15">
      <c r="A2287" s="1" t="str">
        <f t="shared" si="1467"/>
        <v>202406</v>
      </c>
      <c r="B2287" s="1" t="str">
        <f t="shared" si="1468"/>
        <v>150525100</v>
      </c>
      <c r="C2287" s="1" t="str">
        <f>"1014630135"</f>
        <v>1014630135</v>
      </c>
      <c r="D2287" s="1" t="str">
        <f>"152326193807130411"</f>
        <v>152326193807130411</v>
      </c>
      <c r="E2287" s="1" t="s">
        <v>2368</v>
      </c>
      <c r="F2287" s="1" t="s">
        <v>25</v>
      </c>
      <c r="G2287" s="1" t="s">
        <v>17</v>
      </c>
      <c r="H2287" s="1" t="str">
        <f>"86"</f>
        <v>86</v>
      </c>
      <c r="I2287" s="1" t="str">
        <f>"170"</f>
        <v>170</v>
      </c>
      <c r="J2287" s="1" t="str">
        <f t="shared" ref="J2287:J2292" si="1478">"0"</f>
        <v>0</v>
      </c>
      <c r="K2287" s="1" t="str">
        <f t="shared" ref="K2287:K2292" si="1479">"103"</f>
        <v>103</v>
      </c>
      <c r="L2287" s="1" t="str">
        <f t="shared" ref="L2287:L2292" si="1480">"47"</f>
        <v>47</v>
      </c>
      <c r="M2287" s="1" t="str">
        <f t="shared" si="1465"/>
        <v>0</v>
      </c>
      <c r="N2287" s="1" t="str">
        <f t="shared" si="1466"/>
        <v>0</v>
      </c>
      <c r="O2287" s="1" t="str">
        <f t="shared" si="1477"/>
        <v>0</v>
      </c>
    </row>
    <row r="2288" s="1" customFormat="1" spans="1:15">
      <c r="A2288" s="1" t="str">
        <f t="shared" si="1467"/>
        <v>202406</v>
      </c>
      <c r="B2288" s="1" t="str">
        <f t="shared" si="1468"/>
        <v>150525100</v>
      </c>
      <c r="C2288" s="1" t="str">
        <f>"1014629996"</f>
        <v>1014629996</v>
      </c>
      <c r="D2288" s="1" t="str">
        <f>"152326195010200020"</f>
        <v>152326195010200020</v>
      </c>
      <c r="E2288" s="1" t="s">
        <v>2369</v>
      </c>
      <c r="F2288" s="1" t="s">
        <v>16</v>
      </c>
      <c r="G2288" s="1" t="s">
        <v>17</v>
      </c>
      <c r="H2288" s="1" t="str">
        <f>"74"</f>
        <v>74</v>
      </c>
      <c r="I2288" s="1" t="str">
        <f t="shared" ref="I2288:I2292" si="1481">"160"</f>
        <v>160</v>
      </c>
      <c r="J2288" s="1" t="str">
        <f t="shared" si="1478"/>
        <v>0</v>
      </c>
      <c r="K2288" s="1" t="str">
        <f t="shared" si="1479"/>
        <v>103</v>
      </c>
      <c r="L2288" s="1" t="str">
        <f t="shared" si="1480"/>
        <v>47</v>
      </c>
      <c r="M2288" s="1" t="str">
        <f t="shared" si="1465"/>
        <v>0</v>
      </c>
      <c r="N2288" s="1" t="str">
        <f t="shared" si="1466"/>
        <v>0</v>
      </c>
      <c r="O2288" s="1" t="str">
        <f t="shared" si="1477"/>
        <v>0</v>
      </c>
    </row>
    <row r="2289" s="1" customFormat="1" spans="1:15">
      <c r="A2289" s="1" t="str">
        <f t="shared" si="1467"/>
        <v>202406</v>
      </c>
      <c r="B2289" s="1" t="str">
        <f t="shared" si="1468"/>
        <v>150525100</v>
      </c>
      <c r="C2289" s="1" t="str">
        <f>"1014589000"</f>
        <v>1014589000</v>
      </c>
      <c r="D2289" s="1" t="str">
        <f>"152326196004200416"</f>
        <v>152326196004200416</v>
      </c>
      <c r="E2289" s="1" t="s">
        <v>2370</v>
      </c>
      <c r="F2289" s="1" t="s">
        <v>25</v>
      </c>
      <c r="G2289" s="1" t="s">
        <v>17</v>
      </c>
      <c r="H2289" s="1" t="str">
        <f>"64"</f>
        <v>64</v>
      </c>
      <c r="I2289" s="1" t="str">
        <f>"185.98"</f>
        <v>185.98</v>
      </c>
      <c r="J2289" s="1" t="str">
        <f t="shared" si="1478"/>
        <v>0</v>
      </c>
      <c r="K2289" s="1" t="str">
        <f t="shared" si="1479"/>
        <v>103</v>
      </c>
      <c r="L2289" s="1" t="str">
        <f t="shared" si="1480"/>
        <v>47</v>
      </c>
      <c r="M2289" s="1" t="str">
        <f t="shared" si="1465"/>
        <v>0</v>
      </c>
      <c r="N2289" s="1" t="str">
        <f t="shared" si="1466"/>
        <v>0</v>
      </c>
      <c r="O2289" s="1" t="str">
        <f>"35.98"</f>
        <v>35.98</v>
      </c>
    </row>
    <row r="2290" s="1" customFormat="1" spans="1:15">
      <c r="A2290" s="1" t="str">
        <f t="shared" si="1467"/>
        <v>202406</v>
      </c>
      <c r="B2290" s="1" t="str">
        <f t="shared" si="1468"/>
        <v>150525100</v>
      </c>
      <c r="C2290" s="1" t="str">
        <f>"1014612885"</f>
        <v>1014612885</v>
      </c>
      <c r="D2290" s="1" t="str">
        <f>"152326193201250443"</f>
        <v>152326193201250443</v>
      </c>
      <c r="E2290" s="1" t="s">
        <v>2371</v>
      </c>
      <c r="F2290" s="1" t="s">
        <v>16</v>
      </c>
      <c r="G2290" s="1" t="s">
        <v>17</v>
      </c>
      <c r="H2290" s="1" t="str">
        <f>"92"</f>
        <v>92</v>
      </c>
      <c r="I2290" s="1" t="str">
        <f>"170"</f>
        <v>170</v>
      </c>
      <c r="J2290" s="1" t="str">
        <f t="shared" si="1478"/>
        <v>0</v>
      </c>
      <c r="K2290" s="1" t="str">
        <f t="shared" si="1479"/>
        <v>103</v>
      </c>
      <c r="L2290" s="1" t="str">
        <f t="shared" si="1480"/>
        <v>47</v>
      </c>
      <c r="M2290" s="1" t="str">
        <f t="shared" si="1465"/>
        <v>0</v>
      </c>
      <c r="N2290" s="1" t="str">
        <f t="shared" si="1466"/>
        <v>0</v>
      </c>
      <c r="O2290" s="1" t="str">
        <f t="shared" ref="O2290:O2301" si="1482">"0"</f>
        <v>0</v>
      </c>
    </row>
    <row r="2291" s="1" customFormat="1" spans="1:15">
      <c r="A2291" s="1" t="str">
        <f t="shared" si="1467"/>
        <v>202406</v>
      </c>
      <c r="B2291" s="1" t="str">
        <f t="shared" si="1468"/>
        <v>150525100</v>
      </c>
      <c r="C2291" s="1" t="str">
        <f>"1014613185"</f>
        <v>1014613185</v>
      </c>
      <c r="D2291" s="1" t="str">
        <f>"152326194412290917"</f>
        <v>152326194412290917</v>
      </c>
      <c r="E2291" s="1" t="s">
        <v>2372</v>
      </c>
      <c r="F2291" s="1" t="s">
        <v>25</v>
      </c>
      <c r="G2291" s="1" t="s">
        <v>19</v>
      </c>
      <c r="H2291" s="1" t="str">
        <f>"80"</f>
        <v>80</v>
      </c>
      <c r="I2291" s="1" t="str">
        <f t="shared" si="1481"/>
        <v>160</v>
      </c>
      <c r="J2291" s="1" t="str">
        <f t="shared" si="1478"/>
        <v>0</v>
      </c>
      <c r="K2291" s="1" t="str">
        <f t="shared" si="1479"/>
        <v>103</v>
      </c>
      <c r="L2291" s="1" t="str">
        <f t="shared" si="1480"/>
        <v>47</v>
      </c>
      <c r="M2291" s="1" t="str">
        <f t="shared" si="1465"/>
        <v>0</v>
      </c>
      <c r="N2291" s="1" t="str">
        <f t="shared" si="1466"/>
        <v>0</v>
      </c>
      <c r="O2291" s="1" t="str">
        <f t="shared" si="1482"/>
        <v>0</v>
      </c>
    </row>
    <row r="2292" s="1" customFormat="1" spans="1:15">
      <c r="A2292" s="1" t="str">
        <f t="shared" si="1467"/>
        <v>202406</v>
      </c>
      <c r="B2292" s="1" t="str">
        <f t="shared" si="1468"/>
        <v>150525100</v>
      </c>
      <c r="C2292" s="1" t="str">
        <f>"1014622207"</f>
        <v>1014622207</v>
      </c>
      <c r="D2292" s="1" t="str">
        <f>"152326195004290672"</f>
        <v>152326195004290672</v>
      </c>
      <c r="E2292" s="1" t="s">
        <v>2373</v>
      </c>
      <c r="F2292" s="1" t="s">
        <v>25</v>
      </c>
      <c r="G2292" s="1" t="s">
        <v>17</v>
      </c>
      <c r="H2292" s="1" t="str">
        <f>"74"</f>
        <v>74</v>
      </c>
      <c r="I2292" s="1" t="str">
        <f t="shared" si="1481"/>
        <v>160</v>
      </c>
      <c r="J2292" s="1" t="str">
        <f t="shared" si="1478"/>
        <v>0</v>
      </c>
      <c r="K2292" s="1" t="str">
        <f t="shared" si="1479"/>
        <v>103</v>
      </c>
      <c r="L2292" s="1" t="str">
        <f t="shared" si="1480"/>
        <v>47</v>
      </c>
      <c r="M2292" s="1" t="str">
        <f t="shared" si="1465"/>
        <v>0</v>
      </c>
      <c r="N2292" s="1" t="str">
        <f t="shared" si="1466"/>
        <v>0</v>
      </c>
      <c r="O2292" s="1" t="str">
        <f t="shared" si="1482"/>
        <v>0</v>
      </c>
    </row>
    <row r="2293" s="1" customFormat="1" spans="1:15">
      <c r="A2293" s="1" t="str">
        <f t="shared" si="1467"/>
        <v>202406</v>
      </c>
      <c r="B2293" s="1" t="str">
        <f t="shared" si="1468"/>
        <v>150525100</v>
      </c>
      <c r="C2293" s="1" t="str">
        <f>"1014622226"</f>
        <v>1014622226</v>
      </c>
      <c r="D2293" s="1" t="str">
        <f>"152326194202183312"</f>
        <v>152326194202183312</v>
      </c>
      <c r="E2293" s="1" t="s">
        <v>2374</v>
      </c>
      <c r="F2293" s="1" t="s">
        <v>25</v>
      </c>
      <c r="G2293" s="1" t="s">
        <v>19</v>
      </c>
      <c r="H2293" s="1" t="str">
        <f>"82"</f>
        <v>82</v>
      </c>
      <c r="I2293" s="1" t="str">
        <f>"1020"</f>
        <v>1020</v>
      </c>
      <c r="J2293" s="1" t="str">
        <f>"850"</f>
        <v>850</v>
      </c>
      <c r="K2293" s="1" t="str">
        <f>"618"</f>
        <v>618</v>
      </c>
      <c r="L2293" s="1" t="str">
        <f>"282"</f>
        <v>282</v>
      </c>
      <c r="M2293" s="1" t="str">
        <f t="shared" si="1465"/>
        <v>0</v>
      </c>
      <c r="N2293" s="1" t="str">
        <f t="shared" si="1466"/>
        <v>0</v>
      </c>
      <c r="O2293" s="1" t="str">
        <f t="shared" si="1482"/>
        <v>0</v>
      </c>
    </row>
    <row r="2294" s="1" customFormat="1" spans="1:15">
      <c r="A2294" s="1" t="str">
        <f t="shared" si="1467"/>
        <v>202406</v>
      </c>
      <c r="B2294" s="1" t="str">
        <f t="shared" si="1468"/>
        <v>150525100</v>
      </c>
      <c r="C2294" s="1" t="str">
        <f>"1014622605"</f>
        <v>1014622605</v>
      </c>
      <c r="D2294" s="1" t="str">
        <f>"152326194510120671"</f>
        <v>152326194510120671</v>
      </c>
      <c r="E2294" s="1" t="s">
        <v>2375</v>
      </c>
      <c r="F2294" s="1" t="s">
        <v>25</v>
      </c>
      <c r="G2294" s="1" t="s">
        <v>17</v>
      </c>
      <c r="H2294" s="1" t="str">
        <f>"79"</f>
        <v>79</v>
      </c>
      <c r="I2294" s="1" t="str">
        <f t="shared" ref="I2294:I2296" si="1483">"160"</f>
        <v>160</v>
      </c>
      <c r="J2294" s="1" t="str">
        <f t="shared" ref="J2294:J2332" si="1484">"0"</f>
        <v>0</v>
      </c>
      <c r="K2294" s="1" t="str">
        <f t="shared" ref="K2294:K2332" si="1485">"103"</f>
        <v>103</v>
      </c>
      <c r="L2294" s="1" t="str">
        <f t="shared" ref="L2294:L2332" si="1486">"47"</f>
        <v>47</v>
      </c>
      <c r="M2294" s="1" t="str">
        <f t="shared" si="1465"/>
        <v>0</v>
      </c>
      <c r="N2294" s="1" t="str">
        <f t="shared" si="1466"/>
        <v>0</v>
      </c>
      <c r="O2294" s="1" t="str">
        <f t="shared" si="1482"/>
        <v>0</v>
      </c>
    </row>
    <row r="2295" s="1" customFormat="1" spans="1:15">
      <c r="A2295" s="1" t="str">
        <f t="shared" si="1467"/>
        <v>202406</v>
      </c>
      <c r="B2295" s="1" t="str">
        <f t="shared" si="1468"/>
        <v>150525100</v>
      </c>
      <c r="C2295" s="1" t="str">
        <f>"1014622614"</f>
        <v>1014622614</v>
      </c>
      <c r="D2295" s="1" t="str">
        <f>"152326195108020677"</f>
        <v>152326195108020677</v>
      </c>
      <c r="E2295" s="1" t="s">
        <v>285</v>
      </c>
      <c r="F2295" s="1" t="s">
        <v>25</v>
      </c>
      <c r="G2295" s="1" t="s">
        <v>17</v>
      </c>
      <c r="H2295" s="1" t="str">
        <f>"73"</f>
        <v>73</v>
      </c>
      <c r="I2295" s="1" t="str">
        <f t="shared" si="1483"/>
        <v>160</v>
      </c>
      <c r="J2295" s="1" t="str">
        <f t="shared" si="1484"/>
        <v>0</v>
      </c>
      <c r="K2295" s="1" t="str">
        <f t="shared" si="1485"/>
        <v>103</v>
      </c>
      <c r="L2295" s="1" t="str">
        <f t="shared" si="1486"/>
        <v>47</v>
      </c>
      <c r="M2295" s="1" t="str">
        <f t="shared" si="1465"/>
        <v>0</v>
      </c>
      <c r="N2295" s="1" t="str">
        <f t="shared" si="1466"/>
        <v>0</v>
      </c>
      <c r="O2295" s="1" t="str">
        <f t="shared" si="1482"/>
        <v>0</v>
      </c>
    </row>
    <row r="2296" s="1" customFormat="1" spans="1:15">
      <c r="A2296" s="1" t="str">
        <f t="shared" si="1467"/>
        <v>202406</v>
      </c>
      <c r="B2296" s="1" t="str">
        <f t="shared" si="1468"/>
        <v>150525100</v>
      </c>
      <c r="C2296" s="1" t="str">
        <f>"1014622627"</f>
        <v>1014622627</v>
      </c>
      <c r="D2296" s="1" t="str">
        <f>"152326194908130693"</f>
        <v>152326194908130693</v>
      </c>
      <c r="E2296" s="1" t="s">
        <v>2376</v>
      </c>
      <c r="F2296" s="1" t="s">
        <v>25</v>
      </c>
      <c r="G2296" s="1" t="s">
        <v>17</v>
      </c>
      <c r="H2296" s="1" t="str">
        <f>"75"</f>
        <v>75</v>
      </c>
      <c r="I2296" s="1" t="str">
        <f t="shared" si="1483"/>
        <v>160</v>
      </c>
      <c r="J2296" s="1" t="str">
        <f t="shared" si="1484"/>
        <v>0</v>
      </c>
      <c r="K2296" s="1" t="str">
        <f t="shared" si="1485"/>
        <v>103</v>
      </c>
      <c r="L2296" s="1" t="str">
        <f t="shared" si="1486"/>
        <v>47</v>
      </c>
      <c r="M2296" s="1" t="str">
        <f t="shared" si="1465"/>
        <v>0</v>
      </c>
      <c r="N2296" s="1" t="str">
        <f t="shared" si="1466"/>
        <v>0</v>
      </c>
      <c r="O2296" s="1" t="str">
        <f t="shared" si="1482"/>
        <v>0</v>
      </c>
    </row>
    <row r="2297" s="1" customFormat="1" spans="1:15">
      <c r="A2297" s="1" t="str">
        <f t="shared" si="1467"/>
        <v>202406</v>
      </c>
      <c r="B2297" s="1" t="str">
        <f t="shared" si="1468"/>
        <v>150525100</v>
      </c>
      <c r="C2297" s="1" t="str">
        <f>"1014624493"</f>
        <v>1014624493</v>
      </c>
      <c r="D2297" s="1" t="str">
        <f>"152326194106130667"</f>
        <v>152326194106130667</v>
      </c>
      <c r="E2297" s="1" t="s">
        <v>2377</v>
      </c>
      <c r="F2297" s="1" t="s">
        <v>16</v>
      </c>
      <c r="G2297" s="1" t="s">
        <v>17</v>
      </c>
      <c r="H2297" s="1" t="str">
        <f>"83"</f>
        <v>83</v>
      </c>
      <c r="I2297" s="1" t="str">
        <f>"170"</f>
        <v>170</v>
      </c>
      <c r="J2297" s="1" t="str">
        <f t="shared" si="1484"/>
        <v>0</v>
      </c>
      <c r="K2297" s="1" t="str">
        <f t="shared" si="1485"/>
        <v>103</v>
      </c>
      <c r="L2297" s="1" t="str">
        <f t="shared" si="1486"/>
        <v>47</v>
      </c>
      <c r="M2297" s="1" t="str">
        <f t="shared" si="1465"/>
        <v>0</v>
      </c>
      <c r="N2297" s="1" t="str">
        <f t="shared" si="1466"/>
        <v>0</v>
      </c>
      <c r="O2297" s="1" t="str">
        <f t="shared" si="1482"/>
        <v>0</v>
      </c>
    </row>
    <row r="2298" s="1" customFormat="1" spans="1:15">
      <c r="A2298" s="1" t="str">
        <f t="shared" si="1467"/>
        <v>202406</v>
      </c>
      <c r="B2298" s="1" t="str">
        <f t="shared" si="1468"/>
        <v>150525100</v>
      </c>
      <c r="C2298" s="1" t="str">
        <f>"1014623495"</f>
        <v>1014623495</v>
      </c>
      <c r="D2298" s="1" t="str">
        <f>"152326194505260426"</f>
        <v>152326194505260426</v>
      </c>
      <c r="E2298" s="1" t="s">
        <v>2378</v>
      </c>
      <c r="F2298" s="1" t="s">
        <v>16</v>
      </c>
      <c r="G2298" s="1" t="s">
        <v>17</v>
      </c>
      <c r="H2298" s="1" t="str">
        <f>"79"</f>
        <v>79</v>
      </c>
      <c r="I2298" s="1" t="str">
        <f t="shared" ref="I2298:I2301" si="1487">"160"</f>
        <v>160</v>
      </c>
      <c r="J2298" s="1" t="str">
        <f t="shared" si="1484"/>
        <v>0</v>
      </c>
      <c r="K2298" s="1" t="str">
        <f t="shared" si="1485"/>
        <v>103</v>
      </c>
      <c r="L2298" s="1" t="str">
        <f t="shared" si="1486"/>
        <v>47</v>
      </c>
      <c r="M2298" s="1" t="str">
        <f t="shared" si="1465"/>
        <v>0</v>
      </c>
      <c r="N2298" s="1" t="str">
        <f t="shared" si="1466"/>
        <v>0</v>
      </c>
      <c r="O2298" s="1" t="str">
        <f t="shared" si="1482"/>
        <v>0</v>
      </c>
    </row>
    <row r="2299" s="1" customFormat="1" spans="1:15">
      <c r="A2299" s="1" t="str">
        <f t="shared" si="1467"/>
        <v>202406</v>
      </c>
      <c r="B2299" s="1" t="str">
        <f t="shared" si="1468"/>
        <v>150525100</v>
      </c>
      <c r="C2299" s="1" t="str">
        <f>"1014623501"</f>
        <v>1014623501</v>
      </c>
      <c r="D2299" s="1" t="str">
        <f>"152326194103070427"</f>
        <v>152326194103070427</v>
      </c>
      <c r="E2299" s="1" t="s">
        <v>2379</v>
      </c>
      <c r="F2299" s="1" t="s">
        <v>16</v>
      </c>
      <c r="G2299" s="1" t="s">
        <v>17</v>
      </c>
      <c r="H2299" s="1" t="str">
        <f>"83"</f>
        <v>83</v>
      </c>
      <c r="I2299" s="1" t="str">
        <f>"170"</f>
        <v>170</v>
      </c>
      <c r="J2299" s="1" t="str">
        <f t="shared" si="1484"/>
        <v>0</v>
      </c>
      <c r="K2299" s="1" t="str">
        <f t="shared" si="1485"/>
        <v>103</v>
      </c>
      <c r="L2299" s="1" t="str">
        <f t="shared" si="1486"/>
        <v>47</v>
      </c>
      <c r="M2299" s="1" t="str">
        <f t="shared" si="1465"/>
        <v>0</v>
      </c>
      <c r="N2299" s="1" t="str">
        <f t="shared" si="1466"/>
        <v>0</v>
      </c>
      <c r="O2299" s="1" t="str">
        <f t="shared" si="1482"/>
        <v>0</v>
      </c>
    </row>
    <row r="2300" s="1" customFormat="1" spans="1:15">
      <c r="A2300" s="1" t="str">
        <f t="shared" si="1467"/>
        <v>202406</v>
      </c>
      <c r="B2300" s="1" t="str">
        <f t="shared" si="1468"/>
        <v>150525100</v>
      </c>
      <c r="C2300" s="1" t="str">
        <f>"1014629665"</f>
        <v>1014629665</v>
      </c>
      <c r="D2300" s="1" t="s">
        <v>2380</v>
      </c>
      <c r="E2300" s="1" t="s">
        <v>2381</v>
      </c>
      <c r="F2300" s="1" t="s">
        <v>16</v>
      </c>
      <c r="G2300" s="1" t="s">
        <v>17</v>
      </c>
      <c r="H2300" s="1" t="str">
        <f>"76"</f>
        <v>76</v>
      </c>
      <c r="I2300" s="1" t="str">
        <f t="shared" si="1487"/>
        <v>160</v>
      </c>
      <c r="J2300" s="1" t="str">
        <f t="shared" si="1484"/>
        <v>0</v>
      </c>
      <c r="K2300" s="1" t="str">
        <f t="shared" si="1485"/>
        <v>103</v>
      </c>
      <c r="L2300" s="1" t="str">
        <f t="shared" si="1486"/>
        <v>47</v>
      </c>
      <c r="M2300" s="1" t="str">
        <f t="shared" si="1465"/>
        <v>0</v>
      </c>
      <c r="N2300" s="1" t="str">
        <f t="shared" si="1466"/>
        <v>0</v>
      </c>
      <c r="O2300" s="1" t="str">
        <f t="shared" si="1482"/>
        <v>0</v>
      </c>
    </row>
    <row r="2301" s="1" customFormat="1" spans="1:15">
      <c r="A2301" s="1" t="str">
        <f t="shared" si="1467"/>
        <v>202406</v>
      </c>
      <c r="B2301" s="1" t="str">
        <f t="shared" si="1468"/>
        <v>150525100</v>
      </c>
      <c r="C2301" s="1" t="str">
        <f>"1014629700"</f>
        <v>1014629700</v>
      </c>
      <c r="D2301" s="1" t="str">
        <f>"152326195112123820"</f>
        <v>152326195112123820</v>
      </c>
      <c r="E2301" s="1" t="s">
        <v>2382</v>
      </c>
      <c r="F2301" s="1" t="s">
        <v>16</v>
      </c>
      <c r="G2301" s="1" t="s">
        <v>17</v>
      </c>
      <c r="H2301" s="1" t="str">
        <f>"73"</f>
        <v>73</v>
      </c>
      <c r="I2301" s="1" t="str">
        <f t="shared" si="1487"/>
        <v>160</v>
      </c>
      <c r="J2301" s="1" t="str">
        <f t="shared" si="1484"/>
        <v>0</v>
      </c>
      <c r="K2301" s="1" t="str">
        <f t="shared" si="1485"/>
        <v>103</v>
      </c>
      <c r="L2301" s="1" t="str">
        <f t="shared" si="1486"/>
        <v>47</v>
      </c>
      <c r="M2301" s="1" t="str">
        <f t="shared" si="1465"/>
        <v>0</v>
      </c>
      <c r="N2301" s="1" t="str">
        <f t="shared" si="1466"/>
        <v>0</v>
      </c>
      <c r="O2301" s="1" t="str">
        <f t="shared" si="1482"/>
        <v>0</v>
      </c>
    </row>
    <row r="2302" s="1" customFormat="1" spans="1:15">
      <c r="A2302" s="1" t="str">
        <f t="shared" si="1467"/>
        <v>202406</v>
      </c>
      <c r="B2302" s="1" t="str">
        <f t="shared" si="1468"/>
        <v>150525100</v>
      </c>
      <c r="C2302" s="1" t="str">
        <f>"1014589081"</f>
        <v>1014589081</v>
      </c>
      <c r="D2302" s="1" t="str">
        <f>"152326196207290415"</f>
        <v>152326196207290415</v>
      </c>
      <c r="E2302" s="1" t="s">
        <v>2383</v>
      </c>
      <c r="F2302" s="1" t="s">
        <v>25</v>
      </c>
      <c r="G2302" s="1" t="s">
        <v>17</v>
      </c>
      <c r="H2302" s="1" t="str">
        <f>"62"</f>
        <v>62</v>
      </c>
      <c r="I2302" s="1" t="str">
        <f>"162.79"</f>
        <v>162.79</v>
      </c>
      <c r="J2302" s="1" t="str">
        <f t="shared" si="1484"/>
        <v>0</v>
      </c>
      <c r="K2302" s="1" t="str">
        <f t="shared" si="1485"/>
        <v>103</v>
      </c>
      <c r="L2302" s="1" t="str">
        <f t="shared" si="1486"/>
        <v>47</v>
      </c>
      <c r="M2302" s="1" t="str">
        <f t="shared" si="1465"/>
        <v>0</v>
      </c>
      <c r="N2302" s="1" t="str">
        <f t="shared" si="1466"/>
        <v>0</v>
      </c>
      <c r="O2302" s="1" t="str">
        <f>"12.79"</f>
        <v>12.79</v>
      </c>
    </row>
    <row r="2303" s="1" customFormat="1" spans="1:15">
      <c r="A2303" s="1" t="str">
        <f t="shared" si="1467"/>
        <v>202406</v>
      </c>
      <c r="B2303" s="1" t="str">
        <f t="shared" si="1468"/>
        <v>150525100</v>
      </c>
      <c r="C2303" s="1" t="str">
        <f>"1014612983"</f>
        <v>1014612983</v>
      </c>
      <c r="D2303" s="1" t="str">
        <f>"152326194606100923"</f>
        <v>152326194606100923</v>
      </c>
      <c r="E2303" s="1" t="s">
        <v>2384</v>
      </c>
      <c r="F2303" s="1" t="s">
        <v>16</v>
      </c>
      <c r="G2303" s="1" t="s">
        <v>19</v>
      </c>
      <c r="H2303" s="1" t="str">
        <f>"78"</f>
        <v>78</v>
      </c>
      <c r="I2303" s="1" t="str">
        <f t="shared" ref="I2303:I2310" si="1488">"160"</f>
        <v>160</v>
      </c>
      <c r="J2303" s="1" t="str">
        <f t="shared" si="1484"/>
        <v>0</v>
      </c>
      <c r="K2303" s="1" t="str">
        <f t="shared" si="1485"/>
        <v>103</v>
      </c>
      <c r="L2303" s="1" t="str">
        <f t="shared" si="1486"/>
        <v>47</v>
      </c>
      <c r="M2303" s="1" t="str">
        <f t="shared" si="1465"/>
        <v>0</v>
      </c>
      <c r="N2303" s="1" t="str">
        <f t="shared" si="1466"/>
        <v>0</v>
      </c>
      <c r="O2303" s="1" t="str">
        <f t="shared" ref="O2303:O2342" si="1489">"0"</f>
        <v>0</v>
      </c>
    </row>
    <row r="2304" s="1" customFormat="1" spans="1:15">
      <c r="A2304" s="1" t="str">
        <f t="shared" si="1467"/>
        <v>202406</v>
      </c>
      <c r="B2304" s="1" t="str">
        <f t="shared" si="1468"/>
        <v>150525100</v>
      </c>
      <c r="C2304" s="1" t="str">
        <f>"1014613261"</f>
        <v>1014613261</v>
      </c>
      <c r="D2304" s="1" t="str">
        <f>"152326194904240422"</f>
        <v>152326194904240422</v>
      </c>
      <c r="E2304" s="1" t="s">
        <v>2385</v>
      </c>
      <c r="F2304" s="1" t="s">
        <v>16</v>
      </c>
      <c r="G2304" s="1" t="s">
        <v>17</v>
      </c>
      <c r="H2304" s="1" t="str">
        <f>"75"</f>
        <v>75</v>
      </c>
      <c r="I2304" s="1" t="str">
        <f t="shared" si="1488"/>
        <v>160</v>
      </c>
      <c r="J2304" s="1" t="str">
        <f t="shared" si="1484"/>
        <v>0</v>
      </c>
      <c r="K2304" s="1" t="str">
        <f t="shared" si="1485"/>
        <v>103</v>
      </c>
      <c r="L2304" s="1" t="str">
        <f t="shared" si="1486"/>
        <v>47</v>
      </c>
      <c r="M2304" s="1" t="str">
        <f t="shared" si="1465"/>
        <v>0</v>
      </c>
      <c r="N2304" s="1" t="str">
        <f t="shared" si="1466"/>
        <v>0</v>
      </c>
      <c r="O2304" s="1" t="str">
        <f t="shared" si="1489"/>
        <v>0</v>
      </c>
    </row>
    <row r="2305" s="1" customFormat="1" spans="1:15">
      <c r="A2305" s="1" t="str">
        <f t="shared" si="1467"/>
        <v>202406</v>
      </c>
      <c r="B2305" s="1" t="str">
        <f t="shared" si="1468"/>
        <v>150525100</v>
      </c>
      <c r="C2305" s="1" t="str">
        <f>"1014613275"</f>
        <v>1014613275</v>
      </c>
      <c r="D2305" s="1" t="str">
        <f>"152326195004130425"</f>
        <v>152326195004130425</v>
      </c>
      <c r="E2305" s="1" t="s">
        <v>2386</v>
      </c>
      <c r="F2305" s="1" t="s">
        <v>16</v>
      </c>
      <c r="G2305" s="1" t="s">
        <v>17</v>
      </c>
      <c r="H2305" s="1" t="str">
        <f t="shared" ref="H2305:H2310" si="1490">"74"</f>
        <v>74</v>
      </c>
      <c r="I2305" s="1" t="str">
        <f t="shared" si="1488"/>
        <v>160</v>
      </c>
      <c r="J2305" s="1" t="str">
        <f t="shared" si="1484"/>
        <v>0</v>
      </c>
      <c r="K2305" s="1" t="str">
        <f t="shared" si="1485"/>
        <v>103</v>
      </c>
      <c r="L2305" s="1" t="str">
        <f t="shared" si="1486"/>
        <v>47</v>
      </c>
      <c r="M2305" s="1" t="str">
        <f t="shared" ref="M2305:M2368" si="1491">"0"</f>
        <v>0</v>
      </c>
      <c r="N2305" s="1" t="str">
        <f t="shared" ref="N2305:N2368" si="1492">"0"</f>
        <v>0</v>
      </c>
      <c r="O2305" s="1" t="str">
        <f t="shared" si="1489"/>
        <v>0</v>
      </c>
    </row>
    <row r="2306" s="1" customFormat="1" spans="1:15">
      <c r="A2306" s="1" t="str">
        <f t="shared" ref="A2306:A2369" si="1493">"202406"</f>
        <v>202406</v>
      </c>
      <c r="B2306" s="1" t="str">
        <f t="shared" ref="B2306:B2369" si="1494">"150525100"</f>
        <v>150525100</v>
      </c>
      <c r="C2306" s="1" t="str">
        <f>"1014621933"</f>
        <v>1014621933</v>
      </c>
      <c r="D2306" s="1" t="str">
        <f>"152326195008010674"</f>
        <v>152326195008010674</v>
      </c>
      <c r="E2306" s="1" t="s">
        <v>2387</v>
      </c>
      <c r="F2306" s="1" t="s">
        <v>25</v>
      </c>
      <c r="G2306" s="1" t="s">
        <v>96</v>
      </c>
      <c r="H2306" s="1" t="str">
        <f t="shared" si="1490"/>
        <v>74</v>
      </c>
      <c r="I2306" s="1" t="str">
        <f t="shared" si="1488"/>
        <v>160</v>
      </c>
      <c r="J2306" s="1" t="str">
        <f t="shared" si="1484"/>
        <v>0</v>
      </c>
      <c r="K2306" s="1" t="str">
        <f t="shared" si="1485"/>
        <v>103</v>
      </c>
      <c r="L2306" s="1" t="str">
        <f t="shared" si="1486"/>
        <v>47</v>
      </c>
      <c r="M2306" s="1" t="str">
        <f t="shared" si="1491"/>
        <v>0</v>
      </c>
      <c r="N2306" s="1" t="str">
        <f t="shared" si="1492"/>
        <v>0</v>
      </c>
      <c r="O2306" s="1" t="str">
        <f t="shared" si="1489"/>
        <v>0</v>
      </c>
    </row>
    <row r="2307" s="1" customFormat="1" spans="1:15">
      <c r="A2307" s="1" t="str">
        <f t="shared" si="1493"/>
        <v>202406</v>
      </c>
      <c r="B2307" s="1" t="str">
        <f t="shared" si="1494"/>
        <v>150525100</v>
      </c>
      <c r="C2307" s="1" t="str">
        <f>"1014622307"</f>
        <v>1014622307</v>
      </c>
      <c r="D2307" s="1" t="str">
        <f>"152326194909170662"</f>
        <v>152326194909170662</v>
      </c>
      <c r="E2307" s="1" t="s">
        <v>2388</v>
      </c>
      <c r="F2307" s="1" t="s">
        <v>16</v>
      </c>
      <c r="G2307" s="1" t="s">
        <v>17</v>
      </c>
      <c r="H2307" s="1" t="str">
        <f>"75"</f>
        <v>75</v>
      </c>
      <c r="I2307" s="1" t="str">
        <f t="shared" si="1488"/>
        <v>160</v>
      </c>
      <c r="J2307" s="1" t="str">
        <f t="shared" si="1484"/>
        <v>0</v>
      </c>
      <c r="K2307" s="1" t="str">
        <f t="shared" si="1485"/>
        <v>103</v>
      </c>
      <c r="L2307" s="1" t="str">
        <f t="shared" si="1486"/>
        <v>47</v>
      </c>
      <c r="M2307" s="1" t="str">
        <f t="shared" si="1491"/>
        <v>0</v>
      </c>
      <c r="N2307" s="1" t="str">
        <f t="shared" si="1492"/>
        <v>0</v>
      </c>
      <c r="O2307" s="1" t="str">
        <f t="shared" si="1489"/>
        <v>0</v>
      </c>
    </row>
    <row r="2308" s="1" customFormat="1" spans="1:15">
      <c r="A2308" s="1" t="str">
        <f t="shared" si="1493"/>
        <v>202406</v>
      </c>
      <c r="B2308" s="1" t="str">
        <f t="shared" si="1494"/>
        <v>150525100</v>
      </c>
      <c r="C2308" s="1" t="str">
        <f>"1014622326"</f>
        <v>1014622326</v>
      </c>
      <c r="D2308" s="1" t="str">
        <f>"152326194708230665"</f>
        <v>152326194708230665</v>
      </c>
      <c r="E2308" s="1" t="s">
        <v>2389</v>
      </c>
      <c r="F2308" s="1" t="s">
        <v>16</v>
      </c>
      <c r="G2308" s="1" t="s">
        <v>17</v>
      </c>
      <c r="H2308" s="1" t="str">
        <f>"77"</f>
        <v>77</v>
      </c>
      <c r="I2308" s="1" t="str">
        <f t="shared" si="1488"/>
        <v>160</v>
      </c>
      <c r="J2308" s="1" t="str">
        <f t="shared" si="1484"/>
        <v>0</v>
      </c>
      <c r="K2308" s="1" t="str">
        <f t="shared" si="1485"/>
        <v>103</v>
      </c>
      <c r="L2308" s="1" t="str">
        <f t="shared" si="1486"/>
        <v>47</v>
      </c>
      <c r="M2308" s="1" t="str">
        <f t="shared" si="1491"/>
        <v>0</v>
      </c>
      <c r="N2308" s="1" t="str">
        <f t="shared" si="1492"/>
        <v>0</v>
      </c>
      <c r="O2308" s="1" t="str">
        <f t="shared" si="1489"/>
        <v>0</v>
      </c>
    </row>
    <row r="2309" s="1" customFormat="1" spans="1:15">
      <c r="A2309" s="1" t="str">
        <f t="shared" si="1493"/>
        <v>202406</v>
      </c>
      <c r="B2309" s="1" t="str">
        <f t="shared" si="1494"/>
        <v>150525100</v>
      </c>
      <c r="C2309" s="1" t="str">
        <f>"1014622329"</f>
        <v>1014622329</v>
      </c>
      <c r="D2309" s="1" t="str">
        <f>"152326194811240669"</f>
        <v>152326194811240669</v>
      </c>
      <c r="E2309" s="1" t="s">
        <v>2390</v>
      </c>
      <c r="F2309" s="1" t="s">
        <v>16</v>
      </c>
      <c r="G2309" s="1" t="s">
        <v>17</v>
      </c>
      <c r="H2309" s="1" t="str">
        <f>"76"</f>
        <v>76</v>
      </c>
      <c r="I2309" s="1" t="str">
        <f t="shared" si="1488"/>
        <v>160</v>
      </c>
      <c r="J2309" s="1" t="str">
        <f t="shared" si="1484"/>
        <v>0</v>
      </c>
      <c r="K2309" s="1" t="str">
        <f t="shared" si="1485"/>
        <v>103</v>
      </c>
      <c r="L2309" s="1" t="str">
        <f t="shared" si="1486"/>
        <v>47</v>
      </c>
      <c r="M2309" s="1" t="str">
        <f t="shared" si="1491"/>
        <v>0</v>
      </c>
      <c r="N2309" s="1" t="str">
        <f t="shared" si="1492"/>
        <v>0</v>
      </c>
      <c r="O2309" s="1" t="str">
        <f t="shared" si="1489"/>
        <v>0</v>
      </c>
    </row>
    <row r="2310" s="1" customFormat="1" spans="1:15">
      <c r="A2310" s="1" t="str">
        <f t="shared" si="1493"/>
        <v>202406</v>
      </c>
      <c r="B2310" s="1" t="str">
        <f t="shared" si="1494"/>
        <v>150525100</v>
      </c>
      <c r="C2310" s="1" t="str">
        <f>"1014622714"</f>
        <v>1014622714</v>
      </c>
      <c r="D2310" s="1" t="str">
        <f>"152326195008083320"</f>
        <v>152326195008083320</v>
      </c>
      <c r="E2310" s="1" t="s">
        <v>612</v>
      </c>
      <c r="F2310" s="1" t="s">
        <v>16</v>
      </c>
      <c r="G2310" s="1" t="s">
        <v>17</v>
      </c>
      <c r="H2310" s="1" t="str">
        <f t="shared" si="1490"/>
        <v>74</v>
      </c>
      <c r="I2310" s="1" t="str">
        <f t="shared" si="1488"/>
        <v>160</v>
      </c>
      <c r="J2310" s="1" t="str">
        <f t="shared" si="1484"/>
        <v>0</v>
      </c>
      <c r="K2310" s="1" t="str">
        <f t="shared" si="1485"/>
        <v>103</v>
      </c>
      <c r="L2310" s="1" t="str">
        <f t="shared" si="1486"/>
        <v>47</v>
      </c>
      <c r="M2310" s="1" t="str">
        <f t="shared" si="1491"/>
        <v>0</v>
      </c>
      <c r="N2310" s="1" t="str">
        <f t="shared" si="1492"/>
        <v>0</v>
      </c>
      <c r="O2310" s="1" t="str">
        <f t="shared" si="1489"/>
        <v>0</v>
      </c>
    </row>
    <row r="2311" s="1" customFormat="1" spans="1:15">
      <c r="A2311" s="1" t="str">
        <f t="shared" si="1493"/>
        <v>202406</v>
      </c>
      <c r="B2311" s="1" t="str">
        <f t="shared" si="1494"/>
        <v>150525100</v>
      </c>
      <c r="C2311" s="1" t="str">
        <f>"1014624568"</f>
        <v>1014624568</v>
      </c>
      <c r="D2311" s="1" t="s">
        <v>2391</v>
      </c>
      <c r="E2311" s="1" t="s">
        <v>2392</v>
      </c>
      <c r="F2311" s="1" t="s">
        <v>25</v>
      </c>
      <c r="G2311" s="1" t="s">
        <v>17</v>
      </c>
      <c r="H2311" s="1" t="str">
        <f>"90"</f>
        <v>90</v>
      </c>
      <c r="I2311" s="1" t="str">
        <f>"170"</f>
        <v>170</v>
      </c>
      <c r="J2311" s="1" t="str">
        <f t="shared" si="1484"/>
        <v>0</v>
      </c>
      <c r="K2311" s="1" t="str">
        <f t="shared" si="1485"/>
        <v>103</v>
      </c>
      <c r="L2311" s="1" t="str">
        <f t="shared" si="1486"/>
        <v>47</v>
      </c>
      <c r="M2311" s="1" t="str">
        <f t="shared" si="1491"/>
        <v>0</v>
      </c>
      <c r="N2311" s="1" t="str">
        <f t="shared" si="1492"/>
        <v>0</v>
      </c>
      <c r="O2311" s="1" t="str">
        <f t="shared" si="1489"/>
        <v>0</v>
      </c>
    </row>
    <row r="2312" s="1" customFormat="1" spans="1:15">
      <c r="A2312" s="1" t="str">
        <f t="shared" si="1493"/>
        <v>202406</v>
      </c>
      <c r="B2312" s="1" t="str">
        <f t="shared" si="1494"/>
        <v>150525100</v>
      </c>
      <c r="C2312" s="1" t="str">
        <f>"1014619544"</f>
        <v>1014619544</v>
      </c>
      <c r="D2312" s="1" t="str">
        <f>"152326194908130677"</f>
        <v>152326194908130677</v>
      </c>
      <c r="E2312" s="1" t="s">
        <v>2393</v>
      </c>
      <c r="F2312" s="1" t="s">
        <v>25</v>
      </c>
      <c r="G2312" s="1" t="s">
        <v>19</v>
      </c>
      <c r="H2312" s="1" t="str">
        <f>"75"</f>
        <v>75</v>
      </c>
      <c r="I2312" s="1" t="str">
        <f t="shared" ref="I2312:I2321" si="1495">"160"</f>
        <v>160</v>
      </c>
      <c r="J2312" s="1" t="str">
        <f t="shared" si="1484"/>
        <v>0</v>
      </c>
      <c r="K2312" s="1" t="str">
        <f t="shared" si="1485"/>
        <v>103</v>
      </c>
      <c r="L2312" s="1" t="str">
        <f t="shared" si="1486"/>
        <v>47</v>
      </c>
      <c r="M2312" s="1" t="str">
        <f t="shared" si="1491"/>
        <v>0</v>
      </c>
      <c r="N2312" s="1" t="str">
        <f t="shared" si="1492"/>
        <v>0</v>
      </c>
      <c r="O2312" s="1" t="str">
        <f t="shared" si="1489"/>
        <v>0</v>
      </c>
    </row>
    <row r="2313" s="1" customFormat="1" spans="1:15">
      <c r="A2313" s="1" t="str">
        <f t="shared" si="1493"/>
        <v>202406</v>
      </c>
      <c r="B2313" s="1" t="str">
        <f t="shared" si="1494"/>
        <v>150525100</v>
      </c>
      <c r="C2313" s="1" t="str">
        <f>"1014619550"</f>
        <v>1014619550</v>
      </c>
      <c r="D2313" s="1" t="str">
        <f>"152326194908050669"</f>
        <v>152326194908050669</v>
      </c>
      <c r="E2313" s="1" t="s">
        <v>2394</v>
      </c>
      <c r="F2313" s="1" t="s">
        <v>16</v>
      </c>
      <c r="G2313" s="1" t="s">
        <v>17</v>
      </c>
      <c r="H2313" s="1" t="str">
        <f>"75"</f>
        <v>75</v>
      </c>
      <c r="I2313" s="1" t="str">
        <f t="shared" si="1495"/>
        <v>160</v>
      </c>
      <c r="J2313" s="1" t="str">
        <f t="shared" si="1484"/>
        <v>0</v>
      </c>
      <c r="K2313" s="1" t="str">
        <f t="shared" si="1485"/>
        <v>103</v>
      </c>
      <c r="L2313" s="1" t="str">
        <f t="shared" si="1486"/>
        <v>47</v>
      </c>
      <c r="M2313" s="1" t="str">
        <f t="shared" si="1491"/>
        <v>0</v>
      </c>
      <c r="N2313" s="1" t="str">
        <f t="shared" si="1492"/>
        <v>0</v>
      </c>
      <c r="O2313" s="1" t="str">
        <f t="shared" si="1489"/>
        <v>0</v>
      </c>
    </row>
    <row r="2314" s="1" customFormat="1" spans="1:15">
      <c r="A2314" s="1" t="str">
        <f t="shared" si="1493"/>
        <v>202406</v>
      </c>
      <c r="B2314" s="1" t="str">
        <f t="shared" si="1494"/>
        <v>150525100</v>
      </c>
      <c r="C2314" s="1" t="str">
        <f>"1014619562"</f>
        <v>1014619562</v>
      </c>
      <c r="D2314" s="1" t="str">
        <f>"152326194507236382"</f>
        <v>152326194507236382</v>
      </c>
      <c r="E2314" s="1" t="s">
        <v>2395</v>
      </c>
      <c r="F2314" s="1" t="s">
        <v>16</v>
      </c>
      <c r="G2314" s="1" t="s">
        <v>17</v>
      </c>
      <c r="H2314" s="1" t="str">
        <f>"79"</f>
        <v>79</v>
      </c>
      <c r="I2314" s="1" t="str">
        <f t="shared" si="1495"/>
        <v>160</v>
      </c>
      <c r="J2314" s="1" t="str">
        <f t="shared" si="1484"/>
        <v>0</v>
      </c>
      <c r="K2314" s="1" t="str">
        <f t="shared" si="1485"/>
        <v>103</v>
      </c>
      <c r="L2314" s="1" t="str">
        <f t="shared" si="1486"/>
        <v>47</v>
      </c>
      <c r="M2314" s="1" t="str">
        <f t="shared" si="1491"/>
        <v>0</v>
      </c>
      <c r="N2314" s="1" t="str">
        <f t="shared" si="1492"/>
        <v>0</v>
      </c>
      <c r="O2314" s="1" t="str">
        <f t="shared" si="1489"/>
        <v>0</v>
      </c>
    </row>
    <row r="2315" s="1" customFormat="1" spans="1:15">
      <c r="A2315" s="1" t="str">
        <f t="shared" si="1493"/>
        <v>202406</v>
      </c>
      <c r="B2315" s="1" t="str">
        <f t="shared" si="1494"/>
        <v>150525100</v>
      </c>
      <c r="C2315" s="1" t="str">
        <f>"1014629628"</f>
        <v>1014629628</v>
      </c>
      <c r="D2315" s="1" t="str">
        <f>"152326195109123088"</f>
        <v>152326195109123088</v>
      </c>
      <c r="E2315" s="1" t="s">
        <v>2396</v>
      </c>
      <c r="F2315" s="1" t="s">
        <v>16</v>
      </c>
      <c r="G2315" s="1" t="s">
        <v>17</v>
      </c>
      <c r="H2315" s="1" t="str">
        <f>"73"</f>
        <v>73</v>
      </c>
      <c r="I2315" s="1" t="str">
        <f t="shared" si="1495"/>
        <v>160</v>
      </c>
      <c r="J2315" s="1" t="str">
        <f t="shared" si="1484"/>
        <v>0</v>
      </c>
      <c r="K2315" s="1" t="str">
        <f t="shared" si="1485"/>
        <v>103</v>
      </c>
      <c r="L2315" s="1" t="str">
        <f t="shared" si="1486"/>
        <v>47</v>
      </c>
      <c r="M2315" s="1" t="str">
        <f t="shared" si="1491"/>
        <v>0</v>
      </c>
      <c r="N2315" s="1" t="str">
        <f t="shared" si="1492"/>
        <v>0</v>
      </c>
      <c r="O2315" s="1" t="str">
        <f t="shared" si="1489"/>
        <v>0</v>
      </c>
    </row>
    <row r="2316" s="1" customFormat="1" spans="1:15">
      <c r="A2316" s="1" t="str">
        <f t="shared" si="1493"/>
        <v>202406</v>
      </c>
      <c r="B2316" s="1" t="str">
        <f t="shared" si="1494"/>
        <v>150525100</v>
      </c>
      <c r="C2316" s="1" t="str">
        <f>"1014630006"</f>
        <v>1014630006</v>
      </c>
      <c r="D2316" s="1" t="str">
        <f>"152326195011040022"</f>
        <v>152326195011040022</v>
      </c>
      <c r="E2316" s="1" t="s">
        <v>2397</v>
      </c>
      <c r="F2316" s="1" t="s">
        <v>16</v>
      </c>
      <c r="G2316" s="1" t="s">
        <v>17</v>
      </c>
      <c r="H2316" s="1" t="str">
        <f>"74"</f>
        <v>74</v>
      </c>
      <c r="I2316" s="1" t="str">
        <f t="shared" si="1495"/>
        <v>160</v>
      </c>
      <c r="J2316" s="1" t="str">
        <f t="shared" si="1484"/>
        <v>0</v>
      </c>
      <c r="K2316" s="1" t="str">
        <f t="shared" si="1485"/>
        <v>103</v>
      </c>
      <c r="L2316" s="1" t="str">
        <f t="shared" si="1486"/>
        <v>47</v>
      </c>
      <c r="M2316" s="1" t="str">
        <f t="shared" si="1491"/>
        <v>0</v>
      </c>
      <c r="N2316" s="1" t="str">
        <f t="shared" si="1492"/>
        <v>0</v>
      </c>
      <c r="O2316" s="1" t="str">
        <f t="shared" si="1489"/>
        <v>0</v>
      </c>
    </row>
    <row r="2317" s="1" customFormat="1" spans="1:15">
      <c r="A2317" s="1" t="str">
        <f t="shared" si="1493"/>
        <v>202406</v>
      </c>
      <c r="B2317" s="1" t="str">
        <f t="shared" si="1494"/>
        <v>150525100</v>
      </c>
      <c r="C2317" s="1" t="str">
        <f>"1014630008"</f>
        <v>1014630008</v>
      </c>
      <c r="D2317" s="1" t="str">
        <f>"152326194609120014"</f>
        <v>152326194609120014</v>
      </c>
      <c r="E2317" s="1" t="s">
        <v>2398</v>
      </c>
      <c r="F2317" s="1" t="s">
        <v>25</v>
      </c>
      <c r="G2317" s="1" t="s">
        <v>17</v>
      </c>
      <c r="H2317" s="1" t="str">
        <f>"78"</f>
        <v>78</v>
      </c>
      <c r="I2317" s="1" t="str">
        <f t="shared" si="1495"/>
        <v>160</v>
      </c>
      <c r="J2317" s="1" t="str">
        <f t="shared" si="1484"/>
        <v>0</v>
      </c>
      <c r="K2317" s="1" t="str">
        <f t="shared" si="1485"/>
        <v>103</v>
      </c>
      <c r="L2317" s="1" t="str">
        <f t="shared" si="1486"/>
        <v>47</v>
      </c>
      <c r="M2317" s="1" t="str">
        <f t="shared" si="1491"/>
        <v>0</v>
      </c>
      <c r="N2317" s="1" t="str">
        <f t="shared" si="1492"/>
        <v>0</v>
      </c>
      <c r="O2317" s="1" t="str">
        <f t="shared" si="1489"/>
        <v>0</v>
      </c>
    </row>
    <row r="2318" s="1" customFormat="1" spans="1:15">
      <c r="A2318" s="1" t="str">
        <f t="shared" si="1493"/>
        <v>202406</v>
      </c>
      <c r="B2318" s="1" t="str">
        <f t="shared" si="1494"/>
        <v>150525100</v>
      </c>
      <c r="C2318" s="1" t="str">
        <f>"1014630042"</f>
        <v>1014630042</v>
      </c>
      <c r="D2318" s="1" t="str">
        <f>"152326194912303075"</f>
        <v>152326194912303075</v>
      </c>
      <c r="E2318" s="1" t="s">
        <v>2399</v>
      </c>
      <c r="F2318" s="1" t="s">
        <v>25</v>
      </c>
      <c r="G2318" s="1" t="s">
        <v>17</v>
      </c>
      <c r="H2318" s="1" t="str">
        <f>"75"</f>
        <v>75</v>
      </c>
      <c r="I2318" s="1" t="str">
        <f t="shared" si="1495"/>
        <v>160</v>
      </c>
      <c r="J2318" s="1" t="str">
        <f t="shared" si="1484"/>
        <v>0</v>
      </c>
      <c r="K2318" s="1" t="str">
        <f t="shared" si="1485"/>
        <v>103</v>
      </c>
      <c r="L2318" s="1" t="str">
        <f t="shared" si="1486"/>
        <v>47</v>
      </c>
      <c r="M2318" s="1" t="str">
        <f t="shared" si="1491"/>
        <v>0</v>
      </c>
      <c r="N2318" s="1" t="str">
        <f t="shared" si="1492"/>
        <v>0</v>
      </c>
      <c r="O2318" s="1" t="str">
        <f t="shared" si="1489"/>
        <v>0</v>
      </c>
    </row>
    <row r="2319" s="1" customFormat="1" spans="1:15">
      <c r="A2319" s="1" t="str">
        <f t="shared" si="1493"/>
        <v>202406</v>
      </c>
      <c r="B2319" s="1" t="str">
        <f t="shared" si="1494"/>
        <v>150525100</v>
      </c>
      <c r="C2319" s="1" t="str">
        <f>"1014630055"</f>
        <v>1014630055</v>
      </c>
      <c r="D2319" s="1" t="str">
        <f>"152326194501113074"</f>
        <v>152326194501113074</v>
      </c>
      <c r="E2319" s="1" t="s">
        <v>2400</v>
      </c>
      <c r="F2319" s="1" t="s">
        <v>25</v>
      </c>
      <c r="G2319" s="1" t="s">
        <v>17</v>
      </c>
      <c r="H2319" s="1" t="str">
        <f>"79"</f>
        <v>79</v>
      </c>
      <c r="I2319" s="1" t="str">
        <f t="shared" si="1495"/>
        <v>160</v>
      </c>
      <c r="J2319" s="1" t="str">
        <f t="shared" si="1484"/>
        <v>0</v>
      </c>
      <c r="K2319" s="1" t="str">
        <f t="shared" si="1485"/>
        <v>103</v>
      </c>
      <c r="L2319" s="1" t="str">
        <f t="shared" si="1486"/>
        <v>47</v>
      </c>
      <c r="M2319" s="1" t="str">
        <f t="shared" si="1491"/>
        <v>0</v>
      </c>
      <c r="N2319" s="1" t="str">
        <f t="shared" si="1492"/>
        <v>0</v>
      </c>
      <c r="O2319" s="1" t="str">
        <f t="shared" si="1489"/>
        <v>0</v>
      </c>
    </row>
    <row r="2320" s="1" customFormat="1" spans="1:15">
      <c r="A2320" s="1" t="str">
        <f t="shared" si="1493"/>
        <v>202406</v>
      </c>
      <c r="B2320" s="1" t="str">
        <f t="shared" si="1494"/>
        <v>150525100</v>
      </c>
      <c r="C2320" s="1" t="str">
        <f>"1014630061"</f>
        <v>1014630061</v>
      </c>
      <c r="D2320" s="1" t="str">
        <f>"152326194506073075"</f>
        <v>152326194506073075</v>
      </c>
      <c r="E2320" s="1" t="s">
        <v>2401</v>
      </c>
      <c r="F2320" s="1" t="s">
        <v>25</v>
      </c>
      <c r="G2320" s="1" t="s">
        <v>17</v>
      </c>
      <c r="H2320" s="1" t="str">
        <f>"79"</f>
        <v>79</v>
      </c>
      <c r="I2320" s="1" t="str">
        <f t="shared" si="1495"/>
        <v>160</v>
      </c>
      <c r="J2320" s="1" t="str">
        <f t="shared" si="1484"/>
        <v>0</v>
      </c>
      <c r="K2320" s="1" t="str">
        <f t="shared" si="1485"/>
        <v>103</v>
      </c>
      <c r="L2320" s="1" t="str">
        <f t="shared" si="1486"/>
        <v>47</v>
      </c>
      <c r="M2320" s="1" t="str">
        <f t="shared" si="1491"/>
        <v>0</v>
      </c>
      <c r="N2320" s="1" t="str">
        <f t="shared" si="1492"/>
        <v>0</v>
      </c>
      <c r="O2320" s="1" t="str">
        <f t="shared" si="1489"/>
        <v>0</v>
      </c>
    </row>
    <row r="2321" s="1" customFormat="1" spans="1:15">
      <c r="A2321" s="1" t="str">
        <f t="shared" si="1493"/>
        <v>202406</v>
      </c>
      <c r="B2321" s="1" t="str">
        <f t="shared" si="1494"/>
        <v>150525100</v>
      </c>
      <c r="C2321" s="1" t="str">
        <f>"1014612912"</f>
        <v>1014612912</v>
      </c>
      <c r="D2321" s="1" t="str">
        <f>"152326194905200924"</f>
        <v>152326194905200924</v>
      </c>
      <c r="E2321" s="1" t="s">
        <v>2402</v>
      </c>
      <c r="F2321" s="1" t="s">
        <v>16</v>
      </c>
      <c r="G2321" s="1" t="s">
        <v>19</v>
      </c>
      <c r="H2321" s="1" t="str">
        <f>"75"</f>
        <v>75</v>
      </c>
      <c r="I2321" s="1" t="str">
        <f t="shared" si="1495"/>
        <v>160</v>
      </c>
      <c r="J2321" s="1" t="str">
        <f t="shared" si="1484"/>
        <v>0</v>
      </c>
      <c r="K2321" s="1" t="str">
        <f t="shared" si="1485"/>
        <v>103</v>
      </c>
      <c r="L2321" s="1" t="str">
        <f t="shared" si="1486"/>
        <v>47</v>
      </c>
      <c r="M2321" s="1" t="str">
        <f t="shared" si="1491"/>
        <v>0</v>
      </c>
      <c r="N2321" s="1" t="str">
        <f t="shared" si="1492"/>
        <v>0</v>
      </c>
      <c r="O2321" s="1" t="str">
        <f t="shared" si="1489"/>
        <v>0</v>
      </c>
    </row>
    <row r="2322" s="1" customFormat="1" spans="1:15">
      <c r="A2322" s="1" t="str">
        <f t="shared" si="1493"/>
        <v>202406</v>
      </c>
      <c r="B2322" s="1" t="str">
        <f t="shared" si="1494"/>
        <v>150525100</v>
      </c>
      <c r="C2322" s="1" t="str">
        <f>"1014613209"</f>
        <v>1014613209</v>
      </c>
      <c r="D2322" s="1" t="str">
        <f>"152326194007160422"</f>
        <v>152326194007160422</v>
      </c>
      <c r="E2322" s="1" t="s">
        <v>2403</v>
      </c>
      <c r="F2322" s="1" t="s">
        <v>16</v>
      </c>
      <c r="G2322" s="1" t="s">
        <v>19</v>
      </c>
      <c r="H2322" s="1" t="str">
        <f>"84"</f>
        <v>84</v>
      </c>
      <c r="I2322" s="1" t="str">
        <f>"170"</f>
        <v>170</v>
      </c>
      <c r="J2322" s="1" t="str">
        <f t="shared" si="1484"/>
        <v>0</v>
      </c>
      <c r="K2322" s="1" t="str">
        <f t="shared" si="1485"/>
        <v>103</v>
      </c>
      <c r="L2322" s="1" t="str">
        <f t="shared" si="1486"/>
        <v>47</v>
      </c>
      <c r="M2322" s="1" t="str">
        <f t="shared" si="1491"/>
        <v>0</v>
      </c>
      <c r="N2322" s="1" t="str">
        <f t="shared" si="1492"/>
        <v>0</v>
      </c>
      <c r="O2322" s="1" t="str">
        <f t="shared" si="1489"/>
        <v>0</v>
      </c>
    </row>
    <row r="2323" s="1" customFormat="1" spans="1:15">
      <c r="A2323" s="1" t="str">
        <f t="shared" si="1493"/>
        <v>202406</v>
      </c>
      <c r="B2323" s="1" t="str">
        <f t="shared" si="1494"/>
        <v>150525100</v>
      </c>
      <c r="C2323" s="1" t="str">
        <f>"1014613221"</f>
        <v>1014613221</v>
      </c>
      <c r="D2323" s="1" t="str">
        <f>"152326195008150482"</f>
        <v>152326195008150482</v>
      </c>
      <c r="E2323" s="1" t="s">
        <v>2404</v>
      </c>
      <c r="F2323" s="1" t="s">
        <v>16</v>
      </c>
      <c r="G2323" s="1" t="s">
        <v>17</v>
      </c>
      <c r="H2323" s="1" t="str">
        <f>"74"</f>
        <v>74</v>
      </c>
      <c r="I2323" s="1" t="str">
        <f t="shared" ref="I2323:I2332" si="1496">"160"</f>
        <v>160</v>
      </c>
      <c r="J2323" s="1" t="str">
        <f t="shared" si="1484"/>
        <v>0</v>
      </c>
      <c r="K2323" s="1" t="str">
        <f t="shared" si="1485"/>
        <v>103</v>
      </c>
      <c r="L2323" s="1" t="str">
        <f t="shared" si="1486"/>
        <v>47</v>
      </c>
      <c r="M2323" s="1" t="str">
        <f t="shared" si="1491"/>
        <v>0</v>
      </c>
      <c r="N2323" s="1" t="str">
        <f t="shared" si="1492"/>
        <v>0</v>
      </c>
      <c r="O2323" s="1" t="str">
        <f t="shared" si="1489"/>
        <v>0</v>
      </c>
    </row>
    <row r="2324" s="1" customFormat="1" spans="1:15">
      <c r="A2324" s="1" t="str">
        <f t="shared" si="1493"/>
        <v>202406</v>
      </c>
      <c r="B2324" s="1" t="str">
        <f t="shared" si="1494"/>
        <v>150525100</v>
      </c>
      <c r="C2324" s="1" t="str">
        <f>"1014622240"</f>
        <v>1014622240</v>
      </c>
      <c r="D2324" s="1" t="str">
        <f>"152326194802090427"</f>
        <v>152326194802090427</v>
      </c>
      <c r="E2324" s="1" t="s">
        <v>2405</v>
      </c>
      <c r="F2324" s="1" t="s">
        <v>16</v>
      </c>
      <c r="G2324" s="1" t="s">
        <v>17</v>
      </c>
      <c r="H2324" s="1" t="str">
        <f>"76"</f>
        <v>76</v>
      </c>
      <c r="I2324" s="1" t="str">
        <f t="shared" si="1496"/>
        <v>160</v>
      </c>
      <c r="J2324" s="1" t="str">
        <f t="shared" si="1484"/>
        <v>0</v>
      </c>
      <c r="K2324" s="1" t="str">
        <f t="shared" si="1485"/>
        <v>103</v>
      </c>
      <c r="L2324" s="1" t="str">
        <f t="shared" si="1486"/>
        <v>47</v>
      </c>
      <c r="M2324" s="1" t="str">
        <f t="shared" si="1491"/>
        <v>0</v>
      </c>
      <c r="N2324" s="1" t="str">
        <f t="shared" si="1492"/>
        <v>0</v>
      </c>
      <c r="O2324" s="1" t="str">
        <f t="shared" si="1489"/>
        <v>0</v>
      </c>
    </row>
    <row r="2325" s="1" customFormat="1" spans="1:15">
      <c r="A2325" s="1" t="str">
        <f t="shared" si="1493"/>
        <v>202406</v>
      </c>
      <c r="B2325" s="1" t="str">
        <f t="shared" si="1494"/>
        <v>150525100</v>
      </c>
      <c r="C2325" s="1" t="str">
        <f>"1014622249"</f>
        <v>1014622249</v>
      </c>
      <c r="D2325" s="1" t="str">
        <f>"152326194702020421"</f>
        <v>152326194702020421</v>
      </c>
      <c r="E2325" s="1" t="s">
        <v>2406</v>
      </c>
      <c r="F2325" s="1" t="s">
        <v>16</v>
      </c>
      <c r="G2325" s="1" t="s">
        <v>17</v>
      </c>
      <c r="H2325" s="1" t="str">
        <f t="shared" ref="H2325:H2330" si="1497">"77"</f>
        <v>77</v>
      </c>
      <c r="I2325" s="1" t="str">
        <f t="shared" si="1496"/>
        <v>160</v>
      </c>
      <c r="J2325" s="1" t="str">
        <f t="shared" si="1484"/>
        <v>0</v>
      </c>
      <c r="K2325" s="1" t="str">
        <f t="shared" si="1485"/>
        <v>103</v>
      </c>
      <c r="L2325" s="1" t="str">
        <f t="shared" si="1486"/>
        <v>47</v>
      </c>
      <c r="M2325" s="1" t="str">
        <f t="shared" si="1491"/>
        <v>0</v>
      </c>
      <c r="N2325" s="1" t="str">
        <f t="shared" si="1492"/>
        <v>0</v>
      </c>
      <c r="O2325" s="1" t="str">
        <f t="shared" si="1489"/>
        <v>0</v>
      </c>
    </row>
    <row r="2326" s="1" customFormat="1" spans="1:15">
      <c r="A2326" s="1" t="str">
        <f t="shared" si="1493"/>
        <v>202406</v>
      </c>
      <c r="B2326" s="1" t="str">
        <f t="shared" si="1494"/>
        <v>150525100</v>
      </c>
      <c r="C2326" s="1" t="str">
        <f>"1014622256"</f>
        <v>1014622256</v>
      </c>
      <c r="D2326" s="1" t="str">
        <f>"152326194705020662"</f>
        <v>152326194705020662</v>
      </c>
      <c r="E2326" s="1" t="s">
        <v>2407</v>
      </c>
      <c r="F2326" s="1" t="s">
        <v>16</v>
      </c>
      <c r="G2326" s="1" t="s">
        <v>17</v>
      </c>
      <c r="H2326" s="1" t="str">
        <f t="shared" si="1497"/>
        <v>77</v>
      </c>
      <c r="I2326" s="1" t="str">
        <f t="shared" si="1496"/>
        <v>160</v>
      </c>
      <c r="J2326" s="1" t="str">
        <f t="shared" si="1484"/>
        <v>0</v>
      </c>
      <c r="K2326" s="1" t="str">
        <f t="shared" si="1485"/>
        <v>103</v>
      </c>
      <c r="L2326" s="1" t="str">
        <f t="shared" si="1486"/>
        <v>47</v>
      </c>
      <c r="M2326" s="1" t="str">
        <f t="shared" si="1491"/>
        <v>0</v>
      </c>
      <c r="N2326" s="1" t="str">
        <f t="shared" si="1492"/>
        <v>0</v>
      </c>
      <c r="O2326" s="1" t="str">
        <f t="shared" si="1489"/>
        <v>0</v>
      </c>
    </row>
    <row r="2327" s="1" customFormat="1" spans="1:15">
      <c r="A2327" s="1" t="str">
        <f t="shared" si="1493"/>
        <v>202406</v>
      </c>
      <c r="B2327" s="1" t="str">
        <f t="shared" si="1494"/>
        <v>150525100</v>
      </c>
      <c r="C2327" s="1" t="str">
        <f>"1014622267"</f>
        <v>1014622267</v>
      </c>
      <c r="D2327" s="1" t="str">
        <f>"152326194410080668"</f>
        <v>152326194410080668</v>
      </c>
      <c r="E2327" s="1" t="s">
        <v>2408</v>
      </c>
      <c r="F2327" s="1" t="s">
        <v>16</v>
      </c>
      <c r="G2327" s="1" t="s">
        <v>17</v>
      </c>
      <c r="H2327" s="1" t="str">
        <f>"80"</f>
        <v>80</v>
      </c>
      <c r="I2327" s="1" t="str">
        <f t="shared" si="1496"/>
        <v>160</v>
      </c>
      <c r="J2327" s="1" t="str">
        <f t="shared" si="1484"/>
        <v>0</v>
      </c>
      <c r="K2327" s="1" t="str">
        <f t="shared" si="1485"/>
        <v>103</v>
      </c>
      <c r="L2327" s="1" t="str">
        <f t="shared" si="1486"/>
        <v>47</v>
      </c>
      <c r="M2327" s="1" t="str">
        <f t="shared" si="1491"/>
        <v>0</v>
      </c>
      <c r="N2327" s="1" t="str">
        <f t="shared" si="1492"/>
        <v>0</v>
      </c>
      <c r="O2327" s="1" t="str">
        <f t="shared" si="1489"/>
        <v>0</v>
      </c>
    </row>
    <row r="2328" s="1" customFormat="1" spans="1:15">
      <c r="A2328" s="1" t="str">
        <f t="shared" si="1493"/>
        <v>202406</v>
      </c>
      <c r="B2328" s="1" t="str">
        <f t="shared" si="1494"/>
        <v>150525100</v>
      </c>
      <c r="C2328" s="1" t="str">
        <f>"1014622655"</f>
        <v>1014622655</v>
      </c>
      <c r="D2328" s="1" t="str">
        <f>"152326195107200668"</f>
        <v>152326195107200668</v>
      </c>
      <c r="E2328" s="1" t="s">
        <v>1240</v>
      </c>
      <c r="F2328" s="1" t="s">
        <v>16</v>
      </c>
      <c r="G2328" s="1" t="s">
        <v>17</v>
      </c>
      <c r="H2328" s="1" t="str">
        <f>"73"</f>
        <v>73</v>
      </c>
      <c r="I2328" s="1" t="str">
        <f t="shared" si="1496"/>
        <v>160</v>
      </c>
      <c r="J2328" s="1" t="str">
        <f t="shared" si="1484"/>
        <v>0</v>
      </c>
      <c r="K2328" s="1" t="str">
        <f t="shared" si="1485"/>
        <v>103</v>
      </c>
      <c r="L2328" s="1" t="str">
        <f t="shared" si="1486"/>
        <v>47</v>
      </c>
      <c r="M2328" s="1" t="str">
        <f t="shared" si="1491"/>
        <v>0</v>
      </c>
      <c r="N2328" s="1" t="str">
        <f t="shared" si="1492"/>
        <v>0</v>
      </c>
      <c r="O2328" s="1" t="str">
        <f t="shared" si="1489"/>
        <v>0</v>
      </c>
    </row>
    <row r="2329" s="1" customFormat="1" spans="1:15">
      <c r="A2329" s="1" t="str">
        <f t="shared" si="1493"/>
        <v>202406</v>
      </c>
      <c r="B2329" s="1" t="str">
        <f t="shared" si="1494"/>
        <v>150525100</v>
      </c>
      <c r="C2329" s="1" t="str">
        <f>"1014619490"</f>
        <v>1014619490</v>
      </c>
      <c r="D2329" s="1" t="str">
        <f>"152326194710120414"</f>
        <v>152326194710120414</v>
      </c>
      <c r="E2329" s="1" t="s">
        <v>2409</v>
      </c>
      <c r="F2329" s="1" t="s">
        <v>25</v>
      </c>
      <c r="G2329" s="1" t="s">
        <v>17</v>
      </c>
      <c r="H2329" s="1" t="str">
        <f t="shared" si="1497"/>
        <v>77</v>
      </c>
      <c r="I2329" s="1" t="str">
        <f t="shared" si="1496"/>
        <v>160</v>
      </c>
      <c r="J2329" s="1" t="str">
        <f t="shared" si="1484"/>
        <v>0</v>
      </c>
      <c r="K2329" s="1" t="str">
        <f t="shared" si="1485"/>
        <v>103</v>
      </c>
      <c r="L2329" s="1" t="str">
        <f t="shared" si="1486"/>
        <v>47</v>
      </c>
      <c r="M2329" s="1" t="str">
        <f t="shared" si="1491"/>
        <v>0</v>
      </c>
      <c r="N2329" s="1" t="str">
        <f t="shared" si="1492"/>
        <v>0</v>
      </c>
      <c r="O2329" s="1" t="str">
        <f t="shared" si="1489"/>
        <v>0</v>
      </c>
    </row>
    <row r="2330" s="1" customFormat="1" spans="1:15">
      <c r="A2330" s="1" t="str">
        <f t="shared" si="1493"/>
        <v>202406</v>
      </c>
      <c r="B2330" s="1" t="str">
        <f t="shared" si="1494"/>
        <v>150525100</v>
      </c>
      <c r="C2330" s="1" t="str">
        <f>"1014619504"</f>
        <v>1014619504</v>
      </c>
      <c r="D2330" s="1" t="str">
        <f>"152326194709160419"</f>
        <v>152326194709160419</v>
      </c>
      <c r="E2330" s="1" t="s">
        <v>2410</v>
      </c>
      <c r="F2330" s="1" t="s">
        <v>25</v>
      </c>
      <c r="G2330" s="1" t="s">
        <v>17</v>
      </c>
      <c r="H2330" s="1" t="str">
        <f t="shared" si="1497"/>
        <v>77</v>
      </c>
      <c r="I2330" s="1" t="str">
        <f t="shared" si="1496"/>
        <v>160</v>
      </c>
      <c r="J2330" s="1" t="str">
        <f t="shared" si="1484"/>
        <v>0</v>
      </c>
      <c r="K2330" s="1" t="str">
        <f t="shared" si="1485"/>
        <v>103</v>
      </c>
      <c r="L2330" s="1" t="str">
        <f t="shared" si="1486"/>
        <v>47</v>
      </c>
      <c r="M2330" s="1" t="str">
        <f t="shared" si="1491"/>
        <v>0</v>
      </c>
      <c r="N2330" s="1" t="str">
        <f t="shared" si="1492"/>
        <v>0</v>
      </c>
      <c r="O2330" s="1" t="str">
        <f t="shared" si="1489"/>
        <v>0</v>
      </c>
    </row>
    <row r="2331" s="1" customFormat="1" spans="1:15">
      <c r="A2331" s="1" t="str">
        <f t="shared" si="1493"/>
        <v>202406</v>
      </c>
      <c r="B2331" s="1" t="str">
        <f t="shared" si="1494"/>
        <v>150525100</v>
      </c>
      <c r="C2331" s="1" t="str">
        <f>"1014619511"</f>
        <v>1014619511</v>
      </c>
      <c r="D2331" s="1" t="str">
        <f>"152326195004133079"</f>
        <v>152326195004133079</v>
      </c>
      <c r="E2331" s="1" t="s">
        <v>2411</v>
      </c>
      <c r="F2331" s="1" t="s">
        <v>25</v>
      </c>
      <c r="G2331" s="1" t="s">
        <v>17</v>
      </c>
      <c r="H2331" s="1" t="str">
        <f>"74"</f>
        <v>74</v>
      </c>
      <c r="I2331" s="1" t="str">
        <f t="shared" si="1496"/>
        <v>160</v>
      </c>
      <c r="J2331" s="1" t="str">
        <f t="shared" si="1484"/>
        <v>0</v>
      </c>
      <c r="K2331" s="1" t="str">
        <f t="shared" si="1485"/>
        <v>103</v>
      </c>
      <c r="L2331" s="1" t="str">
        <f t="shared" si="1486"/>
        <v>47</v>
      </c>
      <c r="M2331" s="1" t="str">
        <f t="shared" si="1491"/>
        <v>0</v>
      </c>
      <c r="N2331" s="1" t="str">
        <f t="shared" si="1492"/>
        <v>0</v>
      </c>
      <c r="O2331" s="1" t="str">
        <f t="shared" si="1489"/>
        <v>0</v>
      </c>
    </row>
    <row r="2332" s="1" customFormat="1" spans="1:15">
      <c r="A2332" s="1" t="str">
        <f t="shared" si="1493"/>
        <v>202406</v>
      </c>
      <c r="B2332" s="1" t="str">
        <f t="shared" si="1494"/>
        <v>150525100</v>
      </c>
      <c r="C2332" s="1" t="str">
        <f>"1014619645"</f>
        <v>1014619645</v>
      </c>
      <c r="D2332" s="1" t="str">
        <f>"152326194708183088"</f>
        <v>152326194708183088</v>
      </c>
      <c r="E2332" s="1" t="s">
        <v>2412</v>
      </c>
      <c r="F2332" s="1" t="s">
        <v>16</v>
      </c>
      <c r="G2332" s="1" t="s">
        <v>17</v>
      </c>
      <c r="H2332" s="1" t="str">
        <f t="shared" ref="H2332:H2336" si="1498">"77"</f>
        <v>77</v>
      </c>
      <c r="I2332" s="1" t="str">
        <f t="shared" si="1496"/>
        <v>160</v>
      </c>
      <c r="J2332" s="1" t="str">
        <f t="shared" si="1484"/>
        <v>0</v>
      </c>
      <c r="K2332" s="1" t="str">
        <f t="shared" si="1485"/>
        <v>103</v>
      </c>
      <c r="L2332" s="1" t="str">
        <f t="shared" si="1486"/>
        <v>47</v>
      </c>
      <c r="M2332" s="1" t="str">
        <f t="shared" si="1491"/>
        <v>0</v>
      </c>
      <c r="N2332" s="1" t="str">
        <f t="shared" si="1492"/>
        <v>0</v>
      </c>
      <c r="O2332" s="1" t="str">
        <f t="shared" si="1489"/>
        <v>0</v>
      </c>
    </row>
    <row r="2333" s="1" customFormat="1" spans="1:15">
      <c r="A2333" s="1" t="str">
        <f t="shared" si="1493"/>
        <v>202406</v>
      </c>
      <c r="B2333" s="1" t="str">
        <f t="shared" si="1494"/>
        <v>150525100</v>
      </c>
      <c r="C2333" s="1" t="str">
        <f>"1014619656"</f>
        <v>1014619656</v>
      </c>
      <c r="D2333" s="1" t="str">
        <f>"152326194805270669"</f>
        <v>152326194805270669</v>
      </c>
      <c r="E2333" s="1" t="s">
        <v>236</v>
      </c>
      <c r="F2333" s="1" t="s">
        <v>16</v>
      </c>
      <c r="G2333" s="1" t="s">
        <v>96</v>
      </c>
      <c r="H2333" s="1" t="str">
        <f>"76"</f>
        <v>76</v>
      </c>
      <c r="I2333" s="1" t="str">
        <f>"1600"</f>
        <v>1600</v>
      </c>
      <c r="J2333" s="1" t="str">
        <f>"1440"</f>
        <v>1440</v>
      </c>
      <c r="K2333" s="1" t="str">
        <f>"1030"</f>
        <v>1030</v>
      </c>
      <c r="L2333" s="1" t="str">
        <f>"470"</f>
        <v>470</v>
      </c>
      <c r="M2333" s="1" t="str">
        <f t="shared" si="1491"/>
        <v>0</v>
      </c>
      <c r="N2333" s="1" t="str">
        <f t="shared" si="1492"/>
        <v>0</v>
      </c>
      <c r="O2333" s="1" t="str">
        <f t="shared" si="1489"/>
        <v>0</v>
      </c>
    </row>
    <row r="2334" s="1" customFormat="1" spans="1:15">
      <c r="A2334" s="1" t="str">
        <f t="shared" si="1493"/>
        <v>202406</v>
      </c>
      <c r="B2334" s="1" t="str">
        <f t="shared" si="1494"/>
        <v>150525100</v>
      </c>
      <c r="C2334" s="1" t="str">
        <f>"1014629957"</f>
        <v>1014629957</v>
      </c>
      <c r="D2334" s="1" t="str">
        <f>"152326194707210021"</f>
        <v>152326194707210021</v>
      </c>
      <c r="E2334" s="1" t="s">
        <v>2413</v>
      </c>
      <c r="F2334" s="1" t="s">
        <v>16</v>
      </c>
      <c r="G2334" s="1" t="s">
        <v>17</v>
      </c>
      <c r="H2334" s="1" t="str">
        <f t="shared" si="1498"/>
        <v>77</v>
      </c>
      <c r="I2334" s="1" t="str">
        <f t="shared" ref="I2334:I2338" si="1499">"160"</f>
        <v>160</v>
      </c>
      <c r="J2334" s="1" t="str">
        <f t="shared" ref="J2334:J2362" si="1500">"0"</f>
        <v>0</v>
      </c>
      <c r="K2334" s="1" t="str">
        <f t="shared" ref="K2334:K2354" si="1501">"103"</f>
        <v>103</v>
      </c>
      <c r="L2334" s="1" t="str">
        <f t="shared" ref="L2334:L2354" si="1502">"47"</f>
        <v>47</v>
      </c>
      <c r="M2334" s="1" t="str">
        <f t="shared" si="1491"/>
        <v>0</v>
      </c>
      <c r="N2334" s="1" t="str">
        <f t="shared" si="1492"/>
        <v>0</v>
      </c>
      <c r="O2334" s="1" t="str">
        <f t="shared" si="1489"/>
        <v>0</v>
      </c>
    </row>
    <row r="2335" s="1" customFormat="1" spans="1:15">
      <c r="A2335" s="1" t="str">
        <f t="shared" si="1493"/>
        <v>202406</v>
      </c>
      <c r="B2335" s="1" t="str">
        <f t="shared" si="1494"/>
        <v>150525100</v>
      </c>
      <c r="C2335" s="1" t="str">
        <f>"1014629967"</f>
        <v>1014629967</v>
      </c>
      <c r="D2335" s="1" t="str">
        <f>"152326193406193083"</f>
        <v>152326193406193083</v>
      </c>
      <c r="E2335" s="1" t="s">
        <v>710</v>
      </c>
      <c r="F2335" s="1" t="s">
        <v>16</v>
      </c>
      <c r="G2335" s="1" t="s">
        <v>19</v>
      </c>
      <c r="H2335" s="1" t="str">
        <f>"90"</f>
        <v>90</v>
      </c>
      <c r="I2335" s="1" t="str">
        <f>"170"</f>
        <v>170</v>
      </c>
      <c r="J2335" s="1" t="str">
        <f t="shared" si="1500"/>
        <v>0</v>
      </c>
      <c r="K2335" s="1" t="str">
        <f t="shared" si="1501"/>
        <v>103</v>
      </c>
      <c r="L2335" s="1" t="str">
        <f t="shared" si="1502"/>
        <v>47</v>
      </c>
      <c r="M2335" s="1" t="str">
        <f t="shared" si="1491"/>
        <v>0</v>
      </c>
      <c r="N2335" s="1" t="str">
        <f t="shared" si="1492"/>
        <v>0</v>
      </c>
      <c r="O2335" s="1" t="str">
        <f t="shared" si="1489"/>
        <v>0</v>
      </c>
    </row>
    <row r="2336" s="1" customFormat="1" spans="1:15">
      <c r="A2336" s="1" t="str">
        <f t="shared" si="1493"/>
        <v>202406</v>
      </c>
      <c r="B2336" s="1" t="str">
        <f t="shared" si="1494"/>
        <v>150525100</v>
      </c>
      <c r="C2336" s="1" t="str">
        <f>"1014623011"</f>
        <v>1014623011</v>
      </c>
      <c r="D2336" s="1" t="str">
        <f>"152326194711163088"</f>
        <v>152326194711163088</v>
      </c>
      <c r="E2336" s="1" t="s">
        <v>2414</v>
      </c>
      <c r="F2336" s="1" t="s">
        <v>16</v>
      </c>
      <c r="G2336" s="1" t="s">
        <v>17</v>
      </c>
      <c r="H2336" s="1" t="str">
        <f t="shared" si="1498"/>
        <v>77</v>
      </c>
      <c r="I2336" s="1" t="str">
        <f t="shared" si="1499"/>
        <v>160</v>
      </c>
      <c r="J2336" s="1" t="str">
        <f t="shared" si="1500"/>
        <v>0</v>
      </c>
      <c r="K2336" s="1" t="str">
        <f t="shared" si="1501"/>
        <v>103</v>
      </c>
      <c r="L2336" s="1" t="str">
        <f t="shared" si="1502"/>
        <v>47</v>
      </c>
      <c r="M2336" s="1" t="str">
        <f t="shared" si="1491"/>
        <v>0</v>
      </c>
      <c r="N2336" s="1" t="str">
        <f t="shared" si="1492"/>
        <v>0</v>
      </c>
      <c r="O2336" s="1" t="str">
        <f t="shared" si="1489"/>
        <v>0</v>
      </c>
    </row>
    <row r="2337" s="1" customFormat="1" spans="1:15">
      <c r="A2337" s="1" t="str">
        <f t="shared" si="1493"/>
        <v>202406</v>
      </c>
      <c r="B2337" s="1" t="str">
        <f t="shared" si="1494"/>
        <v>150525100</v>
      </c>
      <c r="C2337" s="1" t="str">
        <f>"1014623017"</f>
        <v>1014623017</v>
      </c>
      <c r="D2337" s="1" t="str">
        <f>"152326194904050047"</f>
        <v>152326194904050047</v>
      </c>
      <c r="E2337" s="1" t="s">
        <v>551</v>
      </c>
      <c r="F2337" s="1" t="s">
        <v>16</v>
      </c>
      <c r="G2337" s="1" t="s">
        <v>17</v>
      </c>
      <c r="H2337" s="1" t="str">
        <f>"75"</f>
        <v>75</v>
      </c>
      <c r="I2337" s="1" t="str">
        <f t="shared" si="1499"/>
        <v>160</v>
      </c>
      <c r="J2337" s="1" t="str">
        <f t="shared" si="1500"/>
        <v>0</v>
      </c>
      <c r="K2337" s="1" t="str">
        <f t="shared" si="1501"/>
        <v>103</v>
      </c>
      <c r="L2337" s="1" t="str">
        <f t="shared" si="1502"/>
        <v>47</v>
      </c>
      <c r="M2337" s="1" t="str">
        <f t="shared" si="1491"/>
        <v>0</v>
      </c>
      <c r="N2337" s="1" t="str">
        <f t="shared" si="1492"/>
        <v>0</v>
      </c>
      <c r="O2337" s="1" t="str">
        <f t="shared" si="1489"/>
        <v>0</v>
      </c>
    </row>
    <row r="2338" s="1" customFormat="1" spans="1:15">
      <c r="A2338" s="1" t="str">
        <f t="shared" si="1493"/>
        <v>202406</v>
      </c>
      <c r="B2338" s="1" t="str">
        <f t="shared" si="1494"/>
        <v>150525100</v>
      </c>
      <c r="C2338" s="1" t="str">
        <f>"1014629492"</f>
        <v>1014629492</v>
      </c>
      <c r="D2338" s="1" t="str">
        <f>"152326195101123083"</f>
        <v>152326195101123083</v>
      </c>
      <c r="E2338" s="1" t="s">
        <v>2415</v>
      </c>
      <c r="F2338" s="1" t="s">
        <v>16</v>
      </c>
      <c r="G2338" s="1" t="s">
        <v>19</v>
      </c>
      <c r="H2338" s="1" t="str">
        <f>"73"</f>
        <v>73</v>
      </c>
      <c r="I2338" s="1" t="str">
        <f t="shared" si="1499"/>
        <v>160</v>
      </c>
      <c r="J2338" s="1" t="str">
        <f t="shared" si="1500"/>
        <v>0</v>
      </c>
      <c r="K2338" s="1" t="str">
        <f t="shared" si="1501"/>
        <v>103</v>
      </c>
      <c r="L2338" s="1" t="str">
        <f t="shared" si="1502"/>
        <v>47</v>
      </c>
      <c r="M2338" s="1" t="str">
        <f t="shared" si="1491"/>
        <v>0</v>
      </c>
      <c r="N2338" s="1" t="str">
        <f t="shared" si="1492"/>
        <v>0</v>
      </c>
      <c r="O2338" s="1" t="str">
        <f t="shared" si="1489"/>
        <v>0</v>
      </c>
    </row>
    <row r="2339" s="1" customFormat="1" spans="1:15">
      <c r="A2339" s="1" t="str">
        <f t="shared" si="1493"/>
        <v>202406</v>
      </c>
      <c r="B2339" s="1" t="str">
        <f t="shared" si="1494"/>
        <v>150525100</v>
      </c>
      <c r="C2339" s="1" t="str">
        <f>"1014629494"</f>
        <v>1014629494</v>
      </c>
      <c r="D2339" s="1" t="str">
        <f>"152326193805083084"</f>
        <v>152326193805083084</v>
      </c>
      <c r="E2339" s="1" t="s">
        <v>2416</v>
      </c>
      <c r="F2339" s="1" t="s">
        <v>16</v>
      </c>
      <c r="G2339" s="1" t="s">
        <v>19</v>
      </c>
      <c r="H2339" s="1" t="str">
        <f>"86"</f>
        <v>86</v>
      </c>
      <c r="I2339" s="1" t="str">
        <f>"170"</f>
        <v>170</v>
      </c>
      <c r="J2339" s="1" t="str">
        <f t="shared" si="1500"/>
        <v>0</v>
      </c>
      <c r="K2339" s="1" t="str">
        <f t="shared" si="1501"/>
        <v>103</v>
      </c>
      <c r="L2339" s="1" t="str">
        <f t="shared" si="1502"/>
        <v>47</v>
      </c>
      <c r="M2339" s="1" t="str">
        <f t="shared" si="1491"/>
        <v>0</v>
      </c>
      <c r="N2339" s="1" t="str">
        <f t="shared" si="1492"/>
        <v>0</v>
      </c>
      <c r="O2339" s="1" t="str">
        <f t="shared" si="1489"/>
        <v>0</v>
      </c>
    </row>
    <row r="2340" s="1" customFormat="1" spans="1:15">
      <c r="A2340" s="1" t="str">
        <f t="shared" si="1493"/>
        <v>202406</v>
      </c>
      <c r="B2340" s="1" t="str">
        <f t="shared" si="1494"/>
        <v>150525100</v>
      </c>
      <c r="C2340" s="1" t="str">
        <f>"1014629498"</f>
        <v>1014629498</v>
      </c>
      <c r="D2340" s="1" t="str">
        <f>"152326194601200044"</f>
        <v>152326194601200044</v>
      </c>
      <c r="E2340" s="1" t="s">
        <v>2417</v>
      </c>
      <c r="F2340" s="1" t="s">
        <v>16</v>
      </c>
      <c r="G2340" s="1" t="s">
        <v>19</v>
      </c>
      <c r="H2340" s="1" t="str">
        <f>"78"</f>
        <v>78</v>
      </c>
      <c r="I2340" s="1" t="str">
        <f>"160"</f>
        <v>160</v>
      </c>
      <c r="J2340" s="1" t="str">
        <f t="shared" si="1500"/>
        <v>0</v>
      </c>
      <c r="K2340" s="1" t="str">
        <f t="shared" si="1501"/>
        <v>103</v>
      </c>
      <c r="L2340" s="1" t="str">
        <f t="shared" si="1502"/>
        <v>47</v>
      </c>
      <c r="M2340" s="1" t="str">
        <f t="shared" si="1491"/>
        <v>0</v>
      </c>
      <c r="N2340" s="1" t="str">
        <f t="shared" si="1492"/>
        <v>0</v>
      </c>
      <c r="O2340" s="1" t="str">
        <f t="shared" si="1489"/>
        <v>0</v>
      </c>
    </row>
    <row r="2341" s="1" customFormat="1" spans="1:15">
      <c r="A2341" s="1" t="str">
        <f t="shared" si="1493"/>
        <v>202406</v>
      </c>
      <c r="B2341" s="1" t="str">
        <f t="shared" si="1494"/>
        <v>150525100</v>
      </c>
      <c r="C2341" s="1" t="str">
        <f>"1014629501"</f>
        <v>1014629501</v>
      </c>
      <c r="D2341" s="1" t="str">
        <f>"152326194501040047"</f>
        <v>152326194501040047</v>
      </c>
      <c r="E2341" s="1" t="s">
        <v>363</v>
      </c>
      <c r="F2341" s="1" t="s">
        <v>16</v>
      </c>
      <c r="G2341" s="1" t="s">
        <v>17</v>
      </c>
      <c r="H2341" s="1" t="str">
        <f>"80"</f>
        <v>80</v>
      </c>
      <c r="I2341" s="1" t="str">
        <f>"160"</f>
        <v>160</v>
      </c>
      <c r="J2341" s="1" t="str">
        <f t="shared" si="1500"/>
        <v>0</v>
      </c>
      <c r="K2341" s="1" t="str">
        <f t="shared" si="1501"/>
        <v>103</v>
      </c>
      <c r="L2341" s="1" t="str">
        <f t="shared" si="1502"/>
        <v>47</v>
      </c>
      <c r="M2341" s="1" t="str">
        <f t="shared" si="1491"/>
        <v>0</v>
      </c>
      <c r="N2341" s="1" t="str">
        <f t="shared" si="1492"/>
        <v>0</v>
      </c>
      <c r="O2341" s="1" t="str">
        <f t="shared" si="1489"/>
        <v>0</v>
      </c>
    </row>
    <row r="2342" s="1" customFormat="1" spans="1:15">
      <c r="A2342" s="1" t="str">
        <f t="shared" si="1493"/>
        <v>202406</v>
      </c>
      <c r="B2342" s="1" t="str">
        <f t="shared" si="1494"/>
        <v>150525100</v>
      </c>
      <c r="C2342" s="1" t="str">
        <f>"1014629507"</f>
        <v>1014629507</v>
      </c>
      <c r="D2342" s="1" t="str">
        <f>"152326194002080044"</f>
        <v>152326194002080044</v>
      </c>
      <c r="E2342" s="1" t="s">
        <v>2418</v>
      </c>
      <c r="F2342" s="1" t="s">
        <v>16</v>
      </c>
      <c r="G2342" s="1" t="s">
        <v>17</v>
      </c>
      <c r="H2342" s="1" t="str">
        <f>"84"</f>
        <v>84</v>
      </c>
      <c r="I2342" s="1" t="str">
        <f>"170"</f>
        <v>170</v>
      </c>
      <c r="J2342" s="1" t="str">
        <f t="shared" si="1500"/>
        <v>0</v>
      </c>
      <c r="K2342" s="1" t="str">
        <f t="shared" si="1501"/>
        <v>103</v>
      </c>
      <c r="L2342" s="1" t="str">
        <f t="shared" si="1502"/>
        <v>47</v>
      </c>
      <c r="M2342" s="1" t="str">
        <f t="shared" si="1491"/>
        <v>0</v>
      </c>
      <c r="N2342" s="1" t="str">
        <f t="shared" si="1492"/>
        <v>0</v>
      </c>
      <c r="O2342" s="1" t="str">
        <f t="shared" si="1489"/>
        <v>0</v>
      </c>
    </row>
    <row r="2343" s="1" customFormat="1" spans="1:15">
      <c r="A2343" s="1" t="str">
        <f t="shared" si="1493"/>
        <v>202406</v>
      </c>
      <c r="B2343" s="1" t="str">
        <f t="shared" si="1494"/>
        <v>150525100</v>
      </c>
      <c r="C2343" s="1" t="str">
        <f>"1014589112"</f>
        <v>1014589112</v>
      </c>
      <c r="D2343" s="1" t="str">
        <f>"152326195307200419"</f>
        <v>152326195307200419</v>
      </c>
      <c r="E2343" s="1" t="s">
        <v>2419</v>
      </c>
      <c r="F2343" s="1" t="s">
        <v>25</v>
      </c>
      <c r="G2343" s="1" t="s">
        <v>17</v>
      </c>
      <c r="H2343" s="1" t="str">
        <f>"71"</f>
        <v>71</v>
      </c>
      <c r="I2343" s="1" t="str">
        <f>"163.16"</f>
        <v>163.16</v>
      </c>
      <c r="J2343" s="1" t="str">
        <f t="shared" si="1500"/>
        <v>0</v>
      </c>
      <c r="K2343" s="1" t="str">
        <f t="shared" si="1501"/>
        <v>103</v>
      </c>
      <c r="L2343" s="1" t="str">
        <f t="shared" si="1502"/>
        <v>47</v>
      </c>
      <c r="M2343" s="1" t="str">
        <f t="shared" si="1491"/>
        <v>0</v>
      </c>
      <c r="N2343" s="1" t="str">
        <f t="shared" si="1492"/>
        <v>0</v>
      </c>
      <c r="O2343" s="1" t="str">
        <f>"3.16"</f>
        <v>3.16</v>
      </c>
    </row>
    <row r="2344" s="1" customFormat="1" spans="1:15">
      <c r="A2344" s="1" t="str">
        <f t="shared" si="1493"/>
        <v>202406</v>
      </c>
      <c r="B2344" s="1" t="str">
        <f t="shared" si="1494"/>
        <v>150525100</v>
      </c>
      <c r="C2344" s="1" t="str">
        <f>"1014589116"</f>
        <v>1014589116</v>
      </c>
      <c r="D2344" s="1" t="str">
        <f>"152326196001210416"</f>
        <v>152326196001210416</v>
      </c>
      <c r="E2344" s="1" t="s">
        <v>2420</v>
      </c>
      <c r="F2344" s="1" t="s">
        <v>25</v>
      </c>
      <c r="G2344" s="1" t="s">
        <v>17</v>
      </c>
      <c r="H2344" s="1" t="str">
        <f>"64"</f>
        <v>64</v>
      </c>
      <c r="I2344" s="1" t="str">
        <f>"159.17"</f>
        <v>159.17</v>
      </c>
      <c r="J2344" s="1" t="str">
        <f t="shared" si="1500"/>
        <v>0</v>
      </c>
      <c r="K2344" s="1" t="str">
        <f t="shared" si="1501"/>
        <v>103</v>
      </c>
      <c r="L2344" s="1" t="str">
        <f t="shared" si="1502"/>
        <v>47</v>
      </c>
      <c r="M2344" s="1" t="str">
        <f t="shared" si="1491"/>
        <v>0</v>
      </c>
      <c r="N2344" s="1" t="str">
        <f t="shared" si="1492"/>
        <v>0</v>
      </c>
      <c r="O2344" s="1" t="str">
        <f>"9.17"</f>
        <v>9.17</v>
      </c>
    </row>
    <row r="2345" s="1" customFormat="1" spans="1:15">
      <c r="A2345" s="1" t="str">
        <f t="shared" si="1493"/>
        <v>202406</v>
      </c>
      <c r="B2345" s="1" t="str">
        <f t="shared" si="1494"/>
        <v>150525100</v>
      </c>
      <c r="C2345" s="1" t="str">
        <f>"1014612954"</f>
        <v>1014612954</v>
      </c>
      <c r="D2345" s="1" t="str">
        <f>"152326194311130420"</f>
        <v>152326194311130420</v>
      </c>
      <c r="E2345" s="1" t="s">
        <v>2421</v>
      </c>
      <c r="F2345" s="1" t="s">
        <v>16</v>
      </c>
      <c r="G2345" s="1" t="s">
        <v>17</v>
      </c>
      <c r="H2345" s="1" t="str">
        <f>"81"</f>
        <v>81</v>
      </c>
      <c r="I2345" s="1" t="str">
        <f>"170"</f>
        <v>170</v>
      </c>
      <c r="J2345" s="1" t="str">
        <f t="shared" si="1500"/>
        <v>0</v>
      </c>
      <c r="K2345" s="1" t="str">
        <f t="shared" si="1501"/>
        <v>103</v>
      </c>
      <c r="L2345" s="1" t="str">
        <f t="shared" si="1502"/>
        <v>47</v>
      </c>
      <c r="M2345" s="1" t="str">
        <f t="shared" si="1491"/>
        <v>0</v>
      </c>
      <c r="N2345" s="1" t="str">
        <f t="shared" si="1492"/>
        <v>0</v>
      </c>
      <c r="O2345" s="1" t="str">
        <f t="shared" ref="O2345:O2364" si="1503">"0"</f>
        <v>0</v>
      </c>
    </row>
    <row r="2346" s="1" customFormat="1" spans="1:15">
      <c r="A2346" s="1" t="str">
        <f t="shared" si="1493"/>
        <v>202406</v>
      </c>
      <c r="B2346" s="1" t="str">
        <f t="shared" si="1494"/>
        <v>150525100</v>
      </c>
      <c r="C2346" s="1" t="str">
        <f>"1014612966"</f>
        <v>1014612966</v>
      </c>
      <c r="D2346" s="1" t="str">
        <f>"152326195101040923"</f>
        <v>152326195101040923</v>
      </c>
      <c r="E2346" s="1" t="s">
        <v>2422</v>
      </c>
      <c r="F2346" s="1" t="s">
        <v>16</v>
      </c>
      <c r="G2346" s="1" t="s">
        <v>19</v>
      </c>
      <c r="H2346" s="1" t="str">
        <f>"74"</f>
        <v>74</v>
      </c>
      <c r="I2346" s="1" t="str">
        <f t="shared" ref="I2346:I2351" si="1504">"160"</f>
        <v>160</v>
      </c>
      <c r="J2346" s="1" t="str">
        <f t="shared" si="1500"/>
        <v>0</v>
      </c>
      <c r="K2346" s="1" t="str">
        <f t="shared" si="1501"/>
        <v>103</v>
      </c>
      <c r="L2346" s="1" t="str">
        <f t="shared" si="1502"/>
        <v>47</v>
      </c>
      <c r="M2346" s="1" t="str">
        <f t="shared" si="1491"/>
        <v>0</v>
      </c>
      <c r="N2346" s="1" t="str">
        <f t="shared" si="1492"/>
        <v>0</v>
      </c>
      <c r="O2346" s="1" t="str">
        <f t="shared" si="1503"/>
        <v>0</v>
      </c>
    </row>
    <row r="2347" s="1" customFormat="1" spans="1:15">
      <c r="A2347" s="1" t="str">
        <f t="shared" si="1493"/>
        <v>202406</v>
      </c>
      <c r="B2347" s="1" t="str">
        <f t="shared" si="1494"/>
        <v>150525100</v>
      </c>
      <c r="C2347" s="1" t="str">
        <f>"1014612967"</f>
        <v>1014612967</v>
      </c>
      <c r="D2347" s="1" t="str">
        <f>"152326195101250920"</f>
        <v>152326195101250920</v>
      </c>
      <c r="E2347" s="1" t="s">
        <v>2423</v>
      </c>
      <c r="F2347" s="1" t="s">
        <v>16</v>
      </c>
      <c r="G2347" s="1" t="s">
        <v>19</v>
      </c>
      <c r="H2347" s="1" t="str">
        <f t="shared" ref="H2347:H2349" si="1505">"73"</f>
        <v>73</v>
      </c>
      <c r="I2347" s="1" t="str">
        <f t="shared" si="1504"/>
        <v>160</v>
      </c>
      <c r="J2347" s="1" t="str">
        <f t="shared" si="1500"/>
        <v>0</v>
      </c>
      <c r="K2347" s="1" t="str">
        <f t="shared" si="1501"/>
        <v>103</v>
      </c>
      <c r="L2347" s="1" t="str">
        <f t="shared" si="1502"/>
        <v>47</v>
      </c>
      <c r="M2347" s="1" t="str">
        <f t="shared" si="1491"/>
        <v>0</v>
      </c>
      <c r="N2347" s="1" t="str">
        <f t="shared" si="1492"/>
        <v>0</v>
      </c>
      <c r="O2347" s="1" t="str">
        <f t="shared" si="1503"/>
        <v>0</v>
      </c>
    </row>
    <row r="2348" s="1" customFormat="1" spans="1:15">
      <c r="A2348" s="1" t="str">
        <f t="shared" si="1493"/>
        <v>202406</v>
      </c>
      <c r="B2348" s="1" t="str">
        <f t="shared" si="1494"/>
        <v>150525100</v>
      </c>
      <c r="C2348" s="1" t="str">
        <f>"1014612969"</f>
        <v>1014612969</v>
      </c>
      <c r="D2348" s="1" t="str">
        <f>"152326195111300928"</f>
        <v>152326195111300928</v>
      </c>
      <c r="E2348" s="1" t="s">
        <v>2424</v>
      </c>
      <c r="F2348" s="1" t="s">
        <v>16</v>
      </c>
      <c r="G2348" s="1" t="s">
        <v>19</v>
      </c>
      <c r="H2348" s="1" t="str">
        <f t="shared" si="1505"/>
        <v>73</v>
      </c>
      <c r="I2348" s="1" t="str">
        <f t="shared" si="1504"/>
        <v>160</v>
      </c>
      <c r="J2348" s="1" t="str">
        <f t="shared" si="1500"/>
        <v>0</v>
      </c>
      <c r="K2348" s="1" t="str">
        <f t="shared" si="1501"/>
        <v>103</v>
      </c>
      <c r="L2348" s="1" t="str">
        <f t="shared" si="1502"/>
        <v>47</v>
      </c>
      <c r="M2348" s="1" t="str">
        <f t="shared" si="1491"/>
        <v>0</v>
      </c>
      <c r="N2348" s="1" t="str">
        <f t="shared" si="1492"/>
        <v>0</v>
      </c>
      <c r="O2348" s="1" t="str">
        <f t="shared" si="1503"/>
        <v>0</v>
      </c>
    </row>
    <row r="2349" s="1" customFormat="1" spans="1:15">
      <c r="A2349" s="1" t="str">
        <f t="shared" si="1493"/>
        <v>202406</v>
      </c>
      <c r="B2349" s="1" t="str">
        <f t="shared" si="1494"/>
        <v>150525100</v>
      </c>
      <c r="C2349" s="1" t="str">
        <f>"1014612970"</f>
        <v>1014612970</v>
      </c>
      <c r="D2349" s="1" t="str">
        <f>"152326195111120927"</f>
        <v>152326195111120927</v>
      </c>
      <c r="E2349" s="1" t="s">
        <v>2425</v>
      </c>
      <c r="F2349" s="1" t="s">
        <v>16</v>
      </c>
      <c r="G2349" s="1" t="s">
        <v>19</v>
      </c>
      <c r="H2349" s="1" t="str">
        <f t="shared" si="1505"/>
        <v>73</v>
      </c>
      <c r="I2349" s="1" t="str">
        <f t="shared" si="1504"/>
        <v>160</v>
      </c>
      <c r="J2349" s="1" t="str">
        <f t="shared" si="1500"/>
        <v>0</v>
      </c>
      <c r="K2349" s="1" t="str">
        <f t="shared" si="1501"/>
        <v>103</v>
      </c>
      <c r="L2349" s="1" t="str">
        <f t="shared" si="1502"/>
        <v>47</v>
      </c>
      <c r="M2349" s="1" t="str">
        <f t="shared" si="1491"/>
        <v>0</v>
      </c>
      <c r="N2349" s="1" t="str">
        <f t="shared" si="1492"/>
        <v>0</v>
      </c>
      <c r="O2349" s="1" t="str">
        <f t="shared" si="1503"/>
        <v>0</v>
      </c>
    </row>
    <row r="2350" s="1" customFormat="1" spans="1:15">
      <c r="A2350" s="1" t="str">
        <f t="shared" si="1493"/>
        <v>202406</v>
      </c>
      <c r="B2350" s="1" t="str">
        <f t="shared" si="1494"/>
        <v>150525100</v>
      </c>
      <c r="C2350" s="1" t="str">
        <f>"1014613228"</f>
        <v>1014613228</v>
      </c>
      <c r="D2350" s="1" t="str">
        <f>"152326195008150466"</f>
        <v>152326195008150466</v>
      </c>
      <c r="E2350" s="1" t="s">
        <v>2426</v>
      </c>
      <c r="F2350" s="1" t="s">
        <v>16</v>
      </c>
      <c r="G2350" s="1" t="s">
        <v>17</v>
      </c>
      <c r="H2350" s="1" t="str">
        <f>"74"</f>
        <v>74</v>
      </c>
      <c r="I2350" s="1" t="str">
        <f t="shared" si="1504"/>
        <v>160</v>
      </c>
      <c r="J2350" s="1" t="str">
        <f t="shared" si="1500"/>
        <v>0</v>
      </c>
      <c r="K2350" s="1" t="str">
        <f t="shared" si="1501"/>
        <v>103</v>
      </c>
      <c r="L2350" s="1" t="str">
        <f t="shared" si="1502"/>
        <v>47</v>
      </c>
      <c r="M2350" s="1" t="str">
        <f t="shared" si="1491"/>
        <v>0</v>
      </c>
      <c r="N2350" s="1" t="str">
        <f t="shared" si="1492"/>
        <v>0</v>
      </c>
      <c r="O2350" s="1" t="str">
        <f t="shared" si="1503"/>
        <v>0</v>
      </c>
    </row>
    <row r="2351" s="1" customFormat="1" spans="1:15">
      <c r="A2351" s="1" t="str">
        <f t="shared" si="1493"/>
        <v>202406</v>
      </c>
      <c r="B2351" s="1" t="str">
        <f t="shared" si="1494"/>
        <v>150525100</v>
      </c>
      <c r="C2351" s="1" t="str">
        <f>"1014613236"</f>
        <v>1014613236</v>
      </c>
      <c r="D2351" s="1" t="str">
        <f>"152326194412170421"</f>
        <v>152326194412170421</v>
      </c>
      <c r="E2351" s="1" t="s">
        <v>2427</v>
      </c>
      <c r="F2351" s="1" t="s">
        <v>16</v>
      </c>
      <c r="G2351" s="1" t="s">
        <v>17</v>
      </c>
      <c r="H2351" s="1" t="str">
        <f>"80"</f>
        <v>80</v>
      </c>
      <c r="I2351" s="1" t="str">
        <f t="shared" si="1504"/>
        <v>160</v>
      </c>
      <c r="J2351" s="1" t="str">
        <f t="shared" si="1500"/>
        <v>0</v>
      </c>
      <c r="K2351" s="1" t="str">
        <f t="shared" si="1501"/>
        <v>103</v>
      </c>
      <c r="L2351" s="1" t="str">
        <f t="shared" si="1502"/>
        <v>47</v>
      </c>
      <c r="M2351" s="1" t="str">
        <f t="shared" si="1491"/>
        <v>0</v>
      </c>
      <c r="N2351" s="1" t="str">
        <f t="shared" si="1492"/>
        <v>0</v>
      </c>
      <c r="O2351" s="1" t="str">
        <f t="shared" si="1503"/>
        <v>0</v>
      </c>
    </row>
    <row r="2352" s="1" customFormat="1" spans="1:15">
      <c r="A2352" s="1" t="str">
        <f t="shared" si="1493"/>
        <v>202406</v>
      </c>
      <c r="B2352" s="1" t="str">
        <f t="shared" si="1494"/>
        <v>150525100</v>
      </c>
      <c r="C2352" s="1" t="str">
        <f>"1014613247"</f>
        <v>1014613247</v>
      </c>
      <c r="D2352" s="1" t="str">
        <f>"152326194405050421"</f>
        <v>152326194405050421</v>
      </c>
      <c r="E2352" s="1" t="s">
        <v>2428</v>
      </c>
      <c r="F2352" s="1" t="s">
        <v>16</v>
      </c>
      <c r="G2352" s="1" t="s">
        <v>17</v>
      </c>
      <c r="H2352" s="1" t="str">
        <f>"80"</f>
        <v>80</v>
      </c>
      <c r="I2352" s="1" t="str">
        <f>"170"</f>
        <v>170</v>
      </c>
      <c r="J2352" s="1" t="str">
        <f t="shared" si="1500"/>
        <v>0</v>
      </c>
      <c r="K2352" s="1" t="str">
        <f t="shared" si="1501"/>
        <v>103</v>
      </c>
      <c r="L2352" s="1" t="str">
        <f t="shared" si="1502"/>
        <v>47</v>
      </c>
      <c r="M2352" s="1" t="str">
        <f t="shared" si="1491"/>
        <v>0</v>
      </c>
      <c r="N2352" s="1" t="str">
        <f t="shared" si="1492"/>
        <v>0</v>
      </c>
      <c r="O2352" s="1" t="str">
        <f t="shared" si="1503"/>
        <v>0</v>
      </c>
    </row>
    <row r="2353" s="1" customFormat="1" spans="1:15">
      <c r="A2353" s="1" t="str">
        <f t="shared" si="1493"/>
        <v>202406</v>
      </c>
      <c r="B2353" s="1" t="str">
        <f t="shared" si="1494"/>
        <v>150525100</v>
      </c>
      <c r="C2353" s="1" t="str">
        <f>"1014621878"</f>
        <v>1014621878</v>
      </c>
      <c r="D2353" s="1" t="str">
        <f>"152326194609263314"</f>
        <v>152326194609263314</v>
      </c>
      <c r="E2353" s="1" t="s">
        <v>2429</v>
      </c>
      <c r="F2353" s="1" t="s">
        <v>25</v>
      </c>
      <c r="G2353" s="1" t="s">
        <v>17</v>
      </c>
      <c r="H2353" s="1" t="str">
        <f>"78"</f>
        <v>78</v>
      </c>
      <c r="I2353" s="1" t="str">
        <f t="shared" ref="I2353:I2361" si="1506">"160"</f>
        <v>160</v>
      </c>
      <c r="J2353" s="1" t="str">
        <f t="shared" si="1500"/>
        <v>0</v>
      </c>
      <c r="K2353" s="1" t="str">
        <f t="shared" si="1501"/>
        <v>103</v>
      </c>
      <c r="L2353" s="1" t="str">
        <f t="shared" si="1502"/>
        <v>47</v>
      </c>
      <c r="M2353" s="1" t="str">
        <f t="shared" si="1491"/>
        <v>0</v>
      </c>
      <c r="N2353" s="1" t="str">
        <f t="shared" si="1492"/>
        <v>0</v>
      </c>
      <c r="O2353" s="1" t="str">
        <f t="shared" si="1503"/>
        <v>0</v>
      </c>
    </row>
    <row r="2354" s="1" customFormat="1" spans="1:15">
      <c r="A2354" s="1" t="str">
        <f t="shared" si="1493"/>
        <v>202406</v>
      </c>
      <c r="B2354" s="1" t="str">
        <f t="shared" si="1494"/>
        <v>150525100</v>
      </c>
      <c r="C2354" s="1" t="str">
        <f>"1014621885"</f>
        <v>1014621885</v>
      </c>
      <c r="D2354" s="1" t="str">
        <f>"152326194802053319"</f>
        <v>152326194802053319</v>
      </c>
      <c r="E2354" s="1" t="s">
        <v>2430</v>
      </c>
      <c r="F2354" s="1" t="s">
        <v>25</v>
      </c>
      <c r="G2354" s="1" t="s">
        <v>17</v>
      </c>
      <c r="H2354" s="1" t="str">
        <f>"76"</f>
        <v>76</v>
      </c>
      <c r="I2354" s="1" t="str">
        <f t="shared" si="1506"/>
        <v>160</v>
      </c>
      <c r="J2354" s="1" t="str">
        <f t="shared" si="1500"/>
        <v>0</v>
      </c>
      <c r="K2354" s="1" t="str">
        <f t="shared" si="1501"/>
        <v>103</v>
      </c>
      <c r="L2354" s="1" t="str">
        <f t="shared" si="1502"/>
        <v>47</v>
      </c>
      <c r="M2354" s="1" t="str">
        <f t="shared" si="1491"/>
        <v>0</v>
      </c>
      <c r="N2354" s="1" t="str">
        <f t="shared" si="1492"/>
        <v>0</v>
      </c>
      <c r="O2354" s="1" t="str">
        <f t="shared" si="1503"/>
        <v>0</v>
      </c>
    </row>
    <row r="2355" s="1" customFormat="1" spans="1:15">
      <c r="A2355" s="1" t="str">
        <f t="shared" si="1493"/>
        <v>202406</v>
      </c>
      <c r="B2355" s="1" t="str">
        <f t="shared" si="1494"/>
        <v>150525100</v>
      </c>
      <c r="C2355" s="1" t="str">
        <f>"1014622672"</f>
        <v>1014622672</v>
      </c>
      <c r="D2355" s="1" t="str">
        <f>"152326194106290660"</f>
        <v>152326194106290660</v>
      </c>
      <c r="E2355" s="1" t="s">
        <v>482</v>
      </c>
      <c r="F2355" s="1" t="s">
        <v>16</v>
      </c>
      <c r="G2355" s="1" t="s">
        <v>19</v>
      </c>
      <c r="H2355" s="1" t="str">
        <f>"83"</f>
        <v>83</v>
      </c>
      <c r="I2355" s="1" t="str">
        <f>"1740"</f>
        <v>1740</v>
      </c>
      <c r="J2355" s="1" t="str">
        <f t="shared" si="1500"/>
        <v>0</v>
      </c>
      <c r="K2355" s="1" t="str">
        <f>"0"</f>
        <v>0</v>
      </c>
      <c r="L2355" s="1" t="str">
        <f>"0"</f>
        <v>0</v>
      </c>
      <c r="M2355" s="1" t="str">
        <f t="shared" si="1491"/>
        <v>0</v>
      </c>
      <c r="N2355" s="1" t="str">
        <f t="shared" si="1492"/>
        <v>0</v>
      </c>
      <c r="O2355" s="1" t="str">
        <f t="shared" si="1503"/>
        <v>0</v>
      </c>
    </row>
    <row r="2356" s="1" customFormat="1" spans="1:15">
      <c r="A2356" s="1" t="str">
        <f t="shared" si="1493"/>
        <v>202406</v>
      </c>
      <c r="B2356" s="1" t="str">
        <f t="shared" si="1494"/>
        <v>150525100</v>
      </c>
      <c r="C2356" s="1" t="str">
        <f>"1014624531"</f>
        <v>1014624531</v>
      </c>
      <c r="D2356" s="1" t="str">
        <f>"152326193805210661"</f>
        <v>152326193805210661</v>
      </c>
      <c r="E2356" s="1" t="s">
        <v>2431</v>
      </c>
      <c r="F2356" s="1" t="s">
        <v>16</v>
      </c>
      <c r="G2356" s="1" t="s">
        <v>17</v>
      </c>
      <c r="H2356" s="1" t="str">
        <f>"86"</f>
        <v>86</v>
      </c>
      <c r="I2356" s="1" t="str">
        <f>"170"</f>
        <v>170</v>
      </c>
      <c r="J2356" s="1" t="str">
        <f t="shared" si="1500"/>
        <v>0</v>
      </c>
      <c r="K2356" s="1" t="str">
        <f t="shared" ref="K2356:K2362" si="1507">"103"</f>
        <v>103</v>
      </c>
      <c r="L2356" s="1" t="str">
        <f t="shared" ref="L2356:L2362" si="1508">"47"</f>
        <v>47</v>
      </c>
      <c r="M2356" s="1" t="str">
        <f t="shared" si="1491"/>
        <v>0</v>
      </c>
      <c r="N2356" s="1" t="str">
        <f t="shared" si="1492"/>
        <v>0</v>
      </c>
      <c r="O2356" s="1" t="str">
        <f t="shared" si="1503"/>
        <v>0</v>
      </c>
    </row>
    <row r="2357" s="1" customFormat="1" spans="1:15">
      <c r="A2357" s="1" t="str">
        <f t="shared" si="1493"/>
        <v>202406</v>
      </c>
      <c r="B2357" s="1" t="str">
        <f t="shared" si="1494"/>
        <v>150525100</v>
      </c>
      <c r="C2357" s="1" t="str">
        <f>"1014624557"</f>
        <v>1014624557</v>
      </c>
      <c r="D2357" s="1" t="str">
        <f>"152326195003060664"</f>
        <v>152326195003060664</v>
      </c>
      <c r="E2357" s="1" t="s">
        <v>2432</v>
      </c>
      <c r="F2357" s="1" t="s">
        <v>16</v>
      </c>
      <c r="G2357" s="1" t="s">
        <v>17</v>
      </c>
      <c r="H2357" s="1" t="str">
        <f>"74"</f>
        <v>74</v>
      </c>
      <c r="I2357" s="1" t="str">
        <f t="shared" si="1506"/>
        <v>160</v>
      </c>
      <c r="J2357" s="1" t="str">
        <f t="shared" si="1500"/>
        <v>0</v>
      </c>
      <c r="K2357" s="1" t="str">
        <f t="shared" si="1507"/>
        <v>103</v>
      </c>
      <c r="L2357" s="1" t="str">
        <f t="shared" si="1508"/>
        <v>47</v>
      </c>
      <c r="M2357" s="1" t="str">
        <f t="shared" si="1491"/>
        <v>0</v>
      </c>
      <c r="N2357" s="1" t="str">
        <f t="shared" si="1492"/>
        <v>0</v>
      </c>
      <c r="O2357" s="1" t="str">
        <f t="shared" si="1503"/>
        <v>0</v>
      </c>
    </row>
    <row r="2358" s="1" customFormat="1" spans="1:15">
      <c r="A2358" s="1" t="str">
        <f t="shared" si="1493"/>
        <v>202406</v>
      </c>
      <c r="B2358" s="1" t="str">
        <f t="shared" si="1494"/>
        <v>150525100</v>
      </c>
      <c r="C2358" s="1" t="str">
        <f>"1014619535"</f>
        <v>1014619535</v>
      </c>
      <c r="D2358" s="1" t="str">
        <f>"152326194508190670"</f>
        <v>152326194508190670</v>
      </c>
      <c r="E2358" s="1" t="s">
        <v>2433</v>
      </c>
      <c r="F2358" s="1" t="s">
        <v>25</v>
      </c>
      <c r="G2358" s="1" t="s">
        <v>96</v>
      </c>
      <c r="H2358" s="1" t="str">
        <f>"79"</f>
        <v>79</v>
      </c>
      <c r="I2358" s="1" t="str">
        <f t="shared" si="1506"/>
        <v>160</v>
      </c>
      <c r="J2358" s="1" t="str">
        <f t="shared" si="1500"/>
        <v>0</v>
      </c>
      <c r="K2358" s="1" t="str">
        <f t="shared" si="1507"/>
        <v>103</v>
      </c>
      <c r="L2358" s="1" t="str">
        <f t="shared" si="1508"/>
        <v>47</v>
      </c>
      <c r="M2358" s="1" t="str">
        <f t="shared" si="1491"/>
        <v>0</v>
      </c>
      <c r="N2358" s="1" t="str">
        <f t="shared" si="1492"/>
        <v>0</v>
      </c>
      <c r="O2358" s="1" t="str">
        <f t="shared" si="1503"/>
        <v>0</v>
      </c>
    </row>
    <row r="2359" s="1" customFormat="1" spans="1:15">
      <c r="A2359" s="1" t="str">
        <f t="shared" si="1493"/>
        <v>202406</v>
      </c>
      <c r="B2359" s="1" t="str">
        <f t="shared" si="1494"/>
        <v>150525100</v>
      </c>
      <c r="C2359" s="1" t="str">
        <f>"1014619541"</f>
        <v>1014619541</v>
      </c>
      <c r="D2359" s="1" t="str">
        <f>"152326194801063814"</f>
        <v>152326194801063814</v>
      </c>
      <c r="E2359" s="1" t="s">
        <v>2434</v>
      </c>
      <c r="F2359" s="1" t="s">
        <v>25</v>
      </c>
      <c r="G2359" s="1" t="s">
        <v>96</v>
      </c>
      <c r="H2359" s="1" t="str">
        <f>"77"</f>
        <v>77</v>
      </c>
      <c r="I2359" s="1" t="str">
        <f t="shared" si="1506"/>
        <v>160</v>
      </c>
      <c r="J2359" s="1" t="str">
        <f t="shared" si="1500"/>
        <v>0</v>
      </c>
      <c r="K2359" s="1" t="str">
        <f t="shared" si="1507"/>
        <v>103</v>
      </c>
      <c r="L2359" s="1" t="str">
        <f t="shared" si="1508"/>
        <v>47</v>
      </c>
      <c r="M2359" s="1" t="str">
        <f t="shared" si="1491"/>
        <v>0</v>
      </c>
      <c r="N2359" s="1" t="str">
        <f t="shared" si="1492"/>
        <v>0</v>
      </c>
      <c r="O2359" s="1" t="str">
        <f t="shared" si="1503"/>
        <v>0</v>
      </c>
    </row>
    <row r="2360" s="1" customFormat="1" spans="1:15">
      <c r="A2360" s="1" t="str">
        <f t="shared" si="1493"/>
        <v>202406</v>
      </c>
      <c r="B2360" s="1" t="str">
        <f t="shared" si="1494"/>
        <v>150525100</v>
      </c>
      <c r="C2360" s="1" t="str">
        <f>"1014623059"</f>
        <v>1014623059</v>
      </c>
      <c r="D2360" s="1" t="s">
        <v>2435</v>
      </c>
      <c r="E2360" s="1" t="s">
        <v>2436</v>
      </c>
      <c r="F2360" s="1" t="s">
        <v>16</v>
      </c>
      <c r="G2360" s="1" t="s">
        <v>17</v>
      </c>
      <c r="H2360" s="1" t="str">
        <f>"76"</f>
        <v>76</v>
      </c>
      <c r="I2360" s="1" t="str">
        <f t="shared" si="1506"/>
        <v>160</v>
      </c>
      <c r="J2360" s="1" t="str">
        <f t="shared" si="1500"/>
        <v>0</v>
      </c>
      <c r="K2360" s="1" t="str">
        <f t="shared" si="1507"/>
        <v>103</v>
      </c>
      <c r="L2360" s="1" t="str">
        <f t="shared" si="1508"/>
        <v>47</v>
      </c>
      <c r="M2360" s="1" t="str">
        <f t="shared" si="1491"/>
        <v>0</v>
      </c>
      <c r="N2360" s="1" t="str">
        <f t="shared" si="1492"/>
        <v>0</v>
      </c>
      <c r="O2360" s="1" t="str">
        <f t="shared" si="1503"/>
        <v>0</v>
      </c>
    </row>
    <row r="2361" s="1" customFormat="1" spans="1:15">
      <c r="A2361" s="1" t="str">
        <f t="shared" si="1493"/>
        <v>202406</v>
      </c>
      <c r="B2361" s="1" t="str">
        <f t="shared" si="1494"/>
        <v>150525100</v>
      </c>
      <c r="C2361" s="1" t="str">
        <f>"1014623545"</f>
        <v>1014623545</v>
      </c>
      <c r="D2361" s="1" t="str">
        <f>"152326194903033827"</f>
        <v>152326194903033827</v>
      </c>
      <c r="E2361" s="1" t="s">
        <v>2437</v>
      </c>
      <c r="F2361" s="1" t="s">
        <v>16</v>
      </c>
      <c r="G2361" s="1" t="s">
        <v>19</v>
      </c>
      <c r="H2361" s="1" t="str">
        <f>"75"</f>
        <v>75</v>
      </c>
      <c r="I2361" s="1" t="str">
        <f t="shared" si="1506"/>
        <v>160</v>
      </c>
      <c r="J2361" s="1" t="str">
        <f t="shared" si="1500"/>
        <v>0</v>
      </c>
      <c r="K2361" s="1" t="str">
        <f t="shared" si="1507"/>
        <v>103</v>
      </c>
      <c r="L2361" s="1" t="str">
        <f t="shared" si="1508"/>
        <v>47</v>
      </c>
      <c r="M2361" s="1" t="str">
        <f t="shared" si="1491"/>
        <v>0</v>
      </c>
      <c r="N2361" s="1" t="str">
        <f t="shared" si="1492"/>
        <v>0</v>
      </c>
      <c r="O2361" s="1" t="str">
        <f t="shared" si="1503"/>
        <v>0</v>
      </c>
    </row>
    <row r="2362" s="1" customFormat="1" spans="1:15">
      <c r="A2362" s="1" t="str">
        <f t="shared" si="1493"/>
        <v>202406</v>
      </c>
      <c r="B2362" s="1" t="str">
        <f t="shared" si="1494"/>
        <v>150525100</v>
      </c>
      <c r="C2362" s="1" t="str">
        <f>"1014623548"</f>
        <v>1014623548</v>
      </c>
      <c r="D2362" s="1" t="str">
        <f>"152326193902093866"</f>
        <v>152326193902093866</v>
      </c>
      <c r="E2362" s="1" t="s">
        <v>2438</v>
      </c>
      <c r="F2362" s="1" t="s">
        <v>16</v>
      </c>
      <c r="G2362" s="1" t="s">
        <v>19</v>
      </c>
      <c r="H2362" s="1" t="str">
        <f>"85"</f>
        <v>85</v>
      </c>
      <c r="I2362" s="1" t="str">
        <f>"170"</f>
        <v>170</v>
      </c>
      <c r="J2362" s="1" t="str">
        <f t="shared" si="1500"/>
        <v>0</v>
      </c>
      <c r="K2362" s="1" t="str">
        <f t="shared" si="1507"/>
        <v>103</v>
      </c>
      <c r="L2362" s="1" t="str">
        <f t="shared" si="1508"/>
        <v>47</v>
      </c>
      <c r="M2362" s="1" t="str">
        <f t="shared" si="1491"/>
        <v>0</v>
      </c>
      <c r="N2362" s="1" t="str">
        <f t="shared" si="1492"/>
        <v>0</v>
      </c>
      <c r="O2362" s="1" t="str">
        <f t="shared" si="1503"/>
        <v>0</v>
      </c>
    </row>
    <row r="2363" s="1" customFormat="1" spans="1:15">
      <c r="A2363" s="1" t="str">
        <f t="shared" si="1493"/>
        <v>202406</v>
      </c>
      <c r="B2363" s="1" t="str">
        <f t="shared" si="1494"/>
        <v>150525100</v>
      </c>
      <c r="C2363" s="1" t="str">
        <f>"1014629269"</f>
        <v>1014629269</v>
      </c>
      <c r="D2363" s="1" t="str">
        <f>"152326193803103088"</f>
        <v>152326193803103088</v>
      </c>
      <c r="E2363" s="1" t="s">
        <v>2417</v>
      </c>
      <c r="F2363" s="1" t="s">
        <v>16</v>
      </c>
      <c r="G2363" s="1" t="s">
        <v>17</v>
      </c>
      <c r="H2363" s="1" t="str">
        <f>"86"</f>
        <v>86</v>
      </c>
      <c r="I2363" s="1" t="str">
        <f>"1020"</f>
        <v>1020</v>
      </c>
      <c r="J2363" s="1" t="str">
        <f>"850"</f>
        <v>850</v>
      </c>
      <c r="K2363" s="1" t="str">
        <f>"618"</f>
        <v>618</v>
      </c>
      <c r="L2363" s="1" t="str">
        <f>"282"</f>
        <v>282</v>
      </c>
      <c r="M2363" s="1" t="str">
        <f t="shared" si="1491"/>
        <v>0</v>
      </c>
      <c r="N2363" s="1" t="str">
        <f t="shared" si="1492"/>
        <v>0</v>
      </c>
      <c r="O2363" s="1" t="str">
        <f t="shared" si="1503"/>
        <v>0</v>
      </c>
    </row>
    <row r="2364" s="1" customFormat="1" spans="1:15">
      <c r="A2364" s="1" t="str">
        <f t="shared" si="1493"/>
        <v>202406</v>
      </c>
      <c r="B2364" s="1" t="str">
        <f t="shared" si="1494"/>
        <v>150525100</v>
      </c>
      <c r="C2364" s="1" t="str">
        <f>"1014629279"</f>
        <v>1014629279</v>
      </c>
      <c r="D2364" s="1" t="str">
        <f>"152326194303153083"</f>
        <v>152326194303153083</v>
      </c>
      <c r="E2364" s="1" t="s">
        <v>2439</v>
      </c>
      <c r="F2364" s="1" t="s">
        <v>16</v>
      </c>
      <c r="G2364" s="1" t="s">
        <v>17</v>
      </c>
      <c r="H2364" s="1" t="str">
        <f>"81"</f>
        <v>81</v>
      </c>
      <c r="I2364" s="1" t="str">
        <f>"170"</f>
        <v>170</v>
      </c>
      <c r="J2364" s="1" t="str">
        <f t="shared" ref="J2364:J2385" si="1509">"0"</f>
        <v>0</v>
      </c>
      <c r="K2364" s="1" t="str">
        <f t="shared" ref="K2364:K2378" si="1510">"103"</f>
        <v>103</v>
      </c>
      <c r="L2364" s="1" t="str">
        <f t="shared" ref="L2364:L2378" si="1511">"47"</f>
        <v>47</v>
      </c>
      <c r="M2364" s="1" t="str">
        <f t="shared" si="1491"/>
        <v>0</v>
      </c>
      <c r="N2364" s="1" t="str">
        <f t="shared" si="1492"/>
        <v>0</v>
      </c>
      <c r="O2364" s="1" t="str">
        <f t="shared" si="1503"/>
        <v>0</v>
      </c>
    </row>
    <row r="2365" s="1" customFormat="1" spans="1:15">
      <c r="A2365" s="1" t="str">
        <f t="shared" si="1493"/>
        <v>202406</v>
      </c>
      <c r="B2365" s="1" t="str">
        <f t="shared" si="1494"/>
        <v>150525100</v>
      </c>
      <c r="C2365" s="1" t="str">
        <f>"1014589178"</f>
        <v>1014589178</v>
      </c>
      <c r="D2365" s="1" t="str">
        <f>"152326195607250418"</f>
        <v>152326195607250418</v>
      </c>
      <c r="E2365" s="1" t="s">
        <v>2440</v>
      </c>
      <c r="F2365" s="1" t="s">
        <v>25</v>
      </c>
      <c r="G2365" s="1" t="s">
        <v>17</v>
      </c>
      <c r="H2365" s="1" t="str">
        <f>"68"</f>
        <v>68</v>
      </c>
      <c r="I2365" s="1" t="str">
        <f>"156.02"</f>
        <v>156.02</v>
      </c>
      <c r="J2365" s="1" t="str">
        <f t="shared" si="1509"/>
        <v>0</v>
      </c>
      <c r="K2365" s="1" t="str">
        <f t="shared" si="1510"/>
        <v>103</v>
      </c>
      <c r="L2365" s="1" t="str">
        <f t="shared" si="1511"/>
        <v>47</v>
      </c>
      <c r="M2365" s="1" t="str">
        <f t="shared" si="1491"/>
        <v>0</v>
      </c>
      <c r="N2365" s="1" t="str">
        <f t="shared" si="1492"/>
        <v>0</v>
      </c>
      <c r="O2365" s="1" t="str">
        <f>"6.02"</f>
        <v>6.02</v>
      </c>
    </row>
    <row r="2366" s="1" customFormat="1" spans="1:15">
      <c r="A2366" s="1" t="str">
        <f t="shared" si="1493"/>
        <v>202406</v>
      </c>
      <c r="B2366" s="1" t="str">
        <f t="shared" si="1494"/>
        <v>150525100</v>
      </c>
      <c r="C2366" s="1" t="str">
        <f>"1014613010"</f>
        <v>1014613010</v>
      </c>
      <c r="D2366" s="1" t="str">
        <f>"152326194907070924"</f>
        <v>152326194907070924</v>
      </c>
      <c r="E2366" s="1" t="s">
        <v>2441</v>
      </c>
      <c r="F2366" s="1" t="s">
        <v>16</v>
      </c>
      <c r="G2366" s="1" t="s">
        <v>19</v>
      </c>
      <c r="H2366" s="1" t="str">
        <f>"75"</f>
        <v>75</v>
      </c>
      <c r="I2366" s="1" t="str">
        <f t="shared" ref="I2366:I2378" si="1512">"160"</f>
        <v>160</v>
      </c>
      <c r="J2366" s="1" t="str">
        <f t="shared" si="1509"/>
        <v>0</v>
      </c>
      <c r="K2366" s="1" t="str">
        <f t="shared" si="1510"/>
        <v>103</v>
      </c>
      <c r="L2366" s="1" t="str">
        <f t="shared" si="1511"/>
        <v>47</v>
      </c>
      <c r="M2366" s="1" t="str">
        <f t="shared" si="1491"/>
        <v>0</v>
      </c>
      <c r="N2366" s="1" t="str">
        <f t="shared" si="1492"/>
        <v>0</v>
      </c>
      <c r="O2366" s="1" t="str">
        <f t="shared" ref="O2366:O2391" si="1513">"0"</f>
        <v>0</v>
      </c>
    </row>
    <row r="2367" s="1" customFormat="1" spans="1:15">
      <c r="A2367" s="1" t="str">
        <f t="shared" si="1493"/>
        <v>202406</v>
      </c>
      <c r="B2367" s="1" t="str">
        <f t="shared" si="1494"/>
        <v>150525100</v>
      </c>
      <c r="C2367" s="1" t="str">
        <f>"1014613018"</f>
        <v>1014613018</v>
      </c>
      <c r="D2367" s="1" t="str">
        <f>"152326195107070920"</f>
        <v>152326195107070920</v>
      </c>
      <c r="E2367" s="1" t="s">
        <v>2442</v>
      </c>
      <c r="F2367" s="1" t="s">
        <v>16</v>
      </c>
      <c r="G2367" s="1" t="s">
        <v>19</v>
      </c>
      <c r="H2367" s="1" t="str">
        <f>"73"</f>
        <v>73</v>
      </c>
      <c r="I2367" s="1" t="str">
        <f t="shared" si="1512"/>
        <v>160</v>
      </c>
      <c r="J2367" s="1" t="str">
        <f t="shared" si="1509"/>
        <v>0</v>
      </c>
      <c r="K2367" s="1" t="str">
        <f t="shared" si="1510"/>
        <v>103</v>
      </c>
      <c r="L2367" s="1" t="str">
        <f t="shared" si="1511"/>
        <v>47</v>
      </c>
      <c r="M2367" s="1" t="str">
        <f t="shared" si="1491"/>
        <v>0</v>
      </c>
      <c r="N2367" s="1" t="str">
        <f t="shared" si="1492"/>
        <v>0</v>
      </c>
      <c r="O2367" s="1" t="str">
        <f t="shared" si="1513"/>
        <v>0</v>
      </c>
    </row>
    <row r="2368" s="1" customFormat="1" spans="1:15">
      <c r="A2368" s="1" t="str">
        <f t="shared" si="1493"/>
        <v>202406</v>
      </c>
      <c r="B2368" s="1" t="str">
        <f t="shared" si="1494"/>
        <v>150525100</v>
      </c>
      <c r="C2368" s="1" t="str">
        <f>"1014613022"</f>
        <v>1014613022</v>
      </c>
      <c r="D2368" s="1" t="str">
        <f>"152326194410010926"</f>
        <v>152326194410010926</v>
      </c>
      <c r="E2368" s="1" t="s">
        <v>2443</v>
      </c>
      <c r="F2368" s="1" t="s">
        <v>16</v>
      </c>
      <c r="G2368" s="1" t="s">
        <v>19</v>
      </c>
      <c r="H2368" s="1" t="str">
        <f>"80"</f>
        <v>80</v>
      </c>
      <c r="I2368" s="1" t="str">
        <f t="shared" si="1512"/>
        <v>160</v>
      </c>
      <c r="J2368" s="1" t="str">
        <f t="shared" si="1509"/>
        <v>0</v>
      </c>
      <c r="K2368" s="1" t="str">
        <f t="shared" si="1510"/>
        <v>103</v>
      </c>
      <c r="L2368" s="1" t="str">
        <f t="shared" si="1511"/>
        <v>47</v>
      </c>
      <c r="M2368" s="1" t="str">
        <f t="shared" si="1491"/>
        <v>0</v>
      </c>
      <c r="N2368" s="1" t="str">
        <f t="shared" si="1492"/>
        <v>0</v>
      </c>
      <c r="O2368" s="1" t="str">
        <f t="shared" si="1513"/>
        <v>0</v>
      </c>
    </row>
    <row r="2369" s="1" customFormat="1" spans="1:15">
      <c r="A2369" s="1" t="str">
        <f t="shared" si="1493"/>
        <v>202406</v>
      </c>
      <c r="B2369" s="1" t="str">
        <f t="shared" si="1494"/>
        <v>150525100</v>
      </c>
      <c r="C2369" s="1" t="str">
        <f>"1014613290"</f>
        <v>1014613290</v>
      </c>
      <c r="D2369" s="1" t="str">
        <f>"152326194908233828"</f>
        <v>152326194908233828</v>
      </c>
      <c r="E2369" s="1" t="s">
        <v>2444</v>
      </c>
      <c r="F2369" s="1" t="s">
        <v>16</v>
      </c>
      <c r="G2369" s="1" t="s">
        <v>17</v>
      </c>
      <c r="H2369" s="1" t="str">
        <f>"75"</f>
        <v>75</v>
      </c>
      <c r="I2369" s="1" t="str">
        <f t="shared" si="1512"/>
        <v>160</v>
      </c>
      <c r="J2369" s="1" t="str">
        <f t="shared" si="1509"/>
        <v>0</v>
      </c>
      <c r="K2369" s="1" t="str">
        <f t="shared" si="1510"/>
        <v>103</v>
      </c>
      <c r="L2369" s="1" t="str">
        <f t="shared" si="1511"/>
        <v>47</v>
      </c>
      <c r="M2369" s="1" t="str">
        <f t="shared" ref="M2369:M2432" si="1514">"0"</f>
        <v>0</v>
      </c>
      <c r="N2369" s="1" t="str">
        <f t="shared" ref="N2369:N2432" si="1515">"0"</f>
        <v>0</v>
      </c>
      <c r="O2369" s="1" t="str">
        <f t="shared" si="1513"/>
        <v>0</v>
      </c>
    </row>
    <row r="2370" s="1" customFormat="1" spans="1:15">
      <c r="A2370" s="1" t="str">
        <f t="shared" ref="A2370:A2433" si="1516">"202406"</f>
        <v>202406</v>
      </c>
      <c r="B2370" s="1" t="str">
        <f t="shared" ref="B2370:B2433" si="1517">"150525100"</f>
        <v>150525100</v>
      </c>
      <c r="C2370" s="1" t="str">
        <f>"1014613307"</f>
        <v>1014613307</v>
      </c>
      <c r="D2370" s="1" t="str">
        <f>"152326194701200412"</f>
        <v>152326194701200412</v>
      </c>
      <c r="E2370" s="1" t="s">
        <v>2445</v>
      </c>
      <c r="F2370" s="1" t="s">
        <v>25</v>
      </c>
      <c r="G2370" s="1" t="s">
        <v>17</v>
      </c>
      <c r="H2370" s="1" t="str">
        <f>"77"</f>
        <v>77</v>
      </c>
      <c r="I2370" s="1" t="str">
        <f t="shared" si="1512"/>
        <v>160</v>
      </c>
      <c r="J2370" s="1" t="str">
        <f t="shared" si="1509"/>
        <v>0</v>
      </c>
      <c r="K2370" s="1" t="str">
        <f t="shared" si="1510"/>
        <v>103</v>
      </c>
      <c r="L2370" s="1" t="str">
        <f t="shared" si="1511"/>
        <v>47</v>
      </c>
      <c r="M2370" s="1" t="str">
        <f t="shared" si="1514"/>
        <v>0</v>
      </c>
      <c r="N2370" s="1" t="str">
        <f t="shared" si="1515"/>
        <v>0</v>
      </c>
      <c r="O2370" s="1" t="str">
        <f t="shared" si="1513"/>
        <v>0</v>
      </c>
    </row>
    <row r="2371" s="1" customFormat="1" spans="1:15">
      <c r="A2371" s="1" t="str">
        <f t="shared" si="1516"/>
        <v>202406</v>
      </c>
      <c r="B2371" s="1" t="str">
        <f t="shared" si="1517"/>
        <v>150525100</v>
      </c>
      <c r="C2371" s="1" t="str">
        <f>"1014621940"</f>
        <v>1014621940</v>
      </c>
      <c r="D2371" s="1" t="s">
        <v>2446</v>
      </c>
      <c r="E2371" s="1" t="s">
        <v>2447</v>
      </c>
      <c r="F2371" s="1" t="s">
        <v>25</v>
      </c>
      <c r="G2371" s="1" t="s">
        <v>19</v>
      </c>
      <c r="H2371" s="1" t="str">
        <f>"74"</f>
        <v>74</v>
      </c>
      <c r="I2371" s="1" t="str">
        <f t="shared" si="1512"/>
        <v>160</v>
      </c>
      <c r="J2371" s="1" t="str">
        <f t="shared" si="1509"/>
        <v>0</v>
      </c>
      <c r="K2371" s="1" t="str">
        <f t="shared" si="1510"/>
        <v>103</v>
      </c>
      <c r="L2371" s="1" t="str">
        <f t="shared" si="1511"/>
        <v>47</v>
      </c>
      <c r="M2371" s="1" t="str">
        <f t="shared" si="1514"/>
        <v>0</v>
      </c>
      <c r="N2371" s="1" t="str">
        <f t="shared" si="1515"/>
        <v>0</v>
      </c>
      <c r="O2371" s="1" t="str">
        <f t="shared" si="1513"/>
        <v>0</v>
      </c>
    </row>
    <row r="2372" s="1" customFormat="1" spans="1:15">
      <c r="A2372" s="1" t="str">
        <f t="shared" si="1516"/>
        <v>202406</v>
      </c>
      <c r="B2372" s="1" t="str">
        <f t="shared" si="1517"/>
        <v>150525100</v>
      </c>
      <c r="C2372" s="1" t="str">
        <f>"1014621944"</f>
        <v>1014621944</v>
      </c>
      <c r="D2372" s="1" t="str">
        <f>"152326194809180679"</f>
        <v>152326194809180679</v>
      </c>
      <c r="E2372" s="1" t="s">
        <v>2448</v>
      </c>
      <c r="F2372" s="1" t="s">
        <v>25</v>
      </c>
      <c r="G2372" s="1" t="s">
        <v>19</v>
      </c>
      <c r="H2372" s="1" t="str">
        <f t="shared" ref="H2372:H2376" si="1518">"76"</f>
        <v>76</v>
      </c>
      <c r="I2372" s="1" t="str">
        <f t="shared" si="1512"/>
        <v>160</v>
      </c>
      <c r="J2372" s="1" t="str">
        <f t="shared" si="1509"/>
        <v>0</v>
      </c>
      <c r="K2372" s="1" t="str">
        <f t="shared" si="1510"/>
        <v>103</v>
      </c>
      <c r="L2372" s="1" t="str">
        <f t="shared" si="1511"/>
        <v>47</v>
      </c>
      <c r="M2372" s="1" t="str">
        <f t="shared" si="1514"/>
        <v>0</v>
      </c>
      <c r="N2372" s="1" t="str">
        <f t="shared" si="1515"/>
        <v>0</v>
      </c>
      <c r="O2372" s="1" t="str">
        <f t="shared" si="1513"/>
        <v>0</v>
      </c>
    </row>
    <row r="2373" s="1" customFormat="1" spans="1:15">
      <c r="A2373" s="1" t="str">
        <f t="shared" si="1516"/>
        <v>202406</v>
      </c>
      <c r="B2373" s="1" t="str">
        <f t="shared" si="1517"/>
        <v>150525100</v>
      </c>
      <c r="C2373" s="1" t="str">
        <f>"1014621952"</f>
        <v>1014621952</v>
      </c>
      <c r="D2373" s="1" t="s">
        <v>2449</v>
      </c>
      <c r="E2373" s="1" t="s">
        <v>2450</v>
      </c>
      <c r="F2373" s="1" t="s">
        <v>25</v>
      </c>
      <c r="G2373" s="1" t="s">
        <v>19</v>
      </c>
      <c r="H2373" s="1" t="str">
        <f>"77"</f>
        <v>77</v>
      </c>
      <c r="I2373" s="1" t="str">
        <f t="shared" si="1512"/>
        <v>160</v>
      </c>
      <c r="J2373" s="1" t="str">
        <f t="shared" si="1509"/>
        <v>0</v>
      </c>
      <c r="K2373" s="1" t="str">
        <f t="shared" si="1510"/>
        <v>103</v>
      </c>
      <c r="L2373" s="1" t="str">
        <f t="shared" si="1511"/>
        <v>47</v>
      </c>
      <c r="M2373" s="1" t="str">
        <f t="shared" si="1514"/>
        <v>0</v>
      </c>
      <c r="N2373" s="1" t="str">
        <f t="shared" si="1515"/>
        <v>0</v>
      </c>
      <c r="O2373" s="1" t="str">
        <f t="shared" si="1513"/>
        <v>0</v>
      </c>
    </row>
    <row r="2374" s="1" customFormat="1" spans="1:15">
      <c r="A2374" s="1" t="str">
        <f t="shared" si="1516"/>
        <v>202406</v>
      </c>
      <c r="B2374" s="1" t="str">
        <f t="shared" si="1517"/>
        <v>150525100</v>
      </c>
      <c r="C2374" s="1" t="str">
        <f>"1014622336"</f>
        <v>1014622336</v>
      </c>
      <c r="D2374" s="1" t="str">
        <f>"152326194812160687"</f>
        <v>152326194812160687</v>
      </c>
      <c r="E2374" s="1" t="s">
        <v>392</v>
      </c>
      <c r="F2374" s="1" t="s">
        <v>16</v>
      </c>
      <c r="G2374" s="1" t="s">
        <v>17</v>
      </c>
      <c r="H2374" s="1" t="str">
        <f t="shared" si="1518"/>
        <v>76</v>
      </c>
      <c r="I2374" s="1" t="str">
        <f t="shared" si="1512"/>
        <v>160</v>
      </c>
      <c r="J2374" s="1" t="str">
        <f t="shared" si="1509"/>
        <v>0</v>
      </c>
      <c r="K2374" s="1" t="str">
        <f t="shared" si="1510"/>
        <v>103</v>
      </c>
      <c r="L2374" s="1" t="str">
        <f t="shared" si="1511"/>
        <v>47</v>
      </c>
      <c r="M2374" s="1" t="str">
        <f t="shared" si="1514"/>
        <v>0</v>
      </c>
      <c r="N2374" s="1" t="str">
        <f t="shared" si="1515"/>
        <v>0</v>
      </c>
      <c r="O2374" s="1" t="str">
        <f t="shared" si="1513"/>
        <v>0</v>
      </c>
    </row>
    <row r="2375" s="1" customFormat="1" spans="1:15">
      <c r="A2375" s="1" t="str">
        <f t="shared" si="1516"/>
        <v>202406</v>
      </c>
      <c r="B2375" s="1" t="str">
        <f t="shared" si="1517"/>
        <v>150525100</v>
      </c>
      <c r="C2375" s="1" t="str">
        <f>"1014622731"</f>
        <v>1014622731</v>
      </c>
      <c r="D2375" s="1" t="str">
        <f>"152326194912243324"</f>
        <v>152326194912243324</v>
      </c>
      <c r="E2375" s="1" t="s">
        <v>2451</v>
      </c>
      <c r="F2375" s="1" t="s">
        <v>16</v>
      </c>
      <c r="G2375" s="1" t="s">
        <v>17</v>
      </c>
      <c r="H2375" s="1" t="str">
        <f>"75"</f>
        <v>75</v>
      </c>
      <c r="I2375" s="1" t="str">
        <f t="shared" si="1512"/>
        <v>160</v>
      </c>
      <c r="J2375" s="1" t="str">
        <f t="shared" si="1509"/>
        <v>0</v>
      </c>
      <c r="K2375" s="1" t="str">
        <f t="shared" si="1510"/>
        <v>103</v>
      </c>
      <c r="L2375" s="1" t="str">
        <f t="shared" si="1511"/>
        <v>47</v>
      </c>
      <c r="M2375" s="1" t="str">
        <f t="shared" si="1514"/>
        <v>0</v>
      </c>
      <c r="N2375" s="1" t="str">
        <f t="shared" si="1515"/>
        <v>0</v>
      </c>
      <c r="O2375" s="1" t="str">
        <f t="shared" si="1513"/>
        <v>0</v>
      </c>
    </row>
    <row r="2376" s="1" customFormat="1" spans="1:15">
      <c r="A2376" s="1" t="str">
        <f t="shared" si="1516"/>
        <v>202406</v>
      </c>
      <c r="B2376" s="1" t="str">
        <f t="shared" si="1517"/>
        <v>150525100</v>
      </c>
      <c r="C2376" s="1" t="str">
        <f>"1014624113"</f>
        <v>1014624113</v>
      </c>
      <c r="D2376" s="1" t="str">
        <f>"152326194901063088"</f>
        <v>152326194901063088</v>
      </c>
      <c r="E2376" s="1" t="s">
        <v>2452</v>
      </c>
      <c r="F2376" s="1" t="s">
        <v>16</v>
      </c>
      <c r="G2376" s="1" t="s">
        <v>17</v>
      </c>
      <c r="H2376" s="1" t="str">
        <f t="shared" si="1518"/>
        <v>76</v>
      </c>
      <c r="I2376" s="1" t="str">
        <f t="shared" si="1512"/>
        <v>160</v>
      </c>
      <c r="J2376" s="1" t="str">
        <f t="shared" si="1509"/>
        <v>0</v>
      </c>
      <c r="K2376" s="1" t="str">
        <f t="shared" si="1510"/>
        <v>103</v>
      </c>
      <c r="L2376" s="1" t="str">
        <f t="shared" si="1511"/>
        <v>47</v>
      </c>
      <c r="M2376" s="1" t="str">
        <f t="shared" si="1514"/>
        <v>0</v>
      </c>
      <c r="N2376" s="1" t="str">
        <f t="shared" si="1515"/>
        <v>0</v>
      </c>
      <c r="O2376" s="1" t="str">
        <f t="shared" si="1513"/>
        <v>0</v>
      </c>
    </row>
    <row r="2377" s="1" customFormat="1" spans="1:15">
      <c r="A2377" s="1" t="str">
        <f t="shared" si="1516"/>
        <v>202406</v>
      </c>
      <c r="B2377" s="1" t="str">
        <f t="shared" si="1517"/>
        <v>150525100</v>
      </c>
      <c r="C2377" s="1" t="str">
        <f>"1014624116"</f>
        <v>1014624116</v>
      </c>
      <c r="D2377" s="1" t="str">
        <f>"152326194509233070"</f>
        <v>152326194509233070</v>
      </c>
      <c r="E2377" s="1" t="s">
        <v>2453</v>
      </c>
      <c r="F2377" s="1" t="s">
        <v>25</v>
      </c>
      <c r="G2377" s="1" t="s">
        <v>19</v>
      </c>
      <c r="H2377" s="1" t="str">
        <f>"79"</f>
        <v>79</v>
      </c>
      <c r="I2377" s="1" t="str">
        <f t="shared" si="1512"/>
        <v>160</v>
      </c>
      <c r="J2377" s="1" t="str">
        <f t="shared" si="1509"/>
        <v>0</v>
      </c>
      <c r="K2377" s="1" t="str">
        <f t="shared" si="1510"/>
        <v>103</v>
      </c>
      <c r="L2377" s="1" t="str">
        <f t="shared" si="1511"/>
        <v>47</v>
      </c>
      <c r="M2377" s="1" t="str">
        <f t="shared" si="1514"/>
        <v>0</v>
      </c>
      <c r="N2377" s="1" t="str">
        <f t="shared" si="1515"/>
        <v>0</v>
      </c>
      <c r="O2377" s="1" t="str">
        <f t="shared" si="1513"/>
        <v>0</v>
      </c>
    </row>
    <row r="2378" s="1" customFormat="1" spans="1:15">
      <c r="A2378" s="1" t="str">
        <f t="shared" si="1516"/>
        <v>202406</v>
      </c>
      <c r="B2378" s="1" t="str">
        <f t="shared" si="1517"/>
        <v>150525100</v>
      </c>
      <c r="C2378" s="1" t="str">
        <f>"1014624614"</f>
        <v>1014624614</v>
      </c>
      <c r="D2378" s="1" t="str">
        <f>"152326194604120920"</f>
        <v>152326194604120920</v>
      </c>
      <c r="E2378" s="1" t="s">
        <v>2454</v>
      </c>
      <c r="F2378" s="1" t="s">
        <v>16</v>
      </c>
      <c r="G2378" s="1" t="s">
        <v>19</v>
      </c>
      <c r="H2378" s="1" t="str">
        <f>"78"</f>
        <v>78</v>
      </c>
      <c r="I2378" s="1" t="str">
        <f t="shared" si="1512"/>
        <v>160</v>
      </c>
      <c r="J2378" s="1" t="str">
        <f t="shared" si="1509"/>
        <v>0</v>
      </c>
      <c r="K2378" s="1" t="str">
        <f t="shared" si="1510"/>
        <v>103</v>
      </c>
      <c r="L2378" s="1" t="str">
        <f t="shared" si="1511"/>
        <v>47</v>
      </c>
      <c r="M2378" s="1" t="str">
        <f t="shared" si="1514"/>
        <v>0</v>
      </c>
      <c r="N2378" s="1" t="str">
        <f t="shared" si="1515"/>
        <v>0</v>
      </c>
      <c r="O2378" s="1" t="str">
        <f t="shared" si="1513"/>
        <v>0</v>
      </c>
    </row>
    <row r="2379" s="1" customFormat="1" spans="1:15">
      <c r="A2379" s="1" t="str">
        <f t="shared" si="1516"/>
        <v>202406</v>
      </c>
      <c r="B2379" s="1" t="str">
        <f t="shared" si="1517"/>
        <v>150525100</v>
      </c>
      <c r="C2379" s="1" t="str">
        <f>"1014629240"</f>
        <v>1014629240</v>
      </c>
      <c r="D2379" s="1" t="str">
        <f>"152326193911273818"</f>
        <v>152326193911273818</v>
      </c>
      <c r="E2379" s="1" t="s">
        <v>2455</v>
      </c>
      <c r="F2379" s="1" t="s">
        <v>25</v>
      </c>
      <c r="G2379" s="1" t="s">
        <v>17</v>
      </c>
      <c r="H2379" s="1" t="str">
        <f>"85"</f>
        <v>85</v>
      </c>
      <c r="I2379" s="1" t="str">
        <f>"1630"</f>
        <v>1630</v>
      </c>
      <c r="J2379" s="1" t="str">
        <f t="shared" si="1509"/>
        <v>0</v>
      </c>
      <c r="K2379" s="1" t="str">
        <f>"0"</f>
        <v>0</v>
      </c>
      <c r="L2379" s="1" t="str">
        <f>"0"</f>
        <v>0</v>
      </c>
      <c r="M2379" s="1" t="str">
        <f t="shared" si="1514"/>
        <v>0</v>
      </c>
      <c r="N2379" s="1" t="str">
        <f t="shared" si="1515"/>
        <v>0</v>
      </c>
      <c r="O2379" s="1" t="str">
        <f t="shared" si="1513"/>
        <v>0</v>
      </c>
    </row>
    <row r="2380" s="1" customFormat="1" spans="1:15">
      <c r="A2380" s="1" t="str">
        <f t="shared" si="1516"/>
        <v>202406</v>
      </c>
      <c r="B2380" s="1" t="str">
        <f t="shared" si="1517"/>
        <v>150525100</v>
      </c>
      <c r="C2380" s="1" t="str">
        <f>"1014629259"</f>
        <v>1014629259</v>
      </c>
      <c r="D2380" s="1" t="str">
        <f>"152326194812243079"</f>
        <v>152326194812243079</v>
      </c>
      <c r="E2380" s="1" t="s">
        <v>2456</v>
      </c>
      <c r="F2380" s="1" t="s">
        <v>25</v>
      </c>
      <c r="G2380" s="1" t="s">
        <v>19</v>
      </c>
      <c r="H2380" s="1" t="str">
        <f>"76"</f>
        <v>76</v>
      </c>
      <c r="I2380" s="1" t="str">
        <f t="shared" ref="I2380:I2382" si="1519">"160"</f>
        <v>160</v>
      </c>
      <c r="J2380" s="1" t="str">
        <f t="shared" si="1509"/>
        <v>0</v>
      </c>
      <c r="K2380" s="1" t="str">
        <f t="shared" ref="K2380:K2385" si="1520">"103"</f>
        <v>103</v>
      </c>
      <c r="L2380" s="1" t="str">
        <f t="shared" ref="L2380:L2385" si="1521">"47"</f>
        <v>47</v>
      </c>
      <c r="M2380" s="1" t="str">
        <f t="shared" si="1514"/>
        <v>0</v>
      </c>
      <c r="N2380" s="1" t="str">
        <f t="shared" si="1515"/>
        <v>0</v>
      </c>
      <c r="O2380" s="1" t="str">
        <f t="shared" si="1513"/>
        <v>0</v>
      </c>
    </row>
    <row r="2381" s="1" customFormat="1" spans="1:15">
      <c r="A2381" s="1" t="str">
        <f t="shared" si="1516"/>
        <v>202406</v>
      </c>
      <c r="B2381" s="1" t="str">
        <f t="shared" si="1517"/>
        <v>150525100</v>
      </c>
      <c r="C2381" s="1" t="str">
        <f>"1014629265"</f>
        <v>1014629265</v>
      </c>
      <c r="D2381" s="1" t="str">
        <f>"152326195011073078"</f>
        <v>152326195011073078</v>
      </c>
      <c r="E2381" s="1" t="s">
        <v>2457</v>
      </c>
      <c r="F2381" s="1" t="s">
        <v>25</v>
      </c>
      <c r="G2381" s="1" t="s">
        <v>96</v>
      </c>
      <c r="H2381" s="1" t="str">
        <f>"74"</f>
        <v>74</v>
      </c>
      <c r="I2381" s="1" t="str">
        <f t="shared" si="1519"/>
        <v>160</v>
      </c>
      <c r="J2381" s="1" t="str">
        <f t="shared" si="1509"/>
        <v>0</v>
      </c>
      <c r="K2381" s="1" t="str">
        <f t="shared" si="1520"/>
        <v>103</v>
      </c>
      <c r="L2381" s="1" t="str">
        <f t="shared" si="1521"/>
        <v>47</v>
      </c>
      <c r="M2381" s="1" t="str">
        <f t="shared" si="1514"/>
        <v>0</v>
      </c>
      <c r="N2381" s="1" t="str">
        <f t="shared" si="1515"/>
        <v>0</v>
      </c>
      <c r="O2381" s="1" t="str">
        <f t="shared" si="1513"/>
        <v>0</v>
      </c>
    </row>
    <row r="2382" s="1" customFormat="1" spans="1:15">
      <c r="A2382" s="1" t="str">
        <f t="shared" si="1516"/>
        <v>202406</v>
      </c>
      <c r="B2382" s="1" t="str">
        <f t="shared" si="1517"/>
        <v>150525100</v>
      </c>
      <c r="C2382" s="1" t="str">
        <f>"1014619581"</f>
        <v>1014619581</v>
      </c>
      <c r="D2382" s="1" t="str">
        <f>"152326195001070447"</f>
        <v>152326195001070447</v>
      </c>
      <c r="E2382" s="1" t="s">
        <v>2458</v>
      </c>
      <c r="F2382" s="1" t="s">
        <v>16</v>
      </c>
      <c r="G2382" s="1" t="s">
        <v>17</v>
      </c>
      <c r="H2382" s="1" t="str">
        <f>"75"</f>
        <v>75</v>
      </c>
      <c r="I2382" s="1" t="str">
        <f t="shared" si="1519"/>
        <v>160</v>
      </c>
      <c r="J2382" s="1" t="str">
        <f t="shared" si="1509"/>
        <v>0</v>
      </c>
      <c r="K2382" s="1" t="str">
        <f t="shared" si="1520"/>
        <v>103</v>
      </c>
      <c r="L2382" s="1" t="str">
        <f t="shared" si="1521"/>
        <v>47</v>
      </c>
      <c r="M2382" s="1" t="str">
        <f t="shared" si="1514"/>
        <v>0</v>
      </c>
      <c r="N2382" s="1" t="str">
        <f t="shared" si="1515"/>
        <v>0</v>
      </c>
      <c r="O2382" s="1" t="str">
        <f t="shared" si="1513"/>
        <v>0</v>
      </c>
    </row>
    <row r="2383" s="1" customFormat="1" spans="1:15">
      <c r="A2383" s="1" t="str">
        <f t="shared" si="1516"/>
        <v>202406</v>
      </c>
      <c r="B2383" s="1" t="str">
        <f t="shared" si="1517"/>
        <v>150525100</v>
      </c>
      <c r="C2383" s="1" t="str">
        <f>"1014619591"</f>
        <v>1014619591</v>
      </c>
      <c r="D2383" s="1" t="str">
        <f>"152326194109140422"</f>
        <v>152326194109140422</v>
      </c>
      <c r="E2383" s="1" t="s">
        <v>2459</v>
      </c>
      <c r="F2383" s="1" t="s">
        <v>16</v>
      </c>
      <c r="G2383" s="1" t="s">
        <v>17</v>
      </c>
      <c r="H2383" s="1" t="str">
        <f t="shared" ref="H2383:H2387" si="1522">"83"</f>
        <v>83</v>
      </c>
      <c r="I2383" s="1" t="str">
        <f t="shared" ref="I2383:I2388" si="1523">"170"</f>
        <v>170</v>
      </c>
      <c r="J2383" s="1" t="str">
        <f t="shared" si="1509"/>
        <v>0</v>
      </c>
      <c r="K2383" s="1" t="str">
        <f t="shared" si="1520"/>
        <v>103</v>
      </c>
      <c r="L2383" s="1" t="str">
        <f t="shared" si="1521"/>
        <v>47</v>
      </c>
      <c r="M2383" s="1" t="str">
        <f t="shared" si="1514"/>
        <v>0</v>
      </c>
      <c r="N2383" s="1" t="str">
        <f t="shared" si="1515"/>
        <v>0</v>
      </c>
      <c r="O2383" s="1" t="str">
        <f t="shared" si="1513"/>
        <v>0</v>
      </c>
    </row>
    <row r="2384" s="1" customFormat="1" spans="1:15">
      <c r="A2384" s="1" t="str">
        <f t="shared" si="1516"/>
        <v>202406</v>
      </c>
      <c r="B2384" s="1" t="str">
        <f t="shared" si="1517"/>
        <v>150525100</v>
      </c>
      <c r="C2384" s="1" t="str">
        <f>"1014619597"</f>
        <v>1014619597</v>
      </c>
      <c r="D2384" s="1" t="str">
        <f>"152326194104213071"</f>
        <v>152326194104213071</v>
      </c>
      <c r="E2384" s="1" t="s">
        <v>2460</v>
      </c>
      <c r="F2384" s="1" t="s">
        <v>25</v>
      </c>
      <c r="G2384" s="1" t="s">
        <v>17</v>
      </c>
      <c r="H2384" s="1" t="str">
        <f t="shared" si="1522"/>
        <v>83</v>
      </c>
      <c r="I2384" s="1" t="str">
        <f t="shared" si="1523"/>
        <v>170</v>
      </c>
      <c r="J2384" s="1" t="str">
        <f t="shared" si="1509"/>
        <v>0</v>
      </c>
      <c r="K2384" s="1" t="str">
        <f t="shared" si="1520"/>
        <v>103</v>
      </c>
      <c r="L2384" s="1" t="str">
        <f t="shared" si="1521"/>
        <v>47</v>
      </c>
      <c r="M2384" s="1" t="str">
        <f t="shared" si="1514"/>
        <v>0</v>
      </c>
      <c r="N2384" s="1" t="str">
        <f t="shared" si="1515"/>
        <v>0</v>
      </c>
      <c r="O2384" s="1" t="str">
        <f t="shared" si="1513"/>
        <v>0</v>
      </c>
    </row>
    <row r="2385" s="1" customFormat="1" spans="1:15">
      <c r="A2385" s="1" t="str">
        <f t="shared" si="1516"/>
        <v>202406</v>
      </c>
      <c r="B2385" s="1" t="str">
        <f t="shared" si="1517"/>
        <v>150525100</v>
      </c>
      <c r="C2385" s="1" t="str">
        <f>"1014629364"</f>
        <v>1014629364</v>
      </c>
      <c r="D2385" s="1" t="s">
        <v>2461</v>
      </c>
      <c r="E2385" s="1" t="s">
        <v>2462</v>
      </c>
      <c r="F2385" s="1" t="s">
        <v>25</v>
      </c>
      <c r="G2385" s="1" t="s">
        <v>17</v>
      </c>
      <c r="H2385" s="1" t="str">
        <f>"75"</f>
        <v>75</v>
      </c>
      <c r="I2385" s="1" t="str">
        <f t="shared" ref="I2385:I2390" si="1524">"160"</f>
        <v>160</v>
      </c>
      <c r="J2385" s="1" t="str">
        <f t="shared" si="1509"/>
        <v>0</v>
      </c>
      <c r="K2385" s="1" t="str">
        <f t="shared" si="1520"/>
        <v>103</v>
      </c>
      <c r="L2385" s="1" t="str">
        <f t="shared" si="1521"/>
        <v>47</v>
      </c>
      <c r="M2385" s="1" t="str">
        <f t="shared" si="1514"/>
        <v>0</v>
      </c>
      <c r="N2385" s="1" t="str">
        <f t="shared" si="1515"/>
        <v>0</v>
      </c>
      <c r="O2385" s="1" t="str">
        <f t="shared" si="1513"/>
        <v>0</v>
      </c>
    </row>
    <row r="2386" s="1" customFormat="1" spans="1:15">
      <c r="A2386" s="1" t="str">
        <f t="shared" si="1516"/>
        <v>202406</v>
      </c>
      <c r="B2386" s="1" t="str">
        <f t="shared" si="1517"/>
        <v>150525100</v>
      </c>
      <c r="C2386" s="1" t="str">
        <f>"1014623102"</f>
        <v>1014623102</v>
      </c>
      <c r="D2386" s="1" t="str">
        <f>"152326193906290429"</f>
        <v>152326193906290429</v>
      </c>
      <c r="E2386" s="1" t="s">
        <v>2463</v>
      </c>
      <c r="F2386" s="1" t="s">
        <v>16</v>
      </c>
      <c r="G2386" s="1" t="s">
        <v>17</v>
      </c>
      <c r="H2386" s="1" t="str">
        <f>"85"</f>
        <v>85</v>
      </c>
      <c r="I2386" s="1" t="str">
        <f>"1700"</f>
        <v>1700</v>
      </c>
      <c r="J2386" s="1" t="str">
        <f>"1530"</f>
        <v>1530</v>
      </c>
      <c r="K2386" s="1" t="str">
        <f>"1030"</f>
        <v>1030</v>
      </c>
      <c r="L2386" s="1" t="str">
        <f>"470"</f>
        <v>470</v>
      </c>
      <c r="M2386" s="1" t="str">
        <f t="shared" si="1514"/>
        <v>0</v>
      </c>
      <c r="N2386" s="1" t="str">
        <f t="shared" si="1515"/>
        <v>0</v>
      </c>
      <c r="O2386" s="1" t="str">
        <f t="shared" si="1513"/>
        <v>0</v>
      </c>
    </row>
    <row r="2387" s="1" customFormat="1" spans="1:15">
      <c r="A2387" s="1" t="str">
        <f t="shared" si="1516"/>
        <v>202406</v>
      </c>
      <c r="B2387" s="1" t="str">
        <f t="shared" si="1517"/>
        <v>150525100</v>
      </c>
      <c r="C2387" s="1" t="str">
        <f>"1014623104"</f>
        <v>1014623104</v>
      </c>
      <c r="D2387" s="1" t="str">
        <f>"152326194107130423"</f>
        <v>152326194107130423</v>
      </c>
      <c r="E2387" s="1" t="s">
        <v>2464</v>
      </c>
      <c r="F2387" s="1" t="s">
        <v>16</v>
      </c>
      <c r="G2387" s="1" t="s">
        <v>17</v>
      </c>
      <c r="H2387" s="1" t="str">
        <f t="shared" si="1522"/>
        <v>83</v>
      </c>
      <c r="I2387" s="1" t="str">
        <f t="shared" si="1523"/>
        <v>170</v>
      </c>
      <c r="J2387" s="1" t="str">
        <f t="shared" ref="J2387:J2390" si="1525">"0"</f>
        <v>0</v>
      </c>
      <c r="K2387" s="1" t="str">
        <f t="shared" ref="K2387:K2390" si="1526">"103"</f>
        <v>103</v>
      </c>
      <c r="L2387" s="1" t="str">
        <f t="shared" ref="L2387:L2390" si="1527">"47"</f>
        <v>47</v>
      </c>
      <c r="M2387" s="1" t="str">
        <f t="shared" si="1514"/>
        <v>0</v>
      </c>
      <c r="N2387" s="1" t="str">
        <f t="shared" si="1515"/>
        <v>0</v>
      </c>
      <c r="O2387" s="1" t="str">
        <f t="shared" si="1513"/>
        <v>0</v>
      </c>
    </row>
    <row r="2388" s="1" customFormat="1" spans="1:15">
      <c r="A2388" s="1" t="str">
        <f t="shared" si="1516"/>
        <v>202406</v>
      </c>
      <c r="B2388" s="1" t="str">
        <f t="shared" si="1517"/>
        <v>150525100</v>
      </c>
      <c r="C2388" s="1" t="str">
        <f>"1014623114"</f>
        <v>1014623114</v>
      </c>
      <c r="D2388" s="1" t="str">
        <f>"152326193910300423"</f>
        <v>152326193910300423</v>
      </c>
      <c r="E2388" s="1" t="s">
        <v>2465</v>
      </c>
      <c r="F2388" s="1" t="s">
        <v>16</v>
      </c>
      <c r="G2388" s="1" t="s">
        <v>17</v>
      </c>
      <c r="H2388" s="1" t="str">
        <f>"85"</f>
        <v>85</v>
      </c>
      <c r="I2388" s="1" t="str">
        <f t="shared" si="1523"/>
        <v>170</v>
      </c>
      <c r="J2388" s="1" t="str">
        <f t="shared" si="1525"/>
        <v>0</v>
      </c>
      <c r="K2388" s="1" t="str">
        <f t="shared" si="1526"/>
        <v>103</v>
      </c>
      <c r="L2388" s="1" t="str">
        <f t="shared" si="1527"/>
        <v>47</v>
      </c>
      <c r="M2388" s="1" t="str">
        <f t="shared" si="1514"/>
        <v>0</v>
      </c>
      <c r="N2388" s="1" t="str">
        <f t="shared" si="1515"/>
        <v>0</v>
      </c>
      <c r="O2388" s="1" t="str">
        <f t="shared" si="1513"/>
        <v>0</v>
      </c>
    </row>
    <row r="2389" s="1" customFormat="1" spans="1:15">
      <c r="A2389" s="1" t="str">
        <f t="shared" si="1516"/>
        <v>202406</v>
      </c>
      <c r="B2389" s="1" t="str">
        <f t="shared" si="1517"/>
        <v>150525100</v>
      </c>
      <c r="C2389" s="1" t="str">
        <f>"1014623613"</f>
        <v>1014623613</v>
      </c>
      <c r="D2389" s="1" t="str">
        <f>"152326194609270418"</f>
        <v>152326194609270418</v>
      </c>
      <c r="E2389" s="1" t="s">
        <v>1060</v>
      </c>
      <c r="F2389" s="1" t="s">
        <v>25</v>
      </c>
      <c r="G2389" s="1" t="s">
        <v>17</v>
      </c>
      <c r="H2389" s="1" t="str">
        <f>"78"</f>
        <v>78</v>
      </c>
      <c r="I2389" s="1" t="str">
        <f t="shared" si="1524"/>
        <v>160</v>
      </c>
      <c r="J2389" s="1" t="str">
        <f t="shared" si="1525"/>
        <v>0</v>
      </c>
      <c r="K2389" s="1" t="str">
        <f t="shared" si="1526"/>
        <v>103</v>
      </c>
      <c r="L2389" s="1" t="str">
        <f t="shared" si="1527"/>
        <v>47</v>
      </c>
      <c r="M2389" s="1" t="str">
        <f t="shared" si="1514"/>
        <v>0</v>
      </c>
      <c r="N2389" s="1" t="str">
        <f t="shared" si="1515"/>
        <v>0</v>
      </c>
      <c r="O2389" s="1" t="str">
        <f t="shared" si="1513"/>
        <v>0</v>
      </c>
    </row>
    <row r="2390" s="1" customFormat="1" spans="1:15">
      <c r="A2390" s="1" t="str">
        <f t="shared" si="1516"/>
        <v>202406</v>
      </c>
      <c r="B2390" s="1" t="str">
        <f t="shared" si="1517"/>
        <v>150525100</v>
      </c>
      <c r="C2390" s="1" t="str">
        <f>"1014629859"</f>
        <v>1014629859</v>
      </c>
      <c r="D2390" s="1" t="str">
        <f>"152326194801163073"</f>
        <v>152326194801163073</v>
      </c>
      <c r="E2390" s="1" t="s">
        <v>2466</v>
      </c>
      <c r="F2390" s="1" t="s">
        <v>25</v>
      </c>
      <c r="G2390" s="1" t="s">
        <v>19</v>
      </c>
      <c r="H2390" s="1" t="str">
        <f>"76"</f>
        <v>76</v>
      </c>
      <c r="I2390" s="1" t="str">
        <f t="shared" si="1524"/>
        <v>160</v>
      </c>
      <c r="J2390" s="1" t="str">
        <f t="shared" si="1525"/>
        <v>0</v>
      </c>
      <c r="K2390" s="1" t="str">
        <f t="shared" si="1526"/>
        <v>103</v>
      </c>
      <c r="L2390" s="1" t="str">
        <f t="shared" si="1527"/>
        <v>47</v>
      </c>
      <c r="M2390" s="1" t="str">
        <f t="shared" si="1514"/>
        <v>0</v>
      </c>
      <c r="N2390" s="1" t="str">
        <f t="shared" si="1515"/>
        <v>0</v>
      </c>
      <c r="O2390" s="1" t="str">
        <f t="shared" si="1513"/>
        <v>0</v>
      </c>
    </row>
    <row r="2391" s="1" customFormat="1" spans="1:15">
      <c r="A2391" s="1" t="str">
        <f t="shared" si="1516"/>
        <v>202406</v>
      </c>
      <c r="B2391" s="1" t="str">
        <f t="shared" si="1517"/>
        <v>150525100</v>
      </c>
      <c r="C2391" s="1" t="str">
        <f>"1014629881"</f>
        <v>1014629881</v>
      </c>
      <c r="D2391" s="1" t="str">
        <f>"152326194910190660"</f>
        <v>152326194910190660</v>
      </c>
      <c r="E2391" s="1" t="s">
        <v>2467</v>
      </c>
      <c r="F2391" s="1" t="s">
        <v>16</v>
      </c>
      <c r="G2391" s="1" t="s">
        <v>17</v>
      </c>
      <c r="H2391" s="1" t="str">
        <f>"75"</f>
        <v>75</v>
      </c>
      <c r="I2391" s="1" t="str">
        <f>"2075"</f>
        <v>2075</v>
      </c>
      <c r="J2391" s="1" t="str">
        <f>"1915"</f>
        <v>1915</v>
      </c>
      <c r="K2391" s="1" t="str">
        <f>"1334"</f>
        <v>1334</v>
      </c>
      <c r="L2391" s="1" t="str">
        <f>"611"</f>
        <v>611</v>
      </c>
      <c r="M2391" s="1" t="str">
        <f t="shared" si="1514"/>
        <v>0</v>
      </c>
      <c r="N2391" s="1" t="str">
        <f t="shared" si="1515"/>
        <v>0</v>
      </c>
      <c r="O2391" s="1" t="str">
        <f t="shared" si="1513"/>
        <v>0</v>
      </c>
    </row>
    <row r="2392" s="1" customFormat="1" spans="1:15">
      <c r="A2392" s="1" t="str">
        <f t="shared" si="1516"/>
        <v>202406</v>
      </c>
      <c r="B2392" s="1" t="str">
        <f t="shared" si="1517"/>
        <v>150525100</v>
      </c>
      <c r="C2392" s="1" t="str">
        <f>"1014589193"</f>
        <v>1014589193</v>
      </c>
      <c r="D2392" s="1" t="str">
        <f>"152326195610100445"</f>
        <v>152326195610100445</v>
      </c>
      <c r="E2392" s="1" t="s">
        <v>2468</v>
      </c>
      <c r="F2392" s="1" t="s">
        <v>16</v>
      </c>
      <c r="G2392" s="1" t="s">
        <v>17</v>
      </c>
      <c r="H2392" s="1" t="str">
        <f>"68"</f>
        <v>68</v>
      </c>
      <c r="I2392" s="1" t="str">
        <f>"156.02"</f>
        <v>156.02</v>
      </c>
      <c r="J2392" s="1" t="str">
        <f t="shared" ref="J2392:J2403" si="1528">"0"</f>
        <v>0</v>
      </c>
      <c r="K2392" s="1" t="str">
        <f t="shared" ref="K2392:K2403" si="1529">"103"</f>
        <v>103</v>
      </c>
      <c r="L2392" s="1" t="str">
        <f t="shared" ref="L2392:L2403" si="1530">"47"</f>
        <v>47</v>
      </c>
      <c r="M2392" s="1" t="str">
        <f t="shared" si="1514"/>
        <v>0</v>
      </c>
      <c r="N2392" s="1" t="str">
        <f t="shared" si="1515"/>
        <v>0</v>
      </c>
      <c r="O2392" s="1" t="str">
        <f>"6.02"</f>
        <v>6.02</v>
      </c>
    </row>
    <row r="2393" s="1" customFormat="1" spans="1:15">
      <c r="A2393" s="1" t="str">
        <f t="shared" si="1516"/>
        <v>202406</v>
      </c>
      <c r="B2393" s="1" t="str">
        <f t="shared" si="1517"/>
        <v>150525100</v>
      </c>
      <c r="C2393" s="1" t="str">
        <f>"1014624859"</f>
        <v>1014624859</v>
      </c>
      <c r="D2393" s="1" t="str">
        <f>"152326194606260660"</f>
        <v>152326194606260660</v>
      </c>
      <c r="E2393" s="1" t="s">
        <v>700</v>
      </c>
      <c r="F2393" s="1" t="s">
        <v>16</v>
      </c>
      <c r="G2393" s="1" t="s">
        <v>19</v>
      </c>
      <c r="H2393" s="1" t="str">
        <f>"78"</f>
        <v>78</v>
      </c>
      <c r="I2393" s="1" t="str">
        <f t="shared" ref="I2393:I2395" si="1531">"160"</f>
        <v>160</v>
      </c>
      <c r="J2393" s="1" t="str">
        <f t="shared" si="1528"/>
        <v>0</v>
      </c>
      <c r="K2393" s="1" t="str">
        <f t="shared" si="1529"/>
        <v>103</v>
      </c>
      <c r="L2393" s="1" t="str">
        <f t="shared" si="1530"/>
        <v>47</v>
      </c>
      <c r="M2393" s="1" t="str">
        <f t="shared" si="1514"/>
        <v>0</v>
      </c>
      <c r="N2393" s="1" t="str">
        <f t="shared" si="1515"/>
        <v>0</v>
      </c>
      <c r="O2393" s="1" t="str">
        <f t="shared" ref="O2393:O2412" si="1532">"0"</f>
        <v>0</v>
      </c>
    </row>
    <row r="2394" s="1" customFormat="1" spans="1:15">
      <c r="A2394" s="1" t="str">
        <f t="shared" si="1516"/>
        <v>202406</v>
      </c>
      <c r="B2394" s="1" t="str">
        <f t="shared" si="1517"/>
        <v>150525100</v>
      </c>
      <c r="C2394" s="1" t="str">
        <f>"1014624865"</f>
        <v>1014624865</v>
      </c>
      <c r="D2394" s="1" t="s">
        <v>2469</v>
      </c>
      <c r="E2394" s="1" t="s">
        <v>2470</v>
      </c>
      <c r="F2394" s="1" t="s">
        <v>25</v>
      </c>
      <c r="G2394" s="1" t="s">
        <v>17</v>
      </c>
      <c r="H2394" s="1" t="str">
        <f>"74"</f>
        <v>74</v>
      </c>
      <c r="I2394" s="1" t="str">
        <f t="shared" si="1531"/>
        <v>160</v>
      </c>
      <c r="J2394" s="1" t="str">
        <f t="shared" si="1528"/>
        <v>0</v>
      </c>
      <c r="K2394" s="1" t="str">
        <f t="shared" si="1529"/>
        <v>103</v>
      </c>
      <c r="L2394" s="1" t="str">
        <f t="shared" si="1530"/>
        <v>47</v>
      </c>
      <c r="M2394" s="1" t="str">
        <f t="shared" si="1514"/>
        <v>0</v>
      </c>
      <c r="N2394" s="1" t="str">
        <f t="shared" si="1515"/>
        <v>0</v>
      </c>
      <c r="O2394" s="1" t="str">
        <f t="shared" si="1532"/>
        <v>0</v>
      </c>
    </row>
    <row r="2395" s="1" customFormat="1" spans="1:15">
      <c r="A2395" s="1" t="str">
        <f t="shared" si="1516"/>
        <v>202406</v>
      </c>
      <c r="B2395" s="1" t="str">
        <f t="shared" si="1517"/>
        <v>150525100</v>
      </c>
      <c r="C2395" s="1" t="str">
        <f>"1014624881"</f>
        <v>1014624881</v>
      </c>
      <c r="D2395" s="1" t="str">
        <f>"152326194502280413"</f>
        <v>152326194502280413</v>
      </c>
      <c r="E2395" s="1" t="s">
        <v>2471</v>
      </c>
      <c r="F2395" s="1" t="s">
        <v>25</v>
      </c>
      <c r="G2395" s="1" t="s">
        <v>17</v>
      </c>
      <c r="H2395" s="1" t="str">
        <f>"79"</f>
        <v>79</v>
      </c>
      <c r="I2395" s="1" t="str">
        <f t="shared" si="1531"/>
        <v>160</v>
      </c>
      <c r="J2395" s="1" t="str">
        <f t="shared" si="1528"/>
        <v>0</v>
      </c>
      <c r="K2395" s="1" t="str">
        <f t="shared" si="1529"/>
        <v>103</v>
      </c>
      <c r="L2395" s="1" t="str">
        <f t="shared" si="1530"/>
        <v>47</v>
      </c>
      <c r="M2395" s="1" t="str">
        <f t="shared" si="1514"/>
        <v>0</v>
      </c>
      <c r="N2395" s="1" t="str">
        <f t="shared" si="1515"/>
        <v>0</v>
      </c>
      <c r="O2395" s="1" t="str">
        <f t="shared" si="1532"/>
        <v>0</v>
      </c>
    </row>
    <row r="2396" s="1" customFormat="1" spans="1:15">
      <c r="A2396" s="1" t="str">
        <f t="shared" si="1516"/>
        <v>202406</v>
      </c>
      <c r="B2396" s="1" t="str">
        <f t="shared" si="1517"/>
        <v>150525100</v>
      </c>
      <c r="C2396" s="1" t="str">
        <f>"1014625314"</f>
        <v>1014625314</v>
      </c>
      <c r="D2396" s="1" t="str">
        <f>"152326193612233322"</f>
        <v>152326193612233322</v>
      </c>
      <c r="E2396" s="1" t="s">
        <v>2472</v>
      </c>
      <c r="F2396" s="1" t="s">
        <v>16</v>
      </c>
      <c r="G2396" s="1" t="s">
        <v>19</v>
      </c>
      <c r="H2396" s="1" t="str">
        <f>"88"</f>
        <v>88</v>
      </c>
      <c r="I2396" s="1" t="str">
        <f>"170"</f>
        <v>170</v>
      </c>
      <c r="J2396" s="1" t="str">
        <f t="shared" si="1528"/>
        <v>0</v>
      </c>
      <c r="K2396" s="1" t="str">
        <f t="shared" si="1529"/>
        <v>103</v>
      </c>
      <c r="L2396" s="1" t="str">
        <f t="shared" si="1530"/>
        <v>47</v>
      </c>
      <c r="M2396" s="1" t="str">
        <f t="shared" si="1514"/>
        <v>0</v>
      </c>
      <c r="N2396" s="1" t="str">
        <f t="shared" si="1515"/>
        <v>0</v>
      </c>
      <c r="O2396" s="1" t="str">
        <f t="shared" si="1532"/>
        <v>0</v>
      </c>
    </row>
    <row r="2397" s="1" customFormat="1" spans="1:15">
      <c r="A2397" s="1" t="str">
        <f t="shared" si="1516"/>
        <v>202406</v>
      </c>
      <c r="B2397" s="1" t="str">
        <f t="shared" si="1517"/>
        <v>150525100</v>
      </c>
      <c r="C2397" s="1" t="str">
        <f>"1014625327"</f>
        <v>1014625327</v>
      </c>
      <c r="D2397" s="1" t="str">
        <f>"152326195009213326"</f>
        <v>152326195009213326</v>
      </c>
      <c r="E2397" s="1" t="s">
        <v>2473</v>
      </c>
      <c r="F2397" s="1" t="s">
        <v>16</v>
      </c>
      <c r="G2397" s="1" t="s">
        <v>19</v>
      </c>
      <c r="H2397" s="1" t="str">
        <f>"74"</f>
        <v>74</v>
      </c>
      <c r="I2397" s="1" t="str">
        <f t="shared" ref="I2397:I2401" si="1533">"160"</f>
        <v>160</v>
      </c>
      <c r="J2397" s="1" t="str">
        <f t="shared" si="1528"/>
        <v>0</v>
      </c>
      <c r="K2397" s="1" t="str">
        <f t="shared" si="1529"/>
        <v>103</v>
      </c>
      <c r="L2397" s="1" t="str">
        <f t="shared" si="1530"/>
        <v>47</v>
      </c>
      <c r="M2397" s="1" t="str">
        <f t="shared" si="1514"/>
        <v>0</v>
      </c>
      <c r="N2397" s="1" t="str">
        <f t="shared" si="1515"/>
        <v>0</v>
      </c>
      <c r="O2397" s="1" t="str">
        <f t="shared" si="1532"/>
        <v>0</v>
      </c>
    </row>
    <row r="2398" s="1" customFormat="1" spans="1:15">
      <c r="A2398" s="1" t="str">
        <f t="shared" si="1516"/>
        <v>202406</v>
      </c>
      <c r="B2398" s="1" t="str">
        <f t="shared" si="1517"/>
        <v>150525100</v>
      </c>
      <c r="C2398" s="1" t="str">
        <f>"1014625274"</f>
        <v>1014625274</v>
      </c>
      <c r="D2398" s="1" t="s">
        <v>2474</v>
      </c>
      <c r="E2398" s="1" t="s">
        <v>2407</v>
      </c>
      <c r="F2398" s="1" t="s">
        <v>16</v>
      </c>
      <c r="G2398" s="1" t="s">
        <v>96</v>
      </c>
      <c r="H2398" s="1" t="str">
        <f>"79"</f>
        <v>79</v>
      </c>
      <c r="I2398" s="1" t="str">
        <f t="shared" si="1533"/>
        <v>160</v>
      </c>
      <c r="J2398" s="1" t="str">
        <f t="shared" si="1528"/>
        <v>0</v>
      </c>
      <c r="K2398" s="1" t="str">
        <f t="shared" si="1529"/>
        <v>103</v>
      </c>
      <c r="L2398" s="1" t="str">
        <f t="shared" si="1530"/>
        <v>47</v>
      </c>
      <c r="M2398" s="1" t="str">
        <f t="shared" si="1514"/>
        <v>0</v>
      </c>
      <c r="N2398" s="1" t="str">
        <f t="shared" si="1515"/>
        <v>0</v>
      </c>
      <c r="O2398" s="1" t="str">
        <f t="shared" si="1532"/>
        <v>0</v>
      </c>
    </row>
    <row r="2399" s="1" customFormat="1" spans="1:15">
      <c r="A2399" s="1" t="str">
        <f t="shared" si="1516"/>
        <v>202406</v>
      </c>
      <c r="B2399" s="1" t="str">
        <f t="shared" si="1517"/>
        <v>150525100</v>
      </c>
      <c r="C2399" s="1" t="str">
        <f>"1014624849"</f>
        <v>1014624849</v>
      </c>
      <c r="D2399" s="1" t="s">
        <v>2475</v>
      </c>
      <c r="E2399" s="1" t="s">
        <v>2476</v>
      </c>
      <c r="F2399" s="1" t="s">
        <v>16</v>
      </c>
      <c r="G2399" s="1" t="s">
        <v>19</v>
      </c>
      <c r="H2399" s="1" t="str">
        <f>"78"</f>
        <v>78</v>
      </c>
      <c r="I2399" s="1" t="str">
        <f t="shared" si="1533"/>
        <v>160</v>
      </c>
      <c r="J2399" s="1" t="str">
        <f t="shared" si="1528"/>
        <v>0</v>
      </c>
      <c r="K2399" s="1" t="str">
        <f t="shared" si="1529"/>
        <v>103</v>
      </c>
      <c r="L2399" s="1" t="str">
        <f t="shared" si="1530"/>
        <v>47</v>
      </c>
      <c r="M2399" s="1" t="str">
        <f t="shared" si="1514"/>
        <v>0</v>
      </c>
      <c r="N2399" s="1" t="str">
        <f t="shared" si="1515"/>
        <v>0</v>
      </c>
      <c r="O2399" s="1" t="str">
        <f t="shared" si="1532"/>
        <v>0</v>
      </c>
    </row>
    <row r="2400" s="1" customFormat="1" spans="1:15">
      <c r="A2400" s="1" t="str">
        <f t="shared" si="1516"/>
        <v>202406</v>
      </c>
      <c r="B2400" s="1" t="str">
        <f t="shared" si="1517"/>
        <v>150525100</v>
      </c>
      <c r="C2400" s="1" t="str">
        <f>"1014625298"</f>
        <v>1014625298</v>
      </c>
      <c r="D2400" s="1" t="str">
        <f>"152326194906103325"</f>
        <v>152326194906103325</v>
      </c>
      <c r="E2400" s="1" t="s">
        <v>2477</v>
      </c>
      <c r="F2400" s="1" t="s">
        <v>16</v>
      </c>
      <c r="G2400" s="1" t="s">
        <v>19</v>
      </c>
      <c r="H2400" s="1" t="str">
        <f>"75"</f>
        <v>75</v>
      </c>
      <c r="I2400" s="1" t="str">
        <f t="shared" si="1533"/>
        <v>160</v>
      </c>
      <c r="J2400" s="1" t="str">
        <f t="shared" si="1528"/>
        <v>0</v>
      </c>
      <c r="K2400" s="1" t="str">
        <f t="shared" si="1529"/>
        <v>103</v>
      </c>
      <c r="L2400" s="1" t="str">
        <f t="shared" si="1530"/>
        <v>47</v>
      </c>
      <c r="M2400" s="1" t="str">
        <f t="shared" si="1514"/>
        <v>0</v>
      </c>
      <c r="N2400" s="1" t="str">
        <f t="shared" si="1515"/>
        <v>0</v>
      </c>
      <c r="O2400" s="1" t="str">
        <f t="shared" si="1532"/>
        <v>0</v>
      </c>
    </row>
    <row r="2401" s="1" customFormat="1" spans="1:15">
      <c r="A2401" s="1" t="str">
        <f t="shared" si="1516"/>
        <v>202406</v>
      </c>
      <c r="B2401" s="1" t="str">
        <f t="shared" si="1517"/>
        <v>150525100</v>
      </c>
      <c r="C2401" s="1" t="str">
        <f>"1014624674"</f>
        <v>1014624674</v>
      </c>
      <c r="D2401" s="1" t="str">
        <f>"152326195006200423"</f>
        <v>152326195006200423</v>
      </c>
      <c r="E2401" s="1" t="s">
        <v>2478</v>
      </c>
      <c r="F2401" s="1" t="s">
        <v>16</v>
      </c>
      <c r="G2401" s="1" t="s">
        <v>17</v>
      </c>
      <c r="H2401" s="1" t="str">
        <f>"74"</f>
        <v>74</v>
      </c>
      <c r="I2401" s="1" t="str">
        <f t="shared" si="1533"/>
        <v>160</v>
      </c>
      <c r="J2401" s="1" t="str">
        <f t="shared" si="1528"/>
        <v>0</v>
      </c>
      <c r="K2401" s="1" t="str">
        <f t="shared" si="1529"/>
        <v>103</v>
      </c>
      <c r="L2401" s="1" t="str">
        <f t="shared" si="1530"/>
        <v>47</v>
      </c>
      <c r="M2401" s="1" t="str">
        <f t="shared" si="1514"/>
        <v>0</v>
      </c>
      <c r="N2401" s="1" t="str">
        <f t="shared" si="1515"/>
        <v>0</v>
      </c>
      <c r="O2401" s="1" t="str">
        <f t="shared" si="1532"/>
        <v>0</v>
      </c>
    </row>
    <row r="2402" s="1" customFormat="1" spans="1:15">
      <c r="A2402" s="1" t="str">
        <f t="shared" si="1516"/>
        <v>202406</v>
      </c>
      <c r="B2402" s="1" t="str">
        <f t="shared" si="1517"/>
        <v>150525100</v>
      </c>
      <c r="C2402" s="1" t="str">
        <f>"1014624903"</f>
        <v>1014624903</v>
      </c>
      <c r="D2402" s="1" t="str">
        <f>"152326194312090432"</f>
        <v>152326194312090432</v>
      </c>
      <c r="E2402" s="1" t="s">
        <v>2479</v>
      </c>
      <c r="F2402" s="1" t="s">
        <v>25</v>
      </c>
      <c r="G2402" s="1" t="s">
        <v>17</v>
      </c>
      <c r="H2402" s="1" t="str">
        <f>"81"</f>
        <v>81</v>
      </c>
      <c r="I2402" s="1" t="str">
        <f>"170"</f>
        <v>170</v>
      </c>
      <c r="J2402" s="1" t="str">
        <f t="shared" si="1528"/>
        <v>0</v>
      </c>
      <c r="K2402" s="1" t="str">
        <f t="shared" si="1529"/>
        <v>103</v>
      </c>
      <c r="L2402" s="1" t="str">
        <f t="shared" si="1530"/>
        <v>47</v>
      </c>
      <c r="M2402" s="1" t="str">
        <f t="shared" si="1514"/>
        <v>0</v>
      </c>
      <c r="N2402" s="1" t="str">
        <f t="shared" si="1515"/>
        <v>0</v>
      </c>
      <c r="O2402" s="1" t="str">
        <f t="shared" si="1532"/>
        <v>0</v>
      </c>
    </row>
    <row r="2403" s="1" customFormat="1" spans="1:15">
      <c r="A2403" s="1" t="str">
        <f t="shared" si="1516"/>
        <v>202406</v>
      </c>
      <c r="B2403" s="1" t="str">
        <f t="shared" si="1517"/>
        <v>150525100</v>
      </c>
      <c r="C2403" s="1" t="str">
        <f>"1014624911"</f>
        <v>1014624911</v>
      </c>
      <c r="D2403" s="1" t="str">
        <f>"152326195109140419"</f>
        <v>152326195109140419</v>
      </c>
      <c r="E2403" s="1" t="s">
        <v>2480</v>
      </c>
      <c r="F2403" s="1" t="s">
        <v>25</v>
      </c>
      <c r="G2403" s="1" t="s">
        <v>17</v>
      </c>
      <c r="H2403" s="1" t="str">
        <f t="shared" ref="H2403:H2407" si="1534">"73"</f>
        <v>73</v>
      </c>
      <c r="I2403" s="1" t="str">
        <f t="shared" ref="I2403:I2407" si="1535">"160"</f>
        <v>160</v>
      </c>
      <c r="J2403" s="1" t="str">
        <f t="shared" si="1528"/>
        <v>0</v>
      </c>
      <c r="K2403" s="1" t="str">
        <f t="shared" si="1529"/>
        <v>103</v>
      </c>
      <c r="L2403" s="1" t="str">
        <f t="shared" si="1530"/>
        <v>47</v>
      </c>
      <c r="M2403" s="1" t="str">
        <f t="shared" si="1514"/>
        <v>0</v>
      </c>
      <c r="N2403" s="1" t="str">
        <f t="shared" si="1515"/>
        <v>0</v>
      </c>
      <c r="O2403" s="1" t="str">
        <f t="shared" si="1532"/>
        <v>0</v>
      </c>
    </row>
    <row r="2404" s="1" customFormat="1" spans="1:15">
      <c r="A2404" s="1" t="str">
        <f t="shared" si="1516"/>
        <v>202406</v>
      </c>
      <c r="B2404" s="1" t="str">
        <f t="shared" si="1517"/>
        <v>150525100</v>
      </c>
      <c r="C2404" s="1" t="str">
        <f>"1014619040"</f>
        <v>1014619040</v>
      </c>
      <c r="D2404" s="1" t="str">
        <f>"152326193603113820"</f>
        <v>152326193603113820</v>
      </c>
      <c r="E2404" s="1" t="s">
        <v>2481</v>
      </c>
      <c r="F2404" s="1" t="s">
        <v>16</v>
      </c>
      <c r="G2404" s="1" t="s">
        <v>17</v>
      </c>
      <c r="H2404" s="1" t="str">
        <f>"88"</f>
        <v>88</v>
      </c>
      <c r="I2404" s="1" t="str">
        <f>"1020"</f>
        <v>1020</v>
      </c>
      <c r="J2404" s="1" t="str">
        <f>"850"</f>
        <v>850</v>
      </c>
      <c r="K2404" s="1" t="str">
        <f>"618"</f>
        <v>618</v>
      </c>
      <c r="L2404" s="1" t="str">
        <f>"282"</f>
        <v>282</v>
      </c>
      <c r="M2404" s="1" t="str">
        <f t="shared" si="1514"/>
        <v>0</v>
      </c>
      <c r="N2404" s="1" t="str">
        <f t="shared" si="1515"/>
        <v>0</v>
      </c>
      <c r="O2404" s="1" t="str">
        <f t="shared" si="1532"/>
        <v>0</v>
      </c>
    </row>
    <row r="2405" s="1" customFormat="1" spans="1:15">
      <c r="A2405" s="1" t="str">
        <f t="shared" si="1516"/>
        <v>202406</v>
      </c>
      <c r="B2405" s="1" t="str">
        <f t="shared" si="1517"/>
        <v>150525100</v>
      </c>
      <c r="C2405" s="1" t="str">
        <f>"1014619041"</f>
        <v>1014619041</v>
      </c>
      <c r="D2405" s="1" t="str">
        <f>"152326194911073829"</f>
        <v>152326194911073829</v>
      </c>
      <c r="E2405" s="1" t="s">
        <v>126</v>
      </c>
      <c r="F2405" s="1" t="s">
        <v>16</v>
      </c>
      <c r="G2405" s="1" t="s">
        <v>17</v>
      </c>
      <c r="H2405" s="1" t="str">
        <f t="shared" ref="H2405:H2410" si="1536">"75"</f>
        <v>75</v>
      </c>
      <c r="I2405" s="1" t="str">
        <f t="shared" si="1535"/>
        <v>160</v>
      </c>
      <c r="J2405" s="1" t="str">
        <f t="shared" ref="J2405:J2468" si="1537">"0"</f>
        <v>0</v>
      </c>
      <c r="K2405" s="1" t="str">
        <f t="shared" ref="K2405:K2468" si="1538">"103"</f>
        <v>103</v>
      </c>
      <c r="L2405" s="1" t="str">
        <f t="shared" ref="L2405:L2468" si="1539">"47"</f>
        <v>47</v>
      </c>
      <c r="M2405" s="1" t="str">
        <f t="shared" si="1514"/>
        <v>0</v>
      </c>
      <c r="N2405" s="1" t="str">
        <f t="shared" si="1515"/>
        <v>0</v>
      </c>
      <c r="O2405" s="1" t="str">
        <f t="shared" si="1532"/>
        <v>0</v>
      </c>
    </row>
    <row r="2406" s="1" customFormat="1" spans="1:15">
      <c r="A2406" s="1" t="str">
        <f t="shared" si="1516"/>
        <v>202406</v>
      </c>
      <c r="B2406" s="1" t="str">
        <f t="shared" si="1517"/>
        <v>150525100</v>
      </c>
      <c r="C2406" s="1" t="str">
        <f>"1014619053"</f>
        <v>1014619053</v>
      </c>
      <c r="D2406" s="1" t="str">
        <f>"152326195101170410"</f>
        <v>152326195101170410</v>
      </c>
      <c r="E2406" s="1" t="s">
        <v>2482</v>
      </c>
      <c r="F2406" s="1" t="s">
        <v>25</v>
      </c>
      <c r="G2406" s="1" t="s">
        <v>17</v>
      </c>
      <c r="H2406" s="1" t="str">
        <f t="shared" si="1534"/>
        <v>73</v>
      </c>
      <c r="I2406" s="1" t="str">
        <f t="shared" si="1535"/>
        <v>160</v>
      </c>
      <c r="J2406" s="1" t="str">
        <f t="shared" si="1537"/>
        <v>0</v>
      </c>
      <c r="K2406" s="1" t="str">
        <f t="shared" si="1538"/>
        <v>103</v>
      </c>
      <c r="L2406" s="1" t="str">
        <f t="shared" si="1539"/>
        <v>47</v>
      </c>
      <c r="M2406" s="1" t="str">
        <f t="shared" si="1514"/>
        <v>0</v>
      </c>
      <c r="N2406" s="1" t="str">
        <f t="shared" si="1515"/>
        <v>0</v>
      </c>
      <c r="O2406" s="1" t="str">
        <f t="shared" si="1532"/>
        <v>0</v>
      </c>
    </row>
    <row r="2407" s="1" customFormat="1" spans="1:15">
      <c r="A2407" s="1" t="str">
        <f t="shared" si="1516"/>
        <v>202406</v>
      </c>
      <c r="B2407" s="1" t="str">
        <f t="shared" si="1517"/>
        <v>150525100</v>
      </c>
      <c r="C2407" s="1" t="str">
        <f>"1014625398"</f>
        <v>1014625398</v>
      </c>
      <c r="D2407" s="1" t="str">
        <f>"152326195108153314"</f>
        <v>152326195108153314</v>
      </c>
      <c r="E2407" s="1" t="s">
        <v>2483</v>
      </c>
      <c r="F2407" s="1" t="s">
        <v>25</v>
      </c>
      <c r="G2407" s="1" t="s">
        <v>19</v>
      </c>
      <c r="H2407" s="1" t="str">
        <f t="shared" si="1534"/>
        <v>73</v>
      </c>
      <c r="I2407" s="1" t="str">
        <f t="shared" si="1535"/>
        <v>160</v>
      </c>
      <c r="J2407" s="1" t="str">
        <f t="shared" si="1537"/>
        <v>0</v>
      </c>
      <c r="K2407" s="1" t="str">
        <f t="shared" si="1538"/>
        <v>103</v>
      </c>
      <c r="L2407" s="1" t="str">
        <f t="shared" si="1539"/>
        <v>47</v>
      </c>
      <c r="M2407" s="1" t="str">
        <f t="shared" si="1514"/>
        <v>0</v>
      </c>
      <c r="N2407" s="1" t="str">
        <f t="shared" si="1515"/>
        <v>0</v>
      </c>
      <c r="O2407" s="1" t="str">
        <f t="shared" si="1532"/>
        <v>0</v>
      </c>
    </row>
    <row r="2408" s="1" customFormat="1" spans="1:15">
      <c r="A2408" s="1" t="str">
        <f t="shared" si="1516"/>
        <v>202406</v>
      </c>
      <c r="B2408" s="1" t="str">
        <f t="shared" si="1517"/>
        <v>150525100</v>
      </c>
      <c r="C2408" s="1" t="str">
        <f>"1014619072"</f>
        <v>1014619072</v>
      </c>
      <c r="D2408" s="1" t="str">
        <f>"152326194306013828"</f>
        <v>152326194306013828</v>
      </c>
      <c r="E2408" s="1" t="s">
        <v>2484</v>
      </c>
      <c r="F2408" s="1" t="s">
        <v>16</v>
      </c>
      <c r="G2408" s="1" t="s">
        <v>17</v>
      </c>
      <c r="H2408" s="1" t="str">
        <f>"81"</f>
        <v>81</v>
      </c>
      <c r="I2408" s="1" t="str">
        <f>"170"</f>
        <v>170</v>
      </c>
      <c r="J2408" s="1" t="str">
        <f t="shared" si="1537"/>
        <v>0</v>
      </c>
      <c r="K2408" s="1" t="str">
        <f t="shared" si="1538"/>
        <v>103</v>
      </c>
      <c r="L2408" s="1" t="str">
        <f t="shared" si="1539"/>
        <v>47</v>
      </c>
      <c r="M2408" s="1" t="str">
        <f t="shared" si="1514"/>
        <v>0</v>
      </c>
      <c r="N2408" s="1" t="str">
        <f t="shared" si="1515"/>
        <v>0</v>
      </c>
      <c r="O2408" s="1" t="str">
        <f t="shared" si="1532"/>
        <v>0</v>
      </c>
    </row>
    <row r="2409" s="1" customFormat="1" spans="1:15">
      <c r="A2409" s="1" t="str">
        <f t="shared" si="1516"/>
        <v>202406</v>
      </c>
      <c r="B2409" s="1" t="str">
        <f t="shared" si="1517"/>
        <v>150525100</v>
      </c>
      <c r="C2409" s="1" t="str">
        <f>"1014624929"</f>
        <v>1014624929</v>
      </c>
      <c r="D2409" s="1" t="s">
        <v>2485</v>
      </c>
      <c r="E2409" s="1" t="s">
        <v>2486</v>
      </c>
      <c r="F2409" s="1" t="s">
        <v>25</v>
      </c>
      <c r="G2409" s="1" t="s">
        <v>17</v>
      </c>
      <c r="H2409" s="1" t="str">
        <f t="shared" si="1536"/>
        <v>75</v>
      </c>
      <c r="I2409" s="1" t="str">
        <f t="shared" ref="I2409:I2411" si="1540">"160"</f>
        <v>160</v>
      </c>
      <c r="J2409" s="1" t="str">
        <f t="shared" si="1537"/>
        <v>0</v>
      </c>
      <c r="K2409" s="1" t="str">
        <f t="shared" si="1538"/>
        <v>103</v>
      </c>
      <c r="L2409" s="1" t="str">
        <f t="shared" si="1539"/>
        <v>47</v>
      </c>
      <c r="M2409" s="1" t="str">
        <f t="shared" si="1514"/>
        <v>0</v>
      </c>
      <c r="N2409" s="1" t="str">
        <f t="shared" si="1515"/>
        <v>0</v>
      </c>
      <c r="O2409" s="1" t="str">
        <f t="shared" si="1532"/>
        <v>0</v>
      </c>
    </row>
    <row r="2410" s="1" customFormat="1" spans="1:15">
      <c r="A2410" s="1" t="str">
        <f t="shared" si="1516"/>
        <v>202406</v>
      </c>
      <c r="B2410" s="1" t="str">
        <f t="shared" si="1517"/>
        <v>150525100</v>
      </c>
      <c r="C2410" s="1" t="str">
        <f>"1014624931"</f>
        <v>1014624931</v>
      </c>
      <c r="D2410" s="1" t="str">
        <f>"152326195001070412"</f>
        <v>152326195001070412</v>
      </c>
      <c r="E2410" s="1" t="s">
        <v>2487</v>
      </c>
      <c r="F2410" s="1" t="s">
        <v>25</v>
      </c>
      <c r="G2410" s="1" t="s">
        <v>17</v>
      </c>
      <c r="H2410" s="1" t="str">
        <f t="shared" si="1536"/>
        <v>75</v>
      </c>
      <c r="I2410" s="1" t="str">
        <f t="shared" si="1540"/>
        <v>160</v>
      </c>
      <c r="J2410" s="1" t="str">
        <f t="shared" si="1537"/>
        <v>0</v>
      </c>
      <c r="K2410" s="1" t="str">
        <f t="shared" si="1538"/>
        <v>103</v>
      </c>
      <c r="L2410" s="1" t="str">
        <f t="shared" si="1539"/>
        <v>47</v>
      </c>
      <c r="M2410" s="1" t="str">
        <f t="shared" si="1514"/>
        <v>0</v>
      </c>
      <c r="N2410" s="1" t="str">
        <f t="shared" si="1515"/>
        <v>0</v>
      </c>
      <c r="O2410" s="1" t="str">
        <f t="shared" si="1532"/>
        <v>0</v>
      </c>
    </row>
    <row r="2411" s="1" customFormat="1" spans="1:15">
      <c r="A2411" s="1" t="str">
        <f t="shared" si="1516"/>
        <v>202406</v>
      </c>
      <c r="B2411" s="1" t="str">
        <f t="shared" si="1517"/>
        <v>150525100</v>
      </c>
      <c r="C2411" s="1" t="str">
        <f>"1014624933"</f>
        <v>1014624933</v>
      </c>
      <c r="D2411" s="1" t="str">
        <f>"152326194810140412"</f>
        <v>152326194810140412</v>
      </c>
      <c r="E2411" s="1" t="s">
        <v>2488</v>
      </c>
      <c r="F2411" s="1" t="s">
        <v>25</v>
      </c>
      <c r="G2411" s="1" t="s">
        <v>17</v>
      </c>
      <c r="H2411" s="1" t="str">
        <f>"76"</f>
        <v>76</v>
      </c>
      <c r="I2411" s="1" t="str">
        <f t="shared" si="1540"/>
        <v>160</v>
      </c>
      <c r="J2411" s="1" t="str">
        <f t="shared" si="1537"/>
        <v>0</v>
      </c>
      <c r="K2411" s="1" t="str">
        <f t="shared" si="1538"/>
        <v>103</v>
      </c>
      <c r="L2411" s="1" t="str">
        <f t="shared" si="1539"/>
        <v>47</v>
      </c>
      <c r="M2411" s="1" t="str">
        <f t="shared" si="1514"/>
        <v>0</v>
      </c>
      <c r="N2411" s="1" t="str">
        <f t="shared" si="1515"/>
        <v>0</v>
      </c>
      <c r="O2411" s="1" t="str">
        <f t="shared" si="1532"/>
        <v>0</v>
      </c>
    </row>
    <row r="2412" s="1" customFormat="1" spans="1:15">
      <c r="A2412" s="1" t="str">
        <f t="shared" si="1516"/>
        <v>202406</v>
      </c>
      <c r="B2412" s="1" t="str">
        <f t="shared" si="1517"/>
        <v>150525100</v>
      </c>
      <c r="C2412" s="1" t="str">
        <f>"1014625419"</f>
        <v>1014625419</v>
      </c>
      <c r="D2412" s="1" t="s">
        <v>2489</v>
      </c>
      <c r="E2412" s="1" t="s">
        <v>2490</v>
      </c>
      <c r="F2412" s="1" t="s">
        <v>16</v>
      </c>
      <c r="G2412" s="1" t="s">
        <v>19</v>
      </c>
      <c r="H2412" s="1" t="str">
        <f>"96"</f>
        <v>96</v>
      </c>
      <c r="I2412" s="1" t="str">
        <f>"170"</f>
        <v>170</v>
      </c>
      <c r="J2412" s="1" t="str">
        <f t="shared" si="1537"/>
        <v>0</v>
      </c>
      <c r="K2412" s="1" t="str">
        <f t="shared" si="1538"/>
        <v>103</v>
      </c>
      <c r="L2412" s="1" t="str">
        <f t="shared" si="1539"/>
        <v>47</v>
      </c>
      <c r="M2412" s="1" t="str">
        <f t="shared" si="1514"/>
        <v>0</v>
      </c>
      <c r="N2412" s="1" t="str">
        <f t="shared" si="1515"/>
        <v>0</v>
      </c>
      <c r="O2412" s="1" t="str">
        <f t="shared" si="1532"/>
        <v>0</v>
      </c>
    </row>
    <row r="2413" s="1" customFormat="1" spans="1:15">
      <c r="A2413" s="1" t="str">
        <f t="shared" si="1516"/>
        <v>202406</v>
      </c>
      <c r="B2413" s="1" t="str">
        <f t="shared" si="1517"/>
        <v>150525100</v>
      </c>
      <c r="C2413" s="1" t="str">
        <f>"1014641107"</f>
        <v>1014641107</v>
      </c>
      <c r="D2413" s="1" t="str">
        <f>"152326195407170413"</f>
        <v>152326195407170413</v>
      </c>
      <c r="E2413" s="1" t="s">
        <v>2491</v>
      </c>
      <c r="F2413" s="1" t="s">
        <v>25</v>
      </c>
      <c r="G2413" s="1" t="s">
        <v>17</v>
      </c>
      <c r="H2413" s="1" t="str">
        <f>"70"</f>
        <v>70</v>
      </c>
      <c r="I2413" s="1" t="str">
        <f>"154.15"</f>
        <v>154.15</v>
      </c>
      <c r="J2413" s="1" t="str">
        <f t="shared" si="1537"/>
        <v>0</v>
      </c>
      <c r="K2413" s="1" t="str">
        <f t="shared" si="1538"/>
        <v>103</v>
      </c>
      <c r="L2413" s="1" t="str">
        <f t="shared" si="1539"/>
        <v>47</v>
      </c>
      <c r="M2413" s="1" t="str">
        <f t="shared" si="1514"/>
        <v>0</v>
      </c>
      <c r="N2413" s="1" t="str">
        <f t="shared" si="1515"/>
        <v>0</v>
      </c>
      <c r="O2413" s="1" t="str">
        <f>"4.15"</f>
        <v>4.15</v>
      </c>
    </row>
    <row r="2414" s="1" customFormat="1" spans="1:15">
      <c r="A2414" s="1" t="str">
        <f t="shared" si="1516"/>
        <v>202406</v>
      </c>
      <c r="B2414" s="1" t="str">
        <f t="shared" si="1517"/>
        <v>150525100</v>
      </c>
      <c r="C2414" s="1" t="str">
        <f>"1014624956"</f>
        <v>1014624956</v>
      </c>
      <c r="D2414" s="1" t="str">
        <f>"152326194907010673"</f>
        <v>152326194907010673</v>
      </c>
      <c r="E2414" s="1" t="s">
        <v>2492</v>
      </c>
      <c r="F2414" s="1" t="s">
        <v>25</v>
      </c>
      <c r="G2414" s="1" t="s">
        <v>17</v>
      </c>
      <c r="H2414" s="1" t="str">
        <f>"75"</f>
        <v>75</v>
      </c>
      <c r="I2414" s="1" t="str">
        <f t="shared" ref="I2414:I2417" si="1541">"160"</f>
        <v>160</v>
      </c>
      <c r="J2414" s="1" t="str">
        <f t="shared" si="1537"/>
        <v>0</v>
      </c>
      <c r="K2414" s="1" t="str">
        <f t="shared" si="1538"/>
        <v>103</v>
      </c>
      <c r="L2414" s="1" t="str">
        <f t="shared" si="1539"/>
        <v>47</v>
      </c>
      <c r="M2414" s="1" t="str">
        <f t="shared" si="1514"/>
        <v>0</v>
      </c>
      <c r="N2414" s="1" t="str">
        <f t="shared" si="1515"/>
        <v>0</v>
      </c>
      <c r="O2414" s="1" t="str">
        <f t="shared" ref="O2414:O2417" si="1542">"0"</f>
        <v>0</v>
      </c>
    </row>
    <row r="2415" s="1" customFormat="1" spans="1:15">
      <c r="A2415" s="1" t="str">
        <f t="shared" si="1516"/>
        <v>202406</v>
      </c>
      <c r="B2415" s="1" t="str">
        <f t="shared" si="1517"/>
        <v>150525100</v>
      </c>
      <c r="C2415" s="1" t="str">
        <f>"1014624968"</f>
        <v>1014624968</v>
      </c>
      <c r="D2415" s="1" t="str">
        <f>"152326194901160013"</f>
        <v>152326194901160013</v>
      </c>
      <c r="E2415" s="1" t="s">
        <v>2493</v>
      </c>
      <c r="F2415" s="1" t="s">
        <v>25</v>
      </c>
      <c r="G2415" s="1" t="s">
        <v>19</v>
      </c>
      <c r="H2415" s="1" t="str">
        <f>"75"</f>
        <v>75</v>
      </c>
      <c r="I2415" s="1" t="str">
        <f t="shared" si="1541"/>
        <v>160</v>
      </c>
      <c r="J2415" s="1" t="str">
        <f t="shared" si="1537"/>
        <v>0</v>
      </c>
      <c r="K2415" s="1" t="str">
        <f t="shared" si="1538"/>
        <v>103</v>
      </c>
      <c r="L2415" s="1" t="str">
        <f t="shared" si="1539"/>
        <v>47</v>
      </c>
      <c r="M2415" s="1" t="str">
        <f t="shared" si="1514"/>
        <v>0</v>
      </c>
      <c r="N2415" s="1" t="str">
        <f t="shared" si="1515"/>
        <v>0</v>
      </c>
      <c r="O2415" s="1" t="str">
        <f t="shared" si="1542"/>
        <v>0</v>
      </c>
    </row>
    <row r="2416" s="1" customFormat="1" spans="1:15">
      <c r="A2416" s="1" t="str">
        <f t="shared" si="1516"/>
        <v>202406</v>
      </c>
      <c r="B2416" s="1" t="str">
        <f t="shared" si="1517"/>
        <v>150525100</v>
      </c>
      <c r="C2416" s="1" t="str">
        <f>"1014625476"</f>
        <v>1014625476</v>
      </c>
      <c r="D2416" s="1" t="str">
        <f>"152326194804143318"</f>
        <v>152326194804143318</v>
      </c>
      <c r="E2416" s="1" t="s">
        <v>2494</v>
      </c>
      <c r="F2416" s="1" t="s">
        <v>25</v>
      </c>
      <c r="G2416" s="1" t="s">
        <v>19</v>
      </c>
      <c r="H2416" s="1" t="str">
        <f>"76"</f>
        <v>76</v>
      </c>
      <c r="I2416" s="1" t="str">
        <f t="shared" si="1541"/>
        <v>160</v>
      </c>
      <c r="J2416" s="1" t="str">
        <f t="shared" si="1537"/>
        <v>0</v>
      </c>
      <c r="K2416" s="1" t="str">
        <f t="shared" si="1538"/>
        <v>103</v>
      </c>
      <c r="L2416" s="1" t="str">
        <f t="shared" si="1539"/>
        <v>47</v>
      </c>
      <c r="M2416" s="1" t="str">
        <f t="shared" si="1514"/>
        <v>0</v>
      </c>
      <c r="N2416" s="1" t="str">
        <f t="shared" si="1515"/>
        <v>0</v>
      </c>
      <c r="O2416" s="1" t="str">
        <f t="shared" si="1542"/>
        <v>0</v>
      </c>
    </row>
    <row r="2417" s="1" customFormat="1" spans="1:15">
      <c r="A2417" s="1" t="str">
        <f t="shared" si="1516"/>
        <v>202406</v>
      </c>
      <c r="B2417" s="1" t="str">
        <f t="shared" si="1517"/>
        <v>150525100</v>
      </c>
      <c r="C2417" s="1" t="str">
        <f>"1014625492"</f>
        <v>1014625492</v>
      </c>
      <c r="D2417" s="1" t="str">
        <f>"152326195102053312"</f>
        <v>152326195102053312</v>
      </c>
      <c r="E2417" s="1" t="s">
        <v>2495</v>
      </c>
      <c r="F2417" s="1" t="s">
        <v>25</v>
      </c>
      <c r="G2417" s="1" t="s">
        <v>19</v>
      </c>
      <c r="H2417" s="1" t="str">
        <f>"73"</f>
        <v>73</v>
      </c>
      <c r="I2417" s="1" t="str">
        <f t="shared" si="1541"/>
        <v>160</v>
      </c>
      <c r="J2417" s="1" t="str">
        <f t="shared" si="1537"/>
        <v>0</v>
      </c>
      <c r="K2417" s="1" t="str">
        <f t="shared" si="1538"/>
        <v>103</v>
      </c>
      <c r="L2417" s="1" t="str">
        <f t="shared" si="1539"/>
        <v>47</v>
      </c>
      <c r="M2417" s="1" t="str">
        <f t="shared" si="1514"/>
        <v>0</v>
      </c>
      <c r="N2417" s="1" t="str">
        <f t="shared" si="1515"/>
        <v>0</v>
      </c>
      <c r="O2417" s="1" t="str">
        <f t="shared" si="1542"/>
        <v>0</v>
      </c>
    </row>
    <row r="2418" s="1" customFormat="1" spans="1:15">
      <c r="A2418" s="1" t="str">
        <f t="shared" si="1516"/>
        <v>202406</v>
      </c>
      <c r="B2418" s="1" t="str">
        <f t="shared" si="1517"/>
        <v>150525100</v>
      </c>
      <c r="C2418" s="1" t="str">
        <f>"1014660524"</f>
        <v>1014660524</v>
      </c>
      <c r="D2418" s="1" t="str">
        <f>"152326195406283088"</f>
        <v>152326195406283088</v>
      </c>
      <c r="E2418" s="1" t="s">
        <v>2496</v>
      </c>
      <c r="F2418" s="1" t="s">
        <v>16</v>
      </c>
      <c r="G2418" s="1" t="s">
        <v>17</v>
      </c>
      <c r="H2418" s="1" t="str">
        <f>"70"</f>
        <v>70</v>
      </c>
      <c r="I2418" s="1" t="str">
        <f>"156.69"</f>
        <v>156.69</v>
      </c>
      <c r="J2418" s="1" t="str">
        <f t="shared" si="1537"/>
        <v>0</v>
      </c>
      <c r="K2418" s="1" t="str">
        <f t="shared" si="1538"/>
        <v>103</v>
      </c>
      <c r="L2418" s="1" t="str">
        <f t="shared" si="1539"/>
        <v>47</v>
      </c>
      <c r="M2418" s="1" t="str">
        <f t="shared" si="1514"/>
        <v>0</v>
      </c>
      <c r="N2418" s="1" t="str">
        <f t="shared" si="1515"/>
        <v>0</v>
      </c>
      <c r="O2418" s="1" t="str">
        <f>"6.69"</f>
        <v>6.69</v>
      </c>
    </row>
    <row r="2419" s="1" customFormat="1" spans="1:15">
      <c r="A2419" s="1" t="str">
        <f t="shared" si="1516"/>
        <v>202406</v>
      </c>
      <c r="B2419" s="1" t="str">
        <f t="shared" si="1517"/>
        <v>150525100</v>
      </c>
      <c r="C2419" s="1" t="str">
        <f>"1014642622"</f>
        <v>1014642622</v>
      </c>
      <c r="D2419" s="1" t="str">
        <f>"152326195701083812"</f>
        <v>152326195701083812</v>
      </c>
      <c r="E2419" s="1" t="s">
        <v>2497</v>
      </c>
      <c r="F2419" s="1" t="s">
        <v>25</v>
      </c>
      <c r="G2419" s="1" t="s">
        <v>19</v>
      </c>
      <c r="H2419" s="1" t="str">
        <f>"67"</f>
        <v>67</v>
      </c>
      <c r="I2419" s="1" t="str">
        <f>"157.58"</f>
        <v>157.58</v>
      </c>
      <c r="J2419" s="1" t="str">
        <f t="shared" si="1537"/>
        <v>0</v>
      </c>
      <c r="K2419" s="1" t="str">
        <f t="shared" si="1538"/>
        <v>103</v>
      </c>
      <c r="L2419" s="1" t="str">
        <f t="shared" si="1539"/>
        <v>47</v>
      </c>
      <c r="M2419" s="1" t="str">
        <f t="shared" si="1514"/>
        <v>0</v>
      </c>
      <c r="N2419" s="1" t="str">
        <f t="shared" si="1515"/>
        <v>0</v>
      </c>
      <c r="O2419" s="1" t="str">
        <f>"7.58"</f>
        <v>7.58</v>
      </c>
    </row>
    <row r="2420" s="1" customFormat="1" spans="1:15">
      <c r="A2420" s="1" t="str">
        <f t="shared" si="1516"/>
        <v>202406</v>
      </c>
      <c r="B2420" s="1" t="str">
        <f t="shared" si="1517"/>
        <v>150525100</v>
      </c>
      <c r="C2420" s="1" t="str">
        <f>"1040681719"</f>
        <v>1040681719</v>
      </c>
      <c r="D2420" s="1" t="s">
        <v>2498</v>
      </c>
      <c r="E2420" s="1" t="s">
        <v>2499</v>
      </c>
      <c r="F2420" s="1" t="s">
        <v>16</v>
      </c>
      <c r="G2420" s="1" t="s">
        <v>17</v>
      </c>
      <c r="H2420" s="1" t="str">
        <f>"61"</f>
        <v>61</v>
      </c>
      <c r="I2420" s="1" t="str">
        <f>"163.68"</f>
        <v>163.68</v>
      </c>
      <c r="J2420" s="1" t="str">
        <f t="shared" si="1537"/>
        <v>0</v>
      </c>
      <c r="K2420" s="1" t="str">
        <f t="shared" si="1538"/>
        <v>103</v>
      </c>
      <c r="L2420" s="1" t="str">
        <f t="shared" si="1539"/>
        <v>47</v>
      </c>
      <c r="M2420" s="1" t="str">
        <f t="shared" si="1514"/>
        <v>0</v>
      </c>
      <c r="N2420" s="1" t="str">
        <f t="shared" si="1515"/>
        <v>0</v>
      </c>
      <c r="O2420" s="1" t="str">
        <f>"13.68"</f>
        <v>13.68</v>
      </c>
    </row>
    <row r="2421" s="1" customFormat="1" spans="1:15">
      <c r="A2421" s="1" t="str">
        <f t="shared" si="1516"/>
        <v>202406</v>
      </c>
      <c r="B2421" s="1" t="str">
        <f t="shared" si="1517"/>
        <v>150525100</v>
      </c>
      <c r="C2421" s="1" t="str">
        <f>"1040681734"</f>
        <v>1040681734</v>
      </c>
      <c r="D2421" s="1" t="str">
        <f>"152326196110070424"</f>
        <v>152326196110070424</v>
      </c>
      <c r="E2421" s="1" t="s">
        <v>931</v>
      </c>
      <c r="F2421" s="1" t="s">
        <v>16</v>
      </c>
      <c r="G2421" s="1" t="s">
        <v>17</v>
      </c>
      <c r="H2421" s="1" t="str">
        <f>"63"</f>
        <v>63</v>
      </c>
      <c r="I2421" s="1" t="str">
        <f>"159.82"</f>
        <v>159.82</v>
      </c>
      <c r="J2421" s="1" t="str">
        <f t="shared" si="1537"/>
        <v>0</v>
      </c>
      <c r="K2421" s="1" t="str">
        <f t="shared" si="1538"/>
        <v>103</v>
      </c>
      <c r="L2421" s="1" t="str">
        <f t="shared" si="1539"/>
        <v>47</v>
      </c>
      <c r="M2421" s="1" t="str">
        <f t="shared" si="1514"/>
        <v>0</v>
      </c>
      <c r="N2421" s="1" t="str">
        <f t="shared" si="1515"/>
        <v>0</v>
      </c>
      <c r="O2421" s="1" t="str">
        <f>"9.82"</f>
        <v>9.82</v>
      </c>
    </row>
    <row r="2422" s="1" customFormat="1" spans="1:15">
      <c r="A2422" s="1" t="str">
        <f t="shared" si="1516"/>
        <v>202406</v>
      </c>
      <c r="B2422" s="1" t="str">
        <f t="shared" si="1517"/>
        <v>150525100</v>
      </c>
      <c r="C2422" s="1" t="str">
        <f>"1040681737"</f>
        <v>1040681737</v>
      </c>
      <c r="D2422" s="1" t="str">
        <f>"152326195808050412"</f>
        <v>152326195808050412</v>
      </c>
      <c r="E2422" s="1" t="s">
        <v>1040</v>
      </c>
      <c r="F2422" s="1" t="s">
        <v>25</v>
      </c>
      <c r="G2422" s="1" t="s">
        <v>17</v>
      </c>
      <c r="H2422" s="1" t="str">
        <f>"66"</f>
        <v>66</v>
      </c>
      <c r="I2422" s="1" t="str">
        <f>"155.88"</f>
        <v>155.88</v>
      </c>
      <c r="J2422" s="1" t="str">
        <f t="shared" si="1537"/>
        <v>0</v>
      </c>
      <c r="K2422" s="1" t="str">
        <f t="shared" si="1538"/>
        <v>103</v>
      </c>
      <c r="L2422" s="1" t="str">
        <f t="shared" si="1539"/>
        <v>47</v>
      </c>
      <c r="M2422" s="1" t="str">
        <f t="shared" si="1514"/>
        <v>0</v>
      </c>
      <c r="N2422" s="1" t="str">
        <f t="shared" si="1515"/>
        <v>0</v>
      </c>
      <c r="O2422" s="1" t="str">
        <f>"5.88"</f>
        <v>5.88</v>
      </c>
    </row>
    <row r="2423" s="1" customFormat="1" spans="1:15">
      <c r="A2423" s="1" t="str">
        <f t="shared" si="1516"/>
        <v>202406</v>
      </c>
      <c r="B2423" s="1" t="str">
        <f t="shared" si="1517"/>
        <v>150525100</v>
      </c>
      <c r="C2423" s="1" t="str">
        <f>"1040681680"</f>
        <v>1040681680</v>
      </c>
      <c r="D2423" s="1" t="str">
        <f>"152326195604163327"</f>
        <v>152326195604163327</v>
      </c>
      <c r="E2423" s="1" t="s">
        <v>2500</v>
      </c>
      <c r="F2423" s="1" t="s">
        <v>16</v>
      </c>
      <c r="G2423" s="1" t="s">
        <v>19</v>
      </c>
      <c r="H2423" s="1" t="str">
        <f>"68"</f>
        <v>68</v>
      </c>
      <c r="I2423" s="1" t="str">
        <f>"154.82"</f>
        <v>154.82</v>
      </c>
      <c r="J2423" s="1" t="str">
        <f t="shared" si="1537"/>
        <v>0</v>
      </c>
      <c r="K2423" s="1" t="str">
        <f t="shared" si="1538"/>
        <v>103</v>
      </c>
      <c r="L2423" s="1" t="str">
        <f t="shared" si="1539"/>
        <v>47</v>
      </c>
      <c r="M2423" s="1" t="str">
        <f t="shared" si="1514"/>
        <v>0</v>
      </c>
      <c r="N2423" s="1" t="str">
        <f t="shared" si="1515"/>
        <v>0</v>
      </c>
      <c r="O2423" s="1" t="str">
        <f>"4.82"</f>
        <v>4.82</v>
      </c>
    </row>
    <row r="2424" s="1" customFormat="1" spans="1:15">
      <c r="A2424" s="1" t="str">
        <f t="shared" si="1516"/>
        <v>202406</v>
      </c>
      <c r="B2424" s="1" t="str">
        <f t="shared" si="1517"/>
        <v>150525100</v>
      </c>
      <c r="C2424" s="1" t="str">
        <f>"1040681786"</f>
        <v>1040681786</v>
      </c>
      <c r="D2424" s="1" t="str">
        <f>"152326195609250673"</f>
        <v>152326195609250673</v>
      </c>
      <c r="E2424" s="1" t="s">
        <v>2501</v>
      </c>
      <c r="F2424" s="1" t="s">
        <v>25</v>
      </c>
      <c r="G2424" s="1" t="s">
        <v>17</v>
      </c>
      <c r="H2424" s="1" t="str">
        <f>"68"</f>
        <v>68</v>
      </c>
      <c r="I2424" s="1" t="str">
        <f>"153.86"</f>
        <v>153.86</v>
      </c>
      <c r="J2424" s="1" t="str">
        <f t="shared" si="1537"/>
        <v>0</v>
      </c>
      <c r="K2424" s="1" t="str">
        <f t="shared" si="1538"/>
        <v>103</v>
      </c>
      <c r="L2424" s="1" t="str">
        <f t="shared" si="1539"/>
        <v>47</v>
      </c>
      <c r="M2424" s="1" t="str">
        <f t="shared" si="1514"/>
        <v>0</v>
      </c>
      <c r="N2424" s="1" t="str">
        <f t="shared" si="1515"/>
        <v>0</v>
      </c>
      <c r="O2424" s="1" t="str">
        <f>"3.86"</f>
        <v>3.86</v>
      </c>
    </row>
    <row r="2425" s="1" customFormat="1" spans="1:15">
      <c r="A2425" s="1" t="str">
        <f t="shared" si="1516"/>
        <v>202406</v>
      </c>
      <c r="B2425" s="1" t="str">
        <f t="shared" si="1517"/>
        <v>150525100</v>
      </c>
      <c r="C2425" s="1" t="str">
        <f>"1040681787"</f>
        <v>1040681787</v>
      </c>
      <c r="D2425" s="1" t="s">
        <v>2502</v>
      </c>
      <c r="E2425" s="1" t="s">
        <v>2503</v>
      </c>
      <c r="F2425" s="1" t="s">
        <v>16</v>
      </c>
      <c r="G2425" s="1" t="s">
        <v>17</v>
      </c>
      <c r="H2425" s="1" t="str">
        <f>"66"</f>
        <v>66</v>
      </c>
      <c r="I2425" s="1" t="str">
        <f>"156.41"</f>
        <v>156.41</v>
      </c>
      <c r="J2425" s="1" t="str">
        <f t="shared" si="1537"/>
        <v>0</v>
      </c>
      <c r="K2425" s="1" t="str">
        <f t="shared" si="1538"/>
        <v>103</v>
      </c>
      <c r="L2425" s="1" t="str">
        <f t="shared" si="1539"/>
        <v>47</v>
      </c>
      <c r="M2425" s="1" t="str">
        <f t="shared" si="1514"/>
        <v>0</v>
      </c>
      <c r="N2425" s="1" t="str">
        <f t="shared" si="1515"/>
        <v>0</v>
      </c>
      <c r="O2425" s="1" t="str">
        <f>"6.41"</f>
        <v>6.41</v>
      </c>
    </row>
    <row r="2426" s="1" customFormat="1" spans="1:15">
      <c r="A2426" s="1" t="str">
        <f t="shared" si="1516"/>
        <v>202406</v>
      </c>
      <c r="B2426" s="1" t="str">
        <f t="shared" si="1517"/>
        <v>150525100</v>
      </c>
      <c r="C2426" s="1" t="str">
        <f>"1040681824"</f>
        <v>1040681824</v>
      </c>
      <c r="D2426" s="1" t="str">
        <f>"152326195705150429"</f>
        <v>152326195705150429</v>
      </c>
      <c r="E2426" s="1" t="s">
        <v>2504</v>
      </c>
      <c r="F2426" s="1" t="s">
        <v>16</v>
      </c>
      <c r="G2426" s="1" t="s">
        <v>17</v>
      </c>
      <c r="H2426" s="1" t="str">
        <f>"67"</f>
        <v>67</v>
      </c>
      <c r="I2426" s="1" t="str">
        <f>"155.82"</f>
        <v>155.82</v>
      </c>
      <c r="J2426" s="1" t="str">
        <f t="shared" si="1537"/>
        <v>0</v>
      </c>
      <c r="K2426" s="1" t="str">
        <f t="shared" si="1538"/>
        <v>103</v>
      </c>
      <c r="L2426" s="1" t="str">
        <f t="shared" si="1539"/>
        <v>47</v>
      </c>
      <c r="M2426" s="1" t="str">
        <f t="shared" si="1514"/>
        <v>0</v>
      </c>
      <c r="N2426" s="1" t="str">
        <f t="shared" si="1515"/>
        <v>0</v>
      </c>
      <c r="O2426" s="1" t="str">
        <f>"5.82"</f>
        <v>5.82</v>
      </c>
    </row>
    <row r="2427" s="1" customFormat="1" spans="1:15">
      <c r="A2427" s="1" t="str">
        <f t="shared" si="1516"/>
        <v>202406</v>
      </c>
      <c r="B2427" s="1" t="str">
        <f t="shared" si="1517"/>
        <v>150525100</v>
      </c>
      <c r="C2427" s="1" t="str">
        <f>"1040682140"</f>
        <v>1040682140</v>
      </c>
      <c r="D2427" s="1" t="str">
        <f>"152326196308210664"</f>
        <v>152326196308210664</v>
      </c>
      <c r="E2427" s="1" t="s">
        <v>2505</v>
      </c>
      <c r="F2427" s="1" t="s">
        <v>16</v>
      </c>
      <c r="G2427" s="1" t="s">
        <v>19</v>
      </c>
      <c r="H2427" s="1" t="str">
        <f>"61"</f>
        <v>61</v>
      </c>
      <c r="I2427" s="1" t="str">
        <f>"163.73"</f>
        <v>163.73</v>
      </c>
      <c r="J2427" s="1" t="str">
        <f t="shared" si="1537"/>
        <v>0</v>
      </c>
      <c r="K2427" s="1" t="str">
        <f t="shared" si="1538"/>
        <v>103</v>
      </c>
      <c r="L2427" s="1" t="str">
        <f t="shared" si="1539"/>
        <v>47</v>
      </c>
      <c r="M2427" s="1" t="str">
        <f t="shared" si="1514"/>
        <v>0</v>
      </c>
      <c r="N2427" s="1" t="str">
        <f t="shared" si="1515"/>
        <v>0</v>
      </c>
      <c r="O2427" s="1" t="str">
        <f>"13.73"</f>
        <v>13.73</v>
      </c>
    </row>
    <row r="2428" s="1" customFormat="1" spans="1:15">
      <c r="A2428" s="1" t="str">
        <f t="shared" si="1516"/>
        <v>202406</v>
      </c>
      <c r="B2428" s="1" t="str">
        <f t="shared" si="1517"/>
        <v>150525100</v>
      </c>
      <c r="C2428" s="1" t="str">
        <f>"1040682032"</f>
        <v>1040682032</v>
      </c>
      <c r="D2428" s="1" t="str">
        <f>"152326195506243825"</f>
        <v>152326195506243825</v>
      </c>
      <c r="E2428" s="1" t="s">
        <v>2506</v>
      </c>
      <c r="F2428" s="1" t="s">
        <v>16</v>
      </c>
      <c r="G2428" s="1" t="s">
        <v>17</v>
      </c>
      <c r="H2428" s="1" t="str">
        <f>"69"</f>
        <v>69</v>
      </c>
      <c r="I2428" s="1" t="str">
        <f>"153.89"</f>
        <v>153.89</v>
      </c>
      <c r="J2428" s="1" t="str">
        <f t="shared" si="1537"/>
        <v>0</v>
      </c>
      <c r="K2428" s="1" t="str">
        <f t="shared" si="1538"/>
        <v>103</v>
      </c>
      <c r="L2428" s="1" t="str">
        <f t="shared" si="1539"/>
        <v>47</v>
      </c>
      <c r="M2428" s="1" t="str">
        <f t="shared" si="1514"/>
        <v>0</v>
      </c>
      <c r="N2428" s="1" t="str">
        <f t="shared" si="1515"/>
        <v>0</v>
      </c>
      <c r="O2428" s="1" t="str">
        <f>"3.89"</f>
        <v>3.89</v>
      </c>
    </row>
    <row r="2429" s="1" customFormat="1" spans="1:15">
      <c r="A2429" s="1" t="str">
        <f t="shared" si="1516"/>
        <v>202406</v>
      </c>
      <c r="B2429" s="1" t="str">
        <f t="shared" si="1517"/>
        <v>150525100</v>
      </c>
      <c r="C2429" s="1" t="str">
        <f>"1040681912"</f>
        <v>1040681912</v>
      </c>
      <c r="D2429" s="1" t="str">
        <f>"152326196311080661"</f>
        <v>152326196311080661</v>
      </c>
      <c r="E2429" s="1" t="s">
        <v>2507</v>
      </c>
      <c r="F2429" s="1" t="s">
        <v>16</v>
      </c>
      <c r="G2429" s="1" t="s">
        <v>17</v>
      </c>
      <c r="H2429" s="1" t="str">
        <f>"61"</f>
        <v>61</v>
      </c>
      <c r="I2429" s="1" t="str">
        <f>"163.74"</f>
        <v>163.74</v>
      </c>
      <c r="J2429" s="1" t="str">
        <f t="shared" si="1537"/>
        <v>0</v>
      </c>
      <c r="K2429" s="1" t="str">
        <f t="shared" si="1538"/>
        <v>103</v>
      </c>
      <c r="L2429" s="1" t="str">
        <f t="shared" si="1539"/>
        <v>47</v>
      </c>
      <c r="M2429" s="1" t="str">
        <f t="shared" si="1514"/>
        <v>0</v>
      </c>
      <c r="N2429" s="1" t="str">
        <f t="shared" si="1515"/>
        <v>0</v>
      </c>
      <c r="O2429" s="1" t="str">
        <f>"13.74"</f>
        <v>13.74</v>
      </c>
    </row>
    <row r="2430" s="1" customFormat="1" spans="1:15">
      <c r="A2430" s="1" t="str">
        <f t="shared" si="1516"/>
        <v>202406</v>
      </c>
      <c r="B2430" s="1" t="str">
        <f t="shared" si="1517"/>
        <v>150525100</v>
      </c>
      <c r="C2430" s="1" t="str">
        <f>"1040681958"</f>
        <v>1040681958</v>
      </c>
      <c r="D2430" s="1" t="str">
        <f>"152326195402113815"</f>
        <v>152326195402113815</v>
      </c>
      <c r="E2430" s="1" t="s">
        <v>2508</v>
      </c>
      <c r="F2430" s="1" t="s">
        <v>25</v>
      </c>
      <c r="G2430" s="1" t="s">
        <v>19</v>
      </c>
      <c r="H2430" s="1" t="str">
        <f>"70"</f>
        <v>70</v>
      </c>
      <c r="I2430" s="1" t="str">
        <f>"162.93"</f>
        <v>162.93</v>
      </c>
      <c r="J2430" s="1" t="str">
        <f t="shared" si="1537"/>
        <v>0</v>
      </c>
      <c r="K2430" s="1" t="str">
        <f t="shared" si="1538"/>
        <v>103</v>
      </c>
      <c r="L2430" s="1" t="str">
        <f t="shared" si="1539"/>
        <v>47</v>
      </c>
      <c r="M2430" s="1" t="str">
        <f t="shared" si="1514"/>
        <v>0</v>
      </c>
      <c r="N2430" s="1" t="str">
        <f t="shared" si="1515"/>
        <v>0</v>
      </c>
      <c r="O2430" s="1" t="str">
        <f>"2.93"</f>
        <v>2.93</v>
      </c>
    </row>
    <row r="2431" s="1" customFormat="1" spans="1:15">
      <c r="A2431" s="1" t="str">
        <f t="shared" si="1516"/>
        <v>202406</v>
      </c>
      <c r="B2431" s="1" t="str">
        <f t="shared" si="1517"/>
        <v>150525100</v>
      </c>
      <c r="C2431" s="1" t="str">
        <f>"1040681959"</f>
        <v>1040681959</v>
      </c>
      <c r="D2431" s="1" t="str">
        <f>"152326195812233828"</f>
        <v>152326195812233828</v>
      </c>
      <c r="E2431" s="1" t="s">
        <v>2509</v>
      </c>
      <c r="F2431" s="1" t="s">
        <v>16</v>
      </c>
      <c r="G2431" s="1" t="s">
        <v>19</v>
      </c>
      <c r="H2431" s="1" t="str">
        <f>"66"</f>
        <v>66</v>
      </c>
      <c r="I2431" s="1" t="str">
        <f>"155.91"</f>
        <v>155.91</v>
      </c>
      <c r="J2431" s="1" t="str">
        <f t="shared" si="1537"/>
        <v>0</v>
      </c>
      <c r="K2431" s="1" t="str">
        <f t="shared" si="1538"/>
        <v>103</v>
      </c>
      <c r="L2431" s="1" t="str">
        <f t="shared" si="1539"/>
        <v>47</v>
      </c>
      <c r="M2431" s="1" t="str">
        <f t="shared" si="1514"/>
        <v>0</v>
      </c>
      <c r="N2431" s="1" t="str">
        <f t="shared" si="1515"/>
        <v>0</v>
      </c>
      <c r="O2431" s="1" t="str">
        <f>"5.91"</f>
        <v>5.91</v>
      </c>
    </row>
    <row r="2432" s="1" customFormat="1" spans="1:15">
      <c r="A2432" s="1" t="str">
        <f t="shared" si="1516"/>
        <v>202406</v>
      </c>
      <c r="B2432" s="1" t="str">
        <f t="shared" si="1517"/>
        <v>150525100</v>
      </c>
      <c r="C2432" s="1" t="str">
        <f>"1040681975"</f>
        <v>1040681975</v>
      </c>
      <c r="D2432" s="1" t="str">
        <f>"152326195802143810"</f>
        <v>152326195802143810</v>
      </c>
      <c r="E2432" s="1" t="s">
        <v>2510</v>
      </c>
      <c r="F2432" s="1" t="s">
        <v>25</v>
      </c>
      <c r="G2432" s="1" t="s">
        <v>17</v>
      </c>
      <c r="H2432" s="1" t="str">
        <f>"66"</f>
        <v>66</v>
      </c>
      <c r="I2432" s="1" t="str">
        <f>"155.85"</f>
        <v>155.85</v>
      </c>
      <c r="J2432" s="1" t="str">
        <f t="shared" si="1537"/>
        <v>0</v>
      </c>
      <c r="K2432" s="1" t="str">
        <f t="shared" si="1538"/>
        <v>103</v>
      </c>
      <c r="L2432" s="1" t="str">
        <f t="shared" si="1539"/>
        <v>47</v>
      </c>
      <c r="M2432" s="1" t="str">
        <f t="shared" si="1514"/>
        <v>0</v>
      </c>
      <c r="N2432" s="1" t="str">
        <f t="shared" si="1515"/>
        <v>0</v>
      </c>
      <c r="O2432" s="1" t="str">
        <f>"5.85"</f>
        <v>5.85</v>
      </c>
    </row>
    <row r="2433" s="1" customFormat="1" spans="1:15">
      <c r="A2433" s="1" t="str">
        <f t="shared" si="1516"/>
        <v>202406</v>
      </c>
      <c r="B2433" s="1" t="str">
        <f t="shared" si="1517"/>
        <v>150525100</v>
      </c>
      <c r="C2433" s="1" t="str">
        <f>"1040682052"</f>
        <v>1040682052</v>
      </c>
      <c r="D2433" s="1" t="s">
        <v>2511</v>
      </c>
      <c r="E2433" s="1" t="s">
        <v>2512</v>
      </c>
      <c r="F2433" s="1" t="s">
        <v>16</v>
      </c>
      <c r="G2433" s="1" t="s">
        <v>19</v>
      </c>
      <c r="H2433" s="1" t="str">
        <f>"62"</f>
        <v>62</v>
      </c>
      <c r="I2433" s="1" t="str">
        <f>"161.78"</f>
        <v>161.78</v>
      </c>
      <c r="J2433" s="1" t="str">
        <f t="shared" si="1537"/>
        <v>0</v>
      </c>
      <c r="K2433" s="1" t="str">
        <f t="shared" si="1538"/>
        <v>103</v>
      </c>
      <c r="L2433" s="1" t="str">
        <f t="shared" si="1539"/>
        <v>47</v>
      </c>
      <c r="M2433" s="1" t="str">
        <f t="shared" ref="M2433:M2496" si="1543">"0"</f>
        <v>0</v>
      </c>
      <c r="N2433" s="1" t="str">
        <f t="shared" ref="N2433:N2496" si="1544">"0"</f>
        <v>0</v>
      </c>
      <c r="O2433" s="1" t="str">
        <f>"11.78"</f>
        <v>11.78</v>
      </c>
    </row>
    <row r="2434" s="1" customFormat="1" spans="1:15">
      <c r="A2434" s="1" t="str">
        <f t="shared" ref="A2434:A2497" si="1545">"202406"</f>
        <v>202406</v>
      </c>
      <c r="B2434" s="1" t="str">
        <f t="shared" ref="B2434:B2497" si="1546">"150525100"</f>
        <v>150525100</v>
      </c>
      <c r="C2434" s="1" t="str">
        <f>"1040682058"</f>
        <v>1040682058</v>
      </c>
      <c r="D2434" s="1" t="s">
        <v>2513</v>
      </c>
      <c r="E2434" s="1" t="s">
        <v>2514</v>
      </c>
      <c r="F2434" s="1" t="s">
        <v>25</v>
      </c>
      <c r="G2434" s="1" t="s">
        <v>19</v>
      </c>
      <c r="H2434" s="1" t="str">
        <f>"61"</f>
        <v>61</v>
      </c>
      <c r="I2434" s="1" t="str">
        <f>"163.76"</f>
        <v>163.76</v>
      </c>
      <c r="J2434" s="1" t="str">
        <f t="shared" si="1537"/>
        <v>0</v>
      </c>
      <c r="K2434" s="1" t="str">
        <f t="shared" si="1538"/>
        <v>103</v>
      </c>
      <c r="L2434" s="1" t="str">
        <f t="shared" si="1539"/>
        <v>47</v>
      </c>
      <c r="M2434" s="1" t="str">
        <f t="shared" si="1543"/>
        <v>0</v>
      </c>
      <c r="N2434" s="1" t="str">
        <f t="shared" si="1544"/>
        <v>0</v>
      </c>
      <c r="O2434" s="1" t="str">
        <f>"13.76"</f>
        <v>13.76</v>
      </c>
    </row>
    <row r="2435" s="1" customFormat="1" spans="1:15">
      <c r="A2435" s="1" t="str">
        <f t="shared" si="1545"/>
        <v>202406</v>
      </c>
      <c r="B2435" s="1" t="str">
        <f t="shared" si="1546"/>
        <v>150525100</v>
      </c>
      <c r="C2435" s="1" t="str">
        <f>"1040682076"</f>
        <v>1040682076</v>
      </c>
      <c r="D2435" s="1" t="str">
        <f>"152326195511110912"</f>
        <v>152326195511110912</v>
      </c>
      <c r="E2435" s="1" t="s">
        <v>2515</v>
      </c>
      <c r="F2435" s="1" t="s">
        <v>25</v>
      </c>
      <c r="G2435" s="1" t="s">
        <v>19</v>
      </c>
      <c r="H2435" s="1" t="str">
        <f>"69"</f>
        <v>69</v>
      </c>
      <c r="I2435" s="1" t="str">
        <f>"153.89"</f>
        <v>153.89</v>
      </c>
      <c r="J2435" s="1" t="str">
        <f t="shared" si="1537"/>
        <v>0</v>
      </c>
      <c r="K2435" s="1" t="str">
        <f t="shared" si="1538"/>
        <v>103</v>
      </c>
      <c r="L2435" s="1" t="str">
        <f t="shared" si="1539"/>
        <v>47</v>
      </c>
      <c r="M2435" s="1" t="str">
        <f t="shared" si="1543"/>
        <v>0</v>
      </c>
      <c r="N2435" s="1" t="str">
        <f t="shared" si="1544"/>
        <v>0</v>
      </c>
      <c r="O2435" s="1" t="str">
        <f>"3.89"</f>
        <v>3.89</v>
      </c>
    </row>
    <row r="2436" s="1" customFormat="1" spans="1:15">
      <c r="A2436" s="1" t="str">
        <f t="shared" si="1545"/>
        <v>202406</v>
      </c>
      <c r="B2436" s="1" t="str">
        <f t="shared" si="1546"/>
        <v>150525100</v>
      </c>
      <c r="C2436" s="1" t="str">
        <f>"1040682079"</f>
        <v>1040682079</v>
      </c>
      <c r="D2436" s="1" t="str">
        <f>"152326196010110927"</f>
        <v>152326196010110927</v>
      </c>
      <c r="E2436" s="1" t="s">
        <v>2516</v>
      </c>
      <c r="F2436" s="1" t="s">
        <v>16</v>
      </c>
      <c r="G2436" s="1" t="s">
        <v>19</v>
      </c>
      <c r="H2436" s="1" t="str">
        <f>"64"</f>
        <v>64</v>
      </c>
      <c r="I2436" s="1" t="str">
        <f>"158"</f>
        <v>158</v>
      </c>
      <c r="J2436" s="1" t="str">
        <f t="shared" si="1537"/>
        <v>0</v>
      </c>
      <c r="K2436" s="1" t="str">
        <f t="shared" si="1538"/>
        <v>103</v>
      </c>
      <c r="L2436" s="1" t="str">
        <f t="shared" si="1539"/>
        <v>47</v>
      </c>
      <c r="M2436" s="1" t="str">
        <f t="shared" si="1543"/>
        <v>0</v>
      </c>
      <c r="N2436" s="1" t="str">
        <f t="shared" si="1544"/>
        <v>0</v>
      </c>
      <c r="O2436" s="1" t="str">
        <f>"8"</f>
        <v>8</v>
      </c>
    </row>
    <row r="2437" s="1" customFormat="1" spans="1:15">
      <c r="A2437" s="1" t="str">
        <f t="shared" si="1545"/>
        <v>202406</v>
      </c>
      <c r="B2437" s="1" t="str">
        <f t="shared" si="1546"/>
        <v>150525100</v>
      </c>
      <c r="C2437" s="1" t="str">
        <f>"1040682251"</f>
        <v>1040682251</v>
      </c>
      <c r="D2437" s="1" t="str">
        <f>"152326195611030426"</f>
        <v>152326195611030426</v>
      </c>
      <c r="E2437" s="1" t="s">
        <v>2517</v>
      </c>
      <c r="F2437" s="1" t="s">
        <v>16</v>
      </c>
      <c r="G2437" s="1" t="s">
        <v>17</v>
      </c>
      <c r="H2437" s="1" t="str">
        <f>"68"</f>
        <v>68</v>
      </c>
      <c r="I2437" s="1" t="str">
        <f>"154.85"</f>
        <v>154.85</v>
      </c>
      <c r="J2437" s="1" t="str">
        <f t="shared" si="1537"/>
        <v>0</v>
      </c>
      <c r="K2437" s="1" t="str">
        <f t="shared" si="1538"/>
        <v>103</v>
      </c>
      <c r="L2437" s="1" t="str">
        <f t="shared" si="1539"/>
        <v>47</v>
      </c>
      <c r="M2437" s="1" t="str">
        <f t="shared" si="1543"/>
        <v>0</v>
      </c>
      <c r="N2437" s="1" t="str">
        <f t="shared" si="1544"/>
        <v>0</v>
      </c>
      <c r="O2437" s="1" t="str">
        <f>"4.85"</f>
        <v>4.85</v>
      </c>
    </row>
    <row r="2438" s="1" customFormat="1" spans="1:15">
      <c r="A2438" s="1" t="str">
        <f t="shared" si="1545"/>
        <v>202406</v>
      </c>
      <c r="B2438" s="1" t="str">
        <f t="shared" si="1546"/>
        <v>150525100</v>
      </c>
      <c r="C2438" s="1" t="str">
        <f>"1040682306"</f>
        <v>1040682306</v>
      </c>
      <c r="D2438" s="1" t="str">
        <f>"152326196001150660"</f>
        <v>152326196001150660</v>
      </c>
      <c r="E2438" s="1" t="s">
        <v>2518</v>
      </c>
      <c r="F2438" s="1" t="s">
        <v>16</v>
      </c>
      <c r="G2438" s="1" t="s">
        <v>17</v>
      </c>
      <c r="H2438" s="1" t="str">
        <f>"64"</f>
        <v>64</v>
      </c>
      <c r="I2438" s="1" t="str">
        <f>"164.94"</f>
        <v>164.94</v>
      </c>
      <c r="J2438" s="1" t="str">
        <f t="shared" si="1537"/>
        <v>0</v>
      </c>
      <c r="K2438" s="1" t="str">
        <f t="shared" si="1538"/>
        <v>103</v>
      </c>
      <c r="L2438" s="1" t="str">
        <f t="shared" si="1539"/>
        <v>47</v>
      </c>
      <c r="M2438" s="1" t="str">
        <f t="shared" si="1543"/>
        <v>0</v>
      </c>
      <c r="N2438" s="1" t="str">
        <f t="shared" si="1544"/>
        <v>0</v>
      </c>
      <c r="O2438" s="1" t="str">
        <f>"14.94"</f>
        <v>14.94</v>
      </c>
    </row>
    <row r="2439" s="1" customFormat="1" spans="1:15">
      <c r="A2439" s="1" t="str">
        <f t="shared" si="1545"/>
        <v>202406</v>
      </c>
      <c r="B2439" s="1" t="str">
        <f t="shared" si="1546"/>
        <v>150525100</v>
      </c>
      <c r="C2439" s="1" t="str">
        <f>"1040682316"</f>
        <v>1040682316</v>
      </c>
      <c r="D2439" s="1" t="str">
        <f>"152326195701130412"</f>
        <v>152326195701130412</v>
      </c>
      <c r="E2439" s="1" t="s">
        <v>2519</v>
      </c>
      <c r="F2439" s="1" t="s">
        <v>25</v>
      </c>
      <c r="G2439" s="1" t="s">
        <v>17</v>
      </c>
      <c r="H2439" s="1" t="str">
        <f>"67"</f>
        <v>67</v>
      </c>
      <c r="I2439" s="1" t="str">
        <f>"155.77"</f>
        <v>155.77</v>
      </c>
      <c r="J2439" s="1" t="str">
        <f t="shared" si="1537"/>
        <v>0</v>
      </c>
      <c r="K2439" s="1" t="str">
        <f t="shared" si="1538"/>
        <v>103</v>
      </c>
      <c r="L2439" s="1" t="str">
        <f t="shared" si="1539"/>
        <v>47</v>
      </c>
      <c r="M2439" s="1" t="str">
        <f t="shared" si="1543"/>
        <v>0</v>
      </c>
      <c r="N2439" s="1" t="str">
        <f t="shared" si="1544"/>
        <v>0</v>
      </c>
      <c r="O2439" s="1" t="str">
        <f>"5.77"</f>
        <v>5.77</v>
      </c>
    </row>
    <row r="2440" s="1" customFormat="1" spans="1:15">
      <c r="A2440" s="1" t="str">
        <f t="shared" si="1545"/>
        <v>202406</v>
      </c>
      <c r="B2440" s="1" t="str">
        <f t="shared" si="1546"/>
        <v>150525100</v>
      </c>
      <c r="C2440" s="1" t="str">
        <f>"1040682320"</f>
        <v>1040682320</v>
      </c>
      <c r="D2440" s="1" t="str">
        <f>"152326195703026440"</f>
        <v>152326195703026440</v>
      </c>
      <c r="E2440" s="1" t="s">
        <v>2520</v>
      </c>
      <c r="F2440" s="1" t="s">
        <v>16</v>
      </c>
      <c r="G2440" s="1" t="s">
        <v>19</v>
      </c>
      <c r="H2440" s="1" t="str">
        <f>"67"</f>
        <v>67</v>
      </c>
      <c r="I2440" s="1" t="str">
        <f>"154.83"</f>
        <v>154.83</v>
      </c>
      <c r="J2440" s="1" t="str">
        <f t="shared" si="1537"/>
        <v>0</v>
      </c>
      <c r="K2440" s="1" t="str">
        <f t="shared" si="1538"/>
        <v>103</v>
      </c>
      <c r="L2440" s="1" t="str">
        <f t="shared" si="1539"/>
        <v>47</v>
      </c>
      <c r="M2440" s="1" t="str">
        <f t="shared" si="1543"/>
        <v>0</v>
      </c>
      <c r="N2440" s="1" t="str">
        <f t="shared" si="1544"/>
        <v>0</v>
      </c>
      <c r="O2440" s="1" t="str">
        <f>"4.83"</f>
        <v>4.83</v>
      </c>
    </row>
    <row r="2441" s="1" customFormat="1" spans="1:15">
      <c r="A2441" s="1" t="str">
        <f t="shared" si="1545"/>
        <v>202406</v>
      </c>
      <c r="B2441" s="1" t="str">
        <f t="shared" si="1546"/>
        <v>150525100</v>
      </c>
      <c r="C2441" s="1" t="str">
        <f>"1040682236"</f>
        <v>1040682236</v>
      </c>
      <c r="D2441" s="1" t="str">
        <f>"152326196208260429"</f>
        <v>152326196208260429</v>
      </c>
      <c r="E2441" s="1" t="s">
        <v>2521</v>
      </c>
      <c r="F2441" s="1" t="s">
        <v>16</v>
      </c>
      <c r="G2441" s="1" t="s">
        <v>17</v>
      </c>
      <c r="H2441" s="1" t="str">
        <f>"62"</f>
        <v>62</v>
      </c>
      <c r="I2441" s="1" t="str">
        <f>"161.82"</f>
        <v>161.82</v>
      </c>
      <c r="J2441" s="1" t="str">
        <f t="shared" si="1537"/>
        <v>0</v>
      </c>
      <c r="K2441" s="1" t="str">
        <f t="shared" si="1538"/>
        <v>103</v>
      </c>
      <c r="L2441" s="1" t="str">
        <f t="shared" si="1539"/>
        <v>47</v>
      </c>
      <c r="M2441" s="1" t="str">
        <f t="shared" si="1543"/>
        <v>0</v>
      </c>
      <c r="N2441" s="1" t="str">
        <f t="shared" si="1544"/>
        <v>0</v>
      </c>
      <c r="O2441" s="1" t="str">
        <f>"11.82"</f>
        <v>11.82</v>
      </c>
    </row>
    <row r="2442" s="1" customFormat="1" spans="1:15">
      <c r="A2442" s="1" t="str">
        <f t="shared" si="1545"/>
        <v>202406</v>
      </c>
      <c r="B2442" s="1" t="str">
        <f t="shared" si="1546"/>
        <v>150525100</v>
      </c>
      <c r="C2442" s="1" t="str">
        <f>"1040682287"</f>
        <v>1040682287</v>
      </c>
      <c r="D2442" s="1" t="str">
        <f>"152326195607070695"</f>
        <v>152326195607070695</v>
      </c>
      <c r="E2442" s="1" t="s">
        <v>2522</v>
      </c>
      <c r="F2442" s="1" t="s">
        <v>25</v>
      </c>
      <c r="G2442" s="1" t="s">
        <v>19</v>
      </c>
      <c r="H2442" s="1" t="str">
        <f>"68"</f>
        <v>68</v>
      </c>
      <c r="I2442" s="1" t="str">
        <f>"154.84"</f>
        <v>154.84</v>
      </c>
      <c r="J2442" s="1" t="str">
        <f t="shared" si="1537"/>
        <v>0</v>
      </c>
      <c r="K2442" s="1" t="str">
        <f t="shared" si="1538"/>
        <v>103</v>
      </c>
      <c r="L2442" s="1" t="str">
        <f t="shared" si="1539"/>
        <v>47</v>
      </c>
      <c r="M2442" s="1" t="str">
        <f t="shared" si="1543"/>
        <v>0</v>
      </c>
      <c r="N2442" s="1" t="str">
        <f t="shared" si="1544"/>
        <v>0</v>
      </c>
      <c r="O2442" s="1" t="str">
        <f>"4.84"</f>
        <v>4.84</v>
      </c>
    </row>
    <row r="2443" s="1" customFormat="1" spans="1:15">
      <c r="A2443" s="1" t="str">
        <f t="shared" si="1545"/>
        <v>202406</v>
      </c>
      <c r="B2443" s="1" t="str">
        <f t="shared" si="1546"/>
        <v>150525100</v>
      </c>
      <c r="C2443" s="1" t="str">
        <f>"1040682300"</f>
        <v>1040682300</v>
      </c>
      <c r="D2443" s="1" t="str">
        <f>"152326196301080668"</f>
        <v>152326196301080668</v>
      </c>
      <c r="E2443" s="1" t="s">
        <v>2523</v>
      </c>
      <c r="F2443" s="1" t="s">
        <v>16</v>
      </c>
      <c r="G2443" s="1" t="s">
        <v>17</v>
      </c>
      <c r="H2443" s="1" t="str">
        <f>"61"</f>
        <v>61</v>
      </c>
      <c r="I2443" s="1" t="str">
        <f>"163.62"</f>
        <v>163.62</v>
      </c>
      <c r="J2443" s="1" t="str">
        <f t="shared" si="1537"/>
        <v>0</v>
      </c>
      <c r="K2443" s="1" t="str">
        <f t="shared" si="1538"/>
        <v>103</v>
      </c>
      <c r="L2443" s="1" t="str">
        <f t="shared" si="1539"/>
        <v>47</v>
      </c>
      <c r="M2443" s="1" t="str">
        <f t="shared" si="1543"/>
        <v>0</v>
      </c>
      <c r="N2443" s="1" t="str">
        <f t="shared" si="1544"/>
        <v>0</v>
      </c>
      <c r="O2443" s="1" t="str">
        <f>"13.62"</f>
        <v>13.62</v>
      </c>
    </row>
    <row r="2444" s="1" customFormat="1" spans="1:15">
      <c r="A2444" s="1" t="str">
        <f t="shared" si="1545"/>
        <v>202406</v>
      </c>
      <c r="B2444" s="1" t="str">
        <f t="shared" si="1546"/>
        <v>150525100</v>
      </c>
      <c r="C2444" s="1" t="str">
        <f>"1040682351"</f>
        <v>1040682351</v>
      </c>
      <c r="D2444" s="1" t="str">
        <f>"152326196001026379"</f>
        <v>152326196001026379</v>
      </c>
      <c r="E2444" s="1" t="s">
        <v>2524</v>
      </c>
      <c r="F2444" s="1" t="s">
        <v>25</v>
      </c>
      <c r="G2444" s="1" t="s">
        <v>17</v>
      </c>
      <c r="H2444" s="1" t="str">
        <f t="shared" ref="H2444:H2448" si="1547">"65"</f>
        <v>65</v>
      </c>
      <c r="I2444" s="1" t="str">
        <f>"157.9"</f>
        <v>157.9</v>
      </c>
      <c r="J2444" s="1" t="str">
        <f t="shared" si="1537"/>
        <v>0</v>
      </c>
      <c r="K2444" s="1" t="str">
        <f t="shared" si="1538"/>
        <v>103</v>
      </c>
      <c r="L2444" s="1" t="str">
        <f t="shared" si="1539"/>
        <v>47</v>
      </c>
      <c r="M2444" s="1" t="str">
        <f t="shared" si="1543"/>
        <v>0</v>
      </c>
      <c r="N2444" s="1" t="str">
        <f t="shared" si="1544"/>
        <v>0</v>
      </c>
      <c r="O2444" s="1" t="str">
        <f>"7.9"</f>
        <v>7.9</v>
      </c>
    </row>
    <row r="2445" s="1" customFormat="1" spans="1:15">
      <c r="A2445" s="1" t="str">
        <f t="shared" si="1545"/>
        <v>202406</v>
      </c>
      <c r="B2445" s="1" t="str">
        <f t="shared" si="1546"/>
        <v>150525100</v>
      </c>
      <c r="C2445" s="1" t="str">
        <f>"1040682352"</f>
        <v>1040682352</v>
      </c>
      <c r="D2445" s="1" t="str">
        <f>"152326195901296388"</f>
        <v>152326195901296388</v>
      </c>
      <c r="E2445" s="1" t="s">
        <v>374</v>
      </c>
      <c r="F2445" s="1" t="s">
        <v>16</v>
      </c>
      <c r="G2445" s="1" t="s">
        <v>17</v>
      </c>
      <c r="H2445" s="1" t="str">
        <f t="shared" si="1547"/>
        <v>65</v>
      </c>
      <c r="I2445" s="1" t="str">
        <f>"156.85"</f>
        <v>156.85</v>
      </c>
      <c r="J2445" s="1" t="str">
        <f t="shared" si="1537"/>
        <v>0</v>
      </c>
      <c r="K2445" s="1" t="str">
        <f t="shared" si="1538"/>
        <v>103</v>
      </c>
      <c r="L2445" s="1" t="str">
        <f t="shared" si="1539"/>
        <v>47</v>
      </c>
      <c r="M2445" s="1" t="str">
        <f t="shared" si="1543"/>
        <v>0</v>
      </c>
      <c r="N2445" s="1" t="str">
        <f t="shared" si="1544"/>
        <v>0</v>
      </c>
      <c r="O2445" s="1" t="str">
        <f>"6.85"</f>
        <v>6.85</v>
      </c>
    </row>
    <row r="2446" s="1" customFormat="1" spans="1:15">
      <c r="A2446" s="1" t="str">
        <f t="shared" si="1545"/>
        <v>202406</v>
      </c>
      <c r="B2446" s="1" t="str">
        <f t="shared" si="1546"/>
        <v>150525100</v>
      </c>
      <c r="C2446" s="1" t="str">
        <f>"1040682372"</f>
        <v>1040682372</v>
      </c>
      <c r="D2446" s="1" t="str">
        <f>"152326195608200674"</f>
        <v>152326195608200674</v>
      </c>
      <c r="E2446" s="1" t="s">
        <v>2525</v>
      </c>
      <c r="F2446" s="1" t="s">
        <v>25</v>
      </c>
      <c r="G2446" s="1" t="s">
        <v>17</v>
      </c>
      <c r="H2446" s="1" t="str">
        <f>"68"</f>
        <v>68</v>
      </c>
      <c r="I2446" s="1" t="str">
        <f>"154.81"</f>
        <v>154.81</v>
      </c>
      <c r="J2446" s="1" t="str">
        <f t="shared" si="1537"/>
        <v>0</v>
      </c>
      <c r="K2446" s="1" t="str">
        <f t="shared" si="1538"/>
        <v>103</v>
      </c>
      <c r="L2446" s="1" t="str">
        <f t="shared" si="1539"/>
        <v>47</v>
      </c>
      <c r="M2446" s="1" t="str">
        <f t="shared" si="1543"/>
        <v>0</v>
      </c>
      <c r="N2446" s="1" t="str">
        <f t="shared" si="1544"/>
        <v>0</v>
      </c>
      <c r="O2446" s="1" t="str">
        <f>"4.81"</f>
        <v>4.81</v>
      </c>
    </row>
    <row r="2447" s="1" customFormat="1" spans="1:15">
      <c r="A2447" s="1" t="str">
        <f t="shared" si="1545"/>
        <v>202406</v>
      </c>
      <c r="B2447" s="1" t="str">
        <f t="shared" si="1546"/>
        <v>150525100</v>
      </c>
      <c r="C2447" s="1" t="str">
        <f>"1040682395"</f>
        <v>1040682395</v>
      </c>
      <c r="D2447" s="1" t="str">
        <f>"152326195706250421"</f>
        <v>152326195706250421</v>
      </c>
      <c r="E2447" s="1" t="s">
        <v>2526</v>
      </c>
      <c r="F2447" s="1" t="s">
        <v>16</v>
      </c>
      <c r="G2447" s="1" t="s">
        <v>17</v>
      </c>
      <c r="H2447" s="1" t="str">
        <f>"67"</f>
        <v>67</v>
      </c>
      <c r="I2447" s="1" t="str">
        <f>"155.8"</f>
        <v>155.8</v>
      </c>
      <c r="J2447" s="1" t="str">
        <f t="shared" si="1537"/>
        <v>0</v>
      </c>
      <c r="K2447" s="1" t="str">
        <f t="shared" si="1538"/>
        <v>103</v>
      </c>
      <c r="L2447" s="1" t="str">
        <f t="shared" si="1539"/>
        <v>47</v>
      </c>
      <c r="M2447" s="1" t="str">
        <f t="shared" si="1543"/>
        <v>0</v>
      </c>
      <c r="N2447" s="1" t="str">
        <f t="shared" si="1544"/>
        <v>0</v>
      </c>
      <c r="O2447" s="1" t="str">
        <f>"5.8"</f>
        <v>5.8</v>
      </c>
    </row>
    <row r="2448" s="1" customFormat="1" spans="1:15">
      <c r="A2448" s="1" t="str">
        <f t="shared" si="1545"/>
        <v>202406</v>
      </c>
      <c r="B2448" s="1" t="str">
        <f t="shared" si="1546"/>
        <v>150525100</v>
      </c>
      <c r="C2448" s="1" t="str">
        <f>"1040682398"</f>
        <v>1040682398</v>
      </c>
      <c r="D2448" s="1" t="str">
        <f>"152326195909120432"</f>
        <v>152326195909120432</v>
      </c>
      <c r="E2448" s="1" t="s">
        <v>2527</v>
      </c>
      <c r="F2448" s="1" t="s">
        <v>25</v>
      </c>
      <c r="G2448" s="1" t="s">
        <v>17</v>
      </c>
      <c r="H2448" s="1" t="str">
        <f t="shared" si="1547"/>
        <v>65</v>
      </c>
      <c r="I2448" s="1" t="str">
        <f>"156.94"</f>
        <v>156.94</v>
      </c>
      <c r="J2448" s="1" t="str">
        <f t="shared" si="1537"/>
        <v>0</v>
      </c>
      <c r="K2448" s="1" t="str">
        <f t="shared" si="1538"/>
        <v>103</v>
      </c>
      <c r="L2448" s="1" t="str">
        <f t="shared" si="1539"/>
        <v>47</v>
      </c>
      <c r="M2448" s="1" t="str">
        <f t="shared" si="1543"/>
        <v>0</v>
      </c>
      <c r="N2448" s="1" t="str">
        <f t="shared" si="1544"/>
        <v>0</v>
      </c>
      <c r="O2448" s="1" t="str">
        <f>"6.94"</f>
        <v>6.94</v>
      </c>
    </row>
    <row r="2449" s="1" customFormat="1" spans="1:15">
      <c r="A2449" s="1" t="str">
        <f t="shared" si="1545"/>
        <v>202406</v>
      </c>
      <c r="B2449" s="1" t="str">
        <f t="shared" si="1546"/>
        <v>150525100</v>
      </c>
      <c r="C2449" s="1" t="str">
        <f>"1040689359"</f>
        <v>1040689359</v>
      </c>
      <c r="D2449" s="1" t="s">
        <v>2528</v>
      </c>
      <c r="E2449" s="1" t="s">
        <v>2464</v>
      </c>
      <c r="F2449" s="1" t="s">
        <v>16</v>
      </c>
      <c r="G2449" s="1" t="s">
        <v>17</v>
      </c>
      <c r="H2449" s="1" t="str">
        <f>"68"</f>
        <v>68</v>
      </c>
      <c r="I2449" s="1" t="str">
        <f>"153.97"</f>
        <v>153.97</v>
      </c>
      <c r="J2449" s="1" t="str">
        <f t="shared" si="1537"/>
        <v>0</v>
      </c>
      <c r="K2449" s="1" t="str">
        <f t="shared" si="1538"/>
        <v>103</v>
      </c>
      <c r="L2449" s="1" t="str">
        <f t="shared" si="1539"/>
        <v>47</v>
      </c>
      <c r="M2449" s="1" t="str">
        <f t="shared" si="1543"/>
        <v>0</v>
      </c>
      <c r="N2449" s="1" t="str">
        <f t="shared" si="1544"/>
        <v>0</v>
      </c>
      <c r="O2449" s="1" t="str">
        <f>"3.97"</f>
        <v>3.97</v>
      </c>
    </row>
    <row r="2450" s="1" customFormat="1" spans="1:15">
      <c r="A2450" s="1" t="str">
        <f t="shared" si="1545"/>
        <v>202406</v>
      </c>
      <c r="B2450" s="1" t="str">
        <f t="shared" si="1546"/>
        <v>150525100</v>
      </c>
      <c r="C2450" s="1" t="str">
        <f>"1040689477"</f>
        <v>1040689477</v>
      </c>
      <c r="D2450" s="1" t="str">
        <f>"152326195311163315"</f>
        <v>152326195311163315</v>
      </c>
      <c r="E2450" s="1" t="s">
        <v>2529</v>
      </c>
      <c r="F2450" s="1" t="s">
        <v>25</v>
      </c>
      <c r="G2450" s="1" t="s">
        <v>17</v>
      </c>
      <c r="H2450" s="1" t="str">
        <f>"71"</f>
        <v>71</v>
      </c>
      <c r="I2450" s="1" t="str">
        <f>"162.27"</f>
        <v>162.27</v>
      </c>
      <c r="J2450" s="1" t="str">
        <f t="shared" si="1537"/>
        <v>0</v>
      </c>
      <c r="K2450" s="1" t="str">
        <f t="shared" si="1538"/>
        <v>103</v>
      </c>
      <c r="L2450" s="1" t="str">
        <f t="shared" si="1539"/>
        <v>47</v>
      </c>
      <c r="M2450" s="1" t="str">
        <f t="shared" si="1543"/>
        <v>0</v>
      </c>
      <c r="N2450" s="1" t="str">
        <f t="shared" si="1544"/>
        <v>0</v>
      </c>
      <c r="O2450" s="1" t="str">
        <f>"2.27"</f>
        <v>2.27</v>
      </c>
    </row>
    <row r="2451" s="1" customFormat="1" spans="1:15">
      <c r="A2451" s="1" t="str">
        <f t="shared" si="1545"/>
        <v>202406</v>
      </c>
      <c r="B2451" s="1" t="str">
        <f t="shared" si="1546"/>
        <v>150525100</v>
      </c>
      <c r="C2451" s="1" t="str">
        <f>"1040689348"</f>
        <v>1040689348</v>
      </c>
      <c r="D2451" s="1" t="str">
        <f>"152326195807093816"</f>
        <v>152326195807093816</v>
      </c>
      <c r="E2451" s="1" t="s">
        <v>2530</v>
      </c>
      <c r="F2451" s="1" t="s">
        <v>25</v>
      </c>
      <c r="G2451" s="1" t="s">
        <v>17</v>
      </c>
      <c r="H2451" s="1" t="str">
        <f>"66"</f>
        <v>66</v>
      </c>
      <c r="I2451" s="1" t="str">
        <f>"156.25"</f>
        <v>156.25</v>
      </c>
      <c r="J2451" s="1" t="str">
        <f t="shared" si="1537"/>
        <v>0</v>
      </c>
      <c r="K2451" s="1" t="str">
        <f t="shared" si="1538"/>
        <v>103</v>
      </c>
      <c r="L2451" s="1" t="str">
        <f t="shared" si="1539"/>
        <v>47</v>
      </c>
      <c r="M2451" s="1" t="str">
        <f t="shared" si="1543"/>
        <v>0</v>
      </c>
      <c r="N2451" s="1" t="str">
        <f t="shared" si="1544"/>
        <v>0</v>
      </c>
      <c r="O2451" s="1" t="str">
        <f>"6.25"</f>
        <v>6.25</v>
      </c>
    </row>
    <row r="2452" s="1" customFormat="1" spans="1:15">
      <c r="A2452" s="1" t="str">
        <f t="shared" si="1545"/>
        <v>202406</v>
      </c>
      <c r="B2452" s="1" t="str">
        <f t="shared" si="1546"/>
        <v>150525100</v>
      </c>
      <c r="C2452" s="1" t="str">
        <f>"1040682675"</f>
        <v>1040682675</v>
      </c>
      <c r="D2452" s="1" t="str">
        <f>"152326194304060022"</f>
        <v>152326194304060022</v>
      </c>
      <c r="E2452" s="1" t="s">
        <v>2531</v>
      </c>
      <c r="F2452" s="1" t="s">
        <v>16</v>
      </c>
      <c r="G2452" s="1" t="s">
        <v>19</v>
      </c>
      <c r="H2452" s="1" t="str">
        <f>"81"</f>
        <v>81</v>
      </c>
      <c r="I2452" s="1" t="str">
        <f>"170"</f>
        <v>170</v>
      </c>
      <c r="J2452" s="1" t="str">
        <f t="shared" si="1537"/>
        <v>0</v>
      </c>
      <c r="K2452" s="1" t="str">
        <f t="shared" si="1538"/>
        <v>103</v>
      </c>
      <c r="L2452" s="1" t="str">
        <f t="shared" si="1539"/>
        <v>47</v>
      </c>
      <c r="M2452" s="1" t="str">
        <f t="shared" si="1543"/>
        <v>0</v>
      </c>
      <c r="N2452" s="1" t="str">
        <f t="shared" si="1544"/>
        <v>0</v>
      </c>
      <c r="O2452" s="1" t="str">
        <f>"0"</f>
        <v>0</v>
      </c>
    </row>
    <row r="2453" s="1" customFormat="1" spans="1:15">
      <c r="A2453" s="1" t="str">
        <f t="shared" si="1545"/>
        <v>202406</v>
      </c>
      <c r="B2453" s="1" t="str">
        <f t="shared" si="1546"/>
        <v>150525100</v>
      </c>
      <c r="C2453" s="1" t="str">
        <f>"1040681251"</f>
        <v>1040681251</v>
      </c>
      <c r="D2453" s="1" t="str">
        <f>"152326195604100924"</f>
        <v>152326195604100924</v>
      </c>
      <c r="E2453" s="1" t="s">
        <v>2532</v>
      </c>
      <c r="F2453" s="1" t="s">
        <v>16</v>
      </c>
      <c r="G2453" s="1" t="s">
        <v>19</v>
      </c>
      <c r="H2453" s="1" t="str">
        <f>"68"</f>
        <v>68</v>
      </c>
      <c r="I2453" s="1" t="str">
        <f>"154.8"</f>
        <v>154.8</v>
      </c>
      <c r="J2453" s="1" t="str">
        <f t="shared" si="1537"/>
        <v>0</v>
      </c>
      <c r="K2453" s="1" t="str">
        <f t="shared" si="1538"/>
        <v>103</v>
      </c>
      <c r="L2453" s="1" t="str">
        <f t="shared" si="1539"/>
        <v>47</v>
      </c>
      <c r="M2453" s="1" t="str">
        <f t="shared" si="1543"/>
        <v>0</v>
      </c>
      <c r="N2453" s="1" t="str">
        <f t="shared" si="1544"/>
        <v>0</v>
      </c>
      <c r="O2453" s="1" t="str">
        <f>"4.8"</f>
        <v>4.8</v>
      </c>
    </row>
    <row r="2454" s="1" customFormat="1" spans="1:15">
      <c r="A2454" s="1" t="str">
        <f t="shared" si="1545"/>
        <v>202406</v>
      </c>
      <c r="B2454" s="1" t="str">
        <f t="shared" si="1546"/>
        <v>150525100</v>
      </c>
      <c r="C2454" s="1" t="str">
        <f>"1040681309"</f>
        <v>1040681309</v>
      </c>
      <c r="D2454" s="1" t="str">
        <f>"152326195502120676"</f>
        <v>152326195502120676</v>
      </c>
      <c r="E2454" s="1" t="s">
        <v>2533</v>
      </c>
      <c r="F2454" s="1" t="s">
        <v>25</v>
      </c>
      <c r="G2454" s="1" t="s">
        <v>17</v>
      </c>
      <c r="H2454" s="1" t="str">
        <f>"69"</f>
        <v>69</v>
      </c>
      <c r="I2454" s="1" t="str">
        <f>"153.89"</f>
        <v>153.89</v>
      </c>
      <c r="J2454" s="1" t="str">
        <f t="shared" si="1537"/>
        <v>0</v>
      </c>
      <c r="K2454" s="1" t="str">
        <f t="shared" si="1538"/>
        <v>103</v>
      </c>
      <c r="L2454" s="1" t="str">
        <f t="shared" si="1539"/>
        <v>47</v>
      </c>
      <c r="M2454" s="1" t="str">
        <f t="shared" si="1543"/>
        <v>0</v>
      </c>
      <c r="N2454" s="1" t="str">
        <f t="shared" si="1544"/>
        <v>0</v>
      </c>
      <c r="O2454" s="1" t="str">
        <f>"3.89"</f>
        <v>3.89</v>
      </c>
    </row>
    <row r="2455" s="1" customFormat="1" spans="1:15">
      <c r="A2455" s="1" t="str">
        <f t="shared" si="1545"/>
        <v>202406</v>
      </c>
      <c r="B2455" s="1" t="str">
        <f t="shared" si="1546"/>
        <v>150525100</v>
      </c>
      <c r="C2455" s="1" t="str">
        <f>"1040681314"</f>
        <v>1040681314</v>
      </c>
      <c r="D2455" s="1" t="str">
        <f>"152326195507140676"</f>
        <v>152326195507140676</v>
      </c>
      <c r="E2455" s="1" t="s">
        <v>2534</v>
      </c>
      <c r="F2455" s="1" t="s">
        <v>25</v>
      </c>
      <c r="G2455" s="1" t="s">
        <v>17</v>
      </c>
      <c r="H2455" s="1" t="str">
        <f>"69"</f>
        <v>69</v>
      </c>
      <c r="I2455" s="1" t="str">
        <f>"153.89"</f>
        <v>153.89</v>
      </c>
      <c r="J2455" s="1" t="str">
        <f t="shared" si="1537"/>
        <v>0</v>
      </c>
      <c r="K2455" s="1" t="str">
        <f t="shared" si="1538"/>
        <v>103</v>
      </c>
      <c r="L2455" s="1" t="str">
        <f t="shared" si="1539"/>
        <v>47</v>
      </c>
      <c r="M2455" s="1" t="str">
        <f t="shared" si="1543"/>
        <v>0</v>
      </c>
      <c r="N2455" s="1" t="str">
        <f t="shared" si="1544"/>
        <v>0</v>
      </c>
      <c r="O2455" s="1" t="str">
        <f>"3.89"</f>
        <v>3.89</v>
      </c>
    </row>
    <row r="2456" s="1" customFormat="1" spans="1:15">
      <c r="A2456" s="1" t="str">
        <f t="shared" si="1545"/>
        <v>202406</v>
      </c>
      <c r="B2456" s="1" t="str">
        <f t="shared" si="1546"/>
        <v>150525100</v>
      </c>
      <c r="C2456" s="1" t="str">
        <f>"1040681320"</f>
        <v>1040681320</v>
      </c>
      <c r="D2456" s="1" t="str">
        <f>"152326195603040667"</f>
        <v>152326195603040667</v>
      </c>
      <c r="E2456" s="1" t="s">
        <v>2535</v>
      </c>
      <c r="F2456" s="1" t="s">
        <v>16</v>
      </c>
      <c r="G2456" s="1" t="s">
        <v>19</v>
      </c>
      <c r="H2456" s="1" t="str">
        <f>"68"</f>
        <v>68</v>
      </c>
      <c r="I2456" s="1" t="str">
        <f>"154.81"</f>
        <v>154.81</v>
      </c>
      <c r="J2456" s="1" t="str">
        <f t="shared" si="1537"/>
        <v>0</v>
      </c>
      <c r="K2456" s="1" t="str">
        <f t="shared" si="1538"/>
        <v>103</v>
      </c>
      <c r="L2456" s="1" t="str">
        <f t="shared" si="1539"/>
        <v>47</v>
      </c>
      <c r="M2456" s="1" t="str">
        <f t="shared" si="1543"/>
        <v>0</v>
      </c>
      <c r="N2456" s="1" t="str">
        <f t="shared" si="1544"/>
        <v>0</v>
      </c>
      <c r="O2456" s="1" t="str">
        <f>"4.81"</f>
        <v>4.81</v>
      </c>
    </row>
    <row r="2457" s="1" customFormat="1" spans="1:15">
      <c r="A2457" s="1" t="str">
        <f t="shared" si="1545"/>
        <v>202406</v>
      </c>
      <c r="B2457" s="1" t="str">
        <f t="shared" si="1546"/>
        <v>150525100</v>
      </c>
      <c r="C2457" s="1" t="str">
        <f>"1040681340"</f>
        <v>1040681340</v>
      </c>
      <c r="D2457" s="1" t="s">
        <v>2536</v>
      </c>
      <c r="E2457" s="1" t="s">
        <v>2537</v>
      </c>
      <c r="F2457" s="1" t="s">
        <v>16</v>
      </c>
      <c r="G2457" s="1" t="s">
        <v>17</v>
      </c>
      <c r="H2457" s="1" t="str">
        <f t="shared" ref="H2457:H2462" si="1548">"61"</f>
        <v>61</v>
      </c>
      <c r="I2457" s="1" t="str">
        <f>"163.7"</f>
        <v>163.7</v>
      </c>
      <c r="J2457" s="1" t="str">
        <f t="shared" si="1537"/>
        <v>0</v>
      </c>
      <c r="K2457" s="1" t="str">
        <f t="shared" si="1538"/>
        <v>103</v>
      </c>
      <c r="L2457" s="1" t="str">
        <f t="shared" si="1539"/>
        <v>47</v>
      </c>
      <c r="M2457" s="1" t="str">
        <f t="shared" si="1543"/>
        <v>0</v>
      </c>
      <c r="N2457" s="1" t="str">
        <f t="shared" si="1544"/>
        <v>0</v>
      </c>
      <c r="O2457" s="1" t="str">
        <f>"13.7"</f>
        <v>13.7</v>
      </c>
    </row>
    <row r="2458" s="1" customFormat="1" spans="1:15">
      <c r="A2458" s="1" t="str">
        <f t="shared" si="1545"/>
        <v>202406</v>
      </c>
      <c r="B2458" s="1" t="str">
        <f t="shared" si="1546"/>
        <v>150525100</v>
      </c>
      <c r="C2458" s="1" t="str">
        <f>"1040681368"</f>
        <v>1040681368</v>
      </c>
      <c r="D2458" s="1" t="str">
        <f>"152326196211050668"</f>
        <v>152326196211050668</v>
      </c>
      <c r="E2458" s="1" t="s">
        <v>2538</v>
      </c>
      <c r="F2458" s="1" t="s">
        <v>16</v>
      </c>
      <c r="G2458" s="1" t="s">
        <v>17</v>
      </c>
      <c r="H2458" s="1" t="str">
        <f>"62"</f>
        <v>62</v>
      </c>
      <c r="I2458" s="1" t="str">
        <f>"161.84"</f>
        <v>161.84</v>
      </c>
      <c r="J2458" s="1" t="str">
        <f t="shared" si="1537"/>
        <v>0</v>
      </c>
      <c r="K2458" s="1" t="str">
        <f t="shared" si="1538"/>
        <v>103</v>
      </c>
      <c r="L2458" s="1" t="str">
        <f t="shared" si="1539"/>
        <v>47</v>
      </c>
      <c r="M2458" s="1" t="str">
        <f t="shared" si="1543"/>
        <v>0</v>
      </c>
      <c r="N2458" s="1" t="str">
        <f t="shared" si="1544"/>
        <v>0</v>
      </c>
      <c r="O2458" s="1" t="str">
        <f>"11.84"</f>
        <v>11.84</v>
      </c>
    </row>
    <row r="2459" s="1" customFormat="1" spans="1:15">
      <c r="A2459" s="1" t="str">
        <f t="shared" si="1545"/>
        <v>202406</v>
      </c>
      <c r="B2459" s="1" t="str">
        <f t="shared" si="1546"/>
        <v>150525100</v>
      </c>
      <c r="C2459" s="1" t="str">
        <f>"1040682470"</f>
        <v>1040682470</v>
      </c>
      <c r="D2459" s="1" t="str">
        <f>"152326195802220425"</f>
        <v>152326195802220425</v>
      </c>
      <c r="E2459" s="1" t="s">
        <v>2539</v>
      </c>
      <c r="F2459" s="1" t="s">
        <v>16</v>
      </c>
      <c r="G2459" s="1" t="s">
        <v>17</v>
      </c>
      <c r="H2459" s="1" t="str">
        <f>"66"</f>
        <v>66</v>
      </c>
      <c r="I2459" s="1" t="str">
        <f>"155.84"</f>
        <v>155.84</v>
      </c>
      <c r="J2459" s="1" t="str">
        <f t="shared" si="1537"/>
        <v>0</v>
      </c>
      <c r="K2459" s="1" t="str">
        <f t="shared" si="1538"/>
        <v>103</v>
      </c>
      <c r="L2459" s="1" t="str">
        <f t="shared" si="1539"/>
        <v>47</v>
      </c>
      <c r="M2459" s="1" t="str">
        <f t="shared" si="1543"/>
        <v>0</v>
      </c>
      <c r="N2459" s="1" t="str">
        <f t="shared" si="1544"/>
        <v>0</v>
      </c>
      <c r="O2459" s="1" t="str">
        <f>"5.84"</f>
        <v>5.84</v>
      </c>
    </row>
    <row r="2460" s="1" customFormat="1" spans="1:15">
      <c r="A2460" s="1" t="str">
        <f t="shared" si="1545"/>
        <v>202406</v>
      </c>
      <c r="B2460" s="1" t="str">
        <f t="shared" si="1546"/>
        <v>150525100</v>
      </c>
      <c r="C2460" s="1" t="str">
        <f>"1040682505"</f>
        <v>1040682505</v>
      </c>
      <c r="D2460" s="1" t="str">
        <f>"152326196301193822"</f>
        <v>152326196301193822</v>
      </c>
      <c r="E2460" s="1" t="s">
        <v>1417</v>
      </c>
      <c r="F2460" s="1" t="s">
        <v>16</v>
      </c>
      <c r="G2460" s="1" t="s">
        <v>19</v>
      </c>
      <c r="H2460" s="1" t="str">
        <f t="shared" si="1548"/>
        <v>61</v>
      </c>
      <c r="I2460" s="1" t="str">
        <f>"163.57"</f>
        <v>163.57</v>
      </c>
      <c r="J2460" s="1" t="str">
        <f t="shared" si="1537"/>
        <v>0</v>
      </c>
      <c r="K2460" s="1" t="str">
        <f t="shared" si="1538"/>
        <v>103</v>
      </c>
      <c r="L2460" s="1" t="str">
        <f t="shared" si="1539"/>
        <v>47</v>
      </c>
      <c r="M2460" s="1" t="str">
        <f t="shared" si="1543"/>
        <v>0</v>
      </c>
      <c r="N2460" s="1" t="str">
        <f t="shared" si="1544"/>
        <v>0</v>
      </c>
      <c r="O2460" s="1" t="str">
        <f>"13.57"</f>
        <v>13.57</v>
      </c>
    </row>
    <row r="2461" s="1" customFormat="1" spans="1:15">
      <c r="A2461" s="1" t="str">
        <f t="shared" si="1545"/>
        <v>202406</v>
      </c>
      <c r="B2461" s="1" t="str">
        <f t="shared" si="1546"/>
        <v>150525100</v>
      </c>
      <c r="C2461" s="1" t="str">
        <f>"1040682574"</f>
        <v>1040682574</v>
      </c>
      <c r="D2461" s="1" t="s">
        <v>2540</v>
      </c>
      <c r="E2461" s="1" t="s">
        <v>2541</v>
      </c>
      <c r="F2461" s="1" t="s">
        <v>25</v>
      </c>
      <c r="G2461" s="1" t="s">
        <v>17</v>
      </c>
      <c r="H2461" s="1" t="str">
        <f t="shared" si="1548"/>
        <v>61</v>
      </c>
      <c r="I2461" s="1" t="str">
        <f>"166.98"</f>
        <v>166.98</v>
      </c>
      <c r="J2461" s="1" t="str">
        <f t="shared" si="1537"/>
        <v>0</v>
      </c>
      <c r="K2461" s="1" t="str">
        <f t="shared" si="1538"/>
        <v>103</v>
      </c>
      <c r="L2461" s="1" t="str">
        <f t="shared" si="1539"/>
        <v>47</v>
      </c>
      <c r="M2461" s="1" t="str">
        <f t="shared" si="1543"/>
        <v>0</v>
      </c>
      <c r="N2461" s="1" t="str">
        <f t="shared" si="1544"/>
        <v>0</v>
      </c>
      <c r="O2461" s="1" t="str">
        <f>"16.98"</f>
        <v>16.98</v>
      </c>
    </row>
    <row r="2462" s="1" customFormat="1" spans="1:15">
      <c r="A2462" s="1" t="str">
        <f t="shared" si="1545"/>
        <v>202406</v>
      </c>
      <c r="B2462" s="1" t="str">
        <f t="shared" si="1546"/>
        <v>150525100</v>
      </c>
      <c r="C2462" s="1" t="str">
        <f>"1040682575"</f>
        <v>1040682575</v>
      </c>
      <c r="D2462" s="1" t="s">
        <v>2542</v>
      </c>
      <c r="E2462" s="1" t="s">
        <v>2543</v>
      </c>
      <c r="F2462" s="1" t="s">
        <v>16</v>
      </c>
      <c r="G2462" s="1" t="s">
        <v>19</v>
      </c>
      <c r="H2462" s="1" t="str">
        <f t="shared" si="1548"/>
        <v>61</v>
      </c>
      <c r="I2462" s="1" t="str">
        <f>"167.06"</f>
        <v>167.06</v>
      </c>
      <c r="J2462" s="1" t="str">
        <f t="shared" si="1537"/>
        <v>0</v>
      </c>
      <c r="K2462" s="1" t="str">
        <f t="shared" si="1538"/>
        <v>103</v>
      </c>
      <c r="L2462" s="1" t="str">
        <f t="shared" si="1539"/>
        <v>47</v>
      </c>
      <c r="M2462" s="1" t="str">
        <f t="shared" si="1543"/>
        <v>0</v>
      </c>
      <c r="N2462" s="1" t="str">
        <f t="shared" si="1544"/>
        <v>0</v>
      </c>
      <c r="O2462" s="1" t="str">
        <f>"17.06"</f>
        <v>17.06</v>
      </c>
    </row>
    <row r="2463" s="1" customFormat="1" spans="1:15">
      <c r="A2463" s="1" t="str">
        <f t="shared" si="1545"/>
        <v>202406</v>
      </c>
      <c r="B2463" s="1" t="str">
        <f t="shared" si="1546"/>
        <v>150525100</v>
      </c>
      <c r="C2463" s="1" t="str">
        <f>"1040682580"</f>
        <v>1040682580</v>
      </c>
      <c r="D2463" s="1" t="str">
        <f>"152326195907290446"</f>
        <v>152326195907290446</v>
      </c>
      <c r="E2463" s="1" t="s">
        <v>29</v>
      </c>
      <c r="F2463" s="1" t="s">
        <v>16</v>
      </c>
      <c r="G2463" s="1" t="s">
        <v>17</v>
      </c>
      <c r="H2463" s="1" t="str">
        <f>"65"</f>
        <v>65</v>
      </c>
      <c r="I2463" s="1" t="str">
        <f>"156.91"</f>
        <v>156.91</v>
      </c>
      <c r="J2463" s="1" t="str">
        <f t="shared" si="1537"/>
        <v>0</v>
      </c>
      <c r="K2463" s="1" t="str">
        <f t="shared" si="1538"/>
        <v>103</v>
      </c>
      <c r="L2463" s="1" t="str">
        <f t="shared" si="1539"/>
        <v>47</v>
      </c>
      <c r="M2463" s="1" t="str">
        <f t="shared" si="1543"/>
        <v>0</v>
      </c>
      <c r="N2463" s="1" t="str">
        <f t="shared" si="1544"/>
        <v>0</v>
      </c>
      <c r="O2463" s="1" t="str">
        <f>"6.91"</f>
        <v>6.91</v>
      </c>
    </row>
    <row r="2464" s="1" customFormat="1" spans="1:15">
      <c r="A2464" s="1" t="str">
        <f t="shared" si="1545"/>
        <v>202406</v>
      </c>
      <c r="B2464" s="1" t="str">
        <f t="shared" si="1546"/>
        <v>150525100</v>
      </c>
      <c r="C2464" s="1" t="str">
        <f>"1040682527"</f>
        <v>1040682527</v>
      </c>
      <c r="D2464" s="1" t="str">
        <f>"152326196311103317"</f>
        <v>152326196311103317</v>
      </c>
      <c r="E2464" s="1" t="s">
        <v>2544</v>
      </c>
      <c r="F2464" s="1" t="s">
        <v>25</v>
      </c>
      <c r="G2464" s="1" t="s">
        <v>17</v>
      </c>
      <c r="H2464" s="1" t="str">
        <f>"61"</f>
        <v>61</v>
      </c>
      <c r="I2464" s="1" t="str">
        <f>"163.16"</f>
        <v>163.16</v>
      </c>
      <c r="J2464" s="1" t="str">
        <f t="shared" si="1537"/>
        <v>0</v>
      </c>
      <c r="K2464" s="1" t="str">
        <f t="shared" si="1538"/>
        <v>103</v>
      </c>
      <c r="L2464" s="1" t="str">
        <f t="shared" si="1539"/>
        <v>47</v>
      </c>
      <c r="M2464" s="1" t="str">
        <f t="shared" si="1543"/>
        <v>0</v>
      </c>
      <c r="N2464" s="1" t="str">
        <f t="shared" si="1544"/>
        <v>0</v>
      </c>
      <c r="O2464" s="1" t="str">
        <f>"13.16"</f>
        <v>13.16</v>
      </c>
    </row>
    <row r="2465" s="1" customFormat="1" spans="1:15">
      <c r="A2465" s="1" t="str">
        <f t="shared" si="1545"/>
        <v>202406</v>
      </c>
      <c r="B2465" s="1" t="str">
        <f t="shared" si="1546"/>
        <v>150525100</v>
      </c>
      <c r="C2465" s="1" t="str">
        <f>"1040682540"</f>
        <v>1040682540</v>
      </c>
      <c r="D2465" s="1" t="str">
        <f>"152326196211143311"</f>
        <v>152326196211143311</v>
      </c>
      <c r="E2465" s="1" t="s">
        <v>2545</v>
      </c>
      <c r="F2465" s="1" t="s">
        <v>25</v>
      </c>
      <c r="G2465" s="1" t="s">
        <v>17</v>
      </c>
      <c r="H2465" s="1" t="str">
        <f>"62"</f>
        <v>62</v>
      </c>
      <c r="I2465" s="1" t="str">
        <f>"161.86"</f>
        <v>161.86</v>
      </c>
      <c r="J2465" s="1" t="str">
        <f t="shared" si="1537"/>
        <v>0</v>
      </c>
      <c r="K2465" s="1" t="str">
        <f t="shared" si="1538"/>
        <v>103</v>
      </c>
      <c r="L2465" s="1" t="str">
        <f t="shared" si="1539"/>
        <v>47</v>
      </c>
      <c r="M2465" s="1" t="str">
        <f t="shared" si="1543"/>
        <v>0</v>
      </c>
      <c r="N2465" s="1" t="str">
        <f t="shared" si="1544"/>
        <v>0</v>
      </c>
      <c r="O2465" s="1" t="str">
        <f>"11.86"</f>
        <v>11.86</v>
      </c>
    </row>
    <row r="2466" s="1" customFormat="1" spans="1:15">
      <c r="A2466" s="1" t="str">
        <f t="shared" si="1545"/>
        <v>202406</v>
      </c>
      <c r="B2466" s="1" t="str">
        <f t="shared" si="1546"/>
        <v>150525100</v>
      </c>
      <c r="C2466" s="1" t="str">
        <f>"1040682553"</f>
        <v>1040682553</v>
      </c>
      <c r="D2466" s="1" t="str">
        <f>"152326196209233326"</f>
        <v>152326196209233326</v>
      </c>
      <c r="E2466" s="1" t="s">
        <v>2546</v>
      </c>
      <c r="F2466" s="1" t="s">
        <v>16</v>
      </c>
      <c r="G2466" s="1" t="s">
        <v>17</v>
      </c>
      <c r="H2466" s="1" t="str">
        <f>"62"</f>
        <v>62</v>
      </c>
      <c r="I2466" s="1" t="str">
        <f>"161.8"</f>
        <v>161.8</v>
      </c>
      <c r="J2466" s="1" t="str">
        <f t="shared" si="1537"/>
        <v>0</v>
      </c>
      <c r="K2466" s="1" t="str">
        <f t="shared" si="1538"/>
        <v>103</v>
      </c>
      <c r="L2466" s="1" t="str">
        <f t="shared" si="1539"/>
        <v>47</v>
      </c>
      <c r="M2466" s="1" t="str">
        <f t="shared" si="1543"/>
        <v>0</v>
      </c>
      <c r="N2466" s="1" t="str">
        <f t="shared" si="1544"/>
        <v>0</v>
      </c>
      <c r="O2466" s="1" t="str">
        <f>"11.8"</f>
        <v>11.8</v>
      </c>
    </row>
    <row r="2467" s="1" customFormat="1" spans="1:15">
      <c r="A2467" s="1" t="str">
        <f t="shared" si="1545"/>
        <v>202406</v>
      </c>
      <c r="B2467" s="1" t="str">
        <f t="shared" si="1546"/>
        <v>150525100</v>
      </c>
      <c r="C2467" s="1" t="str">
        <f>"1040682557"</f>
        <v>1040682557</v>
      </c>
      <c r="D2467" s="1" t="str">
        <f>"152326195510173348"</f>
        <v>152326195510173348</v>
      </c>
      <c r="E2467" s="1" t="s">
        <v>2547</v>
      </c>
      <c r="F2467" s="1" t="s">
        <v>16</v>
      </c>
      <c r="G2467" s="1" t="s">
        <v>19</v>
      </c>
      <c r="H2467" s="1" t="str">
        <f>"69"</f>
        <v>69</v>
      </c>
      <c r="I2467" s="1" t="str">
        <f>"153.89"</f>
        <v>153.89</v>
      </c>
      <c r="J2467" s="1" t="str">
        <f t="shared" si="1537"/>
        <v>0</v>
      </c>
      <c r="K2467" s="1" t="str">
        <f t="shared" si="1538"/>
        <v>103</v>
      </c>
      <c r="L2467" s="1" t="str">
        <f t="shared" si="1539"/>
        <v>47</v>
      </c>
      <c r="M2467" s="1" t="str">
        <f t="shared" si="1543"/>
        <v>0</v>
      </c>
      <c r="N2467" s="1" t="str">
        <f t="shared" si="1544"/>
        <v>0</v>
      </c>
      <c r="O2467" s="1" t="str">
        <f>"3.89"</f>
        <v>3.89</v>
      </c>
    </row>
    <row r="2468" s="1" customFormat="1" spans="1:15">
      <c r="A2468" s="1" t="str">
        <f t="shared" si="1545"/>
        <v>202406</v>
      </c>
      <c r="B2468" s="1" t="str">
        <f t="shared" si="1546"/>
        <v>150525100</v>
      </c>
      <c r="C2468" s="1" t="str">
        <f>"1040690068"</f>
        <v>1040690068</v>
      </c>
      <c r="D2468" s="1" t="str">
        <f>"152326196304216372"</f>
        <v>152326196304216372</v>
      </c>
      <c r="E2468" s="1" t="s">
        <v>2548</v>
      </c>
      <c r="F2468" s="1" t="s">
        <v>25</v>
      </c>
      <c r="G2468" s="1" t="s">
        <v>17</v>
      </c>
      <c r="H2468" s="1" t="str">
        <f t="shared" ref="H2468:H2473" si="1549">"61"</f>
        <v>61</v>
      </c>
      <c r="I2468" s="1" t="str">
        <f>"163.97"</f>
        <v>163.97</v>
      </c>
      <c r="J2468" s="1" t="str">
        <f t="shared" si="1537"/>
        <v>0</v>
      </c>
      <c r="K2468" s="1" t="str">
        <f t="shared" si="1538"/>
        <v>103</v>
      </c>
      <c r="L2468" s="1" t="str">
        <f t="shared" si="1539"/>
        <v>47</v>
      </c>
      <c r="M2468" s="1" t="str">
        <f t="shared" si="1543"/>
        <v>0</v>
      </c>
      <c r="N2468" s="1" t="str">
        <f t="shared" si="1544"/>
        <v>0</v>
      </c>
      <c r="O2468" s="1" t="str">
        <f>"13.97"</f>
        <v>13.97</v>
      </c>
    </row>
    <row r="2469" s="1" customFormat="1" spans="1:15">
      <c r="A2469" s="1" t="str">
        <f t="shared" si="1545"/>
        <v>202406</v>
      </c>
      <c r="B2469" s="1" t="str">
        <f t="shared" si="1546"/>
        <v>150525100</v>
      </c>
      <c r="C2469" s="1" t="str">
        <f>"1040690070"</f>
        <v>1040690070</v>
      </c>
      <c r="D2469" s="1" t="str">
        <f>"152326195703186372"</f>
        <v>152326195703186372</v>
      </c>
      <c r="E2469" s="1" t="s">
        <v>2549</v>
      </c>
      <c r="F2469" s="1" t="s">
        <v>25</v>
      </c>
      <c r="G2469" s="1" t="s">
        <v>17</v>
      </c>
      <c r="H2469" s="1" t="str">
        <f>"67"</f>
        <v>67</v>
      </c>
      <c r="I2469" s="1" t="str">
        <f>"155.14"</f>
        <v>155.14</v>
      </c>
      <c r="J2469" s="1" t="str">
        <f t="shared" ref="J2469:J2483" si="1550">"0"</f>
        <v>0</v>
      </c>
      <c r="K2469" s="1" t="str">
        <f t="shared" ref="K2469:K2483" si="1551">"103"</f>
        <v>103</v>
      </c>
      <c r="L2469" s="1" t="str">
        <f t="shared" ref="L2469:L2483" si="1552">"47"</f>
        <v>47</v>
      </c>
      <c r="M2469" s="1" t="str">
        <f t="shared" si="1543"/>
        <v>0</v>
      </c>
      <c r="N2469" s="1" t="str">
        <f t="shared" si="1544"/>
        <v>0</v>
      </c>
      <c r="O2469" s="1" t="str">
        <f>"5.14"</f>
        <v>5.14</v>
      </c>
    </row>
    <row r="2470" s="1" customFormat="1" spans="1:15">
      <c r="A2470" s="1" t="str">
        <f t="shared" si="1545"/>
        <v>202406</v>
      </c>
      <c r="B2470" s="1" t="str">
        <f t="shared" si="1546"/>
        <v>150525100</v>
      </c>
      <c r="C2470" s="1" t="str">
        <f>"1040690049"</f>
        <v>1040690049</v>
      </c>
      <c r="D2470" s="1" t="str">
        <f>"152326196310120465"</f>
        <v>152326196310120465</v>
      </c>
      <c r="E2470" s="1" t="s">
        <v>2550</v>
      </c>
      <c r="F2470" s="1" t="s">
        <v>16</v>
      </c>
      <c r="G2470" s="1" t="s">
        <v>17</v>
      </c>
      <c r="H2470" s="1" t="str">
        <f t="shared" si="1549"/>
        <v>61</v>
      </c>
      <c r="I2470" s="1" t="str">
        <f>"164.1"</f>
        <v>164.1</v>
      </c>
      <c r="J2470" s="1" t="str">
        <f t="shared" si="1550"/>
        <v>0</v>
      </c>
      <c r="K2470" s="1" t="str">
        <f t="shared" si="1551"/>
        <v>103</v>
      </c>
      <c r="L2470" s="1" t="str">
        <f t="shared" si="1552"/>
        <v>47</v>
      </c>
      <c r="M2470" s="1" t="str">
        <f t="shared" si="1543"/>
        <v>0</v>
      </c>
      <c r="N2470" s="1" t="str">
        <f t="shared" si="1544"/>
        <v>0</v>
      </c>
      <c r="O2470" s="1" t="str">
        <f>"14.1"</f>
        <v>14.1</v>
      </c>
    </row>
    <row r="2471" s="1" customFormat="1" spans="1:15">
      <c r="A2471" s="1" t="str">
        <f t="shared" si="1545"/>
        <v>202406</v>
      </c>
      <c r="B2471" s="1" t="str">
        <f t="shared" si="1546"/>
        <v>150525100</v>
      </c>
      <c r="C2471" s="1" t="str">
        <f>"1040690072"</f>
        <v>1040690072</v>
      </c>
      <c r="D2471" s="1" t="str">
        <f>"152326196007020672"</f>
        <v>152326196007020672</v>
      </c>
      <c r="E2471" s="1" t="s">
        <v>2551</v>
      </c>
      <c r="F2471" s="1" t="s">
        <v>25</v>
      </c>
      <c r="G2471" s="1" t="s">
        <v>17</v>
      </c>
      <c r="H2471" s="1" t="str">
        <f>"64"</f>
        <v>64</v>
      </c>
      <c r="I2471" s="1" t="str">
        <f>"158.28"</f>
        <v>158.28</v>
      </c>
      <c r="J2471" s="1" t="str">
        <f t="shared" si="1550"/>
        <v>0</v>
      </c>
      <c r="K2471" s="1" t="str">
        <f t="shared" si="1551"/>
        <v>103</v>
      </c>
      <c r="L2471" s="1" t="str">
        <f t="shared" si="1552"/>
        <v>47</v>
      </c>
      <c r="M2471" s="1" t="str">
        <f t="shared" si="1543"/>
        <v>0</v>
      </c>
      <c r="N2471" s="1" t="str">
        <f t="shared" si="1544"/>
        <v>0</v>
      </c>
      <c r="O2471" s="1" t="str">
        <f>"8.28"</f>
        <v>8.28</v>
      </c>
    </row>
    <row r="2472" s="1" customFormat="1" spans="1:15">
      <c r="A2472" s="1" t="str">
        <f t="shared" si="1545"/>
        <v>202406</v>
      </c>
      <c r="B2472" s="1" t="str">
        <f t="shared" si="1546"/>
        <v>150525100</v>
      </c>
      <c r="C2472" s="1" t="str">
        <f>"1040690435"</f>
        <v>1040690435</v>
      </c>
      <c r="D2472" s="1" t="str">
        <f>"152326196202140426"</f>
        <v>152326196202140426</v>
      </c>
      <c r="E2472" s="1" t="s">
        <v>2552</v>
      </c>
      <c r="F2472" s="1" t="s">
        <v>16</v>
      </c>
      <c r="G2472" s="1" t="s">
        <v>17</v>
      </c>
      <c r="H2472" s="1" t="str">
        <f>"62"</f>
        <v>62</v>
      </c>
      <c r="I2472" s="1" t="str">
        <f>"161.69"</f>
        <v>161.69</v>
      </c>
      <c r="J2472" s="1" t="str">
        <f t="shared" si="1550"/>
        <v>0</v>
      </c>
      <c r="K2472" s="1" t="str">
        <f t="shared" si="1551"/>
        <v>103</v>
      </c>
      <c r="L2472" s="1" t="str">
        <f t="shared" si="1552"/>
        <v>47</v>
      </c>
      <c r="M2472" s="1" t="str">
        <f t="shared" si="1543"/>
        <v>0</v>
      </c>
      <c r="N2472" s="1" t="str">
        <f t="shared" si="1544"/>
        <v>0</v>
      </c>
      <c r="O2472" s="1" t="str">
        <f>"11.69"</f>
        <v>11.69</v>
      </c>
    </row>
    <row r="2473" s="1" customFormat="1" spans="1:15">
      <c r="A2473" s="1" t="str">
        <f t="shared" si="1545"/>
        <v>202406</v>
      </c>
      <c r="B2473" s="1" t="str">
        <f t="shared" si="1546"/>
        <v>150525100</v>
      </c>
      <c r="C2473" s="1" t="str">
        <f>"1040690449"</f>
        <v>1040690449</v>
      </c>
      <c r="D2473" s="1" t="str">
        <f>"152326196312140419"</f>
        <v>152326196312140419</v>
      </c>
      <c r="E2473" s="1" t="s">
        <v>2553</v>
      </c>
      <c r="F2473" s="1" t="s">
        <v>25</v>
      </c>
      <c r="G2473" s="1" t="s">
        <v>17</v>
      </c>
      <c r="H2473" s="1" t="str">
        <f t="shared" si="1549"/>
        <v>61</v>
      </c>
      <c r="I2473" s="1" t="str">
        <f>"163.03"</f>
        <v>163.03</v>
      </c>
      <c r="J2473" s="1" t="str">
        <f t="shared" si="1550"/>
        <v>0</v>
      </c>
      <c r="K2473" s="1" t="str">
        <f t="shared" si="1551"/>
        <v>103</v>
      </c>
      <c r="L2473" s="1" t="str">
        <f t="shared" si="1552"/>
        <v>47</v>
      </c>
      <c r="M2473" s="1" t="str">
        <f t="shared" si="1543"/>
        <v>0</v>
      </c>
      <c r="N2473" s="1" t="str">
        <f t="shared" si="1544"/>
        <v>0</v>
      </c>
      <c r="O2473" s="1" t="str">
        <f>"13.03"</f>
        <v>13.03</v>
      </c>
    </row>
    <row r="2474" s="1" customFormat="1" spans="1:15">
      <c r="A2474" s="1" t="str">
        <f t="shared" si="1545"/>
        <v>202406</v>
      </c>
      <c r="B2474" s="1" t="str">
        <f t="shared" si="1546"/>
        <v>150525100</v>
      </c>
      <c r="C2474" s="1" t="str">
        <f>"1040690450"</f>
        <v>1040690450</v>
      </c>
      <c r="D2474" s="1" t="str">
        <f>"152326196008060414"</f>
        <v>152326196008060414</v>
      </c>
      <c r="E2474" s="1" t="s">
        <v>2554</v>
      </c>
      <c r="F2474" s="1" t="s">
        <v>25</v>
      </c>
      <c r="G2474" s="1" t="s">
        <v>17</v>
      </c>
      <c r="H2474" s="1" t="str">
        <f>"64"</f>
        <v>64</v>
      </c>
      <c r="I2474" s="1" t="str">
        <f>"158.04"</f>
        <v>158.04</v>
      </c>
      <c r="J2474" s="1" t="str">
        <f t="shared" si="1550"/>
        <v>0</v>
      </c>
      <c r="K2474" s="1" t="str">
        <f t="shared" si="1551"/>
        <v>103</v>
      </c>
      <c r="L2474" s="1" t="str">
        <f t="shared" si="1552"/>
        <v>47</v>
      </c>
      <c r="M2474" s="1" t="str">
        <f t="shared" si="1543"/>
        <v>0</v>
      </c>
      <c r="N2474" s="1" t="str">
        <f t="shared" si="1544"/>
        <v>0</v>
      </c>
      <c r="O2474" s="1" t="str">
        <f>"8.04"</f>
        <v>8.04</v>
      </c>
    </row>
    <row r="2475" s="1" customFormat="1" spans="1:15">
      <c r="A2475" s="1" t="str">
        <f t="shared" si="1545"/>
        <v>202406</v>
      </c>
      <c r="B2475" s="1" t="str">
        <f t="shared" si="1546"/>
        <v>150525100</v>
      </c>
      <c r="C2475" s="1" t="str">
        <f>"1040690504"</f>
        <v>1040690504</v>
      </c>
      <c r="D2475" s="1" t="str">
        <f>"152326196312203088"</f>
        <v>152326196312203088</v>
      </c>
      <c r="E2475" s="1" t="s">
        <v>2555</v>
      </c>
      <c r="F2475" s="1" t="s">
        <v>16</v>
      </c>
      <c r="G2475" s="1" t="s">
        <v>19</v>
      </c>
      <c r="H2475" s="1" t="str">
        <f>"61"</f>
        <v>61</v>
      </c>
      <c r="I2475" s="1" t="str">
        <f>"163.83"</f>
        <v>163.83</v>
      </c>
      <c r="J2475" s="1" t="str">
        <f t="shared" si="1550"/>
        <v>0</v>
      </c>
      <c r="K2475" s="1" t="str">
        <f t="shared" si="1551"/>
        <v>103</v>
      </c>
      <c r="L2475" s="1" t="str">
        <f t="shared" si="1552"/>
        <v>47</v>
      </c>
      <c r="M2475" s="1" t="str">
        <f t="shared" si="1543"/>
        <v>0</v>
      </c>
      <c r="N2475" s="1" t="str">
        <f t="shared" si="1544"/>
        <v>0</v>
      </c>
      <c r="O2475" s="1" t="str">
        <f>"13.83"</f>
        <v>13.83</v>
      </c>
    </row>
    <row r="2476" s="1" customFormat="1" spans="1:15">
      <c r="A2476" s="1" t="str">
        <f t="shared" si="1545"/>
        <v>202406</v>
      </c>
      <c r="B2476" s="1" t="str">
        <f t="shared" si="1546"/>
        <v>150525100</v>
      </c>
      <c r="C2476" s="1" t="str">
        <f>"1040690416"</f>
        <v>1040690416</v>
      </c>
      <c r="D2476" s="1" t="str">
        <f>"152326195912060434"</f>
        <v>152326195912060434</v>
      </c>
      <c r="E2476" s="1" t="s">
        <v>2556</v>
      </c>
      <c r="F2476" s="1" t="s">
        <v>25</v>
      </c>
      <c r="G2476" s="1" t="s">
        <v>17</v>
      </c>
      <c r="H2476" s="1" t="str">
        <f>"65"</f>
        <v>65</v>
      </c>
      <c r="I2476" s="1" t="str">
        <f>"157.02"</f>
        <v>157.02</v>
      </c>
      <c r="J2476" s="1" t="str">
        <f t="shared" si="1550"/>
        <v>0</v>
      </c>
      <c r="K2476" s="1" t="str">
        <f t="shared" si="1551"/>
        <v>103</v>
      </c>
      <c r="L2476" s="1" t="str">
        <f t="shared" si="1552"/>
        <v>47</v>
      </c>
      <c r="M2476" s="1" t="str">
        <f t="shared" si="1543"/>
        <v>0</v>
      </c>
      <c r="N2476" s="1" t="str">
        <f t="shared" si="1544"/>
        <v>0</v>
      </c>
      <c r="O2476" s="1" t="str">
        <f>"7.02"</f>
        <v>7.02</v>
      </c>
    </row>
    <row r="2477" s="1" customFormat="1" spans="1:15">
      <c r="A2477" s="1" t="str">
        <f t="shared" si="1545"/>
        <v>202406</v>
      </c>
      <c r="B2477" s="1" t="str">
        <f t="shared" si="1546"/>
        <v>150525100</v>
      </c>
      <c r="C2477" s="1" t="str">
        <f>"1014572716"</f>
        <v>1014572716</v>
      </c>
      <c r="D2477" s="1" t="str">
        <f>"152326195907060923"</f>
        <v>152326195907060923</v>
      </c>
      <c r="E2477" s="1" t="s">
        <v>2557</v>
      </c>
      <c r="F2477" s="1" t="s">
        <v>16</v>
      </c>
      <c r="G2477" s="1" t="s">
        <v>19</v>
      </c>
      <c r="H2477" s="1" t="str">
        <f>"65"</f>
        <v>65</v>
      </c>
      <c r="I2477" s="1" t="str">
        <f>"157.43"</f>
        <v>157.43</v>
      </c>
      <c r="J2477" s="1" t="str">
        <f t="shared" si="1550"/>
        <v>0</v>
      </c>
      <c r="K2477" s="1" t="str">
        <f t="shared" si="1551"/>
        <v>103</v>
      </c>
      <c r="L2477" s="1" t="str">
        <f t="shared" si="1552"/>
        <v>47</v>
      </c>
      <c r="M2477" s="1" t="str">
        <f t="shared" si="1543"/>
        <v>0</v>
      </c>
      <c r="N2477" s="1" t="str">
        <f t="shared" si="1544"/>
        <v>0</v>
      </c>
      <c r="O2477" s="1" t="str">
        <f>"7.43"</f>
        <v>7.43</v>
      </c>
    </row>
    <row r="2478" s="1" customFormat="1" spans="1:15">
      <c r="A2478" s="1" t="str">
        <f t="shared" si="1545"/>
        <v>202406</v>
      </c>
      <c r="B2478" s="1" t="str">
        <f t="shared" si="1546"/>
        <v>150525100</v>
      </c>
      <c r="C2478" s="1" t="str">
        <f>"1014572724"</f>
        <v>1014572724</v>
      </c>
      <c r="D2478" s="1" t="str">
        <f>"152326196003153099"</f>
        <v>152326196003153099</v>
      </c>
      <c r="E2478" s="1" t="s">
        <v>2558</v>
      </c>
      <c r="F2478" s="1" t="s">
        <v>25</v>
      </c>
      <c r="G2478" s="1" t="s">
        <v>19</v>
      </c>
      <c r="H2478" s="1" t="str">
        <f>"64"</f>
        <v>64</v>
      </c>
      <c r="I2478" s="1" t="str">
        <f>"164.87"</f>
        <v>164.87</v>
      </c>
      <c r="J2478" s="1" t="str">
        <f t="shared" si="1550"/>
        <v>0</v>
      </c>
      <c r="K2478" s="1" t="str">
        <f t="shared" si="1551"/>
        <v>103</v>
      </c>
      <c r="L2478" s="1" t="str">
        <f t="shared" si="1552"/>
        <v>47</v>
      </c>
      <c r="M2478" s="1" t="str">
        <f t="shared" si="1543"/>
        <v>0</v>
      </c>
      <c r="N2478" s="1" t="str">
        <f t="shared" si="1544"/>
        <v>0</v>
      </c>
      <c r="O2478" s="1" t="str">
        <f>"14.87"</f>
        <v>14.87</v>
      </c>
    </row>
    <row r="2479" s="1" customFormat="1" spans="1:15">
      <c r="A2479" s="1" t="str">
        <f t="shared" si="1545"/>
        <v>202406</v>
      </c>
      <c r="B2479" s="1" t="str">
        <f t="shared" si="1546"/>
        <v>150525100</v>
      </c>
      <c r="C2479" s="1" t="str">
        <f>"1014572743"</f>
        <v>1014572743</v>
      </c>
      <c r="D2479" s="1" t="str">
        <f>"152326196302180927"</f>
        <v>152326196302180927</v>
      </c>
      <c r="E2479" s="1" t="s">
        <v>2559</v>
      </c>
      <c r="F2479" s="1" t="s">
        <v>16</v>
      </c>
      <c r="G2479" s="1" t="s">
        <v>19</v>
      </c>
      <c r="H2479" s="1" t="str">
        <f>"61"</f>
        <v>61</v>
      </c>
      <c r="I2479" s="1" t="str">
        <f>"163.55"</f>
        <v>163.55</v>
      </c>
      <c r="J2479" s="1" t="str">
        <f t="shared" si="1550"/>
        <v>0</v>
      </c>
      <c r="K2479" s="1" t="str">
        <f t="shared" si="1551"/>
        <v>103</v>
      </c>
      <c r="L2479" s="1" t="str">
        <f t="shared" si="1552"/>
        <v>47</v>
      </c>
      <c r="M2479" s="1" t="str">
        <f t="shared" si="1543"/>
        <v>0</v>
      </c>
      <c r="N2479" s="1" t="str">
        <f t="shared" si="1544"/>
        <v>0</v>
      </c>
      <c r="O2479" s="1" t="str">
        <f>"13.55"</f>
        <v>13.55</v>
      </c>
    </row>
    <row r="2480" s="1" customFormat="1" spans="1:15">
      <c r="A2480" s="1" t="str">
        <f t="shared" si="1545"/>
        <v>202406</v>
      </c>
      <c r="B2480" s="1" t="str">
        <f t="shared" si="1546"/>
        <v>150525100</v>
      </c>
      <c r="C2480" s="1" t="str">
        <f>"1014575560"</f>
        <v>1014575560</v>
      </c>
      <c r="D2480" s="1" t="str">
        <f>"152326196007080667"</f>
        <v>152326196007080667</v>
      </c>
      <c r="E2480" s="1" t="s">
        <v>2560</v>
      </c>
      <c r="F2480" s="1" t="s">
        <v>16</v>
      </c>
      <c r="G2480" s="1" t="s">
        <v>17</v>
      </c>
      <c r="H2480" s="1" t="str">
        <f>"64"</f>
        <v>64</v>
      </c>
      <c r="I2480" s="1" t="str">
        <f>"159.23"</f>
        <v>159.23</v>
      </c>
      <c r="J2480" s="1" t="str">
        <f t="shared" si="1550"/>
        <v>0</v>
      </c>
      <c r="K2480" s="1" t="str">
        <f t="shared" si="1551"/>
        <v>103</v>
      </c>
      <c r="L2480" s="1" t="str">
        <f t="shared" si="1552"/>
        <v>47</v>
      </c>
      <c r="M2480" s="1" t="str">
        <f t="shared" si="1543"/>
        <v>0</v>
      </c>
      <c r="N2480" s="1" t="str">
        <f t="shared" si="1544"/>
        <v>0</v>
      </c>
      <c r="O2480" s="1" t="str">
        <f>"9.23"</f>
        <v>9.23</v>
      </c>
    </row>
    <row r="2481" s="1" customFormat="1" spans="1:15">
      <c r="A2481" s="1" t="str">
        <f t="shared" si="1545"/>
        <v>202406</v>
      </c>
      <c r="B2481" s="1" t="str">
        <f t="shared" si="1546"/>
        <v>150525100</v>
      </c>
      <c r="C2481" s="1" t="str">
        <f>"1014575570"</f>
        <v>1014575570</v>
      </c>
      <c r="D2481" s="1" t="str">
        <f>"152326196111120665"</f>
        <v>152326196111120665</v>
      </c>
      <c r="E2481" s="1" t="s">
        <v>2561</v>
      </c>
      <c r="F2481" s="1" t="s">
        <v>16</v>
      </c>
      <c r="G2481" s="1" t="s">
        <v>17</v>
      </c>
      <c r="H2481" s="1" t="str">
        <f>"63"</f>
        <v>63</v>
      </c>
      <c r="I2481" s="1" t="str">
        <f>"161.91"</f>
        <v>161.91</v>
      </c>
      <c r="J2481" s="1" t="str">
        <f t="shared" si="1550"/>
        <v>0</v>
      </c>
      <c r="K2481" s="1" t="str">
        <f t="shared" si="1551"/>
        <v>103</v>
      </c>
      <c r="L2481" s="1" t="str">
        <f t="shared" si="1552"/>
        <v>47</v>
      </c>
      <c r="M2481" s="1" t="str">
        <f t="shared" si="1543"/>
        <v>0</v>
      </c>
      <c r="N2481" s="1" t="str">
        <f t="shared" si="1544"/>
        <v>0</v>
      </c>
      <c r="O2481" s="1" t="str">
        <f>"11.91"</f>
        <v>11.91</v>
      </c>
    </row>
    <row r="2482" s="1" customFormat="1" spans="1:15">
      <c r="A2482" s="1" t="str">
        <f t="shared" si="1545"/>
        <v>202406</v>
      </c>
      <c r="B2482" s="1" t="str">
        <f t="shared" si="1546"/>
        <v>150525100</v>
      </c>
      <c r="C2482" s="1" t="str">
        <f>"1014575575"</f>
        <v>1014575575</v>
      </c>
      <c r="D2482" s="1" t="str">
        <f>"152326196203100661"</f>
        <v>152326196203100661</v>
      </c>
      <c r="E2482" s="1" t="s">
        <v>2562</v>
      </c>
      <c r="F2482" s="1" t="s">
        <v>16</v>
      </c>
      <c r="G2482" s="1" t="s">
        <v>17</v>
      </c>
      <c r="H2482" s="1" t="str">
        <f>"62"</f>
        <v>62</v>
      </c>
      <c r="I2482" s="1" t="str">
        <f>"162.95"</f>
        <v>162.95</v>
      </c>
      <c r="J2482" s="1" t="str">
        <f t="shared" si="1550"/>
        <v>0</v>
      </c>
      <c r="K2482" s="1" t="str">
        <f t="shared" si="1551"/>
        <v>103</v>
      </c>
      <c r="L2482" s="1" t="str">
        <f t="shared" si="1552"/>
        <v>47</v>
      </c>
      <c r="M2482" s="1" t="str">
        <f t="shared" si="1543"/>
        <v>0</v>
      </c>
      <c r="N2482" s="1" t="str">
        <f t="shared" si="1544"/>
        <v>0</v>
      </c>
      <c r="O2482" s="1" t="str">
        <f>"12.95"</f>
        <v>12.95</v>
      </c>
    </row>
    <row r="2483" s="1" customFormat="1" spans="1:15">
      <c r="A2483" s="1" t="str">
        <f t="shared" si="1545"/>
        <v>202406</v>
      </c>
      <c r="B2483" s="1" t="str">
        <f t="shared" si="1546"/>
        <v>150525100</v>
      </c>
      <c r="C2483" s="1" t="str">
        <f>"1014548348"</f>
        <v>1014548348</v>
      </c>
      <c r="D2483" s="1" t="str">
        <f>"152326195302170716"</f>
        <v>152326195302170716</v>
      </c>
      <c r="E2483" s="1" t="s">
        <v>2563</v>
      </c>
      <c r="F2483" s="1" t="s">
        <v>25</v>
      </c>
      <c r="G2483" s="1" t="s">
        <v>17</v>
      </c>
      <c r="H2483" s="1" t="str">
        <f>"71"</f>
        <v>71</v>
      </c>
      <c r="I2483" s="1" t="str">
        <f>"163.16"</f>
        <v>163.16</v>
      </c>
      <c r="J2483" s="1" t="str">
        <f t="shared" si="1550"/>
        <v>0</v>
      </c>
      <c r="K2483" s="1" t="str">
        <f t="shared" si="1551"/>
        <v>103</v>
      </c>
      <c r="L2483" s="1" t="str">
        <f t="shared" si="1552"/>
        <v>47</v>
      </c>
      <c r="M2483" s="1" t="str">
        <f t="shared" si="1543"/>
        <v>0</v>
      </c>
      <c r="N2483" s="1" t="str">
        <f t="shared" si="1544"/>
        <v>0</v>
      </c>
      <c r="O2483" s="1" t="str">
        <f>"3.16"</f>
        <v>3.16</v>
      </c>
    </row>
    <row r="2484" s="1" customFormat="1" spans="1:15">
      <c r="A2484" s="1" t="str">
        <f t="shared" si="1545"/>
        <v>202406</v>
      </c>
      <c r="B2484" s="1" t="str">
        <f t="shared" si="1546"/>
        <v>150525100</v>
      </c>
      <c r="C2484" s="1" t="str">
        <f>"1014548369"</f>
        <v>1014548369</v>
      </c>
      <c r="D2484" s="1" t="str">
        <f>"152326195411140671"</f>
        <v>152326195411140671</v>
      </c>
      <c r="E2484" s="1" t="s">
        <v>2564</v>
      </c>
      <c r="F2484" s="1" t="s">
        <v>25</v>
      </c>
      <c r="G2484" s="1" t="s">
        <v>17</v>
      </c>
      <c r="H2484" s="1" t="str">
        <f t="shared" ref="H2484:H2488" si="1553">"70"</f>
        <v>70</v>
      </c>
      <c r="I2484" s="1" t="str">
        <f>"1998.82"</f>
        <v>1998.82</v>
      </c>
      <c r="J2484" s="1" t="str">
        <f>"1844.68"</f>
        <v>1844.68</v>
      </c>
      <c r="K2484" s="1" t="str">
        <f>"1334"</f>
        <v>1334</v>
      </c>
      <c r="L2484" s="1" t="str">
        <f>"611"</f>
        <v>611</v>
      </c>
      <c r="M2484" s="1" t="str">
        <f t="shared" si="1543"/>
        <v>0</v>
      </c>
      <c r="N2484" s="1" t="str">
        <f t="shared" si="1544"/>
        <v>0</v>
      </c>
      <c r="O2484" s="1" t="str">
        <f>"53.82"</f>
        <v>53.82</v>
      </c>
    </row>
    <row r="2485" s="1" customFormat="1" spans="1:15">
      <c r="A2485" s="1" t="str">
        <f t="shared" si="1545"/>
        <v>202406</v>
      </c>
      <c r="B2485" s="1" t="str">
        <f t="shared" si="1546"/>
        <v>150525100</v>
      </c>
      <c r="C2485" s="1" t="str">
        <f>"1014572761"</f>
        <v>1014572761</v>
      </c>
      <c r="D2485" s="1" t="str">
        <f>"152326195403253086"</f>
        <v>152326195403253086</v>
      </c>
      <c r="E2485" s="1" t="s">
        <v>2565</v>
      </c>
      <c r="F2485" s="1" t="s">
        <v>16</v>
      </c>
      <c r="G2485" s="1" t="s">
        <v>17</v>
      </c>
      <c r="H2485" s="1" t="str">
        <f t="shared" si="1553"/>
        <v>70</v>
      </c>
      <c r="I2485" s="1" t="str">
        <f>"163.88"</f>
        <v>163.88</v>
      </c>
      <c r="J2485" s="1" t="str">
        <f t="shared" ref="J2485:J2517" si="1554">"0"</f>
        <v>0</v>
      </c>
      <c r="K2485" s="1" t="str">
        <f t="shared" ref="K2485:K2517" si="1555">"103"</f>
        <v>103</v>
      </c>
      <c r="L2485" s="1" t="str">
        <f t="shared" ref="L2485:L2517" si="1556">"47"</f>
        <v>47</v>
      </c>
      <c r="M2485" s="1" t="str">
        <f t="shared" si="1543"/>
        <v>0</v>
      </c>
      <c r="N2485" s="1" t="str">
        <f t="shared" si="1544"/>
        <v>0</v>
      </c>
      <c r="O2485" s="1" t="str">
        <f>"3.88"</f>
        <v>3.88</v>
      </c>
    </row>
    <row r="2486" s="1" customFormat="1" spans="1:15">
      <c r="A2486" s="1" t="str">
        <f t="shared" si="1545"/>
        <v>202406</v>
      </c>
      <c r="B2486" s="1" t="str">
        <f t="shared" si="1546"/>
        <v>150525100</v>
      </c>
      <c r="C2486" s="1" t="str">
        <f>"1014572768"</f>
        <v>1014572768</v>
      </c>
      <c r="D2486" s="1" t="str">
        <f>"152326195406250024"</f>
        <v>152326195406250024</v>
      </c>
      <c r="E2486" s="1" t="s">
        <v>2072</v>
      </c>
      <c r="F2486" s="1" t="s">
        <v>16</v>
      </c>
      <c r="G2486" s="1" t="s">
        <v>17</v>
      </c>
      <c r="H2486" s="1" t="str">
        <f t="shared" si="1553"/>
        <v>70</v>
      </c>
      <c r="I2486" s="1" t="str">
        <f t="shared" ref="I2486:I2488" si="1557">"154.14"</f>
        <v>154.14</v>
      </c>
      <c r="J2486" s="1" t="str">
        <f t="shared" si="1554"/>
        <v>0</v>
      </c>
      <c r="K2486" s="1" t="str">
        <f t="shared" si="1555"/>
        <v>103</v>
      </c>
      <c r="L2486" s="1" t="str">
        <f t="shared" si="1556"/>
        <v>47</v>
      </c>
      <c r="M2486" s="1" t="str">
        <f t="shared" si="1543"/>
        <v>0</v>
      </c>
      <c r="N2486" s="1" t="str">
        <f t="shared" si="1544"/>
        <v>0</v>
      </c>
      <c r="O2486" s="1" t="str">
        <f t="shared" ref="O2486:O2488" si="1558">"4.14"</f>
        <v>4.14</v>
      </c>
    </row>
    <row r="2487" s="1" customFormat="1" spans="1:15">
      <c r="A2487" s="1" t="str">
        <f t="shared" si="1545"/>
        <v>202406</v>
      </c>
      <c r="B2487" s="1" t="str">
        <f t="shared" si="1546"/>
        <v>150525100</v>
      </c>
      <c r="C2487" s="1" t="str">
        <f>"1014572770"</f>
        <v>1014572770</v>
      </c>
      <c r="D2487" s="1" t="str">
        <f>"152326195408160428"</f>
        <v>152326195408160428</v>
      </c>
      <c r="E2487" s="1" t="s">
        <v>2566</v>
      </c>
      <c r="F2487" s="1" t="s">
        <v>16</v>
      </c>
      <c r="G2487" s="1" t="s">
        <v>17</v>
      </c>
      <c r="H2487" s="1" t="str">
        <f t="shared" si="1553"/>
        <v>70</v>
      </c>
      <c r="I2487" s="1" t="str">
        <f t="shared" si="1557"/>
        <v>154.14</v>
      </c>
      <c r="J2487" s="1" t="str">
        <f t="shared" si="1554"/>
        <v>0</v>
      </c>
      <c r="K2487" s="1" t="str">
        <f t="shared" si="1555"/>
        <v>103</v>
      </c>
      <c r="L2487" s="1" t="str">
        <f t="shared" si="1556"/>
        <v>47</v>
      </c>
      <c r="M2487" s="1" t="str">
        <f t="shared" si="1543"/>
        <v>0</v>
      </c>
      <c r="N2487" s="1" t="str">
        <f t="shared" si="1544"/>
        <v>0</v>
      </c>
      <c r="O2487" s="1" t="str">
        <f t="shared" si="1558"/>
        <v>4.14</v>
      </c>
    </row>
    <row r="2488" s="1" customFormat="1" spans="1:15">
      <c r="A2488" s="1" t="str">
        <f t="shared" si="1545"/>
        <v>202406</v>
      </c>
      <c r="B2488" s="1" t="str">
        <f t="shared" si="1546"/>
        <v>150525100</v>
      </c>
      <c r="C2488" s="1" t="str">
        <f>"1014572775"</f>
        <v>1014572775</v>
      </c>
      <c r="D2488" s="1" t="str">
        <f>"152326195409090425"</f>
        <v>152326195409090425</v>
      </c>
      <c r="E2488" s="1" t="s">
        <v>2567</v>
      </c>
      <c r="F2488" s="1" t="s">
        <v>16</v>
      </c>
      <c r="G2488" s="1" t="s">
        <v>17</v>
      </c>
      <c r="H2488" s="1" t="str">
        <f t="shared" si="1553"/>
        <v>70</v>
      </c>
      <c r="I2488" s="1" t="str">
        <f t="shared" si="1557"/>
        <v>154.14</v>
      </c>
      <c r="J2488" s="1" t="str">
        <f t="shared" si="1554"/>
        <v>0</v>
      </c>
      <c r="K2488" s="1" t="str">
        <f t="shared" si="1555"/>
        <v>103</v>
      </c>
      <c r="L2488" s="1" t="str">
        <f t="shared" si="1556"/>
        <v>47</v>
      </c>
      <c r="M2488" s="1" t="str">
        <f t="shared" si="1543"/>
        <v>0</v>
      </c>
      <c r="N2488" s="1" t="str">
        <f t="shared" si="1544"/>
        <v>0</v>
      </c>
      <c r="O2488" s="1" t="str">
        <f t="shared" si="1558"/>
        <v>4.14</v>
      </c>
    </row>
    <row r="2489" s="1" customFormat="1" spans="1:15">
      <c r="A2489" s="1" t="str">
        <f t="shared" si="1545"/>
        <v>202406</v>
      </c>
      <c r="B2489" s="1" t="str">
        <f t="shared" si="1546"/>
        <v>150525100</v>
      </c>
      <c r="C2489" s="1" t="str">
        <f>"1014573168"</f>
        <v>1014573168</v>
      </c>
      <c r="D2489" s="1" t="str">
        <f>"152326195503090018"</f>
        <v>152326195503090018</v>
      </c>
      <c r="E2489" s="1" t="s">
        <v>2568</v>
      </c>
      <c r="F2489" s="1" t="s">
        <v>25</v>
      </c>
      <c r="G2489" s="1" t="s">
        <v>96</v>
      </c>
      <c r="H2489" s="1" t="str">
        <f>"69"</f>
        <v>69</v>
      </c>
      <c r="I2489" s="1" t="str">
        <f>"184.82"</f>
        <v>184.82</v>
      </c>
      <c r="J2489" s="1" t="str">
        <f t="shared" si="1554"/>
        <v>0</v>
      </c>
      <c r="K2489" s="1" t="str">
        <f t="shared" si="1555"/>
        <v>103</v>
      </c>
      <c r="L2489" s="1" t="str">
        <f t="shared" si="1556"/>
        <v>47</v>
      </c>
      <c r="M2489" s="1" t="str">
        <f t="shared" si="1543"/>
        <v>0</v>
      </c>
      <c r="N2489" s="1" t="str">
        <f t="shared" si="1544"/>
        <v>0</v>
      </c>
      <c r="O2489" s="1" t="str">
        <f>"34.82"</f>
        <v>34.82</v>
      </c>
    </row>
    <row r="2490" s="1" customFormat="1" spans="1:15">
      <c r="A2490" s="1" t="str">
        <f t="shared" si="1545"/>
        <v>202406</v>
      </c>
      <c r="B2490" s="1" t="str">
        <f t="shared" si="1546"/>
        <v>150525100</v>
      </c>
      <c r="C2490" s="1" t="str">
        <f>"1014575605"</f>
        <v>1014575605</v>
      </c>
      <c r="D2490" s="1" t="str">
        <f>"152326195508170674"</f>
        <v>152326195508170674</v>
      </c>
      <c r="E2490" s="1" t="s">
        <v>2569</v>
      </c>
      <c r="F2490" s="1" t="s">
        <v>25</v>
      </c>
      <c r="G2490" s="1" t="s">
        <v>17</v>
      </c>
      <c r="H2490" s="1" t="str">
        <f>"69"</f>
        <v>69</v>
      </c>
      <c r="I2490" s="1" t="str">
        <f>"174.04"</f>
        <v>174.04</v>
      </c>
      <c r="J2490" s="1" t="str">
        <f t="shared" si="1554"/>
        <v>0</v>
      </c>
      <c r="K2490" s="1" t="str">
        <f t="shared" si="1555"/>
        <v>103</v>
      </c>
      <c r="L2490" s="1" t="str">
        <f t="shared" si="1556"/>
        <v>47</v>
      </c>
      <c r="M2490" s="1" t="str">
        <f t="shared" si="1543"/>
        <v>0</v>
      </c>
      <c r="N2490" s="1" t="str">
        <f t="shared" si="1544"/>
        <v>0</v>
      </c>
      <c r="O2490" s="1" t="str">
        <f>"24.04"</f>
        <v>24.04</v>
      </c>
    </row>
    <row r="2491" s="1" customFormat="1" spans="1:15">
      <c r="A2491" s="1" t="str">
        <f t="shared" si="1545"/>
        <v>202406</v>
      </c>
      <c r="B2491" s="1" t="str">
        <f t="shared" si="1546"/>
        <v>150525100</v>
      </c>
      <c r="C2491" s="1" t="str">
        <f>"1014575823"</f>
        <v>1014575823</v>
      </c>
      <c r="D2491" s="1" t="s">
        <v>2570</v>
      </c>
      <c r="E2491" s="1" t="s">
        <v>2571</v>
      </c>
      <c r="F2491" s="1" t="s">
        <v>16</v>
      </c>
      <c r="G2491" s="1" t="s">
        <v>17</v>
      </c>
      <c r="H2491" s="1" t="str">
        <f>"70"</f>
        <v>70</v>
      </c>
      <c r="I2491" s="1" t="str">
        <f>"154.14"</f>
        <v>154.14</v>
      </c>
      <c r="J2491" s="1" t="str">
        <f t="shared" si="1554"/>
        <v>0</v>
      </c>
      <c r="K2491" s="1" t="str">
        <f t="shared" si="1555"/>
        <v>103</v>
      </c>
      <c r="L2491" s="1" t="str">
        <f t="shared" si="1556"/>
        <v>47</v>
      </c>
      <c r="M2491" s="1" t="str">
        <f t="shared" si="1543"/>
        <v>0</v>
      </c>
      <c r="N2491" s="1" t="str">
        <f t="shared" si="1544"/>
        <v>0</v>
      </c>
      <c r="O2491" s="1" t="str">
        <f>"4.14"</f>
        <v>4.14</v>
      </c>
    </row>
    <row r="2492" s="1" customFormat="1" spans="1:15">
      <c r="A2492" s="1" t="str">
        <f t="shared" si="1545"/>
        <v>202406</v>
      </c>
      <c r="B2492" s="1" t="str">
        <f t="shared" si="1546"/>
        <v>150525100</v>
      </c>
      <c r="C2492" s="1" t="str">
        <f>"1014576824"</f>
        <v>1014576824</v>
      </c>
      <c r="D2492" s="1" t="str">
        <f>"152326195606040662"</f>
        <v>152326195606040662</v>
      </c>
      <c r="E2492" s="1" t="s">
        <v>2572</v>
      </c>
      <c r="F2492" s="1" t="s">
        <v>16</v>
      </c>
      <c r="G2492" s="1" t="s">
        <v>17</v>
      </c>
      <c r="H2492" s="1" t="str">
        <f>"68"</f>
        <v>68</v>
      </c>
      <c r="I2492" s="1" t="str">
        <f>"156.02"</f>
        <v>156.02</v>
      </c>
      <c r="J2492" s="1" t="str">
        <f t="shared" si="1554"/>
        <v>0</v>
      </c>
      <c r="K2492" s="1" t="str">
        <f t="shared" si="1555"/>
        <v>103</v>
      </c>
      <c r="L2492" s="1" t="str">
        <f t="shared" si="1556"/>
        <v>47</v>
      </c>
      <c r="M2492" s="1" t="str">
        <f t="shared" si="1543"/>
        <v>0</v>
      </c>
      <c r="N2492" s="1" t="str">
        <f t="shared" si="1544"/>
        <v>0</v>
      </c>
      <c r="O2492" s="1" t="str">
        <f>"6.02"</f>
        <v>6.02</v>
      </c>
    </row>
    <row r="2493" s="1" customFormat="1" spans="1:15">
      <c r="A2493" s="1" t="str">
        <f t="shared" si="1545"/>
        <v>202406</v>
      </c>
      <c r="B2493" s="1" t="str">
        <f t="shared" si="1546"/>
        <v>150525100</v>
      </c>
      <c r="C2493" s="1" t="str">
        <f>"1014576845"</f>
        <v>1014576845</v>
      </c>
      <c r="D2493" s="1" t="str">
        <f>"152326195711280668"</f>
        <v>152326195711280668</v>
      </c>
      <c r="E2493" s="1" t="s">
        <v>2573</v>
      </c>
      <c r="F2493" s="1" t="s">
        <v>16</v>
      </c>
      <c r="G2493" s="1" t="s">
        <v>17</v>
      </c>
      <c r="H2493" s="1" t="str">
        <f>"67"</f>
        <v>67</v>
      </c>
      <c r="I2493" s="1" t="str">
        <f>"156.11"</f>
        <v>156.11</v>
      </c>
      <c r="J2493" s="1" t="str">
        <f t="shared" si="1554"/>
        <v>0</v>
      </c>
      <c r="K2493" s="1" t="str">
        <f t="shared" si="1555"/>
        <v>103</v>
      </c>
      <c r="L2493" s="1" t="str">
        <f t="shared" si="1556"/>
        <v>47</v>
      </c>
      <c r="M2493" s="1" t="str">
        <f t="shared" si="1543"/>
        <v>0</v>
      </c>
      <c r="N2493" s="1" t="str">
        <f t="shared" si="1544"/>
        <v>0</v>
      </c>
      <c r="O2493" s="1" t="str">
        <f>"6.11"</f>
        <v>6.11</v>
      </c>
    </row>
    <row r="2494" s="1" customFormat="1" spans="1:15">
      <c r="A2494" s="1" t="str">
        <f t="shared" si="1545"/>
        <v>202406</v>
      </c>
      <c r="B2494" s="1" t="str">
        <f t="shared" si="1546"/>
        <v>150525100</v>
      </c>
      <c r="C2494" s="1" t="str">
        <f>"1014576850"</f>
        <v>1014576850</v>
      </c>
      <c r="D2494" s="1" t="str">
        <f>"152326195801220669"</f>
        <v>152326195801220669</v>
      </c>
      <c r="E2494" s="1" t="s">
        <v>374</v>
      </c>
      <c r="F2494" s="1" t="s">
        <v>16</v>
      </c>
      <c r="G2494" s="1" t="s">
        <v>17</v>
      </c>
      <c r="H2494" s="1" t="str">
        <f>"66"</f>
        <v>66</v>
      </c>
      <c r="I2494" s="1" t="str">
        <f>"157.06"</f>
        <v>157.06</v>
      </c>
      <c r="J2494" s="1" t="str">
        <f t="shared" si="1554"/>
        <v>0</v>
      </c>
      <c r="K2494" s="1" t="str">
        <f t="shared" si="1555"/>
        <v>103</v>
      </c>
      <c r="L2494" s="1" t="str">
        <f t="shared" si="1556"/>
        <v>47</v>
      </c>
      <c r="M2494" s="1" t="str">
        <f t="shared" si="1543"/>
        <v>0</v>
      </c>
      <c r="N2494" s="1" t="str">
        <f t="shared" si="1544"/>
        <v>0</v>
      </c>
      <c r="O2494" s="1" t="str">
        <f>"7.06"</f>
        <v>7.06</v>
      </c>
    </row>
    <row r="2495" s="1" customFormat="1" spans="1:15">
      <c r="A2495" s="1" t="str">
        <f t="shared" si="1545"/>
        <v>202406</v>
      </c>
      <c r="B2495" s="1" t="str">
        <f t="shared" si="1546"/>
        <v>150525100</v>
      </c>
      <c r="C2495" s="1" t="str">
        <f>"1014576853"</f>
        <v>1014576853</v>
      </c>
      <c r="D2495" s="1" t="str">
        <f>"152326195802140695"</f>
        <v>152326195802140695</v>
      </c>
      <c r="E2495" s="1" t="s">
        <v>2574</v>
      </c>
      <c r="F2495" s="1" t="s">
        <v>25</v>
      </c>
      <c r="G2495" s="1" t="s">
        <v>17</v>
      </c>
      <c r="H2495" s="1" t="str">
        <f>"66"</f>
        <v>66</v>
      </c>
      <c r="I2495" s="1" t="str">
        <f>"157.07"</f>
        <v>157.07</v>
      </c>
      <c r="J2495" s="1" t="str">
        <f t="shared" si="1554"/>
        <v>0</v>
      </c>
      <c r="K2495" s="1" t="str">
        <f t="shared" si="1555"/>
        <v>103</v>
      </c>
      <c r="L2495" s="1" t="str">
        <f t="shared" si="1556"/>
        <v>47</v>
      </c>
      <c r="M2495" s="1" t="str">
        <f t="shared" si="1543"/>
        <v>0</v>
      </c>
      <c r="N2495" s="1" t="str">
        <f t="shared" si="1544"/>
        <v>0</v>
      </c>
      <c r="O2495" s="1" t="str">
        <f>"7.07"</f>
        <v>7.07</v>
      </c>
    </row>
    <row r="2496" s="1" customFormat="1" spans="1:15">
      <c r="A2496" s="1" t="str">
        <f t="shared" si="1545"/>
        <v>202406</v>
      </c>
      <c r="B2496" s="1" t="str">
        <f t="shared" si="1546"/>
        <v>150525100</v>
      </c>
      <c r="C2496" s="1" t="str">
        <f>"1014548391"</f>
        <v>1014548391</v>
      </c>
      <c r="D2496" s="1" t="str">
        <f>"152326195212143079"</f>
        <v>152326195212143079</v>
      </c>
      <c r="E2496" s="1" t="s">
        <v>2575</v>
      </c>
      <c r="F2496" s="1" t="s">
        <v>25</v>
      </c>
      <c r="G2496" s="1" t="s">
        <v>17</v>
      </c>
      <c r="H2496" s="1" t="str">
        <f>"72"</f>
        <v>72</v>
      </c>
      <c r="I2496" s="1" t="str">
        <f>"163.88"</f>
        <v>163.88</v>
      </c>
      <c r="J2496" s="1" t="str">
        <f t="shared" si="1554"/>
        <v>0</v>
      </c>
      <c r="K2496" s="1" t="str">
        <f t="shared" si="1555"/>
        <v>103</v>
      </c>
      <c r="L2496" s="1" t="str">
        <f t="shared" si="1556"/>
        <v>47</v>
      </c>
      <c r="M2496" s="1" t="str">
        <f t="shared" si="1543"/>
        <v>0</v>
      </c>
      <c r="N2496" s="1" t="str">
        <f t="shared" si="1544"/>
        <v>0</v>
      </c>
      <c r="O2496" s="1" t="str">
        <f>"3.88"</f>
        <v>3.88</v>
      </c>
    </row>
    <row r="2497" s="1" customFormat="1" spans="1:15">
      <c r="A2497" s="1" t="str">
        <f t="shared" si="1545"/>
        <v>202406</v>
      </c>
      <c r="B2497" s="1" t="str">
        <f t="shared" si="1546"/>
        <v>150525100</v>
      </c>
      <c r="C2497" s="1" t="str">
        <f>"1014572797"</f>
        <v>1014572797</v>
      </c>
      <c r="D2497" s="1" t="str">
        <f>"152326195412303073"</f>
        <v>152326195412303073</v>
      </c>
      <c r="E2497" s="1" t="s">
        <v>1287</v>
      </c>
      <c r="F2497" s="1" t="s">
        <v>25</v>
      </c>
      <c r="G2497" s="1" t="s">
        <v>17</v>
      </c>
      <c r="H2497" s="1" t="str">
        <f>"70"</f>
        <v>70</v>
      </c>
      <c r="I2497" s="1" t="str">
        <f>"154.14"</f>
        <v>154.14</v>
      </c>
      <c r="J2497" s="1" t="str">
        <f t="shared" si="1554"/>
        <v>0</v>
      </c>
      <c r="K2497" s="1" t="str">
        <f t="shared" si="1555"/>
        <v>103</v>
      </c>
      <c r="L2497" s="1" t="str">
        <f t="shared" si="1556"/>
        <v>47</v>
      </c>
      <c r="M2497" s="1" t="str">
        <f t="shared" ref="M2497:M2560" si="1559">"0"</f>
        <v>0</v>
      </c>
      <c r="N2497" s="1" t="str">
        <f t="shared" ref="N2497:N2560" si="1560">"0"</f>
        <v>0</v>
      </c>
      <c r="O2497" s="1" t="str">
        <f>"4.14"</f>
        <v>4.14</v>
      </c>
    </row>
    <row r="2498" s="1" customFormat="1" spans="1:15">
      <c r="A2498" s="1" t="str">
        <f t="shared" ref="A2498:A2561" si="1561">"202406"</f>
        <v>202406</v>
      </c>
      <c r="B2498" s="1" t="str">
        <f t="shared" ref="B2498:B2561" si="1562">"150525100"</f>
        <v>150525100</v>
      </c>
      <c r="C2498" s="1" t="str">
        <f>"1014572895"</f>
        <v>1014572895</v>
      </c>
      <c r="D2498" s="1" t="str">
        <f>"152326195503153074"</f>
        <v>152326195503153074</v>
      </c>
      <c r="E2498" s="1" t="s">
        <v>2576</v>
      </c>
      <c r="F2498" s="1" t="s">
        <v>25</v>
      </c>
      <c r="G2498" s="1" t="s">
        <v>17</v>
      </c>
      <c r="H2498" s="1" t="str">
        <f t="shared" ref="H2498:H2501" si="1563">"69"</f>
        <v>69</v>
      </c>
      <c r="I2498" s="1" t="str">
        <f>"155.1"</f>
        <v>155.1</v>
      </c>
      <c r="J2498" s="1" t="str">
        <f t="shared" si="1554"/>
        <v>0</v>
      </c>
      <c r="K2498" s="1" t="str">
        <f t="shared" si="1555"/>
        <v>103</v>
      </c>
      <c r="L2498" s="1" t="str">
        <f t="shared" si="1556"/>
        <v>47</v>
      </c>
      <c r="M2498" s="1" t="str">
        <f t="shared" si="1559"/>
        <v>0</v>
      </c>
      <c r="N2498" s="1" t="str">
        <f t="shared" si="1560"/>
        <v>0</v>
      </c>
      <c r="O2498" s="1" t="str">
        <f>"5.1"</f>
        <v>5.1</v>
      </c>
    </row>
    <row r="2499" s="1" customFormat="1" spans="1:15">
      <c r="A2499" s="1" t="str">
        <f t="shared" si="1561"/>
        <v>202406</v>
      </c>
      <c r="B2499" s="1" t="str">
        <f t="shared" si="1562"/>
        <v>150525100</v>
      </c>
      <c r="C2499" s="1" t="str">
        <f>"1014572903"</f>
        <v>1014572903</v>
      </c>
      <c r="D2499" s="1" t="str">
        <f>"152326195506050046"</f>
        <v>152326195506050046</v>
      </c>
      <c r="E2499" s="1" t="s">
        <v>2577</v>
      </c>
      <c r="F2499" s="1" t="s">
        <v>16</v>
      </c>
      <c r="G2499" s="1" t="s">
        <v>17</v>
      </c>
      <c r="H2499" s="1" t="str">
        <f t="shared" si="1563"/>
        <v>69</v>
      </c>
      <c r="I2499" s="1" t="str">
        <f>"155.09"</f>
        <v>155.09</v>
      </c>
      <c r="J2499" s="1" t="str">
        <f t="shared" si="1554"/>
        <v>0</v>
      </c>
      <c r="K2499" s="1" t="str">
        <f t="shared" si="1555"/>
        <v>103</v>
      </c>
      <c r="L2499" s="1" t="str">
        <f t="shared" si="1556"/>
        <v>47</v>
      </c>
      <c r="M2499" s="1" t="str">
        <f t="shared" si="1559"/>
        <v>0</v>
      </c>
      <c r="N2499" s="1" t="str">
        <f t="shared" si="1560"/>
        <v>0</v>
      </c>
      <c r="O2499" s="1" t="str">
        <f>"5.09"</f>
        <v>5.09</v>
      </c>
    </row>
    <row r="2500" s="1" customFormat="1" spans="1:15">
      <c r="A2500" s="1" t="str">
        <f t="shared" si="1561"/>
        <v>202406</v>
      </c>
      <c r="B2500" s="1" t="str">
        <f t="shared" si="1562"/>
        <v>150525100</v>
      </c>
      <c r="C2500" s="1" t="str">
        <f>"1014573020"</f>
        <v>1014573020</v>
      </c>
      <c r="D2500" s="1" t="str">
        <f>"152326196307133089"</f>
        <v>152326196307133089</v>
      </c>
      <c r="E2500" s="1" t="s">
        <v>363</v>
      </c>
      <c r="F2500" s="1" t="s">
        <v>16</v>
      </c>
      <c r="G2500" s="1" t="s">
        <v>17</v>
      </c>
      <c r="H2500" s="1" t="str">
        <f>"61"</f>
        <v>61</v>
      </c>
      <c r="I2500" s="1" t="str">
        <f>"163.94"</f>
        <v>163.94</v>
      </c>
      <c r="J2500" s="1" t="str">
        <f t="shared" si="1554"/>
        <v>0</v>
      </c>
      <c r="K2500" s="1" t="str">
        <f t="shared" si="1555"/>
        <v>103</v>
      </c>
      <c r="L2500" s="1" t="str">
        <f t="shared" si="1556"/>
        <v>47</v>
      </c>
      <c r="M2500" s="1" t="str">
        <f t="shared" si="1559"/>
        <v>0</v>
      </c>
      <c r="N2500" s="1" t="str">
        <f t="shared" si="1560"/>
        <v>0</v>
      </c>
      <c r="O2500" s="1" t="str">
        <f>"13.94"</f>
        <v>13.94</v>
      </c>
    </row>
    <row r="2501" s="1" customFormat="1" spans="1:15">
      <c r="A2501" s="1" t="str">
        <f t="shared" si="1561"/>
        <v>202406</v>
      </c>
      <c r="B2501" s="1" t="str">
        <f t="shared" si="1562"/>
        <v>150525100</v>
      </c>
      <c r="C2501" s="1" t="str">
        <f>"1014573183"</f>
        <v>1014573183</v>
      </c>
      <c r="D2501" s="1" t="str">
        <f>"152326195512300021"</f>
        <v>152326195512300021</v>
      </c>
      <c r="E2501" s="1" t="s">
        <v>2578</v>
      </c>
      <c r="F2501" s="1" t="s">
        <v>16</v>
      </c>
      <c r="G2501" s="1" t="s">
        <v>17</v>
      </c>
      <c r="H2501" s="1" t="str">
        <f t="shared" si="1563"/>
        <v>69</v>
      </c>
      <c r="I2501" s="1" t="str">
        <f>"171.61"</f>
        <v>171.61</v>
      </c>
      <c r="J2501" s="1" t="str">
        <f t="shared" si="1554"/>
        <v>0</v>
      </c>
      <c r="K2501" s="1" t="str">
        <f t="shared" si="1555"/>
        <v>103</v>
      </c>
      <c r="L2501" s="1" t="str">
        <f t="shared" si="1556"/>
        <v>47</v>
      </c>
      <c r="M2501" s="1" t="str">
        <f t="shared" si="1559"/>
        <v>0</v>
      </c>
      <c r="N2501" s="1" t="str">
        <f t="shared" si="1560"/>
        <v>0</v>
      </c>
      <c r="O2501" s="1" t="str">
        <f>"21.61"</f>
        <v>21.61</v>
      </c>
    </row>
    <row r="2502" s="1" customFormat="1" spans="1:15">
      <c r="A2502" s="1" t="str">
        <f t="shared" si="1561"/>
        <v>202406</v>
      </c>
      <c r="B2502" s="1" t="str">
        <f t="shared" si="1562"/>
        <v>150525100</v>
      </c>
      <c r="C2502" s="1" t="str">
        <f>"1014573299"</f>
        <v>1014573299</v>
      </c>
      <c r="D2502" s="1" t="str">
        <f>"152326195801200019"</f>
        <v>152326195801200019</v>
      </c>
      <c r="E2502" s="1" t="s">
        <v>2579</v>
      </c>
      <c r="F2502" s="1" t="s">
        <v>25</v>
      </c>
      <c r="G2502" s="1" t="s">
        <v>17</v>
      </c>
      <c r="H2502" s="1" t="str">
        <f>"66"</f>
        <v>66</v>
      </c>
      <c r="I2502" s="1" t="str">
        <f>"157.98"</f>
        <v>157.98</v>
      </c>
      <c r="J2502" s="1" t="str">
        <f t="shared" si="1554"/>
        <v>0</v>
      </c>
      <c r="K2502" s="1" t="str">
        <f t="shared" si="1555"/>
        <v>103</v>
      </c>
      <c r="L2502" s="1" t="str">
        <f t="shared" si="1556"/>
        <v>47</v>
      </c>
      <c r="M2502" s="1" t="str">
        <f t="shared" si="1559"/>
        <v>0</v>
      </c>
      <c r="N2502" s="1" t="str">
        <f t="shared" si="1560"/>
        <v>0</v>
      </c>
      <c r="O2502" s="1" t="str">
        <f>"7.98"</f>
        <v>7.98</v>
      </c>
    </row>
    <row r="2503" s="1" customFormat="1" spans="1:15">
      <c r="A2503" s="1" t="str">
        <f t="shared" si="1561"/>
        <v>202406</v>
      </c>
      <c r="B2503" s="1" t="str">
        <f t="shared" si="1562"/>
        <v>150525100</v>
      </c>
      <c r="C2503" s="1" t="str">
        <f>"1014573318"</f>
        <v>1014573318</v>
      </c>
      <c r="D2503" s="1" t="str">
        <f>"152326195811070035"</f>
        <v>152326195811070035</v>
      </c>
      <c r="E2503" s="1" t="s">
        <v>2580</v>
      </c>
      <c r="F2503" s="1" t="s">
        <v>25</v>
      </c>
      <c r="G2503" s="1" t="s">
        <v>17</v>
      </c>
      <c r="H2503" s="1" t="str">
        <f>"66"</f>
        <v>66</v>
      </c>
      <c r="I2503" s="1" t="str">
        <f>"158.85"</f>
        <v>158.85</v>
      </c>
      <c r="J2503" s="1" t="str">
        <f t="shared" si="1554"/>
        <v>0</v>
      </c>
      <c r="K2503" s="1" t="str">
        <f t="shared" si="1555"/>
        <v>103</v>
      </c>
      <c r="L2503" s="1" t="str">
        <f t="shared" si="1556"/>
        <v>47</v>
      </c>
      <c r="M2503" s="1" t="str">
        <f t="shared" si="1559"/>
        <v>0</v>
      </c>
      <c r="N2503" s="1" t="str">
        <f t="shared" si="1560"/>
        <v>0</v>
      </c>
      <c r="O2503" s="1" t="str">
        <f>"8.85"</f>
        <v>8.85</v>
      </c>
    </row>
    <row r="2504" s="1" customFormat="1" spans="1:15">
      <c r="A2504" s="1" t="str">
        <f t="shared" si="1561"/>
        <v>202406</v>
      </c>
      <c r="B2504" s="1" t="str">
        <f t="shared" si="1562"/>
        <v>150525100</v>
      </c>
      <c r="C2504" s="1" t="str">
        <f>"1014573331"</f>
        <v>1014573331</v>
      </c>
      <c r="D2504" s="1" t="str">
        <f>"152326195905100020"</f>
        <v>152326195905100020</v>
      </c>
      <c r="E2504" s="1" t="s">
        <v>2581</v>
      </c>
      <c r="F2504" s="1" t="s">
        <v>16</v>
      </c>
      <c r="G2504" s="1" t="s">
        <v>17</v>
      </c>
      <c r="H2504" s="1" t="str">
        <f>"65"</f>
        <v>65</v>
      </c>
      <c r="I2504" s="1" t="str">
        <f>"158.13"</f>
        <v>158.13</v>
      </c>
      <c r="J2504" s="1" t="str">
        <f t="shared" si="1554"/>
        <v>0</v>
      </c>
      <c r="K2504" s="1" t="str">
        <f t="shared" si="1555"/>
        <v>103</v>
      </c>
      <c r="L2504" s="1" t="str">
        <f t="shared" si="1556"/>
        <v>47</v>
      </c>
      <c r="M2504" s="1" t="str">
        <f t="shared" si="1559"/>
        <v>0</v>
      </c>
      <c r="N2504" s="1" t="str">
        <f t="shared" si="1560"/>
        <v>0</v>
      </c>
      <c r="O2504" s="1" t="str">
        <f>"8.13"</f>
        <v>8.13</v>
      </c>
    </row>
    <row r="2505" s="1" customFormat="1" spans="1:15">
      <c r="A2505" s="1" t="str">
        <f t="shared" si="1561"/>
        <v>202406</v>
      </c>
      <c r="B2505" s="1" t="str">
        <f t="shared" si="1562"/>
        <v>150525100</v>
      </c>
      <c r="C2505" s="1" t="str">
        <f>"1014573468"</f>
        <v>1014573468</v>
      </c>
      <c r="D2505" s="1" t="str">
        <f>"152326196201170420"</f>
        <v>152326196201170420</v>
      </c>
      <c r="E2505" s="1" t="s">
        <v>919</v>
      </c>
      <c r="F2505" s="1" t="s">
        <v>16</v>
      </c>
      <c r="G2505" s="1" t="s">
        <v>17</v>
      </c>
      <c r="H2505" s="1" t="str">
        <f t="shared" ref="H2505:H2509" si="1564">"62"</f>
        <v>62</v>
      </c>
      <c r="I2505" s="1" t="str">
        <f>"162.9"</f>
        <v>162.9</v>
      </c>
      <c r="J2505" s="1" t="str">
        <f t="shared" si="1554"/>
        <v>0</v>
      </c>
      <c r="K2505" s="1" t="str">
        <f t="shared" si="1555"/>
        <v>103</v>
      </c>
      <c r="L2505" s="1" t="str">
        <f t="shared" si="1556"/>
        <v>47</v>
      </c>
      <c r="M2505" s="1" t="str">
        <f t="shared" si="1559"/>
        <v>0</v>
      </c>
      <c r="N2505" s="1" t="str">
        <f t="shared" si="1560"/>
        <v>0</v>
      </c>
      <c r="O2505" s="1" t="str">
        <f>"12.9"</f>
        <v>12.9</v>
      </c>
    </row>
    <row r="2506" s="1" customFormat="1" spans="1:15">
      <c r="A2506" s="1" t="str">
        <f t="shared" si="1561"/>
        <v>202406</v>
      </c>
      <c r="B2506" s="1" t="str">
        <f t="shared" si="1562"/>
        <v>150525100</v>
      </c>
      <c r="C2506" s="1" t="str">
        <f>"1014575846"</f>
        <v>1014575846</v>
      </c>
      <c r="D2506" s="1" t="str">
        <f>"152326196011050671"</f>
        <v>152326196011050671</v>
      </c>
      <c r="E2506" s="1" t="s">
        <v>2582</v>
      </c>
      <c r="F2506" s="1" t="s">
        <v>25</v>
      </c>
      <c r="G2506" s="1" t="s">
        <v>17</v>
      </c>
      <c r="H2506" s="1" t="str">
        <f>"64"</f>
        <v>64</v>
      </c>
      <c r="I2506" s="1" t="str">
        <f>"159.27"</f>
        <v>159.27</v>
      </c>
      <c r="J2506" s="1" t="str">
        <f t="shared" si="1554"/>
        <v>0</v>
      </c>
      <c r="K2506" s="1" t="str">
        <f t="shared" si="1555"/>
        <v>103</v>
      </c>
      <c r="L2506" s="1" t="str">
        <f t="shared" si="1556"/>
        <v>47</v>
      </c>
      <c r="M2506" s="1" t="str">
        <f t="shared" si="1559"/>
        <v>0</v>
      </c>
      <c r="N2506" s="1" t="str">
        <f t="shared" si="1560"/>
        <v>0</v>
      </c>
      <c r="O2506" s="1" t="str">
        <f>"9.27"</f>
        <v>9.27</v>
      </c>
    </row>
    <row r="2507" s="1" customFormat="1" spans="1:15">
      <c r="A2507" s="1" t="str">
        <f t="shared" si="1561"/>
        <v>202406</v>
      </c>
      <c r="B2507" s="1" t="str">
        <f t="shared" si="1562"/>
        <v>150525100</v>
      </c>
      <c r="C2507" s="1" t="str">
        <f>"1014575854"</f>
        <v>1014575854</v>
      </c>
      <c r="D2507" s="1" t="s">
        <v>2583</v>
      </c>
      <c r="E2507" s="1" t="s">
        <v>413</v>
      </c>
      <c r="F2507" s="1" t="s">
        <v>16</v>
      </c>
      <c r="G2507" s="1" t="s">
        <v>17</v>
      </c>
      <c r="H2507" s="1" t="str">
        <f t="shared" si="1564"/>
        <v>62</v>
      </c>
      <c r="I2507" s="1" t="str">
        <f>"163.1"</f>
        <v>163.1</v>
      </c>
      <c r="J2507" s="1" t="str">
        <f t="shared" si="1554"/>
        <v>0</v>
      </c>
      <c r="K2507" s="1" t="str">
        <f t="shared" si="1555"/>
        <v>103</v>
      </c>
      <c r="L2507" s="1" t="str">
        <f t="shared" si="1556"/>
        <v>47</v>
      </c>
      <c r="M2507" s="1" t="str">
        <f t="shared" si="1559"/>
        <v>0</v>
      </c>
      <c r="N2507" s="1" t="str">
        <f t="shared" si="1560"/>
        <v>0</v>
      </c>
      <c r="O2507" s="1" t="str">
        <f>"13.1"</f>
        <v>13.1</v>
      </c>
    </row>
    <row r="2508" s="1" customFormat="1" spans="1:15">
      <c r="A2508" s="1" t="str">
        <f t="shared" si="1561"/>
        <v>202406</v>
      </c>
      <c r="B2508" s="1" t="str">
        <f t="shared" si="1562"/>
        <v>150525100</v>
      </c>
      <c r="C2508" s="1" t="str">
        <f>"1014575855"</f>
        <v>1014575855</v>
      </c>
      <c r="D2508" s="1" t="str">
        <f>"152326196209090679"</f>
        <v>152326196209090679</v>
      </c>
      <c r="E2508" s="1" t="s">
        <v>2584</v>
      </c>
      <c r="F2508" s="1" t="s">
        <v>25</v>
      </c>
      <c r="G2508" s="1" t="s">
        <v>17</v>
      </c>
      <c r="H2508" s="1" t="str">
        <f t="shared" si="1564"/>
        <v>62</v>
      </c>
      <c r="I2508" s="1" t="str">
        <f>"163.12"</f>
        <v>163.12</v>
      </c>
      <c r="J2508" s="1" t="str">
        <f t="shared" si="1554"/>
        <v>0</v>
      </c>
      <c r="K2508" s="1" t="str">
        <f t="shared" si="1555"/>
        <v>103</v>
      </c>
      <c r="L2508" s="1" t="str">
        <f t="shared" si="1556"/>
        <v>47</v>
      </c>
      <c r="M2508" s="1" t="str">
        <f t="shared" si="1559"/>
        <v>0</v>
      </c>
      <c r="N2508" s="1" t="str">
        <f t="shared" si="1560"/>
        <v>0</v>
      </c>
      <c r="O2508" s="1" t="str">
        <f>"13.12"</f>
        <v>13.12</v>
      </c>
    </row>
    <row r="2509" s="1" customFormat="1" spans="1:15">
      <c r="A2509" s="1" t="str">
        <f t="shared" si="1561"/>
        <v>202406</v>
      </c>
      <c r="B2509" s="1" t="str">
        <f t="shared" si="1562"/>
        <v>150525100</v>
      </c>
      <c r="C2509" s="1" t="str">
        <f>"1014575857"</f>
        <v>1014575857</v>
      </c>
      <c r="D2509" s="1" t="s">
        <v>2585</v>
      </c>
      <c r="E2509" s="1" t="s">
        <v>2586</v>
      </c>
      <c r="F2509" s="1" t="s">
        <v>16</v>
      </c>
      <c r="G2509" s="1" t="s">
        <v>17</v>
      </c>
      <c r="H2509" s="1" t="str">
        <f t="shared" si="1564"/>
        <v>62</v>
      </c>
      <c r="I2509" s="1" t="str">
        <f>"163.12"</f>
        <v>163.12</v>
      </c>
      <c r="J2509" s="1" t="str">
        <f t="shared" si="1554"/>
        <v>0</v>
      </c>
      <c r="K2509" s="1" t="str">
        <f t="shared" si="1555"/>
        <v>103</v>
      </c>
      <c r="L2509" s="1" t="str">
        <f t="shared" si="1556"/>
        <v>47</v>
      </c>
      <c r="M2509" s="1" t="str">
        <f t="shared" si="1559"/>
        <v>0</v>
      </c>
      <c r="N2509" s="1" t="str">
        <f t="shared" si="1560"/>
        <v>0</v>
      </c>
      <c r="O2509" s="1" t="str">
        <f>"13.12"</f>
        <v>13.12</v>
      </c>
    </row>
    <row r="2510" s="1" customFormat="1" spans="1:15">
      <c r="A2510" s="1" t="str">
        <f t="shared" si="1561"/>
        <v>202406</v>
      </c>
      <c r="B2510" s="1" t="str">
        <f t="shared" si="1562"/>
        <v>150525100</v>
      </c>
      <c r="C2510" s="1" t="str">
        <f>"1014575868"</f>
        <v>1014575868</v>
      </c>
      <c r="D2510" s="1" t="str">
        <f>"152326196310120676"</f>
        <v>152326196310120676</v>
      </c>
      <c r="E2510" s="1" t="s">
        <v>2064</v>
      </c>
      <c r="F2510" s="1" t="s">
        <v>25</v>
      </c>
      <c r="G2510" s="1" t="s">
        <v>17</v>
      </c>
      <c r="H2510" s="1" t="str">
        <f>"61"</f>
        <v>61</v>
      </c>
      <c r="I2510" s="1" t="str">
        <f>"165.09"</f>
        <v>165.09</v>
      </c>
      <c r="J2510" s="1" t="str">
        <f t="shared" si="1554"/>
        <v>0</v>
      </c>
      <c r="K2510" s="1" t="str">
        <f t="shared" si="1555"/>
        <v>103</v>
      </c>
      <c r="L2510" s="1" t="str">
        <f t="shared" si="1556"/>
        <v>47</v>
      </c>
      <c r="M2510" s="1" t="str">
        <f t="shared" si="1559"/>
        <v>0</v>
      </c>
      <c r="N2510" s="1" t="str">
        <f t="shared" si="1560"/>
        <v>0</v>
      </c>
      <c r="O2510" s="1" t="str">
        <f>"15.09"</f>
        <v>15.09</v>
      </c>
    </row>
    <row r="2511" s="1" customFormat="1" spans="1:15">
      <c r="A2511" s="1" t="str">
        <f t="shared" si="1561"/>
        <v>202406</v>
      </c>
      <c r="B2511" s="1" t="str">
        <f t="shared" si="1562"/>
        <v>150525100</v>
      </c>
      <c r="C2511" s="1" t="str">
        <f>"1014548413"</f>
        <v>1014548413</v>
      </c>
      <c r="D2511" s="1" t="str">
        <f>"152326195502280661"</f>
        <v>152326195502280661</v>
      </c>
      <c r="E2511" s="1" t="s">
        <v>2587</v>
      </c>
      <c r="F2511" s="1" t="s">
        <v>16</v>
      </c>
      <c r="G2511" s="1" t="s">
        <v>17</v>
      </c>
      <c r="H2511" s="1" t="str">
        <f t="shared" ref="H2511:H2513" si="1565">"69"</f>
        <v>69</v>
      </c>
      <c r="I2511" s="1" t="str">
        <f t="shared" ref="I2511:I2513" si="1566">"155.1"</f>
        <v>155.1</v>
      </c>
      <c r="J2511" s="1" t="str">
        <f t="shared" si="1554"/>
        <v>0</v>
      </c>
      <c r="K2511" s="1" t="str">
        <f t="shared" si="1555"/>
        <v>103</v>
      </c>
      <c r="L2511" s="1" t="str">
        <f t="shared" si="1556"/>
        <v>47</v>
      </c>
      <c r="M2511" s="1" t="str">
        <f t="shared" si="1559"/>
        <v>0</v>
      </c>
      <c r="N2511" s="1" t="str">
        <f t="shared" si="1560"/>
        <v>0</v>
      </c>
      <c r="O2511" s="1" t="str">
        <f t="shared" ref="O2511:O2513" si="1567">"5.1"</f>
        <v>5.1</v>
      </c>
    </row>
    <row r="2512" s="1" customFormat="1" spans="1:15">
      <c r="A2512" s="1" t="str">
        <f t="shared" si="1561"/>
        <v>202406</v>
      </c>
      <c r="B2512" s="1" t="str">
        <f t="shared" si="1562"/>
        <v>150525100</v>
      </c>
      <c r="C2512" s="1" t="str">
        <f>"1014548420"</f>
        <v>1014548420</v>
      </c>
      <c r="D2512" s="1" t="str">
        <f>"152326195507200667"</f>
        <v>152326195507200667</v>
      </c>
      <c r="E2512" s="1" t="s">
        <v>2588</v>
      </c>
      <c r="F2512" s="1" t="s">
        <v>16</v>
      </c>
      <c r="G2512" s="1" t="s">
        <v>17</v>
      </c>
      <c r="H2512" s="1" t="str">
        <f t="shared" si="1565"/>
        <v>69</v>
      </c>
      <c r="I2512" s="1" t="str">
        <f t="shared" si="1566"/>
        <v>155.1</v>
      </c>
      <c r="J2512" s="1" t="str">
        <f t="shared" si="1554"/>
        <v>0</v>
      </c>
      <c r="K2512" s="1" t="str">
        <f t="shared" si="1555"/>
        <v>103</v>
      </c>
      <c r="L2512" s="1" t="str">
        <f t="shared" si="1556"/>
        <v>47</v>
      </c>
      <c r="M2512" s="1" t="str">
        <f t="shared" si="1559"/>
        <v>0</v>
      </c>
      <c r="N2512" s="1" t="str">
        <f t="shared" si="1560"/>
        <v>0</v>
      </c>
      <c r="O2512" s="1" t="str">
        <f t="shared" si="1567"/>
        <v>5.1</v>
      </c>
    </row>
    <row r="2513" s="1" customFormat="1" spans="1:15">
      <c r="A2513" s="1" t="str">
        <f t="shared" si="1561"/>
        <v>202406</v>
      </c>
      <c r="B2513" s="1" t="str">
        <f t="shared" si="1562"/>
        <v>150525100</v>
      </c>
      <c r="C2513" s="1" t="str">
        <f>"1014548428"</f>
        <v>1014548428</v>
      </c>
      <c r="D2513" s="1" t="str">
        <f>"152326195512250677"</f>
        <v>152326195512250677</v>
      </c>
      <c r="E2513" s="1" t="s">
        <v>82</v>
      </c>
      <c r="F2513" s="1" t="s">
        <v>25</v>
      </c>
      <c r="G2513" s="1" t="s">
        <v>17</v>
      </c>
      <c r="H2513" s="1" t="str">
        <f t="shared" si="1565"/>
        <v>69</v>
      </c>
      <c r="I2513" s="1" t="str">
        <f t="shared" si="1566"/>
        <v>155.1</v>
      </c>
      <c r="J2513" s="1" t="str">
        <f t="shared" si="1554"/>
        <v>0</v>
      </c>
      <c r="K2513" s="1" t="str">
        <f t="shared" si="1555"/>
        <v>103</v>
      </c>
      <c r="L2513" s="1" t="str">
        <f t="shared" si="1556"/>
        <v>47</v>
      </c>
      <c r="M2513" s="1" t="str">
        <f t="shared" si="1559"/>
        <v>0</v>
      </c>
      <c r="N2513" s="1" t="str">
        <f t="shared" si="1560"/>
        <v>0</v>
      </c>
      <c r="O2513" s="1" t="str">
        <f t="shared" si="1567"/>
        <v>5.1</v>
      </c>
    </row>
    <row r="2514" s="1" customFormat="1" spans="1:15">
      <c r="A2514" s="1" t="str">
        <f t="shared" si="1561"/>
        <v>202406</v>
      </c>
      <c r="B2514" s="1" t="str">
        <f t="shared" si="1562"/>
        <v>150525100</v>
      </c>
      <c r="C2514" s="1" t="str">
        <f>"1014572923"</f>
        <v>1014572923</v>
      </c>
      <c r="D2514" s="1" t="str">
        <f>"152326195602080464"</f>
        <v>152326195602080464</v>
      </c>
      <c r="E2514" s="1" t="s">
        <v>2589</v>
      </c>
      <c r="F2514" s="1" t="s">
        <v>16</v>
      </c>
      <c r="G2514" s="1" t="s">
        <v>17</v>
      </c>
      <c r="H2514" s="1" t="str">
        <f>"68"</f>
        <v>68</v>
      </c>
      <c r="I2514" s="1" t="str">
        <f>"156"</f>
        <v>156</v>
      </c>
      <c r="J2514" s="1" t="str">
        <f t="shared" si="1554"/>
        <v>0</v>
      </c>
      <c r="K2514" s="1" t="str">
        <f t="shared" si="1555"/>
        <v>103</v>
      </c>
      <c r="L2514" s="1" t="str">
        <f t="shared" si="1556"/>
        <v>47</v>
      </c>
      <c r="M2514" s="1" t="str">
        <f t="shared" si="1559"/>
        <v>0</v>
      </c>
      <c r="N2514" s="1" t="str">
        <f t="shared" si="1560"/>
        <v>0</v>
      </c>
      <c r="O2514" s="1" t="str">
        <f>"6"</f>
        <v>6</v>
      </c>
    </row>
    <row r="2515" s="1" customFormat="1" spans="1:15">
      <c r="A2515" s="1" t="str">
        <f t="shared" si="1561"/>
        <v>202406</v>
      </c>
      <c r="B2515" s="1" t="str">
        <f t="shared" si="1562"/>
        <v>150525100</v>
      </c>
      <c r="C2515" s="1" t="str">
        <f>"1014573210"</f>
        <v>1014573210</v>
      </c>
      <c r="D2515" s="1" t="str">
        <f>"152326195609113070"</f>
        <v>152326195609113070</v>
      </c>
      <c r="E2515" s="1" t="s">
        <v>2590</v>
      </c>
      <c r="F2515" s="1" t="s">
        <v>25</v>
      </c>
      <c r="G2515" s="1" t="s">
        <v>17</v>
      </c>
      <c r="H2515" s="1" t="str">
        <f>"68"</f>
        <v>68</v>
      </c>
      <c r="I2515" s="1" t="str">
        <f>"156.01"</f>
        <v>156.01</v>
      </c>
      <c r="J2515" s="1" t="str">
        <f t="shared" si="1554"/>
        <v>0</v>
      </c>
      <c r="K2515" s="1" t="str">
        <f t="shared" si="1555"/>
        <v>103</v>
      </c>
      <c r="L2515" s="1" t="str">
        <f t="shared" si="1556"/>
        <v>47</v>
      </c>
      <c r="M2515" s="1" t="str">
        <f t="shared" si="1559"/>
        <v>0</v>
      </c>
      <c r="N2515" s="1" t="str">
        <f t="shared" si="1560"/>
        <v>0</v>
      </c>
      <c r="O2515" s="1" t="str">
        <f>"6.01"</f>
        <v>6.01</v>
      </c>
    </row>
    <row r="2516" s="1" customFormat="1" spans="1:15">
      <c r="A2516" s="1" t="str">
        <f t="shared" si="1561"/>
        <v>202406</v>
      </c>
      <c r="B2516" s="1" t="str">
        <f t="shared" si="1562"/>
        <v>150525100</v>
      </c>
      <c r="C2516" s="1" t="str">
        <f>"1014573216"</f>
        <v>1014573216</v>
      </c>
      <c r="D2516" s="1" t="str">
        <f>"152326195701080021"</f>
        <v>152326195701080021</v>
      </c>
      <c r="E2516" s="1" t="s">
        <v>2591</v>
      </c>
      <c r="F2516" s="1" t="s">
        <v>16</v>
      </c>
      <c r="G2516" s="1" t="s">
        <v>17</v>
      </c>
      <c r="H2516" s="1" t="str">
        <f>"67"</f>
        <v>67</v>
      </c>
      <c r="I2516" s="1" t="str">
        <f>"155.87"</f>
        <v>155.87</v>
      </c>
      <c r="J2516" s="1" t="str">
        <f t="shared" si="1554"/>
        <v>0</v>
      </c>
      <c r="K2516" s="1" t="str">
        <f t="shared" si="1555"/>
        <v>103</v>
      </c>
      <c r="L2516" s="1" t="str">
        <f t="shared" si="1556"/>
        <v>47</v>
      </c>
      <c r="M2516" s="1" t="str">
        <f t="shared" si="1559"/>
        <v>0</v>
      </c>
      <c r="N2516" s="1" t="str">
        <f t="shared" si="1560"/>
        <v>0</v>
      </c>
      <c r="O2516" s="1" t="str">
        <f>"5.87"</f>
        <v>5.87</v>
      </c>
    </row>
    <row r="2517" s="1" customFormat="1" spans="1:15">
      <c r="A2517" s="1" t="str">
        <f t="shared" si="1561"/>
        <v>202406</v>
      </c>
      <c r="B2517" s="1" t="str">
        <f t="shared" si="1562"/>
        <v>150525100</v>
      </c>
      <c r="C2517" s="1" t="str">
        <f>"1014573511"</f>
        <v>1014573511</v>
      </c>
      <c r="D2517" s="1" t="str">
        <f>"152326196304163071"</f>
        <v>152326196304163071</v>
      </c>
      <c r="E2517" s="1" t="s">
        <v>2592</v>
      </c>
      <c r="F2517" s="1" t="s">
        <v>25</v>
      </c>
      <c r="G2517" s="1" t="s">
        <v>17</v>
      </c>
      <c r="H2517" s="1" t="str">
        <f>"61"</f>
        <v>61</v>
      </c>
      <c r="I2517" s="1" t="str">
        <f>"167.36"</f>
        <v>167.36</v>
      </c>
      <c r="J2517" s="1" t="str">
        <f t="shared" si="1554"/>
        <v>0</v>
      </c>
      <c r="K2517" s="1" t="str">
        <f t="shared" si="1555"/>
        <v>103</v>
      </c>
      <c r="L2517" s="1" t="str">
        <f t="shared" si="1556"/>
        <v>47</v>
      </c>
      <c r="M2517" s="1" t="str">
        <f t="shared" si="1559"/>
        <v>0</v>
      </c>
      <c r="N2517" s="1" t="str">
        <f t="shared" si="1560"/>
        <v>0</v>
      </c>
      <c r="O2517" s="1" t="str">
        <f>"17.36"</f>
        <v>17.36</v>
      </c>
    </row>
    <row r="2518" s="1" customFormat="1" spans="1:15">
      <c r="A2518" s="1" t="str">
        <f t="shared" si="1561"/>
        <v>202406</v>
      </c>
      <c r="B2518" s="1" t="str">
        <f t="shared" si="1562"/>
        <v>150525100</v>
      </c>
      <c r="C2518" s="1" t="str">
        <f>"1014548443"</f>
        <v>1014548443</v>
      </c>
      <c r="D2518" s="1" t="str">
        <f>"152326195711140681"</f>
        <v>152326195711140681</v>
      </c>
      <c r="E2518" s="1" t="s">
        <v>2593</v>
      </c>
      <c r="F2518" s="1" t="s">
        <v>16</v>
      </c>
      <c r="G2518" s="1" t="s">
        <v>17</v>
      </c>
      <c r="H2518" s="1" t="str">
        <f>"67"</f>
        <v>67</v>
      </c>
      <c r="I2518" s="1" t="str">
        <f>"2024.3"</f>
        <v>2024.3</v>
      </c>
      <c r="J2518" s="1" t="str">
        <f>"1868.2"</f>
        <v>1868.2</v>
      </c>
      <c r="K2518" s="1" t="str">
        <f>"1334"</f>
        <v>1334</v>
      </c>
      <c r="L2518" s="1" t="str">
        <f>"611"</f>
        <v>611</v>
      </c>
      <c r="M2518" s="1" t="str">
        <f t="shared" si="1559"/>
        <v>0</v>
      </c>
      <c r="N2518" s="1" t="str">
        <f t="shared" si="1560"/>
        <v>0</v>
      </c>
      <c r="O2518" s="1" t="str">
        <f>"79.3"</f>
        <v>79.3</v>
      </c>
    </row>
    <row r="2519" s="1" customFormat="1" spans="1:15">
      <c r="A2519" s="1" t="str">
        <f t="shared" si="1561"/>
        <v>202406</v>
      </c>
      <c r="B2519" s="1" t="str">
        <f t="shared" si="1562"/>
        <v>150525100</v>
      </c>
      <c r="C2519" s="1" t="str">
        <f>"1014548446"</f>
        <v>1014548446</v>
      </c>
      <c r="D2519" s="1" t="str">
        <f>"152326195802170675"</f>
        <v>152326195802170675</v>
      </c>
      <c r="E2519" s="1" t="s">
        <v>2594</v>
      </c>
      <c r="F2519" s="1" t="s">
        <v>25</v>
      </c>
      <c r="G2519" s="1" t="s">
        <v>17</v>
      </c>
      <c r="H2519" s="1" t="str">
        <f>"66"</f>
        <v>66</v>
      </c>
      <c r="I2519" s="1" t="str">
        <f>"157.06"</f>
        <v>157.06</v>
      </c>
      <c r="J2519" s="1" t="str">
        <f t="shared" ref="J2519:J2571" si="1568">"0"</f>
        <v>0</v>
      </c>
      <c r="K2519" s="1" t="str">
        <f t="shared" ref="K2519:K2531" si="1569">"103"</f>
        <v>103</v>
      </c>
      <c r="L2519" s="1" t="str">
        <f t="shared" ref="L2519:L2531" si="1570">"47"</f>
        <v>47</v>
      </c>
      <c r="M2519" s="1" t="str">
        <f t="shared" si="1559"/>
        <v>0</v>
      </c>
      <c r="N2519" s="1" t="str">
        <f t="shared" si="1560"/>
        <v>0</v>
      </c>
      <c r="O2519" s="1" t="str">
        <f>"7.06"</f>
        <v>7.06</v>
      </c>
    </row>
    <row r="2520" s="1" customFormat="1" spans="1:15">
      <c r="A2520" s="1" t="str">
        <f t="shared" si="1561"/>
        <v>202406</v>
      </c>
      <c r="B2520" s="1" t="str">
        <f t="shared" si="1562"/>
        <v>150525100</v>
      </c>
      <c r="C2520" s="1" t="str">
        <f>"1014548448"</f>
        <v>1014548448</v>
      </c>
      <c r="D2520" s="1" t="str">
        <f>"152326195804160665"</f>
        <v>152326195804160665</v>
      </c>
      <c r="E2520" s="1" t="s">
        <v>2595</v>
      </c>
      <c r="F2520" s="1" t="s">
        <v>16</v>
      </c>
      <c r="G2520" s="1" t="s">
        <v>17</v>
      </c>
      <c r="H2520" s="1" t="str">
        <f>"66"</f>
        <v>66</v>
      </c>
      <c r="I2520" s="1" t="str">
        <f>"157.08"</f>
        <v>157.08</v>
      </c>
      <c r="J2520" s="1" t="str">
        <f t="shared" si="1568"/>
        <v>0</v>
      </c>
      <c r="K2520" s="1" t="str">
        <f t="shared" si="1569"/>
        <v>103</v>
      </c>
      <c r="L2520" s="1" t="str">
        <f t="shared" si="1570"/>
        <v>47</v>
      </c>
      <c r="M2520" s="1" t="str">
        <f t="shared" si="1559"/>
        <v>0</v>
      </c>
      <c r="N2520" s="1" t="str">
        <f t="shared" si="1560"/>
        <v>0</v>
      </c>
      <c r="O2520" s="1" t="str">
        <f>"7.08"</f>
        <v>7.08</v>
      </c>
    </row>
    <row r="2521" s="1" customFormat="1" spans="1:15">
      <c r="A2521" s="1" t="str">
        <f t="shared" si="1561"/>
        <v>202406</v>
      </c>
      <c r="B2521" s="1" t="str">
        <f t="shared" si="1562"/>
        <v>150525100</v>
      </c>
      <c r="C2521" s="1" t="str">
        <f>"1014548453"</f>
        <v>1014548453</v>
      </c>
      <c r="D2521" s="1" t="str">
        <f>"152326195901090662"</f>
        <v>152326195901090662</v>
      </c>
      <c r="E2521" s="1" t="s">
        <v>2596</v>
      </c>
      <c r="F2521" s="1" t="s">
        <v>16</v>
      </c>
      <c r="G2521" s="1" t="s">
        <v>17</v>
      </c>
      <c r="H2521" s="1" t="str">
        <f>"65"</f>
        <v>65</v>
      </c>
      <c r="I2521" s="1" t="str">
        <f>"158.1"</f>
        <v>158.1</v>
      </c>
      <c r="J2521" s="1" t="str">
        <f t="shared" si="1568"/>
        <v>0</v>
      </c>
      <c r="K2521" s="1" t="str">
        <f t="shared" si="1569"/>
        <v>103</v>
      </c>
      <c r="L2521" s="1" t="str">
        <f t="shared" si="1570"/>
        <v>47</v>
      </c>
      <c r="M2521" s="1" t="str">
        <f t="shared" si="1559"/>
        <v>0</v>
      </c>
      <c r="N2521" s="1" t="str">
        <f t="shared" si="1560"/>
        <v>0</v>
      </c>
      <c r="O2521" s="1" t="str">
        <f>"8.1"</f>
        <v>8.1</v>
      </c>
    </row>
    <row r="2522" s="1" customFormat="1" spans="1:15">
      <c r="A2522" s="1" t="str">
        <f t="shared" si="1561"/>
        <v>202406</v>
      </c>
      <c r="B2522" s="1" t="str">
        <f t="shared" si="1562"/>
        <v>150525100</v>
      </c>
      <c r="C2522" s="1" t="str">
        <f>"1014573393"</f>
        <v>1014573393</v>
      </c>
      <c r="D2522" s="1" t="str">
        <f>"152326196003220028"</f>
        <v>152326196003220028</v>
      </c>
      <c r="E2522" s="1" t="s">
        <v>2597</v>
      </c>
      <c r="F2522" s="1" t="s">
        <v>16</v>
      </c>
      <c r="G2522" s="1" t="s">
        <v>17</v>
      </c>
      <c r="H2522" s="1" t="str">
        <f>"64"</f>
        <v>64</v>
      </c>
      <c r="I2522" s="1" t="str">
        <f>"159.17"</f>
        <v>159.17</v>
      </c>
      <c r="J2522" s="1" t="str">
        <f t="shared" si="1568"/>
        <v>0</v>
      </c>
      <c r="K2522" s="1" t="str">
        <f t="shared" si="1569"/>
        <v>103</v>
      </c>
      <c r="L2522" s="1" t="str">
        <f t="shared" si="1570"/>
        <v>47</v>
      </c>
      <c r="M2522" s="1" t="str">
        <f t="shared" si="1559"/>
        <v>0</v>
      </c>
      <c r="N2522" s="1" t="str">
        <f t="shared" si="1560"/>
        <v>0</v>
      </c>
      <c r="O2522" s="1" t="str">
        <f>"9.17"</f>
        <v>9.17</v>
      </c>
    </row>
    <row r="2523" s="1" customFormat="1" spans="1:15">
      <c r="A2523" s="1" t="str">
        <f t="shared" si="1561"/>
        <v>202406</v>
      </c>
      <c r="B2523" s="1" t="str">
        <f t="shared" si="1562"/>
        <v>150525100</v>
      </c>
      <c r="C2523" s="1" t="str">
        <f>"1014575656"</f>
        <v>1014575656</v>
      </c>
      <c r="D2523" s="1" t="str">
        <f>"152326195910243085"</f>
        <v>152326195910243085</v>
      </c>
      <c r="E2523" s="1" t="s">
        <v>2547</v>
      </c>
      <c r="F2523" s="1" t="s">
        <v>16</v>
      </c>
      <c r="G2523" s="1" t="s">
        <v>17</v>
      </c>
      <c r="H2523" s="1" t="str">
        <f>"65"</f>
        <v>65</v>
      </c>
      <c r="I2523" s="1" t="str">
        <f>"158.19"</f>
        <v>158.19</v>
      </c>
      <c r="J2523" s="1" t="str">
        <f t="shared" si="1568"/>
        <v>0</v>
      </c>
      <c r="K2523" s="1" t="str">
        <f t="shared" si="1569"/>
        <v>103</v>
      </c>
      <c r="L2523" s="1" t="str">
        <f t="shared" si="1570"/>
        <v>47</v>
      </c>
      <c r="M2523" s="1" t="str">
        <f t="shared" si="1559"/>
        <v>0</v>
      </c>
      <c r="N2523" s="1" t="str">
        <f t="shared" si="1560"/>
        <v>0</v>
      </c>
      <c r="O2523" s="1" t="str">
        <f>"8.19"</f>
        <v>8.19</v>
      </c>
    </row>
    <row r="2524" s="1" customFormat="1" spans="1:15">
      <c r="A2524" s="1" t="str">
        <f t="shared" si="1561"/>
        <v>202406</v>
      </c>
      <c r="B2524" s="1" t="str">
        <f t="shared" si="1562"/>
        <v>150525100</v>
      </c>
      <c r="C2524" s="1" t="str">
        <f>"1014575677"</f>
        <v>1014575677</v>
      </c>
      <c r="D2524" s="1" t="str">
        <f>"152326196212243074"</f>
        <v>152326196212243074</v>
      </c>
      <c r="E2524" s="1" t="s">
        <v>2598</v>
      </c>
      <c r="F2524" s="1" t="s">
        <v>25</v>
      </c>
      <c r="G2524" s="1" t="s">
        <v>17</v>
      </c>
      <c r="H2524" s="1" t="str">
        <f>"62"</f>
        <v>62</v>
      </c>
      <c r="I2524" s="1" t="str">
        <f>"165.38"</f>
        <v>165.38</v>
      </c>
      <c r="J2524" s="1" t="str">
        <f t="shared" si="1568"/>
        <v>0</v>
      </c>
      <c r="K2524" s="1" t="str">
        <f t="shared" si="1569"/>
        <v>103</v>
      </c>
      <c r="L2524" s="1" t="str">
        <f t="shared" si="1570"/>
        <v>47</v>
      </c>
      <c r="M2524" s="1" t="str">
        <f t="shared" si="1559"/>
        <v>0</v>
      </c>
      <c r="N2524" s="1" t="str">
        <f t="shared" si="1560"/>
        <v>0</v>
      </c>
      <c r="O2524" s="1" t="str">
        <f>"15.38"</f>
        <v>15.38</v>
      </c>
    </row>
    <row r="2525" s="1" customFormat="1" spans="1:15">
      <c r="A2525" s="1" t="str">
        <f t="shared" si="1561"/>
        <v>202406</v>
      </c>
      <c r="B2525" s="1" t="str">
        <f t="shared" si="1562"/>
        <v>150525100</v>
      </c>
      <c r="C2525" s="1" t="str">
        <f>"1014576230"</f>
        <v>1014576230</v>
      </c>
      <c r="D2525" s="1" t="str">
        <f>"152326195305246149"</f>
        <v>152326195305246149</v>
      </c>
      <c r="E2525" s="1" t="s">
        <v>2599</v>
      </c>
      <c r="F2525" s="1" t="s">
        <v>16</v>
      </c>
      <c r="G2525" s="1" t="s">
        <v>17</v>
      </c>
      <c r="H2525" s="1" t="str">
        <f>"71"</f>
        <v>71</v>
      </c>
      <c r="I2525" s="1" t="str">
        <f>"163.16"</f>
        <v>163.16</v>
      </c>
      <c r="J2525" s="1" t="str">
        <f t="shared" si="1568"/>
        <v>0</v>
      </c>
      <c r="K2525" s="1" t="str">
        <f t="shared" si="1569"/>
        <v>103</v>
      </c>
      <c r="L2525" s="1" t="str">
        <f t="shared" si="1570"/>
        <v>47</v>
      </c>
      <c r="M2525" s="1" t="str">
        <f t="shared" si="1559"/>
        <v>0</v>
      </c>
      <c r="N2525" s="1" t="str">
        <f t="shared" si="1560"/>
        <v>0</v>
      </c>
      <c r="O2525" s="1" t="str">
        <f>"3.16"</f>
        <v>3.16</v>
      </c>
    </row>
    <row r="2526" s="1" customFormat="1" spans="1:15">
      <c r="A2526" s="1" t="str">
        <f t="shared" si="1561"/>
        <v>202406</v>
      </c>
      <c r="B2526" s="1" t="str">
        <f t="shared" si="1562"/>
        <v>150525100</v>
      </c>
      <c r="C2526" s="1" t="str">
        <f>"1014576858"</f>
        <v>1014576858</v>
      </c>
      <c r="D2526" s="1" t="str">
        <f>"152326195806150671"</f>
        <v>152326195806150671</v>
      </c>
      <c r="E2526" s="1" t="s">
        <v>2600</v>
      </c>
      <c r="F2526" s="1" t="s">
        <v>25</v>
      </c>
      <c r="G2526" s="1" t="s">
        <v>17</v>
      </c>
      <c r="H2526" s="1" t="str">
        <f>"66"</f>
        <v>66</v>
      </c>
      <c r="I2526" s="1" t="str">
        <f>"157.1"</f>
        <v>157.1</v>
      </c>
      <c r="J2526" s="1" t="str">
        <f t="shared" si="1568"/>
        <v>0</v>
      </c>
      <c r="K2526" s="1" t="str">
        <f t="shared" si="1569"/>
        <v>103</v>
      </c>
      <c r="L2526" s="1" t="str">
        <f t="shared" si="1570"/>
        <v>47</v>
      </c>
      <c r="M2526" s="1" t="str">
        <f t="shared" si="1559"/>
        <v>0</v>
      </c>
      <c r="N2526" s="1" t="str">
        <f t="shared" si="1560"/>
        <v>0</v>
      </c>
      <c r="O2526" s="1" t="str">
        <f>"7.1"</f>
        <v>7.1</v>
      </c>
    </row>
    <row r="2527" s="1" customFormat="1" spans="1:15">
      <c r="A2527" s="1" t="str">
        <f t="shared" si="1561"/>
        <v>202406</v>
      </c>
      <c r="B2527" s="1" t="str">
        <f t="shared" si="1562"/>
        <v>150525100</v>
      </c>
      <c r="C2527" s="1" t="str">
        <f>"1014576876"</f>
        <v>1014576876</v>
      </c>
      <c r="D2527" s="1" t="str">
        <f>"152326196011200676"</f>
        <v>152326196011200676</v>
      </c>
      <c r="E2527" s="1" t="s">
        <v>2601</v>
      </c>
      <c r="F2527" s="1" t="s">
        <v>25</v>
      </c>
      <c r="G2527" s="1" t="s">
        <v>17</v>
      </c>
      <c r="H2527" s="1" t="str">
        <f t="shared" ref="H2527:H2531" si="1571">"64"</f>
        <v>64</v>
      </c>
      <c r="I2527" s="1" t="str">
        <f>"166.77"</f>
        <v>166.77</v>
      </c>
      <c r="J2527" s="1" t="str">
        <f t="shared" si="1568"/>
        <v>0</v>
      </c>
      <c r="K2527" s="1" t="str">
        <f t="shared" si="1569"/>
        <v>103</v>
      </c>
      <c r="L2527" s="1" t="str">
        <f t="shared" si="1570"/>
        <v>47</v>
      </c>
      <c r="M2527" s="1" t="str">
        <f t="shared" si="1559"/>
        <v>0</v>
      </c>
      <c r="N2527" s="1" t="str">
        <f t="shared" si="1560"/>
        <v>0</v>
      </c>
      <c r="O2527" s="1" t="str">
        <f>"16.77"</f>
        <v>16.77</v>
      </c>
    </row>
    <row r="2528" s="1" customFormat="1" spans="1:15">
      <c r="A2528" s="1" t="str">
        <f t="shared" si="1561"/>
        <v>202406</v>
      </c>
      <c r="B2528" s="1" t="str">
        <f t="shared" si="1562"/>
        <v>150525100</v>
      </c>
      <c r="C2528" s="1" t="str">
        <f>"1014552213"</f>
        <v>1014552213</v>
      </c>
      <c r="D2528" s="1" t="str">
        <f>"152326196004183812"</f>
        <v>152326196004183812</v>
      </c>
      <c r="E2528" s="1" t="s">
        <v>2602</v>
      </c>
      <c r="F2528" s="1" t="s">
        <v>25</v>
      </c>
      <c r="G2528" s="1" t="s">
        <v>17</v>
      </c>
      <c r="H2528" s="1" t="str">
        <f t="shared" si="1571"/>
        <v>64</v>
      </c>
      <c r="I2528" s="1" t="str">
        <f>"158.95"</f>
        <v>158.95</v>
      </c>
      <c r="J2528" s="1" t="str">
        <f t="shared" si="1568"/>
        <v>0</v>
      </c>
      <c r="K2528" s="1" t="str">
        <f t="shared" si="1569"/>
        <v>103</v>
      </c>
      <c r="L2528" s="1" t="str">
        <f t="shared" si="1570"/>
        <v>47</v>
      </c>
      <c r="M2528" s="1" t="str">
        <f t="shared" si="1559"/>
        <v>0</v>
      </c>
      <c r="N2528" s="1" t="str">
        <f t="shared" si="1560"/>
        <v>0</v>
      </c>
      <c r="O2528" s="1" t="str">
        <f>"8.95"</f>
        <v>8.95</v>
      </c>
    </row>
    <row r="2529" s="1" customFormat="1" spans="1:15">
      <c r="A2529" s="1" t="str">
        <f t="shared" si="1561"/>
        <v>202406</v>
      </c>
      <c r="B2529" s="1" t="str">
        <f t="shared" si="1562"/>
        <v>150525100</v>
      </c>
      <c r="C2529" s="1" t="str">
        <f>"1014573401"</f>
        <v>1014573401</v>
      </c>
      <c r="D2529" s="1" t="str">
        <f>"152326196007060025"</f>
        <v>152326196007060025</v>
      </c>
      <c r="E2529" s="1" t="s">
        <v>2603</v>
      </c>
      <c r="F2529" s="1" t="s">
        <v>16</v>
      </c>
      <c r="G2529" s="1" t="s">
        <v>17</v>
      </c>
      <c r="H2529" s="1" t="str">
        <f t="shared" si="1571"/>
        <v>64</v>
      </c>
      <c r="I2529" s="1" t="str">
        <f>"160.03"</f>
        <v>160.03</v>
      </c>
      <c r="J2529" s="1" t="str">
        <f t="shared" si="1568"/>
        <v>0</v>
      </c>
      <c r="K2529" s="1" t="str">
        <f t="shared" si="1569"/>
        <v>103</v>
      </c>
      <c r="L2529" s="1" t="str">
        <f t="shared" si="1570"/>
        <v>47</v>
      </c>
      <c r="M2529" s="1" t="str">
        <f t="shared" si="1559"/>
        <v>0</v>
      </c>
      <c r="N2529" s="1" t="str">
        <f t="shared" si="1560"/>
        <v>0</v>
      </c>
      <c r="O2529" s="1" t="str">
        <f>"10.03"</f>
        <v>10.03</v>
      </c>
    </row>
    <row r="2530" s="1" customFormat="1" spans="1:15">
      <c r="A2530" s="1" t="str">
        <f t="shared" si="1561"/>
        <v>202406</v>
      </c>
      <c r="B2530" s="1" t="str">
        <f t="shared" si="1562"/>
        <v>150525100</v>
      </c>
      <c r="C2530" s="1" t="str">
        <f>"1014573408"</f>
        <v>1014573408</v>
      </c>
      <c r="D2530" s="1" t="str">
        <f>"152326196010210047"</f>
        <v>152326196010210047</v>
      </c>
      <c r="E2530" s="1" t="s">
        <v>385</v>
      </c>
      <c r="F2530" s="1" t="s">
        <v>16</v>
      </c>
      <c r="G2530" s="1" t="s">
        <v>17</v>
      </c>
      <c r="H2530" s="1" t="str">
        <f t="shared" si="1571"/>
        <v>64</v>
      </c>
      <c r="I2530" s="1" t="str">
        <f>"159.25"</f>
        <v>159.25</v>
      </c>
      <c r="J2530" s="1" t="str">
        <f t="shared" si="1568"/>
        <v>0</v>
      </c>
      <c r="K2530" s="1" t="str">
        <f t="shared" si="1569"/>
        <v>103</v>
      </c>
      <c r="L2530" s="1" t="str">
        <f t="shared" si="1570"/>
        <v>47</v>
      </c>
      <c r="M2530" s="1" t="str">
        <f t="shared" si="1559"/>
        <v>0</v>
      </c>
      <c r="N2530" s="1" t="str">
        <f t="shared" si="1560"/>
        <v>0</v>
      </c>
      <c r="O2530" s="1" t="str">
        <f>"9.25"</f>
        <v>9.25</v>
      </c>
    </row>
    <row r="2531" s="1" customFormat="1" spans="1:15">
      <c r="A2531" s="1" t="str">
        <f t="shared" si="1561"/>
        <v>202406</v>
      </c>
      <c r="B2531" s="1" t="str">
        <f t="shared" si="1562"/>
        <v>150525100</v>
      </c>
      <c r="C2531" s="1" t="str">
        <f>"1014575522"</f>
        <v>1014575522</v>
      </c>
      <c r="D2531" s="1" t="s">
        <v>2604</v>
      </c>
      <c r="E2531" s="1" t="s">
        <v>2605</v>
      </c>
      <c r="F2531" s="1" t="s">
        <v>16</v>
      </c>
      <c r="G2531" s="1" t="s">
        <v>17</v>
      </c>
      <c r="H2531" s="1" t="str">
        <f t="shared" si="1571"/>
        <v>64</v>
      </c>
      <c r="I2531" s="1" t="str">
        <f>"159.21"</f>
        <v>159.21</v>
      </c>
      <c r="J2531" s="1" t="str">
        <f t="shared" si="1568"/>
        <v>0</v>
      </c>
      <c r="K2531" s="1" t="str">
        <f t="shared" si="1569"/>
        <v>103</v>
      </c>
      <c r="L2531" s="1" t="str">
        <f t="shared" si="1570"/>
        <v>47</v>
      </c>
      <c r="M2531" s="1" t="str">
        <f t="shared" si="1559"/>
        <v>0</v>
      </c>
      <c r="N2531" s="1" t="str">
        <f t="shared" si="1560"/>
        <v>0</v>
      </c>
      <c r="O2531" s="1" t="str">
        <f>"9.21"</f>
        <v>9.21</v>
      </c>
    </row>
    <row r="2532" s="1" customFormat="1" spans="1:15">
      <c r="A2532" s="1" t="str">
        <f t="shared" si="1561"/>
        <v>202406</v>
      </c>
      <c r="B2532" s="1" t="str">
        <f t="shared" si="1562"/>
        <v>150525100</v>
      </c>
      <c r="C2532" s="1" t="str">
        <f>"1014575897"</f>
        <v>1014575897</v>
      </c>
      <c r="D2532" s="1" t="str">
        <f>"152326195710080672"</f>
        <v>152326195710080672</v>
      </c>
      <c r="E2532" s="1" t="s">
        <v>2606</v>
      </c>
      <c r="F2532" s="1" t="s">
        <v>25</v>
      </c>
      <c r="G2532" s="1" t="s">
        <v>96</v>
      </c>
      <c r="H2532" s="1" t="str">
        <f>"67"</f>
        <v>67</v>
      </c>
      <c r="I2532" s="1" t="str">
        <f>"2242.58"</f>
        <v>2242.58</v>
      </c>
      <c r="J2532" s="1" t="str">
        <f t="shared" si="1568"/>
        <v>0</v>
      </c>
      <c r="K2532" s="1" t="str">
        <f t="shared" ref="K2532:O2532" si="1572">"0"</f>
        <v>0</v>
      </c>
      <c r="L2532" s="1" t="str">
        <f t="shared" si="1572"/>
        <v>0</v>
      </c>
      <c r="M2532" s="1" t="str">
        <f t="shared" si="1559"/>
        <v>0</v>
      </c>
      <c r="N2532" s="1" t="str">
        <f t="shared" si="1560"/>
        <v>0</v>
      </c>
      <c r="O2532" s="1" t="str">
        <f t="shared" si="1572"/>
        <v>0</v>
      </c>
    </row>
    <row r="2533" s="1" customFormat="1" spans="1:15">
      <c r="A2533" s="1" t="str">
        <f t="shared" si="1561"/>
        <v>202406</v>
      </c>
      <c r="B2533" s="1" t="str">
        <f t="shared" si="1562"/>
        <v>150525100</v>
      </c>
      <c r="C2533" s="1" t="str">
        <f>"1014576413"</f>
        <v>1014576413</v>
      </c>
      <c r="D2533" s="1" t="s">
        <v>2607</v>
      </c>
      <c r="E2533" s="1" t="s">
        <v>2608</v>
      </c>
      <c r="F2533" s="1" t="s">
        <v>25</v>
      </c>
      <c r="G2533" s="1" t="s">
        <v>17</v>
      </c>
      <c r="H2533" s="1" t="str">
        <f>"66"</f>
        <v>66</v>
      </c>
      <c r="I2533" s="1" t="str">
        <f>"156.84"</f>
        <v>156.84</v>
      </c>
      <c r="J2533" s="1" t="str">
        <f t="shared" si="1568"/>
        <v>0</v>
      </c>
      <c r="K2533" s="1" t="str">
        <f t="shared" ref="K2533:K2571" si="1573">"103"</f>
        <v>103</v>
      </c>
      <c r="L2533" s="1" t="str">
        <f t="shared" ref="L2533:L2571" si="1574">"47"</f>
        <v>47</v>
      </c>
      <c r="M2533" s="1" t="str">
        <f t="shared" si="1559"/>
        <v>0</v>
      </c>
      <c r="N2533" s="1" t="str">
        <f t="shared" si="1560"/>
        <v>0</v>
      </c>
      <c r="O2533" s="1" t="str">
        <f>"6.84"</f>
        <v>6.84</v>
      </c>
    </row>
    <row r="2534" s="1" customFormat="1" spans="1:15">
      <c r="A2534" s="1" t="str">
        <f t="shared" si="1561"/>
        <v>202406</v>
      </c>
      <c r="B2534" s="1" t="str">
        <f t="shared" si="1562"/>
        <v>150525100</v>
      </c>
      <c r="C2534" s="1" t="str">
        <f>"1014576421"</f>
        <v>1014576421</v>
      </c>
      <c r="D2534" s="1" t="str">
        <f>"152326195201020663"</f>
        <v>152326195201020663</v>
      </c>
      <c r="E2534" s="1" t="s">
        <v>2609</v>
      </c>
      <c r="F2534" s="1" t="s">
        <v>16</v>
      </c>
      <c r="G2534" s="1" t="s">
        <v>17</v>
      </c>
      <c r="H2534" s="1" t="str">
        <f>"73"</f>
        <v>73</v>
      </c>
      <c r="I2534" s="1" t="str">
        <f>"162.14"</f>
        <v>162.14</v>
      </c>
      <c r="J2534" s="1" t="str">
        <f t="shared" si="1568"/>
        <v>0</v>
      </c>
      <c r="K2534" s="1" t="str">
        <f t="shared" si="1573"/>
        <v>103</v>
      </c>
      <c r="L2534" s="1" t="str">
        <f t="shared" si="1574"/>
        <v>47</v>
      </c>
      <c r="M2534" s="1" t="str">
        <f t="shared" si="1559"/>
        <v>0</v>
      </c>
      <c r="N2534" s="1" t="str">
        <f t="shared" si="1560"/>
        <v>0</v>
      </c>
      <c r="O2534" s="1" t="str">
        <f>"2.14"</f>
        <v>2.14</v>
      </c>
    </row>
    <row r="2535" s="1" customFormat="1" spans="1:15">
      <c r="A2535" s="1" t="str">
        <f t="shared" si="1561"/>
        <v>202406</v>
      </c>
      <c r="B2535" s="1" t="str">
        <f t="shared" si="1562"/>
        <v>150525100</v>
      </c>
      <c r="C2535" s="1" t="str">
        <f>"1014571631"</f>
        <v>1014571631</v>
      </c>
      <c r="D2535" s="1" t="str">
        <f>"152326196210130033"</f>
        <v>152326196210130033</v>
      </c>
      <c r="E2535" s="1" t="s">
        <v>2610</v>
      </c>
      <c r="F2535" s="1" t="s">
        <v>25</v>
      </c>
      <c r="G2535" s="1" t="s">
        <v>17</v>
      </c>
      <c r="H2535" s="1" t="str">
        <f>"62"</f>
        <v>62</v>
      </c>
      <c r="I2535" s="1" t="str">
        <f>"190.31"</f>
        <v>190.31</v>
      </c>
      <c r="J2535" s="1" t="str">
        <f t="shared" si="1568"/>
        <v>0</v>
      </c>
      <c r="K2535" s="1" t="str">
        <f t="shared" si="1573"/>
        <v>103</v>
      </c>
      <c r="L2535" s="1" t="str">
        <f t="shared" si="1574"/>
        <v>47</v>
      </c>
      <c r="M2535" s="1" t="str">
        <f t="shared" si="1559"/>
        <v>0</v>
      </c>
      <c r="N2535" s="1" t="str">
        <f t="shared" si="1560"/>
        <v>0</v>
      </c>
      <c r="O2535" s="1" t="str">
        <f>"40.31"</f>
        <v>40.31</v>
      </c>
    </row>
    <row r="2536" s="1" customFormat="1" spans="1:15">
      <c r="A2536" s="1" t="str">
        <f t="shared" si="1561"/>
        <v>202406</v>
      </c>
      <c r="B2536" s="1" t="str">
        <f t="shared" si="1562"/>
        <v>150525100</v>
      </c>
      <c r="C2536" s="1" t="str">
        <f>"1014571633"</f>
        <v>1014571633</v>
      </c>
      <c r="D2536" s="1" t="str">
        <f>"152326196304220048"</f>
        <v>152326196304220048</v>
      </c>
      <c r="E2536" s="1" t="s">
        <v>2611</v>
      </c>
      <c r="F2536" s="1" t="s">
        <v>16</v>
      </c>
      <c r="G2536" s="1" t="s">
        <v>17</v>
      </c>
      <c r="H2536" s="1" t="str">
        <f>"61"</f>
        <v>61</v>
      </c>
      <c r="I2536" s="1" t="str">
        <f>"264.39"</f>
        <v>264.39</v>
      </c>
      <c r="J2536" s="1" t="str">
        <f t="shared" si="1568"/>
        <v>0</v>
      </c>
      <c r="K2536" s="1" t="str">
        <f t="shared" si="1573"/>
        <v>103</v>
      </c>
      <c r="L2536" s="1" t="str">
        <f t="shared" si="1574"/>
        <v>47</v>
      </c>
      <c r="M2536" s="1" t="str">
        <f t="shared" si="1559"/>
        <v>0</v>
      </c>
      <c r="N2536" s="1" t="str">
        <f t="shared" si="1560"/>
        <v>0</v>
      </c>
      <c r="O2536" s="1" t="str">
        <f>"114.39"</f>
        <v>114.39</v>
      </c>
    </row>
    <row r="2537" s="1" customFormat="1" spans="1:15">
      <c r="A2537" s="1" t="str">
        <f t="shared" si="1561"/>
        <v>202406</v>
      </c>
      <c r="B2537" s="1" t="str">
        <f t="shared" si="1562"/>
        <v>150525100</v>
      </c>
      <c r="C2537" s="1" t="str">
        <f>"1014571781"</f>
        <v>1014571781</v>
      </c>
      <c r="D2537" s="1" t="s">
        <v>2612</v>
      </c>
      <c r="E2537" s="1" t="s">
        <v>2613</v>
      </c>
      <c r="F2537" s="1" t="s">
        <v>25</v>
      </c>
      <c r="G2537" s="1" t="s">
        <v>17</v>
      </c>
      <c r="H2537" s="1" t="str">
        <f>"62"</f>
        <v>62</v>
      </c>
      <c r="I2537" s="1" t="str">
        <f>"203.9"</f>
        <v>203.9</v>
      </c>
      <c r="J2537" s="1" t="str">
        <f t="shared" si="1568"/>
        <v>0</v>
      </c>
      <c r="K2537" s="1" t="str">
        <f t="shared" si="1573"/>
        <v>103</v>
      </c>
      <c r="L2537" s="1" t="str">
        <f t="shared" si="1574"/>
        <v>47</v>
      </c>
      <c r="M2537" s="1" t="str">
        <f t="shared" si="1559"/>
        <v>0</v>
      </c>
      <c r="N2537" s="1" t="str">
        <f t="shared" si="1560"/>
        <v>0</v>
      </c>
      <c r="O2537" s="1" t="str">
        <f>"53.9"</f>
        <v>53.9</v>
      </c>
    </row>
    <row r="2538" s="1" customFormat="1" spans="1:15">
      <c r="A2538" s="1" t="str">
        <f t="shared" si="1561"/>
        <v>202406</v>
      </c>
      <c r="B2538" s="1" t="str">
        <f t="shared" si="1562"/>
        <v>150525100</v>
      </c>
      <c r="C2538" s="1" t="str">
        <f>"1014575532"</f>
        <v>1014575532</v>
      </c>
      <c r="D2538" s="1" t="str">
        <f>"152326195205213083"</f>
        <v>152326195205213083</v>
      </c>
      <c r="E2538" s="1" t="s">
        <v>2614</v>
      </c>
      <c r="F2538" s="1" t="s">
        <v>16</v>
      </c>
      <c r="G2538" s="1" t="s">
        <v>17</v>
      </c>
      <c r="H2538" s="1" t="str">
        <f>"72"</f>
        <v>72</v>
      </c>
      <c r="I2538" s="1" t="str">
        <f>"162.14"</f>
        <v>162.14</v>
      </c>
      <c r="J2538" s="1" t="str">
        <f t="shared" si="1568"/>
        <v>0</v>
      </c>
      <c r="K2538" s="1" t="str">
        <f t="shared" si="1573"/>
        <v>103</v>
      </c>
      <c r="L2538" s="1" t="str">
        <f t="shared" si="1574"/>
        <v>47</v>
      </c>
      <c r="M2538" s="1" t="str">
        <f t="shared" si="1559"/>
        <v>0</v>
      </c>
      <c r="N2538" s="1" t="str">
        <f t="shared" si="1560"/>
        <v>0</v>
      </c>
      <c r="O2538" s="1" t="str">
        <f>"2.14"</f>
        <v>2.14</v>
      </c>
    </row>
    <row r="2539" s="1" customFormat="1" spans="1:15">
      <c r="A2539" s="1" t="str">
        <f t="shared" si="1561"/>
        <v>202406</v>
      </c>
      <c r="B2539" s="1" t="str">
        <f t="shared" si="1562"/>
        <v>150525100</v>
      </c>
      <c r="C2539" s="1" t="str">
        <f>"1014575541"</f>
        <v>1014575541</v>
      </c>
      <c r="D2539" s="1" t="str">
        <f>"152326195401293084"</f>
        <v>152326195401293084</v>
      </c>
      <c r="E2539" s="1" t="s">
        <v>2615</v>
      </c>
      <c r="F2539" s="1" t="s">
        <v>16</v>
      </c>
      <c r="G2539" s="1" t="s">
        <v>17</v>
      </c>
      <c r="H2539" s="1" t="str">
        <f>"70"</f>
        <v>70</v>
      </c>
      <c r="I2539" s="1" t="str">
        <f>"164.14"</f>
        <v>164.14</v>
      </c>
      <c r="J2539" s="1" t="str">
        <f t="shared" si="1568"/>
        <v>0</v>
      </c>
      <c r="K2539" s="1" t="str">
        <f t="shared" si="1573"/>
        <v>103</v>
      </c>
      <c r="L2539" s="1" t="str">
        <f t="shared" si="1574"/>
        <v>47</v>
      </c>
      <c r="M2539" s="1" t="str">
        <f t="shared" si="1559"/>
        <v>0</v>
      </c>
      <c r="N2539" s="1" t="str">
        <f t="shared" si="1560"/>
        <v>0</v>
      </c>
      <c r="O2539" s="1" t="str">
        <f>"4.14"</f>
        <v>4.14</v>
      </c>
    </row>
    <row r="2540" s="1" customFormat="1" spans="1:15">
      <c r="A2540" s="1" t="str">
        <f t="shared" si="1561"/>
        <v>202406</v>
      </c>
      <c r="B2540" s="1" t="str">
        <f t="shared" si="1562"/>
        <v>150525100</v>
      </c>
      <c r="C2540" s="1" t="str">
        <f>"1014575552"</f>
        <v>1014575552</v>
      </c>
      <c r="D2540" s="1" t="str">
        <f>"152326195706183089"</f>
        <v>152326195706183089</v>
      </c>
      <c r="E2540" s="1" t="s">
        <v>1641</v>
      </c>
      <c r="F2540" s="1" t="s">
        <v>16</v>
      </c>
      <c r="G2540" s="1" t="s">
        <v>17</v>
      </c>
      <c r="H2540" s="1" t="str">
        <f>"67"</f>
        <v>67</v>
      </c>
      <c r="I2540" s="1" t="str">
        <f>"155.81"</f>
        <v>155.81</v>
      </c>
      <c r="J2540" s="1" t="str">
        <f t="shared" si="1568"/>
        <v>0</v>
      </c>
      <c r="K2540" s="1" t="str">
        <f t="shared" si="1573"/>
        <v>103</v>
      </c>
      <c r="L2540" s="1" t="str">
        <f t="shared" si="1574"/>
        <v>47</v>
      </c>
      <c r="M2540" s="1" t="str">
        <f t="shared" si="1559"/>
        <v>0</v>
      </c>
      <c r="N2540" s="1" t="str">
        <f t="shared" si="1560"/>
        <v>0</v>
      </c>
      <c r="O2540" s="1" t="str">
        <f>"5.81"</f>
        <v>5.81</v>
      </c>
    </row>
    <row r="2541" s="1" customFormat="1" spans="1:15">
      <c r="A2541" s="1" t="str">
        <f t="shared" si="1561"/>
        <v>202406</v>
      </c>
      <c r="B2541" s="1" t="str">
        <f t="shared" si="1562"/>
        <v>150525100</v>
      </c>
      <c r="C2541" s="1" t="str">
        <f>"1014576097"</f>
        <v>1014576097</v>
      </c>
      <c r="D2541" s="1" t="s">
        <v>2616</v>
      </c>
      <c r="E2541" s="1" t="s">
        <v>2617</v>
      </c>
      <c r="F2541" s="1" t="s">
        <v>16</v>
      </c>
      <c r="G2541" s="1" t="s">
        <v>17</v>
      </c>
      <c r="H2541" s="1" t="str">
        <f>"72"</f>
        <v>72</v>
      </c>
      <c r="I2541" s="1" t="str">
        <f>"162.14"</f>
        <v>162.14</v>
      </c>
      <c r="J2541" s="1" t="str">
        <f t="shared" si="1568"/>
        <v>0</v>
      </c>
      <c r="K2541" s="1" t="str">
        <f t="shared" si="1573"/>
        <v>103</v>
      </c>
      <c r="L2541" s="1" t="str">
        <f t="shared" si="1574"/>
        <v>47</v>
      </c>
      <c r="M2541" s="1" t="str">
        <f t="shared" si="1559"/>
        <v>0</v>
      </c>
      <c r="N2541" s="1" t="str">
        <f t="shared" si="1560"/>
        <v>0</v>
      </c>
      <c r="O2541" s="1" t="str">
        <f>"2.14"</f>
        <v>2.14</v>
      </c>
    </row>
    <row r="2542" s="1" customFormat="1" spans="1:15">
      <c r="A2542" s="1" t="str">
        <f t="shared" si="1561"/>
        <v>202406</v>
      </c>
      <c r="B2542" s="1" t="str">
        <f t="shared" si="1562"/>
        <v>150525100</v>
      </c>
      <c r="C2542" s="1" t="str">
        <f>"1040690061"</f>
        <v>1040690061</v>
      </c>
      <c r="D2542" s="1" t="str">
        <f>"152326196308300678"</f>
        <v>152326196308300678</v>
      </c>
      <c r="E2542" s="1" t="s">
        <v>2618</v>
      </c>
      <c r="F2542" s="1" t="s">
        <v>25</v>
      </c>
      <c r="G2542" s="1" t="s">
        <v>17</v>
      </c>
      <c r="H2542" s="1" t="str">
        <f>"61"</f>
        <v>61</v>
      </c>
      <c r="I2542" s="1" t="str">
        <f>"164.09"</f>
        <v>164.09</v>
      </c>
      <c r="J2542" s="1" t="str">
        <f t="shared" si="1568"/>
        <v>0</v>
      </c>
      <c r="K2542" s="1" t="str">
        <f t="shared" si="1573"/>
        <v>103</v>
      </c>
      <c r="L2542" s="1" t="str">
        <f t="shared" si="1574"/>
        <v>47</v>
      </c>
      <c r="M2542" s="1" t="str">
        <f t="shared" si="1559"/>
        <v>0</v>
      </c>
      <c r="N2542" s="1" t="str">
        <f t="shared" si="1560"/>
        <v>0</v>
      </c>
      <c r="O2542" s="1" t="str">
        <f>"14.09"</f>
        <v>14.09</v>
      </c>
    </row>
    <row r="2543" s="1" customFormat="1" spans="1:15">
      <c r="A2543" s="1" t="str">
        <f t="shared" si="1561"/>
        <v>202406</v>
      </c>
      <c r="B2543" s="1" t="str">
        <f t="shared" si="1562"/>
        <v>150525100</v>
      </c>
      <c r="C2543" s="1" t="str">
        <f>"1040690102"</f>
        <v>1040690102</v>
      </c>
      <c r="D2543" s="1" t="s">
        <v>2619</v>
      </c>
      <c r="E2543" s="1" t="s">
        <v>2620</v>
      </c>
      <c r="F2543" s="1" t="s">
        <v>16</v>
      </c>
      <c r="G2543" s="1" t="s">
        <v>17</v>
      </c>
      <c r="H2543" s="1" t="str">
        <f>"64"</f>
        <v>64</v>
      </c>
      <c r="I2543" s="1" t="str">
        <f>"159.99"</f>
        <v>159.99</v>
      </c>
      <c r="J2543" s="1" t="str">
        <f t="shared" si="1568"/>
        <v>0</v>
      </c>
      <c r="K2543" s="1" t="str">
        <f t="shared" si="1573"/>
        <v>103</v>
      </c>
      <c r="L2543" s="1" t="str">
        <f t="shared" si="1574"/>
        <v>47</v>
      </c>
      <c r="M2543" s="1" t="str">
        <f t="shared" si="1559"/>
        <v>0</v>
      </c>
      <c r="N2543" s="1" t="str">
        <f t="shared" si="1560"/>
        <v>0</v>
      </c>
      <c r="O2543" s="1" t="str">
        <f>"9.99"</f>
        <v>9.99</v>
      </c>
    </row>
    <row r="2544" s="1" customFormat="1" spans="1:15">
      <c r="A2544" s="1" t="str">
        <f t="shared" si="1561"/>
        <v>202406</v>
      </c>
      <c r="B2544" s="1" t="str">
        <f t="shared" si="1562"/>
        <v>150525100</v>
      </c>
      <c r="C2544" s="1" t="str">
        <f>"1014571800"</f>
        <v>1014571800</v>
      </c>
      <c r="D2544" s="1" t="str">
        <f>"152326195702020020"</f>
        <v>152326195702020020</v>
      </c>
      <c r="E2544" s="1" t="s">
        <v>2621</v>
      </c>
      <c r="F2544" s="1" t="s">
        <v>16</v>
      </c>
      <c r="G2544" s="1" t="s">
        <v>19</v>
      </c>
      <c r="H2544" s="1" t="str">
        <f>"67"</f>
        <v>67</v>
      </c>
      <c r="I2544" s="1" t="str">
        <f>"175.65"</f>
        <v>175.65</v>
      </c>
      <c r="J2544" s="1" t="str">
        <f t="shared" si="1568"/>
        <v>0</v>
      </c>
      <c r="K2544" s="1" t="str">
        <f t="shared" si="1573"/>
        <v>103</v>
      </c>
      <c r="L2544" s="1" t="str">
        <f t="shared" si="1574"/>
        <v>47</v>
      </c>
      <c r="M2544" s="1" t="str">
        <f t="shared" si="1559"/>
        <v>0</v>
      </c>
      <c r="N2544" s="1" t="str">
        <f t="shared" si="1560"/>
        <v>0</v>
      </c>
      <c r="O2544" s="1" t="str">
        <f>"25.65"</f>
        <v>25.65</v>
      </c>
    </row>
    <row r="2545" s="1" customFormat="1" spans="1:15">
      <c r="A2545" s="1" t="str">
        <f t="shared" si="1561"/>
        <v>202406</v>
      </c>
      <c r="B2545" s="1" t="str">
        <f t="shared" si="1562"/>
        <v>150525100</v>
      </c>
      <c r="C2545" s="1" t="str">
        <f>"1014571805"</f>
        <v>1014571805</v>
      </c>
      <c r="D2545" s="1" t="str">
        <f>"152326196002180028"</f>
        <v>152326196002180028</v>
      </c>
      <c r="E2545" s="1" t="s">
        <v>2622</v>
      </c>
      <c r="F2545" s="1" t="s">
        <v>16</v>
      </c>
      <c r="G2545" s="1" t="s">
        <v>19</v>
      </c>
      <c r="H2545" s="1" t="str">
        <f>"64"</f>
        <v>64</v>
      </c>
      <c r="I2545" s="1" t="str">
        <f>"180.37"</f>
        <v>180.37</v>
      </c>
      <c r="J2545" s="1" t="str">
        <f t="shared" si="1568"/>
        <v>0</v>
      </c>
      <c r="K2545" s="1" t="str">
        <f t="shared" si="1573"/>
        <v>103</v>
      </c>
      <c r="L2545" s="1" t="str">
        <f t="shared" si="1574"/>
        <v>47</v>
      </c>
      <c r="M2545" s="1" t="str">
        <f t="shared" si="1559"/>
        <v>0</v>
      </c>
      <c r="N2545" s="1" t="str">
        <f t="shared" si="1560"/>
        <v>0</v>
      </c>
      <c r="O2545" s="1" t="str">
        <f>"30.37"</f>
        <v>30.37</v>
      </c>
    </row>
    <row r="2546" s="1" customFormat="1" spans="1:15">
      <c r="A2546" s="1" t="str">
        <f t="shared" si="1561"/>
        <v>202406</v>
      </c>
      <c r="B2546" s="1" t="str">
        <f t="shared" si="1562"/>
        <v>150525100</v>
      </c>
      <c r="C2546" s="1" t="str">
        <f>"1014571939"</f>
        <v>1014571939</v>
      </c>
      <c r="D2546" s="1" t="s">
        <v>2623</v>
      </c>
      <c r="E2546" s="1" t="s">
        <v>2624</v>
      </c>
      <c r="F2546" s="1" t="s">
        <v>25</v>
      </c>
      <c r="G2546" s="1" t="s">
        <v>17</v>
      </c>
      <c r="H2546" s="1" t="str">
        <f>"70"</f>
        <v>70</v>
      </c>
      <c r="I2546" s="1" t="str">
        <f>"154.14"</f>
        <v>154.14</v>
      </c>
      <c r="J2546" s="1" t="str">
        <f t="shared" si="1568"/>
        <v>0</v>
      </c>
      <c r="K2546" s="1" t="str">
        <f t="shared" si="1573"/>
        <v>103</v>
      </c>
      <c r="L2546" s="1" t="str">
        <f t="shared" si="1574"/>
        <v>47</v>
      </c>
      <c r="M2546" s="1" t="str">
        <f t="shared" si="1559"/>
        <v>0</v>
      </c>
      <c r="N2546" s="1" t="str">
        <f t="shared" si="1560"/>
        <v>0</v>
      </c>
      <c r="O2546" s="1" t="str">
        <f>"4.14"</f>
        <v>4.14</v>
      </c>
    </row>
    <row r="2547" s="1" customFormat="1" spans="1:15">
      <c r="A2547" s="1" t="str">
        <f t="shared" si="1561"/>
        <v>202406</v>
      </c>
      <c r="B2547" s="1" t="str">
        <f t="shared" si="1562"/>
        <v>150525100</v>
      </c>
      <c r="C2547" s="1" t="str">
        <f>"1014571942"</f>
        <v>1014571942</v>
      </c>
      <c r="D2547" s="1" t="s">
        <v>2625</v>
      </c>
      <c r="E2547" s="1" t="s">
        <v>2626</v>
      </c>
      <c r="F2547" s="1" t="s">
        <v>16</v>
      </c>
      <c r="G2547" s="1" t="s">
        <v>17</v>
      </c>
      <c r="H2547" s="1" t="str">
        <f>"69"</f>
        <v>69</v>
      </c>
      <c r="I2547" s="1" t="str">
        <f>"155.09"</f>
        <v>155.09</v>
      </c>
      <c r="J2547" s="1" t="str">
        <f t="shared" si="1568"/>
        <v>0</v>
      </c>
      <c r="K2547" s="1" t="str">
        <f t="shared" si="1573"/>
        <v>103</v>
      </c>
      <c r="L2547" s="1" t="str">
        <f t="shared" si="1574"/>
        <v>47</v>
      </c>
      <c r="M2547" s="1" t="str">
        <f t="shared" si="1559"/>
        <v>0</v>
      </c>
      <c r="N2547" s="1" t="str">
        <f t="shared" si="1560"/>
        <v>0</v>
      </c>
      <c r="O2547" s="1" t="str">
        <f>"5.09"</f>
        <v>5.09</v>
      </c>
    </row>
    <row r="2548" s="1" customFormat="1" spans="1:15">
      <c r="A2548" s="1" t="str">
        <f t="shared" si="1561"/>
        <v>202406</v>
      </c>
      <c r="B2548" s="1" t="str">
        <f t="shared" si="1562"/>
        <v>150525100</v>
      </c>
      <c r="C2548" s="1" t="str">
        <f>"1014552273"</f>
        <v>1014552273</v>
      </c>
      <c r="D2548" s="1" t="str">
        <f>"152326195212133823"</f>
        <v>152326195212133823</v>
      </c>
      <c r="E2548" s="1" t="s">
        <v>2627</v>
      </c>
      <c r="F2548" s="1" t="s">
        <v>16</v>
      </c>
      <c r="G2548" s="1" t="s">
        <v>19</v>
      </c>
      <c r="H2548" s="1" t="str">
        <f>"72"</f>
        <v>72</v>
      </c>
      <c r="I2548" s="1" t="str">
        <f>"163.88"</f>
        <v>163.88</v>
      </c>
      <c r="J2548" s="1" t="str">
        <f t="shared" si="1568"/>
        <v>0</v>
      </c>
      <c r="K2548" s="1" t="str">
        <f t="shared" si="1573"/>
        <v>103</v>
      </c>
      <c r="L2548" s="1" t="str">
        <f t="shared" si="1574"/>
        <v>47</v>
      </c>
      <c r="M2548" s="1" t="str">
        <f t="shared" si="1559"/>
        <v>0</v>
      </c>
      <c r="N2548" s="1" t="str">
        <f t="shared" si="1560"/>
        <v>0</v>
      </c>
      <c r="O2548" s="1" t="str">
        <f>"3.88"</f>
        <v>3.88</v>
      </c>
    </row>
    <row r="2549" s="1" customFormat="1" spans="1:15">
      <c r="A2549" s="1" t="str">
        <f t="shared" si="1561"/>
        <v>202406</v>
      </c>
      <c r="B2549" s="1" t="str">
        <f t="shared" si="1562"/>
        <v>150525100</v>
      </c>
      <c r="C2549" s="1" t="str">
        <f>"1014552282"</f>
        <v>1014552282</v>
      </c>
      <c r="D2549" s="1" t="str">
        <f>"152326195511053823"</f>
        <v>152326195511053823</v>
      </c>
      <c r="E2549" s="1" t="s">
        <v>2628</v>
      </c>
      <c r="F2549" s="1" t="s">
        <v>16</v>
      </c>
      <c r="G2549" s="1" t="s">
        <v>17</v>
      </c>
      <c r="H2549" s="1" t="str">
        <f>"69"</f>
        <v>69</v>
      </c>
      <c r="I2549" s="1" t="str">
        <f>"171.22"</f>
        <v>171.22</v>
      </c>
      <c r="J2549" s="1" t="str">
        <f t="shared" si="1568"/>
        <v>0</v>
      </c>
      <c r="K2549" s="1" t="str">
        <f t="shared" si="1573"/>
        <v>103</v>
      </c>
      <c r="L2549" s="1" t="str">
        <f t="shared" si="1574"/>
        <v>47</v>
      </c>
      <c r="M2549" s="1" t="str">
        <f t="shared" si="1559"/>
        <v>0</v>
      </c>
      <c r="N2549" s="1" t="str">
        <f t="shared" si="1560"/>
        <v>0</v>
      </c>
      <c r="O2549" s="1" t="str">
        <f>"21.22"</f>
        <v>21.22</v>
      </c>
    </row>
    <row r="2550" s="1" customFormat="1" spans="1:15">
      <c r="A2550" s="1" t="str">
        <f t="shared" si="1561"/>
        <v>202406</v>
      </c>
      <c r="B2550" s="1" t="str">
        <f t="shared" si="1562"/>
        <v>150525100</v>
      </c>
      <c r="C2550" s="1" t="str">
        <f>"1014552283"</f>
        <v>1014552283</v>
      </c>
      <c r="D2550" s="1" t="str">
        <f>"152326196002023815"</f>
        <v>152326196002023815</v>
      </c>
      <c r="E2550" s="1" t="s">
        <v>2315</v>
      </c>
      <c r="F2550" s="1" t="s">
        <v>25</v>
      </c>
      <c r="G2550" s="1" t="s">
        <v>17</v>
      </c>
      <c r="H2550" s="1" t="str">
        <f>"64"</f>
        <v>64</v>
      </c>
      <c r="I2550" s="1" t="str">
        <f>"183.46"</f>
        <v>183.46</v>
      </c>
      <c r="J2550" s="1" t="str">
        <f t="shared" si="1568"/>
        <v>0</v>
      </c>
      <c r="K2550" s="1" t="str">
        <f t="shared" si="1573"/>
        <v>103</v>
      </c>
      <c r="L2550" s="1" t="str">
        <f t="shared" si="1574"/>
        <v>47</v>
      </c>
      <c r="M2550" s="1" t="str">
        <f t="shared" si="1559"/>
        <v>0</v>
      </c>
      <c r="N2550" s="1" t="str">
        <f t="shared" si="1560"/>
        <v>0</v>
      </c>
      <c r="O2550" s="1" t="str">
        <f>"33.46"</f>
        <v>33.46</v>
      </c>
    </row>
    <row r="2551" s="1" customFormat="1" spans="1:15">
      <c r="A2551" s="1" t="str">
        <f t="shared" si="1561"/>
        <v>202406</v>
      </c>
      <c r="B2551" s="1" t="str">
        <f t="shared" si="1562"/>
        <v>150525100</v>
      </c>
      <c r="C2551" s="1" t="str">
        <f>"1014552285"</f>
        <v>1014552285</v>
      </c>
      <c r="D2551" s="1" t="s">
        <v>2629</v>
      </c>
      <c r="E2551" s="1" t="s">
        <v>2630</v>
      </c>
      <c r="F2551" s="1" t="s">
        <v>16</v>
      </c>
      <c r="G2551" s="1" t="s">
        <v>17</v>
      </c>
      <c r="H2551" s="1" t="str">
        <f>"67"</f>
        <v>67</v>
      </c>
      <c r="I2551" s="1" t="str">
        <f>"175.37"</f>
        <v>175.37</v>
      </c>
      <c r="J2551" s="1" t="str">
        <f t="shared" si="1568"/>
        <v>0</v>
      </c>
      <c r="K2551" s="1" t="str">
        <f t="shared" si="1573"/>
        <v>103</v>
      </c>
      <c r="L2551" s="1" t="str">
        <f t="shared" si="1574"/>
        <v>47</v>
      </c>
      <c r="M2551" s="1" t="str">
        <f t="shared" si="1559"/>
        <v>0</v>
      </c>
      <c r="N2551" s="1" t="str">
        <f t="shared" si="1560"/>
        <v>0</v>
      </c>
      <c r="O2551" s="1" t="str">
        <f>"25.37"</f>
        <v>25.37</v>
      </c>
    </row>
    <row r="2552" s="1" customFormat="1" spans="1:15">
      <c r="A2552" s="1" t="str">
        <f t="shared" si="1561"/>
        <v>202406</v>
      </c>
      <c r="B2552" s="1" t="str">
        <f t="shared" si="1562"/>
        <v>150525100</v>
      </c>
      <c r="C2552" s="1" t="str">
        <f>"1014552299"</f>
        <v>1014552299</v>
      </c>
      <c r="D2552" s="1" t="s">
        <v>2631</v>
      </c>
      <c r="E2552" s="1" t="s">
        <v>2632</v>
      </c>
      <c r="F2552" s="1" t="s">
        <v>25</v>
      </c>
      <c r="G2552" s="1" t="s">
        <v>17</v>
      </c>
      <c r="H2552" s="1" t="str">
        <f>"68"</f>
        <v>68</v>
      </c>
      <c r="I2552" s="1" t="str">
        <f>"155.78"</f>
        <v>155.78</v>
      </c>
      <c r="J2552" s="1" t="str">
        <f t="shared" si="1568"/>
        <v>0</v>
      </c>
      <c r="K2552" s="1" t="str">
        <f t="shared" si="1573"/>
        <v>103</v>
      </c>
      <c r="L2552" s="1" t="str">
        <f t="shared" si="1574"/>
        <v>47</v>
      </c>
      <c r="M2552" s="1" t="str">
        <f t="shared" si="1559"/>
        <v>0</v>
      </c>
      <c r="N2552" s="1" t="str">
        <f t="shared" si="1560"/>
        <v>0</v>
      </c>
      <c r="O2552" s="1" t="str">
        <f>"5.78"</f>
        <v>5.78</v>
      </c>
    </row>
    <row r="2553" s="1" customFormat="1" spans="1:15">
      <c r="A2553" s="1" t="str">
        <f t="shared" si="1561"/>
        <v>202406</v>
      </c>
      <c r="B2553" s="1" t="str">
        <f t="shared" si="1562"/>
        <v>150525100</v>
      </c>
      <c r="C2553" s="1" t="str">
        <f>"1014547985"</f>
        <v>1014547985</v>
      </c>
      <c r="D2553" s="1" t="str">
        <f>"152326196110200663"</f>
        <v>152326196110200663</v>
      </c>
      <c r="E2553" s="1" t="s">
        <v>2633</v>
      </c>
      <c r="F2553" s="1" t="s">
        <v>16</v>
      </c>
      <c r="G2553" s="1" t="s">
        <v>17</v>
      </c>
      <c r="H2553" s="1" t="str">
        <f>"63"</f>
        <v>63</v>
      </c>
      <c r="I2553" s="1" t="str">
        <f>"171.52"</f>
        <v>171.52</v>
      </c>
      <c r="J2553" s="1" t="str">
        <f t="shared" si="1568"/>
        <v>0</v>
      </c>
      <c r="K2553" s="1" t="str">
        <f t="shared" si="1573"/>
        <v>103</v>
      </c>
      <c r="L2553" s="1" t="str">
        <f t="shared" si="1574"/>
        <v>47</v>
      </c>
      <c r="M2553" s="1" t="str">
        <f t="shared" si="1559"/>
        <v>0</v>
      </c>
      <c r="N2553" s="1" t="str">
        <f t="shared" si="1560"/>
        <v>0</v>
      </c>
      <c r="O2553" s="1" t="str">
        <f>"21.52"</f>
        <v>21.52</v>
      </c>
    </row>
    <row r="2554" s="1" customFormat="1" spans="1:15">
      <c r="A2554" s="1" t="str">
        <f t="shared" si="1561"/>
        <v>202406</v>
      </c>
      <c r="B2554" s="1" t="str">
        <f t="shared" si="1562"/>
        <v>150525100</v>
      </c>
      <c r="C2554" s="1" t="str">
        <f>"1014547987"</f>
        <v>1014547987</v>
      </c>
      <c r="D2554" s="1" t="str">
        <f>"152326196204160674"</f>
        <v>152326196204160674</v>
      </c>
      <c r="E2554" s="1" t="s">
        <v>2634</v>
      </c>
      <c r="F2554" s="1" t="s">
        <v>25</v>
      </c>
      <c r="G2554" s="1" t="s">
        <v>17</v>
      </c>
      <c r="H2554" s="1" t="str">
        <f t="shared" ref="H2554:H2559" si="1575">"62"</f>
        <v>62</v>
      </c>
      <c r="I2554" s="1" t="str">
        <f>"162.98"</f>
        <v>162.98</v>
      </c>
      <c r="J2554" s="1" t="str">
        <f t="shared" si="1568"/>
        <v>0</v>
      </c>
      <c r="K2554" s="1" t="str">
        <f t="shared" si="1573"/>
        <v>103</v>
      </c>
      <c r="L2554" s="1" t="str">
        <f t="shared" si="1574"/>
        <v>47</v>
      </c>
      <c r="M2554" s="1" t="str">
        <f t="shared" si="1559"/>
        <v>0</v>
      </c>
      <c r="N2554" s="1" t="str">
        <f t="shared" si="1560"/>
        <v>0</v>
      </c>
      <c r="O2554" s="1" t="str">
        <f>"12.98"</f>
        <v>12.98</v>
      </c>
    </row>
    <row r="2555" s="1" customFormat="1" spans="1:15">
      <c r="A2555" s="1" t="str">
        <f t="shared" si="1561"/>
        <v>202406</v>
      </c>
      <c r="B2555" s="1" t="str">
        <f t="shared" si="1562"/>
        <v>150525100</v>
      </c>
      <c r="C2555" s="1" t="str">
        <f>"1014547989"</f>
        <v>1014547989</v>
      </c>
      <c r="D2555" s="1" t="str">
        <f>"152326196209120698"</f>
        <v>152326196209120698</v>
      </c>
      <c r="E2555" s="1" t="s">
        <v>2635</v>
      </c>
      <c r="F2555" s="1" t="s">
        <v>25</v>
      </c>
      <c r="G2555" s="1" t="s">
        <v>17</v>
      </c>
      <c r="H2555" s="1" t="str">
        <f t="shared" si="1575"/>
        <v>62</v>
      </c>
      <c r="I2555" s="1" t="str">
        <f>"163.12"</f>
        <v>163.12</v>
      </c>
      <c r="J2555" s="1" t="str">
        <f t="shared" si="1568"/>
        <v>0</v>
      </c>
      <c r="K2555" s="1" t="str">
        <f t="shared" si="1573"/>
        <v>103</v>
      </c>
      <c r="L2555" s="1" t="str">
        <f t="shared" si="1574"/>
        <v>47</v>
      </c>
      <c r="M2555" s="1" t="str">
        <f t="shared" si="1559"/>
        <v>0</v>
      </c>
      <c r="N2555" s="1" t="str">
        <f t="shared" si="1560"/>
        <v>0</v>
      </c>
      <c r="O2555" s="1" t="str">
        <f>"13.12"</f>
        <v>13.12</v>
      </c>
    </row>
    <row r="2556" s="1" customFormat="1" spans="1:15">
      <c r="A2556" s="1" t="str">
        <f t="shared" si="1561"/>
        <v>202406</v>
      </c>
      <c r="B2556" s="1" t="str">
        <f t="shared" si="1562"/>
        <v>150525100</v>
      </c>
      <c r="C2556" s="1" t="str">
        <f>"1014571979"</f>
        <v>1014571979</v>
      </c>
      <c r="D2556" s="1" t="str">
        <f>"152326196301280045"</f>
        <v>152326196301280045</v>
      </c>
      <c r="E2556" s="1" t="s">
        <v>2636</v>
      </c>
      <c r="F2556" s="1" t="s">
        <v>16</v>
      </c>
      <c r="G2556" s="1" t="s">
        <v>17</v>
      </c>
      <c r="H2556" s="1" t="str">
        <f t="shared" ref="H2556:H2560" si="1576">"61"</f>
        <v>61</v>
      </c>
      <c r="I2556" s="1" t="str">
        <f>"254.62"</f>
        <v>254.62</v>
      </c>
      <c r="J2556" s="1" t="str">
        <f t="shared" si="1568"/>
        <v>0</v>
      </c>
      <c r="K2556" s="1" t="str">
        <f t="shared" si="1573"/>
        <v>103</v>
      </c>
      <c r="L2556" s="1" t="str">
        <f t="shared" si="1574"/>
        <v>47</v>
      </c>
      <c r="M2556" s="1" t="str">
        <f t="shared" si="1559"/>
        <v>0</v>
      </c>
      <c r="N2556" s="1" t="str">
        <f t="shared" si="1560"/>
        <v>0</v>
      </c>
      <c r="O2556" s="1" t="str">
        <f>"104.62"</f>
        <v>104.62</v>
      </c>
    </row>
    <row r="2557" s="1" customFormat="1" spans="1:15">
      <c r="A2557" s="1" t="str">
        <f t="shared" si="1561"/>
        <v>202406</v>
      </c>
      <c r="B2557" s="1" t="str">
        <f t="shared" si="1562"/>
        <v>150525100</v>
      </c>
      <c r="C2557" s="1" t="str">
        <f>"1014571983"</f>
        <v>1014571983</v>
      </c>
      <c r="D2557" s="1" t="str">
        <f>"152326196310140028"</f>
        <v>152326196310140028</v>
      </c>
      <c r="E2557" s="1" t="s">
        <v>2637</v>
      </c>
      <c r="F2557" s="1" t="s">
        <v>16</v>
      </c>
      <c r="G2557" s="1" t="s">
        <v>17</v>
      </c>
      <c r="H2557" s="1" t="str">
        <f t="shared" si="1576"/>
        <v>61</v>
      </c>
      <c r="I2557" s="1" t="str">
        <f>"255.79"</f>
        <v>255.79</v>
      </c>
      <c r="J2557" s="1" t="str">
        <f t="shared" si="1568"/>
        <v>0</v>
      </c>
      <c r="K2557" s="1" t="str">
        <f t="shared" si="1573"/>
        <v>103</v>
      </c>
      <c r="L2557" s="1" t="str">
        <f t="shared" si="1574"/>
        <v>47</v>
      </c>
      <c r="M2557" s="1" t="str">
        <f t="shared" si="1559"/>
        <v>0</v>
      </c>
      <c r="N2557" s="1" t="str">
        <f t="shared" si="1560"/>
        <v>0</v>
      </c>
      <c r="O2557" s="1" t="str">
        <f>"105.79"</f>
        <v>105.79</v>
      </c>
    </row>
    <row r="2558" s="1" customFormat="1" spans="1:15">
      <c r="A2558" s="1" t="str">
        <f t="shared" si="1561"/>
        <v>202406</v>
      </c>
      <c r="B2558" s="1" t="str">
        <f t="shared" si="1562"/>
        <v>150525100</v>
      </c>
      <c r="C2558" s="1" t="str">
        <f>"1014572095"</f>
        <v>1014572095</v>
      </c>
      <c r="D2558" s="1" t="s">
        <v>2638</v>
      </c>
      <c r="E2558" s="1" t="s">
        <v>2639</v>
      </c>
      <c r="F2558" s="1" t="s">
        <v>16</v>
      </c>
      <c r="G2558" s="1" t="s">
        <v>17</v>
      </c>
      <c r="H2558" s="1" t="str">
        <f>"66"</f>
        <v>66</v>
      </c>
      <c r="I2558" s="1" t="str">
        <f>"157.12"</f>
        <v>157.12</v>
      </c>
      <c r="J2558" s="1" t="str">
        <f t="shared" si="1568"/>
        <v>0</v>
      </c>
      <c r="K2558" s="1" t="str">
        <f t="shared" si="1573"/>
        <v>103</v>
      </c>
      <c r="L2558" s="1" t="str">
        <f t="shared" si="1574"/>
        <v>47</v>
      </c>
      <c r="M2558" s="1" t="str">
        <f t="shared" si="1559"/>
        <v>0</v>
      </c>
      <c r="N2558" s="1" t="str">
        <f t="shared" si="1560"/>
        <v>0</v>
      </c>
      <c r="O2558" s="1" t="str">
        <f>"7.12"</f>
        <v>7.12</v>
      </c>
    </row>
    <row r="2559" s="1" customFormat="1" spans="1:15">
      <c r="A2559" s="1" t="str">
        <f t="shared" si="1561"/>
        <v>202406</v>
      </c>
      <c r="B2559" s="1" t="str">
        <f t="shared" si="1562"/>
        <v>150525100</v>
      </c>
      <c r="C2559" s="1" t="str">
        <f>"1014572102"</f>
        <v>1014572102</v>
      </c>
      <c r="D2559" s="1" t="s">
        <v>2640</v>
      </c>
      <c r="E2559" s="1" t="s">
        <v>2641</v>
      </c>
      <c r="F2559" s="1" t="s">
        <v>16</v>
      </c>
      <c r="G2559" s="1" t="s">
        <v>17</v>
      </c>
      <c r="H2559" s="1" t="str">
        <f t="shared" si="1575"/>
        <v>62</v>
      </c>
      <c r="I2559" s="1" t="str">
        <f>"167.91"</f>
        <v>167.91</v>
      </c>
      <c r="J2559" s="1" t="str">
        <f t="shared" si="1568"/>
        <v>0</v>
      </c>
      <c r="K2559" s="1" t="str">
        <f t="shared" si="1573"/>
        <v>103</v>
      </c>
      <c r="L2559" s="1" t="str">
        <f t="shared" si="1574"/>
        <v>47</v>
      </c>
      <c r="M2559" s="1" t="str">
        <f t="shared" si="1559"/>
        <v>0</v>
      </c>
      <c r="N2559" s="1" t="str">
        <f t="shared" si="1560"/>
        <v>0</v>
      </c>
      <c r="O2559" s="1" t="str">
        <f>"17.91"</f>
        <v>17.91</v>
      </c>
    </row>
    <row r="2560" s="1" customFormat="1" spans="1:15">
      <c r="A2560" s="1" t="str">
        <f t="shared" si="1561"/>
        <v>202406</v>
      </c>
      <c r="B2560" s="1" t="str">
        <f t="shared" si="1562"/>
        <v>150525100</v>
      </c>
      <c r="C2560" s="1" t="str">
        <f>"1040689712"</f>
        <v>1040689712</v>
      </c>
      <c r="D2560" s="1" t="str">
        <f>"152326196308240660"</f>
        <v>152326196308240660</v>
      </c>
      <c r="E2560" s="1" t="s">
        <v>2642</v>
      </c>
      <c r="F2560" s="1" t="s">
        <v>16</v>
      </c>
      <c r="G2560" s="1" t="s">
        <v>17</v>
      </c>
      <c r="H2560" s="1" t="str">
        <f t="shared" si="1576"/>
        <v>61</v>
      </c>
      <c r="I2560" s="1" t="str">
        <f>"164.1"</f>
        <v>164.1</v>
      </c>
      <c r="J2560" s="1" t="str">
        <f t="shared" si="1568"/>
        <v>0</v>
      </c>
      <c r="K2560" s="1" t="str">
        <f t="shared" si="1573"/>
        <v>103</v>
      </c>
      <c r="L2560" s="1" t="str">
        <f t="shared" si="1574"/>
        <v>47</v>
      </c>
      <c r="M2560" s="1" t="str">
        <f t="shared" si="1559"/>
        <v>0</v>
      </c>
      <c r="N2560" s="1" t="str">
        <f t="shared" si="1560"/>
        <v>0</v>
      </c>
      <c r="O2560" s="1" t="str">
        <f>"14.1"</f>
        <v>14.1</v>
      </c>
    </row>
    <row r="2561" s="1" customFormat="1" spans="1:15">
      <c r="A2561" s="1" t="str">
        <f t="shared" si="1561"/>
        <v>202406</v>
      </c>
      <c r="B2561" s="1" t="str">
        <f t="shared" si="1562"/>
        <v>150525100</v>
      </c>
      <c r="C2561" s="1" t="str">
        <f>"1040689402"</f>
        <v>1040689402</v>
      </c>
      <c r="D2561" s="1" t="str">
        <f>"152326195904050666"</f>
        <v>152326195904050666</v>
      </c>
      <c r="E2561" s="1" t="s">
        <v>209</v>
      </c>
      <c r="F2561" s="1" t="s">
        <v>16</v>
      </c>
      <c r="G2561" s="1" t="s">
        <v>17</v>
      </c>
      <c r="H2561" s="1" t="str">
        <f>"65"</f>
        <v>65</v>
      </c>
      <c r="I2561" s="1" t="str">
        <f>"157.23"</f>
        <v>157.23</v>
      </c>
      <c r="J2561" s="1" t="str">
        <f t="shared" si="1568"/>
        <v>0</v>
      </c>
      <c r="K2561" s="1" t="str">
        <f t="shared" si="1573"/>
        <v>103</v>
      </c>
      <c r="L2561" s="1" t="str">
        <f t="shared" si="1574"/>
        <v>47</v>
      </c>
      <c r="M2561" s="1" t="str">
        <f t="shared" ref="M2561:M2624" si="1577">"0"</f>
        <v>0</v>
      </c>
      <c r="N2561" s="1" t="str">
        <f t="shared" ref="N2561:N2624" si="1578">"0"</f>
        <v>0</v>
      </c>
      <c r="O2561" s="1" t="str">
        <f>"7.23"</f>
        <v>7.23</v>
      </c>
    </row>
    <row r="2562" s="1" customFormat="1" spans="1:15">
      <c r="A2562" s="1" t="str">
        <f t="shared" ref="A2562:A2625" si="1579">"202406"</f>
        <v>202406</v>
      </c>
      <c r="B2562" s="1" t="str">
        <f t="shared" ref="B2562:B2625" si="1580">"150525100"</f>
        <v>150525100</v>
      </c>
      <c r="C2562" s="1" t="str">
        <f>"1040689660"</f>
        <v>1040689660</v>
      </c>
      <c r="D2562" s="1" t="str">
        <f>"152326195606283103"</f>
        <v>152326195606283103</v>
      </c>
      <c r="E2562" s="1" t="s">
        <v>587</v>
      </c>
      <c r="F2562" s="1" t="s">
        <v>16</v>
      </c>
      <c r="G2562" s="1" t="s">
        <v>17</v>
      </c>
      <c r="H2562" s="1" t="str">
        <f>"68"</f>
        <v>68</v>
      </c>
      <c r="I2562" s="1" t="str">
        <f>"155.12"</f>
        <v>155.12</v>
      </c>
      <c r="J2562" s="1" t="str">
        <f t="shared" si="1568"/>
        <v>0</v>
      </c>
      <c r="K2562" s="1" t="str">
        <f t="shared" si="1573"/>
        <v>103</v>
      </c>
      <c r="L2562" s="1" t="str">
        <f t="shared" si="1574"/>
        <v>47</v>
      </c>
      <c r="M2562" s="1" t="str">
        <f t="shared" si="1577"/>
        <v>0</v>
      </c>
      <c r="N2562" s="1" t="str">
        <f t="shared" si="1578"/>
        <v>0</v>
      </c>
      <c r="O2562" s="1" t="str">
        <f>"5.12"</f>
        <v>5.12</v>
      </c>
    </row>
    <row r="2563" s="1" customFormat="1" spans="1:15">
      <c r="A2563" s="1" t="str">
        <f t="shared" si="1579"/>
        <v>202406</v>
      </c>
      <c r="B2563" s="1" t="str">
        <f t="shared" si="1580"/>
        <v>150525100</v>
      </c>
      <c r="C2563" s="1" t="str">
        <f>"1040689444"</f>
        <v>1040689444</v>
      </c>
      <c r="D2563" s="1" t="str">
        <f>"152326196110060429"</f>
        <v>152326196110060429</v>
      </c>
      <c r="E2563" s="1" t="s">
        <v>1053</v>
      </c>
      <c r="F2563" s="1" t="s">
        <v>16</v>
      </c>
      <c r="G2563" s="1" t="s">
        <v>17</v>
      </c>
      <c r="H2563" s="1" t="str">
        <f>"63"</f>
        <v>63</v>
      </c>
      <c r="I2563" s="1" t="str">
        <f>"160.16"</f>
        <v>160.16</v>
      </c>
      <c r="J2563" s="1" t="str">
        <f t="shared" si="1568"/>
        <v>0</v>
      </c>
      <c r="K2563" s="1" t="str">
        <f t="shared" si="1573"/>
        <v>103</v>
      </c>
      <c r="L2563" s="1" t="str">
        <f t="shared" si="1574"/>
        <v>47</v>
      </c>
      <c r="M2563" s="1" t="str">
        <f t="shared" si="1577"/>
        <v>0</v>
      </c>
      <c r="N2563" s="1" t="str">
        <f t="shared" si="1578"/>
        <v>0</v>
      </c>
      <c r="O2563" s="1" t="str">
        <f>"10.16"</f>
        <v>10.16</v>
      </c>
    </row>
    <row r="2564" s="1" customFormat="1" spans="1:15">
      <c r="A2564" s="1" t="str">
        <f t="shared" si="1579"/>
        <v>202406</v>
      </c>
      <c r="B2564" s="1" t="str">
        <f t="shared" si="1580"/>
        <v>150525100</v>
      </c>
      <c r="C2564" s="1" t="str">
        <f>"1040689509"</f>
        <v>1040689509</v>
      </c>
      <c r="D2564" s="1" t="str">
        <f>"152326195703030423"</f>
        <v>152326195703030423</v>
      </c>
      <c r="E2564" s="1" t="s">
        <v>2643</v>
      </c>
      <c r="F2564" s="1" t="s">
        <v>16</v>
      </c>
      <c r="G2564" s="1" t="s">
        <v>17</v>
      </c>
      <c r="H2564" s="1" t="str">
        <f>"67"</f>
        <v>67</v>
      </c>
      <c r="I2564" s="1" t="str">
        <f>"155.15"</f>
        <v>155.15</v>
      </c>
      <c r="J2564" s="1" t="str">
        <f t="shared" si="1568"/>
        <v>0</v>
      </c>
      <c r="K2564" s="1" t="str">
        <f t="shared" si="1573"/>
        <v>103</v>
      </c>
      <c r="L2564" s="1" t="str">
        <f t="shared" si="1574"/>
        <v>47</v>
      </c>
      <c r="M2564" s="1" t="str">
        <f t="shared" si="1577"/>
        <v>0</v>
      </c>
      <c r="N2564" s="1" t="str">
        <f t="shared" si="1578"/>
        <v>0</v>
      </c>
      <c r="O2564" s="1" t="str">
        <f>"5.15"</f>
        <v>5.15</v>
      </c>
    </row>
    <row r="2565" s="1" customFormat="1" spans="1:15">
      <c r="A2565" s="1" t="str">
        <f t="shared" si="1579"/>
        <v>202406</v>
      </c>
      <c r="B2565" s="1" t="str">
        <f t="shared" si="1580"/>
        <v>150525100</v>
      </c>
      <c r="C2565" s="1" t="str">
        <f>"1040689515"</f>
        <v>1040689515</v>
      </c>
      <c r="D2565" s="1" t="str">
        <f>"152326195706170413"</f>
        <v>152326195706170413</v>
      </c>
      <c r="E2565" s="1" t="s">
        <v>2644</v>
      </c>
      <c r="F2565" s="1" t="s">
        <v>25</v>
      </c>
      <c r="G2565" s="1" t="s">
        <v>17</v>
      </c>
      <c r="H2565" s="1" t="str">
        <f>"67"</f>
        <v>67</v>
      </c>
      <c r="I2565" s="1" t="str">
        <f>"156.12"</f>
        <v>156.12</v>
      </c>
      <c r="J2565" s="1" t="str">
        <f t="shared" si="1568"/>
        <v>0</v>
      </c>
      <c r="K2565" s="1" t="str">
        <f t="shared" si="1573"/>
        <v>103</v>
      </c>
      <c r="L2565" s="1" t="str">
        <f t="shared" si="1574"/>
        <v>47</v>
      </c>
      <c r="M2565" s="1" t="str">
        <f t="shared" si="1577"/>
        <v>0</v>
      </c>
      <c r="N2565" s="1" t="str">
        <f t="shared" si="1578"/>
        <v>0</v>
      </c>
      <c r="O2565" s="1" t="str">
        <f>"6.12"</f>
        <v>6.12</v>
      </c>
    </row>
    <row r="2566" s="1" customFormat="1" spans="1:15">
      <c r="A2566" s="1" t="str">
        <f t="shared" si="1579"/>
        <v>202406</v>
      </c>
      <c r="B2566" s="1" t="str">
        <f t="shared" si="1580"/>
        <v>150525100</v>
      </c>
      <c r="C2566" s="1" t="str">
        <f>"1040689521"</f>
        <v>1040689521</v>
      </c>
      <c r="D2566" s="1" t="str">
        <f>"152326195608160668"</f>
        <v>152326195608160668</v>
      </c>
      <c r="E2566" s="1" t="s">
        <v>2645</v>
      </c>
      <c r="F2566" s="1" t="s">
        <v>16</v>
      </c>
      <c r="G2566" s="1" t="s">
        <v>17</v>
      </c>
      <c r="H2566" s="1" t="str">
        <f>"68"</f>
        <v>68</v>
      </c>
      <c r="I2566" s="1" t="str">
        <f>"155.12"</f>
        <v>155.12</v>
      </c>
      <c r="J2566" s="1" t="str">
        <f t="shared" si="1568"/>
        <v>0</v>
      </c>
      <c r="K2566" s="1" t="str">
        <f t="shared" si="1573"/>
        <v>103</v>
      </c>
      <c r="L2566" s="1" t="str">
        <f t="shared" si="1574"/>
        <v>47</v>
      </c>
      <c r="M2566" s="1" t="str">
        <f t="shared" si="1577"/>
        <v>0</v>
      </c>
      <c r="N2566" s="1" t="str">
        <f t="shared" si="1578"/>
        <v>0</v>
      </c>
      <c r="O2566" s="1" t="str">
        <f>"5.12"</f>
        <v>5.12</v>
      </c>
    </row>
    <row r="2567" s="1" customFormat="1" spans="1:15">
      <c r="A2567" s="1" t="str">
        <f t="shared" si="1579"/>
        <v>202406</v>
      </c>
      <c r="B2567" s="1" t="str">
        <f t="shared" si="1580"/>
        <v>150525100</v>
      </c>
      <c r="C2567" s="1" t="str">
        <f>"1040689377"</f>
        <v>1040689377</v>
      </c>
      <c r="D2567" s="1" t="str">
        <f>"152326195404270662"</f>
        <v>152326195404270662</v>
      </c>
      <c r="E2567" s="1" t="s">
        <v>2646</v>
      </c>
      <c r="F2567" s="1" t="s">
        <v>16</v>
      </c>
      <c r="G2567" s="1" t="s">
        <v>19</v>
      </c>
      <c r="H2567" s="1" t="str">
        <f>"70"</f>
        <v>70</v>
      </c>
      <c r="I2567" s="1" t="str">
        <f>"162.99"</f>
        <v>162.99</v>
      </c>
      <c r="J2567" s="1" t="str">
        <f t="shared" si="1568"/>
        <v>0</v>
      </c>
      <c r="K2567" s="1" t="str">
        <f t="shared" si="1573"/>
        <v>103</v>
      </c>
      <c r="L2567" s="1" t="str">
        <f t="shared" si="1574"/>
        <v>47</v>
      </c>
      <c r="M2567" s="1" t="str">
        <f t="shared" si="1577"/>
        <v>0</v>
      </c>
      <c r="N2567" s="1" t="str">
        <f t="shared" si="1578"/>
        <v>0</v>
      </c>
      <c r="O2567" s="1" t="str">
        <f>"2.99"</f>
        <v>2.99</v>
      </c>
    </row>
    <row r="2568" s="1" customFormat="1" spans="1:15">
      <c r="A2568" s="1" t="str">
        <f t="shared" si="1579"/>
        <v>202406</v>
      </c>
      <c r="B2568" s="1" t="str">
        <f t="shared" si="1580"/>
        <v>150525100</v>
      </c>
      <c r="C2568" s="1" t="str">
        <f>"1040689381"</f>
        <v>1040689381</v>
      </c>
      <c r="D2568" s="1" t="str">
        <f>"152326195503190668"</f>
        <v>152326195503190668</v>
      </c>
      <c r="E2568" s="1" t="s">
        <v>2647</v>
      </c>
      <c r="F2568" s="1" t="s">
        <v>16</v>
      </c>
      <c r="G2568" s="1" t="s">
        <v>17</v>
      </c>
      <c r="H2568" s="1" t="str">
        <f>"69"</f>
        <v>69</v>
      </c>
      <c r="I2568" s="1" t="str">
        <f>"154.22"</f>
        <v>154.22</v>
      </c>
      <c r="J2568" s="1" t="str">
        <f t="shared" si="1568"/>
        <v>0</v>
      </c>
      <c r="K2568" s="1" t="str">
        <f t="shared" si="1573"/>
        <v>103</v>
      </c>
      <c r="L2568" s="1" t="str">
        <f t="shared" si="1574"/>
        <v>47</v>
      </c>
      <c r="M2568" s="1" t="str">
        <f t="shared" si="1577"/>
        <v>0</v>
      </c>
      <c r="N2568" s="1" t="str">
        <f t="shared" si="1578"/>
        <v>0</v>
      </c>
      <c r="O2568" s="1" t="str">
        <f>"4.22"</f>
        <v>4.22</v>
      </c>
    </row>
    <row r="2569" s="1" customFormat="1" spans="1:15">
      <c r="A2569" s="1" t="str">
        <f t="shared" si="1579"/>
        <v>202406</v>
      </c>
      <c r="B2569" s="1" t="str">
        <f t="shared" si="1580"/>
        <v>150525100</v>
      </c>
      <c r="C2569" s="1" t="str">
        <f>"1040689532"</f>
        <v>1040689532</v>
      </c>
      <c r="D2569" s="1" t="str">
        <f>"152326195512060662"</f>
        <v>152326195512060662</v>
      </c>
      <c r="E2569" s="1" t="s">
        <v>2648</v>
      </c>
      <c r="F2569" s="1" t="s">
        <v>16</v>
      </c>
      <c r="G2569" s="1" t="s">
        <v>17</v>
      </c>
      <c r="H2569" s="1" t="str">
        <f>"69"</f>
        <v>69</v>
      </c>
      <c r="I2569" s="1" t="str">
        <f>"154.21"</f>
        <v>154.21</v>
      </c>
      <c r="J2569" s="1" t="str">
        <f t="shared" si="1568"/>
        <v>0</v>
      </c>
      <c r="K2569" s="1" t="str">
        <f t="shared" si="1573"/>
        <v>103</v>
      </c>
      <c r="L2569" s="1" t="str">
        <f t="shared" si="1574"/>
        <v>47</v>
      </c>
      <c r="M2569" s="1" t="str">
        <f t="shared" si="1577"/>
        <v>0</v>
      </c>
      <c r="N2569" s="1" t="str">
        <f t="shared" si="1578"/>
        <v>0</v>
      </c>
      <c r="O2569" s="1" t="str">
        <f>"4.21"</f>
        <v>4.21</v>
      </c>
    </row>
    <row r="2570" s="1" customFormat="1" spans="1:15">
      <c r="A2570" s="1" t="str">
        <f t="shared" si="1579"/>
        <v>202406</v>
      </c>
      <c r="B2570" s="1" t="str">
        <f t="shared" si="1580"/>
        <v>150525100</v>
      </c>
      <c r="C2570" s="1" t="str">
        <f>"1040689538"</f>
        <v>1040689538</v>
      </c>
      <c r="D2570" s="1" t="str">
        <f>"152326195612120669"</f>
        <v>152326195612120669</v>
      </c>
      <c r="E2570" s="1" t="s">
        <v>2649</v>
      </c>
      <c r="F2570" s="1" t="s">
        <v>16</v>
      </c>
      <c r="G2570" s="1" t="s">
        <v>17</v>
      </c>
      <c r="H2570" s="1" t="str">
        <f>"68"</f>
        <v>68</v>
      </c>
      <c r="I2570" s="1" t="str">
        <f>"155.14"</f>
        <v>155.14</v>
      </c>
      <c r="J2570" s="1" t="str">
        <f t="shared" si="1568"/>
        <v>0</v>
      </c>
      <c r="K2570" s="1" t="str">
        <f t="shared" si="1573"/>
        <v>103</v>
      </c>
      <c r="L2570" s="1" t="str">
        <f t="shared" si="1574"/>
        <v>47</v>
      </c>
      <c r="M2570" s="1" t="str">
        <f t="shared" si="1577"/>
        <v>0</v>
      </c>
      <c r="N2570" s="1" t="str">
        <f t="shared" si="1578"/>
        <v>0</v>
      </c>
      <c r="O2570" s="1" t="str">
        <f>"5.14"</f>
        <v>5.14</v>
      </c>
    </row>
    <row r="2571" s="1" customFormat="1" spans="1:15">
      <c r="A2571" s="1" t="str">
        <f t="shared" si="1579"/>
        <v>202406</v>
      </c>
      <c r="B2571" s="1" t="str">
        <f t="shared" si="1580"/>
        <v>150525100</v>
      </c>
      <c r="C2571" s="1" t="str">
        <f>"1015311655"</f>
        <v>1015311655</v>
      </c>
      <c r="D2571" s="1" t="str">
        <f>"152326195201150919"</f>
        <v>152326195201150919</v>
      </c>
      <c r="E2571" s="1" t="s">
        <v>2650</v>
      </c>
      <c r="F2571" s="1" t="s">
        <v>25</v>
      </c>
      <c r="G2571" s="1" t="s">
        <v>19</v>
      </c>
      <c r="H2571" s="1" t="str">
        <f>"72"</f>
        <v>72</v>
      </c>
      <c r="I2571" s="1" t="str">
        <f>"161.53"</f>
        <v>161.53</v>
      </c>
      <c r="J2571" s="1" t="str">
        <f t="shared" si="1568"/>
        <v>0</v>
      </c>
      <c r="K2571" s="1" t="str">
        <f t="shared" si="1573"/>
        <v>103</v>
      </c>
      <c r="L2571" s="1" t="str">
        <f t="shared" si="1574"/>
        <v>47</v>
      </c>
      <c r="M2571" s="1" t="str">
        <f t="shared" si="1577"/>
        <v>0</v>
      </c>
      <c r="N2571" s="1" t="str">
        <f t="shared" si="1578"/>
        <v>0</v>
      </c>
      <c r="O2571" s="1" t="str">
        <f>"1.53"</f>
        <v>1.53</v>
      </c>
    </row>
    <row r="2572" s="1" customFormat="1" spans="1:15">
      <c r="A2572" s="1" t="str">
        <f t="shared" si="1579"/>
        <v>202406</v>
      </c>
      <c r="B2572" s="1" t="str">
        <f t="shared" si="1580"/>
        <v>150525100</v>
      </c>
      <c r="C2572" s="1" t="str">
        <f>"1042957512"</f>
        <v>1042957512</v>
      </c>
      <c r="D2572" s="1" t="str">
        <f>"152326196206130663"</f>
        <v>152326196206130663</v>
      </c>
      <c r="E2572" s="1" t="s">
        <v>2651</v>
      </c>
      <c r="F2572" s="1" t="s">
        <v>16</v>
      </c>
      <c r="G2572" s="1" t="s">
        <v>19</v>
      </c>
      <c r="H2572" s="1" t="str">
        <f>"62"</f>
        <v>62</v>
      </c>
      <c r="I2572" s="1" t="str">
        <f>"648.8"</f>
        <v>648.8</v>
      </c>
      <c r="J2572" s="1" t="str">
        <f>"486.6"</f>
        <v>486.6</v>
      </c>
      <c r="K2572" s="1" t="str">
        <f>"412"</f>
        <v>412</v>
      </c>
      <c r="L2572" s="1" t="str">
        <f>"188"</f>
        <v>188</v>
      </c>
      <c r="M2572" s="1" t="str">
        <f t="shared" si="1577"/>
        <v>0</v>
      </c>
      <c r="N2572" s="1" t="str">
        <f t="shared" si="1578"/>
        <v>0</v>
      </c>
      <c r="O2572" s="1" t="str">
        <f>"48.8"</f>
        <v>48.8</v>
      </c>
    </row>
    <row r="2573" s="1" customFormat="1" spans="1:15">
      <c r="A2573" s="1" t="str">
        <f t="shared" si="1579"/>
        <v>202406</v>
      </c>
      <c r="B2573" s="1" t="str">
        <f t="shared" si="1580"/>
        <v>150525100</v>
      </c>
      <c r="C2573" s="1" t="str">
        <f>"1014625501"</f>
        <v>1014625501</v>
      </c>
      <c r="D2573" s="1" t="str">
        <f>"152326194409200415"</f>
        <v>152326194409200415</v>
      </c>
      <c r="E2573" s="1" t="s">
        <v>2652</v>
      </c>
      <c r="F2573" s="1" t="s">
        <v>25</v>
      </c>
      <c r="G2573" s="1" t="s">
        <v>17</v>
      </c>
      <c r="H2573" s="1" t="str">
        <f>"80"</f>
        <v>80</v>
      </c>
      <c r="I2573" s="1" t="str">
        <f t="shared" ref="I2573:I2575" si="1581">"160"</f>
        <v>160</v>
      </c>
      <c r="J2573" s="1" t="str">
        <f t="shared" ref="J2573:J2587" si="1582">"0"</f>
        <v>0</v>
      </c>
      <c r="K2573" s="1" t="str">
        <f t="shared" ref="K2573:K2587" si="1583">"103"</f>
        <v>103</v>
      </c>
      <c r="L2573" s="1" t="str">
        <f t="shared" ref="L2573:L2587" si="1584">"47"</f>
        <v>47</v>
      </c>
      <c r="M2573" s="1" t="str">
        <f t="shared" si="1577"/>
        <v>0</v>
      </c>
      <c r="N2573" s="1" t="str">
        <f t="shared" si="1578"/>
        <v>0</v>
      </c>
      <c r="O2573" s="1" t="str">
        <f t="shared" ref="O2573:O2575" si="1585">"0"</f>
        <v>0</v>
      </c>
    </row>
    <row r="2574" s="1" customFormat="1" spans="1:15">
      <c r="A2574" s="1" t="str">
        <f t="shared" si="1579"/>
        <v>202406</v>
      </c>
      <c r="B2574" s="1" t="str">
        <f t="shared" si="1580"/>
        <v>150525100</v>
      </c>
      <c r="C2574" s="1" t="str">
        <f>"1014625526"</f>
        <v>1014625526</v>
      </c>
      <c r="D2574" s="1" t="str">
        <f>"152326194904160430"</f>
        <v>152326194904160430</v>
      </c>
      <c r="E2574" s="1" t="s">
        <v>2653</v>
      </c>
      <c r="F2574" s="1" t="s">
        <v>25</v>
      </c>
      <c r="G2574" s="1" t="s">
        <v>17</v>
      </c>
      <c r="H2574" s="1" t="str">
        <f t="shared" ref="H2574:H2578" si="1586">"75"</f>
        <v>75</v>
      </c>
      <c r="I2574" s="1" t="str">
        <f t="shared" si="1581"/>
        <v>160</v>
      </c>
      <c r="J2574" s="1" t="str">
        <f t="shared" si="1582"/>
        <v>0</v>
      </c>
      <c r="K2574" s="1" t="str">
        <f t="shared" si="1583"/>
        <v>103</v>
      </c>
      <c r="L2574" s="1" t="str">
        <f t="shared" si="1584"/>
        <v>47</v>
      </c>
      <c r="M2574" s="1" t="str">
        <f t="shared" si="1577"/>
        <v>0</v>
      </c>
      <c r="N2574" s="1" t="str">
        <f t="shared" si="1578"/>
        <v>0</v>
      </c>
      <c r="O2574" s="1" t="str">
        <f t="shared" si="1585"/>
        <v>0</v>
      </c>
    </row>
    <row r="2575" s="1" customFormat="1" spans="1:15">
      <c r="A2575" s="1" t="str">
        <f t="shared" si="1579"/>
        <v>202406</v>
      </c>
      <c r="B2575" s="1" t="str">
        <f t="shared" si="1580"/>
        <v>150525100</v>
      </c>
      <c r="C2575" s="1" t="str">
        <f>"1014630240"</f>
        <v>1014630240</v>
      </c>
      <c r="D2575" s="1" t="s">
        <v>2654</v>
      </c>
      <c r="E2575" s="1" t="s">
        <v>2655</v>
      </c>
      <c r="F2575" s="1" t="s">
        <v>16</v>
      </c>
      <c r="G2575" s="1" t="s">
        <v>17</v>
      </c>
      <c r="H2575" s="1" t="str">
        <f>"78"</f>
        <v>78</v>
      </c>
      <c r="I2575" s="1" t="str">
        <f t="shared" si="1581"/>
        <v>160</v>
      </c>
      <c r="J2575" s="1" t="str">
        <f t="shared" si="1582"/>
        <v>0</v>
      </c>
      <c r="K2575" s="1" t="str">
        <f t="shared" si="1583"/>
        <v>103</v>
      </c>
      <c r="L2575" s="1" t="str">
        <f t="shared" si="1584"/>
        <v>47</v>
      </c>
      <c r="M2575" s="1" t="str">
        <f t="shared" si="1577"/>
        <v>0</v>
      </c>
      <c r="N2575" s="1" t="str">
        <f t="shared" si="1578"/>
        <v>0</v>
      </c>
      <c r="O2575" s="1" t="str">
        <f t="shared" si="1585"/>
        <v>0</v>
      </c>
    </row>
    <row r="2576" s="1" customFormat="1" spans="1:15">
      <c r="A2576" s="1" t="str">
        <f t="shared" si="1579"/>
        <v>202406</v>
      </c>
      <c r="B2576" s="1" t="str">
        <f t="shared" si="1580"/>
        <v>150525100</v>
      </c>
      <c r="C2576" s="1" t="str">
        <f>"1042691241"</f>
        <v>1042691241</v>
      </c>
      <c r="D2576" s="1" t="str">
        <f>"152326196301130661"</f>
        <v>152326196301130661</v>
      </c>
      <c r="E2576" s="1" t="s">
        <v>2656</v>
      </c>
      <c r="F2576" s="1" t="s">
        <v>16</v>
      </c>
      <c r="G2576" s="1" t="s">
        <v>17</v>
      </c>
      <c r="H2576" s="1" t="str">
        <f>"61"</f>
        <v>61</v>
      </c>
      <c r="I2576" s="1" t="str">
        <f>"168.24"</f>
        <v>168.24</v>
      </c>
      <c r="J2576" s="1" t="str">
        <f t="shared" si="1582"/>
        <v>0</v>
      </c>
      <c r="K2576" s="1" t="str">
        <f t="shared" si="1583"/>
        <v>103</v>
      </c>
      <c r="L2576" s="1" t="str">
        <f t="shared" si="1584"/>
        <v>47</v>
      </c>
      <c r="M2576" s="1" t="str">
        <f t="shared" si="1577"/>
        <v>0</v>
      </c>
      <c r="N2576" s="1" t="str">
        <f t="shared" si="1578"/>
        <v>0</v>
      </c>
      <c r="O2576" s="1" t="str">
        <f>"18.24"</f>
        <v>18.24</v>
      </c>
    </row>
    <row r="2577" s="1" customFormat="1" spans="1:15">
      <c r="A2577" s="1" t="str">
        <f t="shared" si="1579"/>
        <v>202406</v>
      </c>
      <c r="B2577" s="1" t="str">
        <f t="shared" si="1580"/>
        <v>150525100</v>
      </c>
      <c r="C2577" s="1" t="str">
        <f>"1014625043"</f>
        <v>1014625043</v>
      </c>
      <c r="D2577" s="1" t="str">
        <f>"152326194901100424"</f>
        <v>152326194901100424</v>
      </c>
      <c r="E2577" s="1" t="s">
        <v>192</v>
      </c>
      <c r="F2577" s="1" t="s">
        <v>16</v>
      </c>
      <c r="G2577" s="1" t="s">
        <v>17</v>
      </c>
      <c r="H2577" s="1" t="str">
        <f t="shared" si="1586"/>
        <v>75</v>
      </c>
      <c r="I2577" s="1" t="str">
        <f t="shared" ref="I2577:I2587" si="1587">"160"</f>
        <v>160</v>
      </c>
      <c r="J2577" s="1" t="str">
        <f t="shared" si="1582"/>
        <v>0</v>
      </c>
      <c r="K2577" s="1" t="str">
        <f t="shared" si="1583"/>
        <v>103</v>
      </c>
      <c r="L2577" s="1" t="str">
        <f t="shared" si="1584"/>
        <v>47</v>
      </c>
      <c r="M2577" s="1" t="str">
        <f t="shared" si="1577"/>
        <v>0</v>
      </c>
      <c r="N2577" s="1" t="str">
        <f t="shared" si="1578"/>
        <v>0</v>
      </c>
      <c r="O2577" s="1" t="str">
        <f t="shared" ref="O2577:O2587" si="1588">"0"</f>
        <v>0</v>
      </c>
    </row>
    <row r="2578" s="1" customFormat="1" spans="1:15">
      <c r="A2578" s="1" t="str">
        <f t="shared" si="1579"/>
        <v>202406</v>
      </c>
      <c r="B2578" s="1" t="str">
        <f t="shared" si="1580"/>
        <v>150525100</v>
      </c>
      <c r="C2578" s="1" t="str">
        <f>"1014630263"</f>
        <v>1014630263</v>
      </c>
      <c r="D2578" s="1" t="str">
        <f>"152326194912023823"</f>
        <v>152326194912023823</v>
      </c>
      <c r="E2578" s="1" t="s">
        <v>2657</v>
      </c>
      <c r="F2578" s="1" t="s">
        <v>16</v>
      </c>
      <c r="G2578" s="1" t="s">
        <v>17</v>
      </c>
      <c r="H2578" s="1" t="str">
        <f t="shared" si="1586"/>
        <v>75</v>
      </c>
      <c r="I2578" s="1" t="str">
        <f t="shared" si="1587"/>
        <v>160</v>
      </c>
      <c r="J2578" s="1" t="str">
        <f t="shared" si="1582"/>
        <v>0</v>
      </c>
      <c r="K2578" s="1" t="str">
        <f t="shared" si="1583"/>
        <v>103</v>
      </c>
      <c r="L2578" s="1" t="str">
        <f t="shared" si="1584"/>
        <v>47</v>
      </c>
      <c r="M2578" s="1" t="str">
        <f t="shared" si="1577"/>
        <v>0</v>
      </c>
      <c r="N2578" s="1" t="str">
        <f t="shared" si="1578"/>
        <v>0</v>
      </c>
      <c r="O2578" s="1" t="str">
        <f t="shared" si="1588"/>
        <v>0</v>
      </c>
    </row>
    <row r="2579" s="1" customFormat="1" spans="1:15">
      <c r="A2579" s="1" t="str">
        <f t="shared" si="1579"/>
        <v>202406</v>
      </c>
      <c r="B2579" s="1" t="str">
        <f t="shared" si="1580"/>
        <v>150525100</v>
      </c>
      <c r="C2579" s="1" t="str">
        <f>"1014630264"</f>
        <v>1014630264</v>
      </c>
      <c r="D2579" s="1" t="str">
        <f>"152326195004263818"</f>
        <v>152326195004263818</v>
      </c>
      <c r="E2579" s="1" t="s">
        <v>2658</v>
      </c>
      <c r="F2579" s="1" t="s">
        <v>25</v>
      </c>
      <c r="G2579" s="1" t="s">
        <v>17</v>
      </c>
      <c r="H2579" s="1" t="str">
        <f>"74"</f>
        <v>74</v>
      </c>
      <c r="I2579" s="1" t="str">
        <f t="shared" si="1587"/>
        <v>160</v>
      </c>
      <c r="J2579" s="1" t="str">
        <f t="shared" si="1582"/>
        <v>0</v>
      </c>
      <c r="K2579" s="1" t="str">
        <f t="shared" si="1583"/>
        <v>103</v>
      </c>
      <c r="L2579" s="1" t="str">
        <f t="shared" si="1584"/>
        <v>47</v>
      </c>
      <c r="M2579" s="1" t="str">
        <f t="shared" si="1577"/>
        <v>0</v>
      </c>
      <c r="N2579" s="1" t="str">
        <f t="shared" si="1578"/>
        <v>0</v>
      </c>
      <c r="O2579" s="1" t="str">
        <f t="shared" si="1588"/>
        <v>0</v>
      </c>
    </row>
    <row r="2580" s="1" customFormat="1" spans="1:15">
      <c r="A2580" s="1" t="str">
        <f t="shared" si="1579"/>
        <v>202406</v>
      </c>
      <c r="B2580" s="1" t="str">
        <f t="shared" si="1580"/>
        <v>150525100</v>
      </c>
      <c r="C2580" s="1" t="str">
        <f>"1014625075"</f>
        <v>1014625075</v>
      </c>
      <c r="D2580" s="1" t="str">
        <f>"152326194702173313"</f>
        <v>152326194702173313</v>
      </c>
      <c r="E2580" s="1" t="s">
        <v>2659</v>
      </c>
      <c r="F2580" s="1" t="s">
        <v>25</v>
      </c>
      <c r="G2580" s="1" t="s">
        <v>19</v>
      </c>
      <c r="H2580" s="1" t="str">
        <f>"77"</f>
        <v>77</v>
      </c>
      <c r="I2580" s="1" t="str">
        <f t="shared" si="1587"/>
        <v>160</v>
      </c>
      <c r="J2580" s="1" t="str">
        <f t="shared" si="1582"/>
        <v>0</v>
      </c>
      <c r="K2580" s="1" t="str">
        <f t="shared" si="1583"/>
        <v>103</v>
      </c>
      <c r="L2580" s="1" t="str">
        <f t="shared" si="1584"/>
        <v>47</v>
      </c>
      <c r="M2580" s="1" t="str">
        <f t="shared" si="1577"/>
        <v>0</v>
      </c>
      <c r="N2580" s="1" t="str">
        <f t="shared" si="1578"/>
        <v>0</v>
      </c>
      <c r="O2580" s="1" t="str">
        <f t="shared" si="1588"/>
        <v>0</v>
      </c>
    </row>
    <row r="2581" s="1" customFormat="1" spans="1:15">
      <c r="A2581" s="1" t="str">
        <f t="shared" si="1579"/>
        <v>202406</v>
      </c>
      <c r="B2581" s="1" t="str">
        <f t="shared" si="1580"/>
        <v>150525100</v>
      </c>
      <c r="C2581" s="1" t="str">
        <f>"1014625084"</f>
        <v>1014625084</v>
      </c>
      <c r="D2581" s="1" t="str">
        <f>"152326194910163822"</f>
        <v>152326194910163822</v>
      </c>
      <c r="E2581" s="1" t="s">
        <v>2660</v>
      </c>
      <c r="F2581" s="1" t="s">
        <v>16</v>
      </c>
      <c r="G2581" s="1" t="s">
        <v>17</v>
      </c>
      <c r="H2581" s="1" t="str">
        <f>"75"</f>
        <v>75</v>
      </c>
      <c r="I2581" s="1" t="str">
        <f t="shared" si="1587"/>
        <v>160</v>
      </c>
      <c r="J2581" s="1" t="str">
        <f t="shared" si="1582"/>
        <v>0</v>
      </c>
      <c r="K2581" s="1" t="str">
        <f t="shared" si="1583"/>
        <v>103</v>
      </c>
      <c r="L2581" s="1" t="str">
        <f t="shared" si="1584"/>
        <v>47</v>
      </c>
      <c r="M2581" s="1" t="str">
        <f t="shared" si="1577"/>
        <v>0</v>
      </c>
      <c r="N2581" s="1" t="str">
        <f t="shared" si="1578"/>
        <v>0</v>
      </c>
      <c r="O2581" s="1" t="str">
        <f t="shared" si="1588"/>
        <v>0</v>
      </c>
    </row>
    <row r="2582" s="1" customFormat="1" spans="1:15">
      <c r="A2582" s="1" t="str">
        <f t="shared" si="1579"/>
        <v>202406</v>
      </c>
      <c r="B2582" s="1" t="str">
        <f t="shared" si="1580"/>
        <v>150525100</v>
      </c>
      <c r="C2582" s="1" t="str">
        <f>"1014625097"</f>
        <v>1014625097</v>
      </c>
      <c r="D2582" s="1" t="str">
        <f>"152326194506100424"</f>
        <v>152326194506100424</v>
      </c>
      <c r="E2582" s="1" t="s">
        <v>2661</v>
      </c>
      <c r="F2582" s="1" t="s">
        <v>16</v>
      </c>
      <c r="G2582" s="1" t="s">
        <v>17</v>
      </c>
      <c r="H2582" s="1" t="str">
        <f>"79"</f>
        <v>79</v>
      </c>
      <c r="I2582" s="1" t="str">
        <f t="shared" si="1587"/>
        <v>160</v>
      </c>
      <c r="J2582" s="1" t="str">
        <f t="shared" si="1582"/>
        <v>0</v>
      </c>
      <c r="K2582" s="1" t="str">
        <f t="shared" si="1583"/>
        <v>103</v>
      </c>
      <c r="L2582" s="1" t="str">
        <f t="shared" si="1584"/>
        <v>47</v>
      </c>
      <c r="M2582" s="1" t="str">
        <f t="shared" si="1577"/>
        <v>0</v>
      </c>
      <c r="N2582" s="1" t="str">
        <f t="shared" si="1578"/>
        <v>0</v>
      </c>
      <c r="O2582" s="1" t="str">
        <f t="shared" si="1588"/>
        <v>0</v>
      </c>
    </row>
    <row r="2583" s="1" customFormat="1" spans="1:15">
      <c r="A2583" s="1" t="str">
        <f t="shared" si="1579"/>
        <v>202406</v>
      </c>
      <c r="B2583" s="1" t="str">
        <f t="shared" si="1580"/>
        <v>150525100</v>
      </c>
      <c r="C2583" s="1" t="str">
        <f>"1014625120"</f>
        <v>1014625120</v>
      </c>
      <c r="D2583" s="1" t="str">
        <f>"152326194505140424"</f>
        <v>152326194505140424</v>
      </c>
      <c r="E2583" s="1" t="s">
        <v>2662</v>
      </c>
      <c r="F2583" s="1" t="s">
        <v>16</v>
      </c>
      <c r="G2583" s="1" t="s">
        <v>17</v>
      </c>
      <c r="H2583" s="1" t="str">
        <f>"79"</f>
        <v>79</v>
      </c>
      <c r="I2583" s="1" t="str">
        <f t="shared" si="1587"/>
        <v>160</v>
      </c>
      <c r="J2583" s="1" t="str">
        <f t="shared" si="1582"/>
        <v>0</v>
      </c>
      <c r="K2583" s="1" t="str">
        <f t="shared" si="1583"/>
        <v>103</v>
      </c>
      <c r="L2583" s="1" t="str">
        <f t="shared" si="1584"/>
        <v>47</v>
      </c>
      <c r="M2583" s="1" t="str">
        <f t="shared" si="1577"/>
        <v>0</v>
      </c>
      <c r="N2583" s="1" t="str">
        <f t="shared" si="1578"/>
        <v>0</v>
      </c>
      <c r="O2583" s="1" t="str">
        <f t="shared" si="1588"/>
        <v>0</v>
      </c>
    </row>
    <row r="2584" s="1" customFormat="1" spans="1:15">
      <c r="A2584" s="1" t="str">
        <f t="shared" si="1579"/>
        <v>202406</v>
      </c>
      <c r="B2584" s="1" t="str">
        <f t="shared" si="1580"/>
        <v>150525100</v>
      </c>
      <c r="C2584" s="1" t="str">
        <f>"1014625141"</f>
        <v>1014625141</v>
      </c>
      <c r="D2584" s="1" t="str">
        <f>"152326195110010443"</f>
        <v>152326195110010443</v>
      </c>
      <c r="E2584" s="1" t="s">
        <v>2663</v>
      </c>
      <c r="F2584" s="1" t="s">
        <v>16</v>
      </c>
      <c r="G2584" s="1" t="s">
        <v>17</v>
      </c>
      <c r="H2584" s="1" t="str">
        <f>"73"</f>
        <v>73</v>
      </c>
      <c r="I2584" s="1" t="str">
        <f t="shared" si="1587"/>
        <v>160</v>
      </c>
      <c r="J2584" s="1" t="str">
        <f t="shared" si="1582"/>
        <v>0</v>
      </c>
      <c r="K2584" s="1" t="str">
        <f t="shared" si="1583"/>
        <v>103</v>
      </c>
      <c r="L2584" s="1" t="str">
        <f t="shared" si="1584"/>
        <v>47</v>
      </c>
      <c r="M2584" s="1" t="str">
        <f t="shared" si="1577"/>
        <v>0</v>
      </c>
      <c r="N2584" s="1" t="str">
        <f t="shared" si="1578"/>
        <v>0</v>
      </c>
      <c r="O2584" s="1" t="str">
        <f t="shared" si="1588"/>
        <v>0</v>
      </c>
    </row>
    <row r="2585" s="1" customFormat="1" spans="1:15">
      <c r="A2585" s="1" t="str">
        <f t="shared" si="1579"/>
        <v>202406</v>
      </c>
      <c r="B2585" s="1" t="str">
        <f t="shared" si="1580"/>
        <v>150525100</v>
      </c>
      <c r="C2585" s="1" t="str">
        <f>"1014625145"</f>
        <v>1014625145</v>
      </c>
      <c r="D2585" s="1" t="str">
        <f>"152326194702040422"</f>
        <v>152326194702040422</v>
      </c>
      <c r="E2585" s="1" t="s">
        <v>2664</v>
      </c>
      <c r="F2585" s="1" t="s">
        <v>16</v>
      </c>
      <c r="G2585" s="1" t="s">
        <v>17</v>
      </c>
      <c r="H2585" s="1" t="str">
        <f>"77"</f>
        <v>77</v>
      </c>
      <c r="I2585" s="1" t="str">
        <f t="shared" si="1587"/>
        <v>160</v>
      </c>
      <c r="J2585" s="1" t="str">
        <f t="shared" si="1582"/>
        <v>0</v>
      </c>
      <c r="K2585" s="1" t="str">
        <f t="shared" si="1583"/>
        <v>103</v>
      </c>
      <c r="L2585" s="1" t="str">
        <f t="shared" si="1584"/>
        <v>47</v>
      </c>
      <c r="M2585" s="1" t="str">
        <f t="shared" si="1577"/>
        <v>0</v>
      </c>
      <c r="N2585" s="1" t="str">
        <f t="shared" si="1578"/>
        <v>0</v>
      </c>
      <c r="O2585" s="1" t="str">
        <f t="shared" si="1588"/>
        <v>0</v>
      </c>
    </row>
    <row r="2586" s="1" customFormat="1" spans="1:15">
      <c r="A2586" s="1" t="str">
        <f t="shared" si="1579"/>
        <v>202406</v>
      </c>
      <c r="B2586" s="1" t="str">
        <f t="shared" si="1580"/>
        <v>150525100</v>
      </c>
      <c r="C2586" s="1" t="str">
        <f>"1014625147"</f>
        <v>1014625147</v>
      </c>
      <c r="D2586" s="1" t="str">
        <f>"152326194909070442"</f>
        <v>152326194909070442</v>
      </c>
      <c r="E2586" s="1" t="s">
        <v>2665</v>
      </c>
      <c r="F2586" s="1" t="s">
        <v>16</v>
      </c>
      <c r="G2586" s="1" t="s">
        <v>17</v>
      </c>
      <c r="H2586" s="1" t="str">
        <f>"75"</f>
        <v>75</v>
      </c>
      <c r="I2586" s="1" t="str">
        <f t="shared" si="1587"/>
        <v>160</v>
      </c>
      <c r="J2586" s="1" t="str">
        <f t="shared" si="1582"/>
        <v>0</v>
      </c>
      <c r="K2586" s="1" t="str">
        <f t="shared" si="1583"/>
        <v>103</v>
      </c>
      <c r="L2586" s="1" t="str">
        <f t="shared" si="1584"/>
        <v>47</v>
      </c>
      <c r="M2586" s="1" t="str">
        <f t="shared" si="1577"/>
        <v>0</v>
      </c>
      <c r="N2586" s="1" t="str">
        <f t="shared" si="1578"/>
        <v>0</v>
      </c>
      <c r="O2586" s="1" t="str">
        <f t="shared" si="1588"/>
        <v>0</v>
      </c>
    </row>
    <row r="2587" s="1" customFormat="1" spans="1:15">
      <c r="A2587" s="1" t="str">
        <f t="shared" si="1579"/>
        <v>202406</v>
      </c>
      <c r="B2587" s="1" t="str">
        <f t="shared" si="1580"/>
        <v>150525100</v>
      </c>
      <c r="C2587" s="1" t="str">
        <f>"1014625154"</f>
        <v>1014625154</v>
      </c>
      <c r="D2587" s="1" t="str">
        <f>"152326194805160427"</f>
        <v>152326194805160427</v>
      </c>
      <c r="E2587" s="1" t="s">
        <v>2666</v>
      </c>
      <c r="F2587" s="1" t="s">
        <v>16</v>
      </c>
      <c r="G2587" s="1" t="s">
        <v>17</v>
      </c>
      <c r="H2587" s="1" t="str">
        <f>"76"</f>
        <v>76</v>
      </c>
      <c r="I2587" s="1" t="str">
        <f t="shared" si="1587"/>
        <v>160</v>
      </c>
      <c r="J2587" s="1" t="str">
        <f t="shared" si="1582"/>
        <v>0</v>
      </c>
      <c r="K2587" s="1" t="str">
        <f t="shared" si="1583"/>
        <v>103</v>
      </c>
      <c r="L2587" s="1" t="str">
        <f t="shared" si="1584"/>
        <v>47</v>
      </c>
      <c r="M2587" s="1" t="str">
        <f t="shared" si="1577"/>
        <v>0</v>
      </c>
      <c r="N2587" s="1" t="str">
        <f t="shared" si="1578"/>
        <v>0</v>
      </c>
      <c r="O2587" s="1" t="str">
        <f t="shared" si="1588"/>
        <v>0</v>
      </c>
    </row>
    <row r="2588" s="1" customFormat="1" spans="1:15">
      <c r="A2588" s="1" t="str">
        <f t="shared" si="1579"/>
        <v>202406</v>
      </c>
      <c r="B2588" s="1" t="str">
        <f t="shared" si="1580"/>
        <v>150525100</v>
      </c>
      <c r="C2588" s="1" t="str">
        <f>"1014641099"</f>
        <v>1014641099</v>
      </c>
      <c r="D2588" s="1" t="str">
        <f>"152326196108110423"</f>
        <v>152326196108110423</v>
      </c>
      <c r="E2588" s="1" t="s">
        <v>2667</v>
      </c>
      <c r="F2588" s="1" t="s">
        <v>16</v>
      </c>
      <c r="G2588" s="1" t="s">
        <v>19</v>
      </c>
      <c r="H2588" s="1" t="str">
        <f>"63"</f>
        <v>63</v>
      </c>
      <c r="I2588" s="1" t="str">
        <f>"2869.8"</f>
        <v>2869.8</v>
      </c>
      <c r="J2588" s="1" t="str">
        <f>"2708.7"</f>
        <v>2708.7</v>
      </c>
      <c r="K2588" s="1" t="str">
        <f>"1824"</f>
        <v>1824</v>
      </c>
      <c r="L2588" s="1" t="str">
        <f>"846"</f>
        <v>846</v>
      </c>
      <c r="M2588" s="1" t="str">
        <f t="shared" si="1577"/>
        <v>0</v>
      </c>
      <c r="N2588" s="1" t="str">
        <f t="shared" si="1578"/>
        <v>0</v>
      </c>
      <c r="O2588" s="1" t="str">
        <f>"199.8"</f>
        <v>199.8</v>
      </c>
    </row>
    <row r="2589" s="1" customFormat="1" spans="1:15">
      <c r="A2589" s="1" t="str">
        <f t="shared" si="1579"/>
        <v>202406</v>
      </c>
      <c r="B2589" s="1" t="str">
        <f t="shared" si="1580"/>
        <v>150525100</v>
      </c>
      <c r="C2589" s="1" t="str">
        <f>"1014625160"</f>
        <v>1014625160</v>
      </c>
      <c r="D2589" s="1" t="str">
        <f>"152326194703150447"</f>
        <v>152326194703150447</v>
      </c>
      <c r="E2589" s="1" t="s">
        <v>2668</v>
      </c>
      <c r="F2589" s="1" t="s">
        <v>16</v>
      </c>
      <c r="G2589" s="1" t="s">
        <v>17</v>
      </c>
      <c r="H2589" s="1" t="str">
        <f>"77"</f>
        <v>77</v>
      </c>
      <c r="I2589" s="1" t="str">
        <f t="shared" ref="I2589:I2591" si="1589">"160"</f>
        <v>160</v>
      </c>
      <c r="J2589" s="1" t="str">
        <f t="shared" ref="J2589:J2609" si="1590">"0"</f>
        <v>0</v>
      </c>
      <c r="K2589" s="1" t="str">
        <f t="shared" ref="K2589:K2609" si="1591">"103"</f>
        <v>103</v>
      </c>
      <c r="L2589" s="1" t="str">
        <f t="shared" ref="L2589:L2609" si="1592">"47"</f>
        <v>47</v>
      </c>
      <c r="M2589" s="1" t="str">
        <f t="shared" si="1577"/>
        <v>0</v>
      </c>
      <c r="N2589" s="1" t="str">
        <f t="shared" si="1578"/>
        <v>0</v>
      </c>
      <c r="O2589" s="1" t="str">
        <f t="shared" ref="O2589:O2619" si="1593">"0"</f>
        <v>0</v>
      </c>
    </row>
    <row r="2590" s="1" customFormat="1" spans="1:15">
      <c r="A2590" s="1" t="str">
        <f t="shared" si="1579"/>
        <v>202406</v>
      </c>
      <c r="B2590" s="1" t="str">
        <f t="shared" si="1580"/>
        <v>150525100</v>
      </c>
      <c r="C2590" s="1" t="str">
        <f>"1014625180"</f>
        <v>1014625180</v>
      </c>
      <c r="D2590" s="1" t="str">
        <f>"152326195112240429"</f>
        <v>152326195112240429</v>
      </c>
      <c r="E2590" s="1" t="s">
        <v>2669</v>
      </c>
      <c r="F2590" s="1" t="s">
        <v>16</v>
      </c>
      <c r="G2590" s="1" t="s">
        <v>17</v>
      </c>
      <c r="H2590" s="1" t="str">
        <f>"73"</f>
        <v>73</v>
      </c>
      <c r="I2590" s="1" t="str">
        <f t="shared" si="1589"/>
        <v>160</v>
      </c>
      <c r="J2590" s="1" t="str">
        <f t="shared" si="1590"/>
        <v>0</v>
      </c>
      <c r="K2590" s="1" t="str">
        <f t="shared" si="1591"/>
        <v>103</v>
      </c>
      <c r="L2590" s="1" t="str">
        <f t="shared" si="1592"/>
        <v>47</v>
      </c>
      <c r="M2590" s="1" t="str">
        <f t="shared" si="1577"/>
        <v>0</v>
      </c>
      <c r="N2590" s="1" t="str">
        <f t="shared" si="1578"/>
        <v>0</v>
      </c>
      <c r="O2590" s="1" t="str">
        <f t="shared" si="1593"/>
        <v>0</v>
      </c>
    </row>
    <row r="2591" s="1" customFormat="1" spans="1:15">
      <c r="A2591" s="1" t="str">
        <f t="shared" si="1579"/>
        <v>202406</v>
      </c>
      <c r="B2591" s="1" t="str">
        <f t="shared" si="1580"/>
        <v>150525100</v>
      </c>
      <c r="C2591" s="1" t="str">
        <f>"1014625207"</f>
        <v>1014625207</v>
      </c>
      <c r="D2591" s="1" t="str">
        <f>"152326195011030668"</f>
        <v>152326195011030668</v>
      </c>
      <c r="E2591" s="1" t="s">
        <v>2670</v>
      </c>
      <c r="F2591" s="1" t="s">
        <v>16</v>
      </c>
      <c r="G2591" s="1" t="s">
        <v>17</v>
      </c>
      <c r="H2591" s="1" t="str">
        <f>"74"</f>
        <v>74</v>
      </c>
      <c r="I2591" s="1" t="str">
        <f t="shared" si="1589"/>
        <v>160</v>
      </c>
      <c r="J2591" s="1" t="str">
        <f t="shared" si="1590"/>
        <v>0</v>
      </c>
      <c r="K2591" s="1" t="str">
        <f t="shared" si="1591"/>
        <v>103</v>
      </c>
      <c r="L2591" s="1" t="str">
        <f t="shared" si="1592"/>
        <v>47</v>
      </c>
      <c r="M2591" s="1" t="str">
        <f t="shared" si="1577"/>
        <v>0</v>
      </c>
      <c r="N2591" s="1" t="str">
        <f t="shared" si="1578"/>
        <v>0</v>
      </c>
      <c r="O2591" s="1" t="str">
        <f t="shared" si="1593"/>
        <v>0</v>
      </c>
    </row>
    <row r="2592" s="1" customFormat="1" spans="1:15">
      <c r="A2592" s="1" t="str">
        <f t="shared" si="1579"/>
        <v>202406</v>
      </c>
      <c r="B2592" s="1" t="str">
        <f t="shared" si="1580"/>
        <v>150525100</v>
      </c>
      <c r="C2592" s="1" t="str">
        <f>"1014625239"</f>
        <v>1014625239</v>
      </c>
      <c r="D2592" s="1" t="str">
        <f>"152326193210243325"</f>
        <v>152326193210243325</v>
      </c>
      <c r="E2592" s="1" t="s">
        <v>2671</v>
      </c>
      <c r="F2592" s="1" t="s">
        <v>16</v>
      </c>
      <c r="G2592" s="1" t="s">
        <v>19</v>
      </c>
      <c r="H2592" s="1" t="str">
        <f>"92"</f>
        <v>92</v>
      </c>
      <c r="I2592" s="1" t="str">
        <f>"170"</f>
        <v>170</v>
      </c>
      <c r="J2592" s="1" t="str">
        <f t="shared" si="1590"/>
        <v>0</v>
      </c>
      <c r="K2592" s="1" t="str">
        <f t="shared" si="1591"/>
        <v>103</v>
      </c>
      <c r="L2592" s="1" t="str">
        <f t="shared" si="1592"/>
        <v>47</v>
      </c>
      <c r="M2592" s="1" t="str">
        <f t="shared" si="1577"/>
        <v>0</v>
      </c>
      <c r="N2592" s="1" t="str">
        <f t="shared" si="1578"/>
        <v>0</v>
      </c>
      <c r="O2592" s="1" t="str">
        <f t="shared" si="1593"/>
        <v>0</v>
      </c>
    </row>
    <row r="2593" s="1" customFormat="1" spans="1:15">
      <c r="A2593" s="1" t="str">
        <f t="shared" si="1579"/>
        <v>202406</v>
      </c>
      <c r="B2593" s="1" t="str">
        <f t="shared" si="1580"/>
        <v>150525100</v>
      </c>
      <c r="C2593" s="1" t="str">
        <f>"1015302784"</f>
        <v>1015302784</v>
      </c>
      <c r="D2593" s="1" t="str">
        <f>"150525195005070017"</f>
        <v>150525195005070017</v>
      </c>
      <c r="E2593" s="1" t="s">
        <v>2672</v>
      </c>
      <c r="F2593" s="1" t="s">
        <v>25</v>
      </c>
      <c r="G2593" s="1" t="s">
        <v>19</v>
      </c>
      <c r="H2593" s="1" t="str">
        <f t="shared" ref="H2593:H2598" si="1594">"74"</f>
        <v>74</v>
      </c>
      <c r="I2593" s="1" t="str">
        <f t="shared" ref="I2593:I2602" si="1595">"160"</f>
        <v>160</v>
      </c>
      <c r="J2593" s="1" t="str">
        <f t="shared" si="1590"/>
        <v>0</v>
      </c>
      <c r="K2593" s="1" t="str">
        <f t="shared" si="1591"/>
        <v>103</v>
      </c>
      <c r="L2593" s="1" t="str">
        <f t="shared" si="1592"/>
        <v>47</v>
      </c>
      <c r="M2593" s="1" t="str">
        <f t="shared" si="1577"/>
        <v>0</v>
      </c>
      <c r="N2593" s="1" t="str">
        <f t="shared" si="1578"/>
        <v>0</v>
      </c>
      <c r="O2593" s="1" t="str">
        <f t="shared" si="1593"/>
        <v>0</v>
      </c>
    </row>
    <row r="2594" s="1" customFormat="1" spans="1:15">
      <c r="A2594" s="1" t="str">
        <f t="shared" si="1579"/>
        <v>202406</v>
      </c>
      <c r="B2594" s="1" t="str">
        <f t="shared" si="1580"/>
        <v>150525100</v>
      </c>
      <c r="C2594" s="1" t="str">
        <f>"1014624191"</f>
        <v>1014624191</v>
      </c>
      <c r="D2594" s="1" t="str">
        <f>"152326194611153827"</f>
        <v>152326194611153827</v>
      </c>
      <c r="E2594" s="1" t="s">
        <v>2673</v>
      </c>
      <c r="F2594" s="1" t="s">
        <v>16</v>
      </c>
      <c r="G2594" s="1" t="s">
        <v>17</v>
      </c>
      <c r="H2594" s="1" t="str">
        <f>"78"</f>
        <v>78</v>
      </c>
      <c r="I2594" s="1" t="str">
        <f t="shared" si="1595"/>
        <v>160</v>
      </c>
      <c r="J2594" s="1" t="str">
        <f t="shared" si="1590"/>
        <v>0</v>
      </c>
      <c r="K2594" s="1" t="str">
        <f t="shared" si="1591"/>
        <v>103</v>
      </c>
      <c r="L2594" s="1" t="str">
        <f t="shared" si="1592"/>
        <v>47</v>
      </c>
      <c r="M2594" s="1" t="str">
        <f t="shared" si="1577"/>
        <v>0</v>
      </c>
      <c r="N2594" s="1" t="str">
        <f t="shared" si="1578"/>
        <v>0</v>
      </c>
      <c r="O2594" s="1" t="str">
        <f t="shared" si="1593"/>
        <v>0</v>
      </c>
    </row>
    <row r="2595" s="1" customFormat="1" spans="1:15">
      <c r="A2595" s="1" t="str">
        <f t="shared" si="1579"/>
        <v>202406</v>
      </c>
      <c r="B2595" s="1" t="str">
        <f t="shared" si="1580"/>
        <v>150525100</v>
      </c>
      <c r="C2595" s="1" t="str">
        <f>"1014624196"</f>
        <v>1014624196</v>
      </c>
      <c r="D2595" s="1" t="str">
        <f>"152326195108120678"</f>
        <v>152326195108120678</v>
      </c>
      <c r="E2595" s="1" t="s">
        <v>2674</v>
      </c>
      <c r="F2595" s="1" t="s">
        <v>25</v>
      </c>
      <c r="G2595" s="1" t="s">
        <v>17</v>
      </c>
      <c r="H2595" s="1" t="str">
        <f>"73"</f>
        <v>73</v>
      </c>
      <c r="I2595" s="1" t="str">
        <f t="shared" si="1595"/>
        <v>160</v>
      </c>
      <c r="J2595" s="1" t="str">
        <f t="shared" si="1590"/>
        <v>0</v>
      </c>
      <c r="K2595" s="1" t="str">
        <f t="shared" si="1591"/>
        <v>103</v>
      </c>
      <c r="L2595" s="1" t="str">
        <f t="shared" si="1592"/>
        <v>47</v>
      </c>
      <c r="M2595" s="1" t="str">
        <f t="shared" si="1577"/>
        <v>0</v>
      </c>
      <c r="N2595" s="1" t="str">
        <f t="shared" si="1578"/>
        <v>0</v>
      </c>
      <c r="O2595" s="1" t="str">
        <f t="shared" si="1593"/>
        <v>0</v>
      </c>
    </row>
    <row r="2596" s="1" customFormat="1" spans="1:15">
      <c r="A2596" s="1" t="str">
        <f t="shared" si="1579"/>
        <v>202406</v>
      </c>
      <c r="B2596" s="1" t="str">
        <f t="shared" si="1580"/>
        <v>150525100</v>
      </c>
      <c r="C2596" s="1" t="str">
        <f>"1014624211"</f>
        <v>1014624211</v>
      </c>
      <c r="D2596" s="1" t="str">
        <f>"152326194907250669"</f>
        <v>152326194907250669</v>
      </c>
      <c r="E2596" s="1" t="s">
        <v>2675</v>
      </c>
      <c r="F2596" s="1" t="s">
        <v>16</v>
      </c>
      <c r="G2596" s="1" t="s">
        <v>17</v>
      </c>
      <c r="H2596" s="1" t="str">
        <f t="shared" ref="H2596:H2601" si="1596">"75"</f>
        <v>75</v>
      </c>
      <c r="I2596" s="1" t="str">
        <f t="shared" si="1595"/>
        <v>160</v>
      </c>
      <c r="J2596" s="1" t="str">
        <f t="shared" si="1590"/>
        <v>0</v>
      </c>
      <c r="K2596" s="1" t="str">
        <f t="shared" si="1591"/>
        <v>103</v>
      </c>
      <c r="L2596" s="1" t="str">
        <f t="shared" si="1592"/>
        <v>47</v>
      </c>
      <c r="M2596" s="1" t="str">
        <f t="shared" si="1577"/>
        <v>0</v>
      </c>
      <c r="N2596" s="1" t="str">
        <f t="shared" si="1578"/>
        <v>0</v>
      </c>
      <c r="O2596" s="1" t="str">
        <f t="shared" si="1593"/>
        <v>0</v>
      </c>
    </row>
    <row r="2597" s="1" customFormat="1" spans="1:15">
      <c r="A2597" s="1" t="str">
        <f t="shared" si="1579"/>
        <v>202406</v>
      </c>
      <c r="B2597" s="1" t="str">
        <f t="shared" si="1580"/>
        <v>150525100</v>
      </c>
      <c r="C2597" s="1" t="str">
        <f>"1014624214"</f>
        <v>1014624214</v>
      </c>
      <c r="D2597" s="1" t="str">
        <f>"152326195005010695"</f>
        <v>152326195005010695</v>
      </c>
      <c r="E2597" s="1" t="s">
        <v>2676</v>
      </c>
      <c r="F2597" s="1" t="s">
        <v>25</v>
      </c>
      <c r="G2597" s="1" t="s">
        <v>17</v>
      </c>
      <c r="H2597" s="1" t="str">
        <f t="shared" si="1594"/>
        <v>74</v>
      </c>
      <c r="I2597" s="1" t="str">
        <f t="shared" si="1595"/>
        <v>160</v>
      </c>
      <c r="J2597" s="1" t="str">
        <f t="shared" si="1590"/>
        <v>0</v>
      </c>
      <c r="K2597" s="1" t="str">
        <f t="shared" si="1591"/>
        <v>103</v>
      </c>
      <c r="L2597" s="1" t="str">
        <f t="shared" si="1592"/>
        <v>47</v>
      </c>
      <c r="M2597" s="1" t="str">
        <f t="shared" si="1577"/>
        <v>0</v>
      </c>
      <c r="N2597" s="1" t="str">
        <f t="shared" si="1578"/>
        <v>0</v>
      </c>
      <c r="O2597" s="1" t="str">
        <f t="shared" si="1593"/>
        <v>0</v>
      </c>
    </row>
    <row r="2598" s="1" customFormat="1" spans="1:15">
      <c r="A2598" s="1" t="str">
        <f t="shared" si="1579"/>
        <v>202406</v>
      </c>
      <c r="B2598" s="1" t="str">
        <f t="shared" si="1580"/>
        <v>150525100</v>
      </c>
      <c r="C2598" s="1" t="str">
        <f>"1014613057"</f>
        <v>1014613057</v>
      </c>
      <c r="D2598" s="1" t="str">
        <f>"152326195005103824"</f>
        <v>152326195005103824</v>
      </c>
      <c r="E2598" s="1" t="s">
        <v>2677</v>
      </c>
      <c r="F2598" s="1" t="s">
        <v>16</v>
      </c>
      <c r="G2598" s="1" t="s">
        <v>19</v>
      </c>
      <c r="H2598" s="1" t="str">
        <f t="shared" si="1594"/>
        <v>74</v>
      </c>
      <c r="I2598" s="1" t="str">
        <f t="shared" si="1595"/>
        <v>160</v>
      </c>
      <c r="J2598" s="1" t="str">
        <f t="shared" si="1590"/>
        <v>0</v>
      </c>
      <c r="K2598" s="1" t="str">
        <f t="shared" si="1591"/>
        <v>103</v>
      </c>
      <c r="L2598" s="1" t="str">
        <f t="shared" si="1592"/>
        <v>47</v>
      </c>
      <c r="M2598" s="1" t="str">
        <f t="shared" si="1577"/>
        <v>0</v>
      </c>
      <c r="N2598" s="1" t="str">
        <f t="shared" si="1578"/>
        <v>0</v>
      </c>
      <c r="O2598" s="1" t="str">
        <f t="shared" si="1593"/>
        <v>0</v>
      </c>
    </row>
    <row r="2599" s="1" customFormat="1" spans="1:15">
      <c r="A2599" s="1" t="str">
        <f t="shared" si="1579"/>
        <v>202406</v>
      </c>
      <c r="B2599" s="1" t="str">
        <f t="shared" si="1580"/>
        <v>150525100</v>
      </c>
      <c r="C2599" s="1" t="str">
        <f>"1014613060"</f>
        <v>1014613060</v>
      </c>
      <c r="D2599" s="1" t="str">
        <f>"152326194906023843"</f>
        <v>152326194906023843</v>
      </c>
      <c r="E2599" s="1" t="s">
        <v>2678</v>
      </c>
      <c r="F2599" s="1" t="s">
        <v>16</v>
      </c>
      <c r="G2599" s="1" t="s">
        <v>19</v>
      </c>
      <c r="H2599" s="1" t="str">
        <f t="shared" si="1596"/>
        <v>75</v>
      </c>
      <c r="I2599" s="1" t="str">
        <f t="shared" si="1595"/>
        <v>160</v>
      </c>
      <c r="J2599" s="1" t="str">
        <f t="shared" si="1590"/>
        <v>0</v>
      </c>
      <c r="K2599" s="1" t="str">
        <f t="shared" si="1591"/>
        <v>103</v>
      </c>
      <c r="L2599" s="1" t="str">
        <f t="shared" si="1592"/>
        <v>47</v>
      </c>
      <c r="M2599" s="1" t="str">
        <f t="shared" si="1577"/>
        <v>0</v>
      </c>
      <c r="N2599" s="1" t="str">
        <f t="shared" si="1578"/>
        <v>0</v>
      </c>
      <c r="O2599" s="1" t="str">
        <f t="shared" si="1593"/>
        <v>0</v>
      </c>
    </row>
    <row r="2600" s="1" customFormat="1" spans="1:15">
      <c r="A2600" s="1" t="str">
        <f t="shared" si="1579"/>
        <v>202406</v>
      </c>
      <c r="B2600" s="1" t="str">
        <f t="shared" si="1580"/>
        <v>150525100</v>
      </c>
      <c r="C2600" s="1" t="str">
        <f>"1014613321"</f>
        <v>1014613321</v>
      </c>
      <c r="D2600" s="1" t="str">
        <f>"152326194910190417"</f>
        <v>152326194910190417</v>
      </c>
      <c r="E2600" s="1" t="s">
        <v>1123</v>
      </c>
      <c r="F2600" s="1" t="s">
        <v>25</v>
      </c>
      <c r="G2600" s="1" t="s">
        <v>17</v>
      </c>
      <c r="H2600" s="1" t="str">
        <f t="shared" si="1596"/>
        <v>75</v>
      </c>
      <c r="I2600" s="1" t="str">
        <f t="shared" si="1595"/>
        <v>160</v>
      </c>
      <c r="J2600" s="1" t="str">
        <f t="shared" si="1590"/>
        <v>0</v>
      </c>
      <c r="K2600" s="1" t="str">
        <f t="shared" si="1591"/>
        <v>103</v>
      </c>
      <c r="L2600" s="1" t="str">
        <f t="shared" si="1592"/>
        <v>47</v>
      </c>
      <c r="M2600" s="1" t="str">
        <f t="shared" si="1577"/>
        <v>0</v>
      </c>
      <c r="N2600" s="1" t="str">
        <f t="shared" si="1578"/>
        <v>0</v>
      </c>
      <c r="O2600" s="1" t="str">
        <f t="shared" si="1593"/>
        <v>0</v>
      </c>
    </row>
    <row r="2601" s="1" customFormat="1" spans="1:15">
      <c r="A2601" s="1" t="str">
        <f t="shared" si="1579"/>
        <v>202406</v>
      </c>
      <c r="B2601" s="1" t="str">
        <f t="shared" si="1580"/>
        <v>150525100</v>
      </c>
      <c r="C2601" s="1" t="str">
        <f>"1014613327"</f>
        <v>1014613327</v>
      </c>
      <c r="D2601" s="1" t="str">
        <f>"152326194909140439"</f>
        <v>152326194909140439</v>
      </c>
      <c r="E2601" s="1" t="s">
        <v>2679</v>
      </c>
      <c r="F2601" s="1" t="s">
        <v>25</v>
      </c>
      <c r="G2601" s="1" t="s">
        <v>17</v>
      </c>
      <c r="H2601" s="1" t="str">
        <f t="shared" si="1596"/>
        <v>75</v>
      </c>
      <c r="I2601" s="1" t="str">
        <f t="shared" si="1595"/>
        <v>160</v>
      </c>
      <c r="J2601" s="1" t="str">
        <f t="shared" si="1590"/>
        <v>0</v>
      </c>
      <c r="K2601" s="1" t="str">
        <f t="shared" si="1591"/>
        <v>103</v>
      </c>
      <c r="L2601" s="1" t="str">
        <f t="shared" si="1592"/>
        <v>47</v>
      </c>
      <c r="M2601" s="1" t="str">
        <f t="shared" si="1577"/>
        <v>0</v>
      </c>
      <c r="N2601" s="1" t="str">
        <f t="shared" si="1578"/>
        <v>0</v>
      </c>
      <c r="O2601" s="1" t="str">
        <f t="shared" si="1593"/>
        <v>0</v>
      </c>
    </row>
    <row r="2602" s="1" customFormat="1" spans="1:15">
      <c r="A2602" s="1" t="str">
        <f t="shared" si="1579"/>
        <v>202406</v>
      </c>
      <c r="B2602" s="1" t="str">
        <f t="shared" si="1580"/>
        <v>150525100</v>
      </c>
      <c r="C2602" s="1" t="str">
        <f>"1014613330"</f>
        <v>1014613330</v>
      </c>
      <c r="D2602" s="1" t="str">
        <f>"152326195002030412"</f>
        <v>152326195002030412</v>
      </c>
      <c r="E2602" s="1" t="s">
        <v>2680</v>
      </c>
      <c r="F2602" s="1" t="s">
        <v>25</v>
      </c>
      <c r="G2602" s="1" t="s">
        <v>17</v>
      </c>
      <c r="H2602" s="1" t="str">
        <f>"74"</f>
        <v>74</v>
      </c>
      <c r="I2602" s="1" t="str">
        <f t="shared" si="1595"/>
        <v>160</v>
      </c>
      <c r="J2602" s="1" t="str">
        <f t="shared" si="1590"/>
        <v>0</v>
      </c>
      <c r="K2602" s="1" t="str">
        <f t="shared" si="1591"/>
        <v>103</v>
      </c>
      <c r="L2602" s="1" t="str">
        <f t="shared" si="1592"/>
        <v>47</v>
      </c>
      <c r="M2602" s="1" t="str">
        <f t="shared" si="1577"/>
        <v>0</v>
      </c>
      <c r="N2602" s="1" t="str">
        <f t="shared" si="1578"/>
        <v>0</v>
      </c>
      <c r="O2602" s="1" t="str">
        <f t="shared" si="1593"/>
        <v>0</v>
      </c>
    </row>
    <row r="2603" s="1" customFormat="1" spans="1:15">
      <c r="A2603" s="1" t="str">
        <f t="shared" si="1579"/>
        <v>202406</v>
      </c>
      <c r="B2603" s="1" t="str">
        <f t="shared" si="1580"/>
        <v>150525100</v>
      </c>
      <c r="C2603" s="1" t="str">
        <f>"1014613350"</f>
        <v>1014613350</v>
      </c>
      <c r="D2603" s="1" t="str">
        <f>"152326194308063810"</f>
        <v>152326194308063810</v>
      </c>
      <c r="E2603" s="1" t="s">
        <v>2681</v>
      </c>
      <c r="F2603" s="1" t="s">
        <v>25</v>
      </c>
      <c r="G2603" s="1" t="s">
        <v>17</v>
      </c>
      <c r="H2603" s="1" t="str">
        <f>"81"</f>
        <v>81</v>
      </c>
      <c r="I2603" s="1" t="str">
        <f t="shared" ref="I2603:I2606" si="1597">"170"</f>
        <v>170</v>
      </c>
      <c r="J2603" s="1" t="str">
        <f t="shared" si="1590"/>
        <v>0</v>
      </c>
      <c r="K2603" s="1" t="str">
        <f t="shared" si="1591"/>
        <v>103</v>
      </c>
      <c r="L2603" s="1" t="str">
        <f t="shared" si="1592"/>
        <v>47</v>
      </c>
      <c r="M2603" s="1" t="str">
        <f t="shared" si="1577"/>
        <v>0</v>
      </c>
      <c r="N2603" s="1" t="str">
        <f t="shared" si="1578"/>
        <v>0</v>
      </c>
      <c r="O2603" s="1" t="str">
        <f t="shared" si="1593"/>
        <v>0</v>
      </c>
    </row>
    <row r="2604" s="1" customFormat="1" spans="1:15">
      <c r="A2604" s="1" t="str">
        <f t="shared" si="1579"/>
        <v>202406</v>
      </c>
      <c r="B2604" s="1" t="str">
        <f t="shared" si="1580"/>
        <v>150525100</v>
      </c>
      <c r="C2604" s="1" t="str">
        <f>"1014621972"</f>
        <v>1014621972</v>
      </c>
      <c r="D2604" s="1" t="str">
        <f>"152326194611260673"</f>
        <v>152326194611260673</v>
      </c>
      <c r="E2604" s="1" t="s">
        <v>2682</v>
      </c>
      <c r="F2604" s="1" t="s">
        <v>25</v>
      </c>
      <c r="G2604" s="1" t="s">
        <v>17</v>
      </c>
      <c r="H2604" s="1" t="str">
        <f>"78"</f>
        <v>78</v>
      </c>
      <c r="I2604" s="1" t="str">
        <f t="shared" ref="I2604:I2609" si="1598">"160"</f>
        <v>160</v>
      </c>
      <c r="J2604" s="1" t="str">
        <f t="shared" si="1590"/>
        <v>0</v>
      </c>
      <c r="K2604" s="1" t="str">
        <f t="shared" si="1591"/>
        <v>103</v>
      </c>
      <c r="L2604" s="1" t="str">
        <f t="shared" si="1592"/>
        <v>47</v>
      </c>
      <c r="M2604" s="1" t="str">
        <f t="shared" si="1577"/>
        <v>0</v>
      </c>
      <c r="N2604" s="1" t="str">
        <f t="shared" si="1578"/>
        <v>0</v>
      </c>
      <c r="O2604" s="1" t="str">
        <f t="shared" si="1593"/>
        <v>0</v>
      </c>
    </row>
    <row r="2605" s="1" customFormat="1" spans="1:15">
      <c r="A2605" s="1" t="str">
        <f t="shared" si="1579"/>
        <v>202406</v>
      </c>
      <c r="B2605" s="1" t="str">
        <f t="shared" si="1580"/>
        <v>150525100</v>
      </c>
      <c r="C2605" s="1" t="str">
        <f>"1014622370"</f>
        <v>1014622370</v>
      </c>
      <c r="D2605" s="1" t="str">
        <f>"152326193812030423"</f>
        <v>152326193812030423</v>
      </c>
      <c r="E2605" s="1" t="s">
        <v>2683</v>
      </c>
      <c r="F2605" s="1" t="s">
        <v>16</v>
      </c>
      <c r="G2605" s="1" t="s">
        <v>17</v>
      </c>
      <c r="H2605" s="1" t="str">
        <f>"86"</f>
        <v>86</v>
      </c>
      <c r="I2605" s="1" t="str">
        <f t="shared" si="1597"/>
        <v>170</v>
      </c>
      <c r="J2605" s="1" t="str">
        <f t="shared" si="1590"/>
        <v>0</v>
      </c>
      <c r="K2605" s="1" t="str">
        <f t="shared" si="1591"/>
        <v>103</v>
      </c>
      <c r="L2605" s="1" t="str">
        <f t="shared" si="1592"/>
        <v>47</v>
      </c>
      <c r="M2605" s="1" t="str">
        <f t="shared" si="1577"/>
        <v>0</v>
      </c>
      <c r="N2605" s="1" t="str">
        <f t="shared" si="1578"/>
        <v>0</v>
      </c>
      <c r="O2605" s="1" t="str">
        <f t="shared" si="1593"/>
        <v>0</v>
      </c>
    </row>
    <row r="2606" s="1" customFormat="1" spans="1:15">
      <c r="A2606" s="1" t="str">
        <f t="shared" si="1579"/>
        <v>202406</v>
      </c>
      <c r="B2606" s="1" t="str">
        <f t="shared" si="1580"/>
        <v>150525100</v>
      </c>
      <c r="C2606" s="1" t="str">
        <f>"1014622374"</f>
        <v>1014622374</v>
      </c>
      <c r="D2606" s="1" t="str">
        <f>"152326194205010425"</f>
        <v>152326194205010425</v>
      </c>
      <c r="E2606" s="1" t="s">
        <v>2684</v>
      </c>
      <c r="F2606" s="1" t="s">
        <v>16</v>
      </c>
      <c r="G2606" s="1" t="s">
        <v>17</v>
      </c>
      <c r="H2606" s="1" t="str">
        <f>"82"</f>
        <v>82</v>
      </c>
      <c r="I2606" s="1" t="str">
        <f t="shared" si="1597"/>
        <v>170</v>
      </c>
      <c r="J2606" s="1" t="str">
        <f t="shared" si="1590"/>
        <v>0</v>
      </c>
      <c r="K2606" s="1" t="str">
        <f t="shared" si="1591"/>
        <v>103</v>
      </c>
      <c r="L2606" s="1" t="str">
        <f t="shared" si="1592"/>
        <v>47</v>
      </c>
      <c r="M2606" s="1" t="str">
        <f t="shared" si="1577"/>
        <v>0</v>
      </c>
      <c r="N2606" s="1" t="str">
        <f t="shared" si="1578"/>
        <v>0</v>
      </c>
      <c r="O2606" s="1" t="str">
        <f t="shared" si="1593"/>
        <v>0</v>
      </c>
    </row>
    <row r="2607" s="1" customFormat="1" spans="1:15">
      <c r="A2607" s="1" t="str">
        <f t="shared" si="1579"/>
        <v>202406</v>
      </c>
      <c r="B2607" s="1" t="str">
        <f t="shared" si="1580"/>
        <v>150525100</v>
      </c>
      <c r="C2607" s="1" t="str">
        <f>"1014624159"</f>
        <v>1014624159</v>
      </c>
      <c r="D2607" s="1" t="str">
        <f>"152326195102103076"</f>
        <v>152326195102103076</v>
      </c>
      <c r="E2607" s="1" t="s">
        <v>2685</v>
      </c>
      <c r="F2607" s="1" t="s">
        <v>25</v>
      </c>
      <c r="G2607" s="1" t="s">
        <v>17</v>
      </c>
      <c r="H2607" s="1" t="str">
        <f>"73"</f>
        <v>73</v>
      </c>
      <c r="I2607" s="1" t="str">
        <f t="shared" si="1598"/>
        <v>160</v>
      </c>
      <c r="J2607" s="1" t="str">
        <f t="shared" si="1590"/>
        <v>0</v>
      </c>
      <c r="K2607" s="1" t="str">
        <f t="shared" si="1591"/>
        <v>103</v>
      </c>
      <c r="L2607" s="1" t="str">
        <f t="shared" si="1592"/>
        <v>47</v>
      </c>
      <c r="M2607" s="1" t="str">
        <f t="shared" si="1577"/>
        <v>0</v>
      </c>
      <c r="N2607" s="1" t="str">
        <f t="shared" si="1578"/>
        <v>0</v>
      </c>
      <c r="O2607" s="1" t="str">
        <f t="shared" si="1593"/>
        <v>0</v>
      </c>
    </row>
    <row r="2608" s="1" customFormat="1" spans="1:15">
      <c r="A2608" s="1" t="str">
        <f t="shared" si="1579"/>
        <v>202406</v>
      </c>
      <c r="B2608" s="1" t="str">
        <f t="shared" si="1580"/>
        <v>150525100</v>
      </c>
      <c r="C2608" s="1" t="str">
        <f>"1014619616"</f>
        <v>1014619616</v>
      </c>
      <c r="D2608" s="1" t="str">
        <f>"152326194710050428"</f>
        <v>152326194710050428</v>
      </c>
      <c r="E2608" s="1" t="s">
        <v>2686</v>
      </c>
      <c r="F2608" s="1" t="s">
        <v>16</v>
      </c>
      <c r="G2608" s="1" t="s">
        <v>17</v>
      </c>
      <c r="H2608" s="1" t="str">
        <f>"77"</f>
        <v>77</v>
      </c>
      <c r="I2608" s="1" t="str">
        <f t="shared" si="1598"/>
        <v>160</v>
      </c>
      <c r="J2608" s="1" t="str">
        <f t="shared" si="1590"/>
        <v>0</v>
      </c>
      <c r="K2608" s="1" t="str">
        <f t="shared" si="1591"/>
        <v>103</v>
      </c>
      <c r="L2608" s="1" t="str">
        <f t="shared" si="1592"/>
        <v>47</v>
      </c>
      <c r="M2608" s="1" t="str">
        <f t="shared" si="1577"/>
        <v>0</v>
      </c>
      <c r="N2608" s="1" t="str">
        <f t="shared" si="1578"/>
        <v>0</v>
      </c>
      <c r="O2608" s="1" t="str">
        <f t="shared" si="1593"/>
        <v>0</v>
      </c>
    </row>
    <row r="2609" s="1" customFormat="1" spans="1:15">
      <c r="A2609" s="1" t="str">
        <f t="shared" si="1579"/>
        <v>202406</v>
      </c>
      <c r="B2609" s="1" t="str">
        <f t="shared" si="1580"/>
        <v>150525100</v>
      </c>
      <c r="C2609" s="1" t="str">
        <f>"1014623158"</f>
        <v>1014623158</v>
      </c>
      <c r="D2609" s="1" t="str">
        <f>"152326195003220410"</f>
        <v>152326195003220410</v>
      </c>
      <c r="E2609" s="1" t="s">
        <v>2687</v>
      </c>
      <c r="F2609" s="1" t="s">
        <v>25</v>
      </c>
      <c r="G2609" s="1" t="s">
        <v>17</v>
      </c>
      <c r="H2609" s="1" t="str">
        <f>"74"</f>
        <v>74</v>
      </c>
      <c r="I2609" s="1" t="str">
        <f t="shared" si="1598"/>
        <v>160</v>
      </c>
      <c r="J2609" s="1" t="str">
        <f t="shared" si="1590"/>
        <v>0</v>
      </c>
      <c r="K2609" s="1" t="str">
        <f t="shared" si="1591"/>
        <v>103</v>
      </c>
      <c r="L2609" s="1" t="str">
        <f t="shared" si="1592"/>
        <v>47</v>
      </c>
      <c r="M2609" s="1" t="str">
        <f t="shared" si="1577"/>
        <v>0</v>
      </c>
      <c r="N2609" s="1" t="str">
        <f t="shared" si="1578"/>
        <v>0</v>
      </c>
      <c r="O2609" s="1" t="str">
        <f t="shared" si="1593"/>
        <v>0</v>
      </c>
    </row>
    <row r="2610" s="1" customFormat="1" spans="1:15">
      <c r="A2610" s="1" t="str">
        <f t="shared" si="1579"/>
        <v>202406</v>
      </c>
      <c r="B2610" s="1" t="str">
        <f t="shared" si="1580"/>
        <v>150525100</v>
      </c>
      <c r="C2610" s="1" t="str">
        <f>"1014623643"</f>
        <v>1014623643</v>
      </c>
      <c r="D2610" s="1" t="str">
        <f>"152326193703030416"</f>
        <v>152326193703030416</v>
      </c>
      <c r="E2610" s="1" t="s">
        <v>2688</v>
      </c>
      <c r="F2610" s="1" t="s">
        <v>25</v>
      </c>
      <c r="G2610" s="1" t="s">
        <v>17</v>
      </c>
      <c r="H2610" s="1" t="str">
        <f>"87"</f>
        <v>87</v>
      </c>
      <c r="I2610" s="1" t="str">
        <f>"1020"</f>
        <v>1020</v>
      </c>
      <c r="J2610" s="1" t="str">
        <f>"850"</f>
        <v>850</v>
      </c>
      <c r="K2610" s="1" t="str">
        <f>"618"</f>
        <v>618</v>
      </c>
      <c r="L2610" s="1" t="str">
        <f>"282"</f>
        <v>282</v>
      </c>
      <c r="M2610" s="1" t="str">
        <f t="shared" si="1577"/>
        <v>0</v>
      </c>
      <c r="N2610" s="1" t="str">
        <f t="shared" si="1578"/>
        <v>0</v>
      </c>
      <c r="O2610" s="1" t="str">
        <f t="shared" si="1593"/>
        <v>0</v>
      </c>
    </row>
    <row r="2611" s="1" customFormat="1" spans="1:15">
      <c r="A2611" s="1" t="str">
        <f t="shared" si="1579"/>
        <v>202406</v>
      </c>
      <c r="B2611" s="1" t="str">
        <f t="shared" si="1580"/>
        <v>150525100</v>
      </c>
      <c r="C2611" s="1" t="str">
        <f>"1014623645"</f>
        <v>1014623645</v>
      </c>
      <c r="D2611" s="1" t="str">
        <f>"152326194807250418"</f>
        <v>152326194807250418</v>
      </c>
      <c r="E2611" s="1" t="s">
        <v>2689</v>
      </c>
      <c r="F2611" s="1" t="s">
        <v>25</v>
      </c>
      <c r="G2611" s="1" t="s">
        <v>17</v>
      </c>
      <c r="H2611" s="1" t="str">
        <f>"76"</f>
        <v>76</v>
      </c>
      <c r="I2611" s="1" t="str">
        <f t="shared" ref="I2611:I2617" si="1599">"160"</f>
        <v>160</v>
      </c>
      <c r="J2611" s="1" t="str">
        <f t="shared" ref="J2611:J2632" si="1600">"0"</f>
        <v>0</v>
      </c>
      <c r="K2611" s="1" t="str">
        <f t="shared" ref="K2611:K2632" si="1601">"103"</f>
        <v>103</v>
      </c>
      <c r="L2611" s="1" t="str">
        <f t="shared" ref="L2611:L2632" si="1602">"47"</f>
        <v>47</v>
      </c>
      <c r="M2611" s="1" t="str">
        <f t="shared" si="1577"/>
        <v>0</v>
      </c>
      <c r="N2611" s="1" t="str">
        <f t="shared" si="1578"/>
        <v>0</v>
      </c>
      <c r="O2611" s="1" t="str">
        <f t="shared" si="1593"/>
        <v>0</v>
      </c>
    </row>
    <row r="2612" s="1" customFormat="1" spans="1:15">
      <c r="A2612" s="1" t="str">
        <f t="shared" si="1579"/>
        <v>202406</v>
      </c>
      <c r="B2612" s="1" t="str">
        <f t="shared" si="1580"/>
        <v>150525100</v>
      </c>
      <c r="C2612" s="1" t="str">
        <f>"1014613361"</f>
        <v>1014613361</v>
      </c>
      <c r="D2612" s="1" t="str">
        <f>"152326194712173819"</f>
        <v>152326194712173819</v>
      </c>
      <c r="E2612" s="1" t="s">
        <v>2690</v>
      </c>
      <c r="F2612" s="1" t="s">
        <v>25</v>
      </c>
      <c r="G2612" s="1" t="s">
        <v>17</v>
      </c>
      <c r="H2612" s="1" t="str">
        <f>"77"</f>
        <v>77</v>
      </c>
      <c r="I2612" s="1" t="str">
        <f t="shared" si="1599"/>
        <v>160</v>
      </c>
      <c r="J2612" s="1" t="str">
        <f t="shared" si="1600"/>
        <v>0</v>
      </c>
      <c r="K2612" s="1" t="str">
        <f t="shared" si="1601"/>
        <v>103</v>
      </c>
      <c r="L2612" s="1" t="str">
        <f t="shared" si="1602"/>
        <v>47</v>
      </c>
      <c r="M2612" s="1" t="str">
        <f t="shared" si="1577"/>
        <v>0</v>
      </c>
      <c r="N2612" s="1" t="str">
        <f t="shared" si="1578"/>
        <v>0</v>
      </c>
      <c r="O2612" s="1" t="str">
        <f t="shared" si="1593"/>
        <v>0</v>
      </c>
    </row>
    <row r="2613" s="1" customFormat="1" spans="1:15">
      <c r="A2613" s="1" t="str">
        <f t="shared" si="1579"/>
        <v>202406</v>
      </c>
      <c r="B2613" s="1" t="str">
        <f t="shared" si="1580"/>
        <v>150525100</v>
      </c>
      <c r="C2613" s="1" t="str">
        <f>"1014622403"</f>
        <v>1014622403</v>
      </c>
      <c r="D2613" s="1" t="str">
        <f>"152326193801200669"</f>
        <v>152326193801200669</v>
      </c>
      <c r="E2613" s="1" t="s">
        <v>2464</v>
      </c>
      <c r="F2613" s="1" t="s">
        <v>16</v>
      </c>
      <c r="G2613" s="1" t="s">
        <v>19</v>
      </c>
      <c r="H2613" s="1" t="str">
        <f>"86"</f>
        <v>86</v>
      </c>
      <c r="I2613" s="1" t="str">
        <f>"170"</f>
        <v>170</v>
      </c>
      <c r="J2613" s="1" t="str">
        <f t="shared" si="1600"/>
        <v>0</v>
      </c>
      <c r="K2613" s="1" t="str">
        <f t="shared" si="1601"/>
        <v>103</v>
      </c>
      <c r="L2613" s="1" t="str">
        <f t="shared" si="1602"/>
        <v>47</v>
      </c>
      <c r="M2613" s="1" t="str">
        <f t="shared" si="1577"/>
        <v>0</v>
      </c>
      <c r="N2613" s="1" t="str">
        <f t="shared" si="1578"/>
        <v>0</v>
      </c>
      <c r="O2613" s="1" t="str">
        <f t="shared" si="1593"/>
        <v>0</v>
      </c>
    </row>
    <row r="2614" s="1" customFormat="1" spans="1:15">
      <c r="A2614" s="1" t="str">
        <f t="shared" si="1579"/>
        <v>202406</v>
      </c>
      <c r="B2614" s="1" t="str">
        <f t="shared" si="1580"/>
        <v>150525100</v>
      </c>
      <c r="C2614" s="1" t="str">
        <f>"1014622408"</f>
        <v>1014622408</v>
      </c>
      <c r="D2614" s="1" t="str">
        <f>"152326194912027621"</f>
        <v>152326194912027621</v>
      </c>
      <c r="E2614" s="1" t="s">
        <v>2691</v>
      </c>
      <c r="F2614" s="1" t="s">
        <v>16</v>
      </c>
      <c r="G2614" s="1" t="s">
        <v>19</v>
      </c>
      <c r="H2614" s="1" t="str">
        <f>"75"</f>
        <v>75</v>
      </c>
      <c r="I2614" s="1" t="str">
        <f t="shared" si="1599"/>
        <v>160</v>
      </c>
      <c r="J2614" s="1" t="str">
        <f t="shared" si="1600"/>
        <v>0</v>
      </c>
      <c r="K2614" s="1" t="str">
        <f t="shared" si="1601"/>
        <v>103</v>
      </c>
      <c r="L2614" s="1" t="str">
        <f t="shared" si="1602"/>
        <v>47</v>
      </c>
      <c r="M2614" s="1" t="str">
        <f t="shared" si="1577"/>
        <v>0</v>
      </c>
      <c r="N2614" s="1" t="str">
        <f t="shared" si="1578"/>
        <v>0</v>
      </c>
      <c r="O2614" s="1" t="str">
        <f t="shared" si="1593"/>
        <v>0</v>
      </c>
    </row>
    <row r="2615" s="1" customFormat="1" spans="1:15">
      <c r="A2615" s="1" t="str">
        <f t="shared" si="1579"/>
        <v>202406</v>
      </c>
      <c r="B2615" s="1" t="str">
        <f t="shared" si="1580"/>
        <v>150525100</v>
      </c>
      <c r="C2615" s="1" t="str">
        <f>"1014622410"</f>
        <v>1014622410</v>
      </c>
      <c r="D2615" s="1" t="str">
        <f>"152326195111126384"</f>
        <v>152326195111126384</v>
      </c>
      <c r="E2615" s="1" t="s">
        <v>2692</v>
      </c>
      <c r="F2615" s="1" t="s">
        <v>16</v>
      </c>
      <c r="G2615" s="1" t="s">
        <v>19</v>
      </c>
      <c r="H2615" s="1" t="str">
        <f t="shared" ref="H2615:H2617" si="1603">"73"</f>
        <v>73</v>
      </c>
      <c r="I2615" s="1" t="str">
        <f t="shared" si="1599"/>
        <v>160</v>
      </c>
      <c r="J2615" s="1" t="str">
        <f t="shared" si="1600"/>
        <v>0</v>
      </c>
      <c r="K2615" s="1" t="str">
        <f t="shared" si="1601"/>
        <v>103</v>
      </c>
      <c r="L2615" s="1" t="str">
        <f t="shared" si="1602"/>
        <v>47</v>
      </c>
      <c r="M2615" s="1" t="str">
        <f t="shared" si="1577"/>
        <v>0</v>
      </c>
      <c r="N2615" s="1" t="str">
        <f t="shared" si="1578"/>
        <v>0</v>
      </c>
      <c r="O2615" s="1" t="str">
        <f t="shared" si="1593"/>
        <v>0</v>
      </c>
    </row>
    <row r="2616" s="1" customFormat="1" spans="1:15">
      <c r="A2616" s="1" t="str">
        <f t="shared" si="1579"/>
        <v>202406</v>
      </c>
      <c r="B2616" s="1" t="str">
        <f t="shared" si="1580"/>
        <v>150525100</v>
      </c>
      <c r="C2616" s="1" t="str">
        <f>"1014624173"</f>
        <v>1014624173</v>
      </c>
      <c r="D2616" s="1" t="str">
        <f>"152326195106063075"</f>
        <v>152326195106063075</v>
      </c>
      <c r="E2616" s="1" t="s">
        <v>2693</v>
      </c>
      <c r="F2616" s="1" t="s">
        <v>25</v>
      </c>
      <c r="G2616" s="1" t="s">
        <v>17</v>
      </c>
      <c r="H2616" s="1" t="str">
        <f t="shared" si="1603"/>
        <v>73</v>
      </c>
      <c r="I2616" s="1" t="str">
        <f t="shared" si="1599"/>
        <v>160</v>
      </c>
      <c r="J2616" s="1" t="str">
        <f t="shared" si="1600"/>
        <v>0</v>
      </c>
      <c r="K2616" s="1" t="str">
        <f t="shared" si="1601"/>
        <v>103</v>
      </c>
      <c r="L2616" s="1" t="str">
        <f t="shared" si="1602"/>
        <v>47</v>
      </c>
      <c r="M2616" s="1" t="str">
        <f t="shared" si="1577"/>
        <v>0</v>
      </c>
      <c r="N2616" s="1" t="str">
        <f t="shared" si="1578"/>
        <v>0</v>
      </c>
      <c r="O2616" s="1" t="str">
        <f t="shared" si="1593"/>
        <v>0</v>
      </c>
    </row>
    <row r="2617" s="1" customFormat="1" spans="1:15">
      <c r="A2617" s="1" t="str">
        <f t="shared" si="1579"/>
        <v>202406</v>
      </c>
      <c r="B2617" s="1" t="str">
        <f t="shared" si="1580"/>
        <v>150525100</v>
      </c>
      <c r="C2617" s="1" t="str">
        <f>"1014624183"</f>
        <v>1014624183</v>
      </c>
      <c r="D2617" s="1" t="str">
        <f>"152326195108173868"</f>
        <v>152326195108173868</v>
      </c>
      <c r="E2617" s="1" t="s">
        <v>390</v>
      </c>
      <c r="F2617" s="1" t="s">
        <v>16</v>
      </c>
      <c r="G2617" s="1" t="s">
        <v>17</v>
      </c>
      <c r="H2617" s="1" t="str">
        <f t="shared" si="1603"/>
        <v>73</v>
      </c>
      <c r="I2617" s="1" t="str">
        <f t="shared" si="1599"/>
        <v>160</v>
      </c>
      <c r="J2617" s="1" t="str">
        <f t="shared" si="1600"/>
        <v>0</v>
      </c>
      <c r="K2617" s="1" t="str">
        <f t="shared" si="1601"/>
        <v>103</v>
      </c>
      <c r="L2617" s="1" t="str">
        <f t="shared" si="1602"/>
        <v>47</v>
      </c>
      <c r="M2617" s="1" t="str">
        <f t="shared" si="1577"/>
        <v>0</v>
      </c>
      <c r="N2617" s="1" t="str">
        <f t="shared" si="1578"/>
        <v>0</v>
      </c>
      <c r="O2617" s="1" t="str">
        <f t="shared" si="1593"/>
        <v>0</v>
      </c>
    </row>
    <row r="2618" s="1" customFormat="1" spans="1:15">
      <c r="A2618" s="1" t="str">
        <f t="shared" si="1579"/>
        <v>202406</v>
      </c>
      <c r="B2618" s="1" t="str">
        <f t="shared" si="1580"/>
        <v>150525100</v>
      </c>
      <c r="C2618" s="1" t="str">
        <f>"1014623165"</f>
        <v>1014623165</v>
      </c>
      <c r="D2618" s="1" t="str">
        <f>"152326193905090417"</f>
        <v>152326193905090417</v>
      </c>
      <c r="E2618" s="1" t="s">
        <v>815</v>
      </c>
      <c r="F2618" s="1" t="s">
        <v>25</v>
      </c>
      <c r="G2618" s="1" t="s">
        <v>17</v>
      </c>
      <c r="H2618" s="1" t="str">
        <f>"85"</f>
        <v>85</v>
      </c>
      <c r="I2618" s="1" t="str">
        <f>"170"</f>
        <v>170</v>
      </c>
      <c r="J2618" s="1" t="str">
        <f t="shared" si="1600"/>
        <v>0</v>
      </c>
      <c r="K2618" s="1" t="str">
        <f t="shared" si="1601"/>
        <v>103</v>
      </c>
      <c r="L2618" s="1" t="str">
        <f t="shared" si="1602"/>
        <v>47</v>
      </c>
      <c r="M2618" s="1" t="str">
        <f t="shared" si="1577"/>
        <v>0</v>
      </c>
      <c r="N2618" s="1" t="str">
        <f t="shared" si="1578"/>
        <v>0</v>
      </c>
      <c r="O2618" s="1" t="str">
        <f t="shared" si="1593"/>
        <v>0</v>
      </c>
    </row>
    <row r="2619" s="1" customFormat="1" spans="1:15">
      <c r="A2619" s="1" t="str">
        <f t="shared" si="1579"/>
        <v>202406</v>
      </c>
      <c r="B2619" s="1" t="str">
        <f t="shared" si="1580"/>
        <v>150525100</v>
      </c>
      <c r="C2619" s="1" t="str">
        <f>"1014623180"</f>
        <v>1014623180</v>
      </c>
      <c r="D2619" s="1" t="s">
        <v>2694</v>
      </c>
      <c r="E2619" s="1" t="s">
        <v>287</v>
      </c>
      <c r="F2619" s="1" t="s">
        <v>25</v>
      </c>
      <c r="G2619" s="1" t="s">
        <v>17</v>
      </c>
      <c r="H2619" s="1" t="str">
        <f>"86"</f>
        <v>86</v>
      </c>
      <c r="I2619" s="1" t="str">
        <f>"170"</f>
        <v>170</v>
      </c>
      <c r="J2619" s="1" t="str">
        <f t="shared" si="1600"/>
        <v>0</v>
      </c>
      <c r="K2619" s="1" t="str">
        <f t="shared" si="1601"/>
        <v>103</v>
      </c>
      <c r="L2619" s="1" t="str">
        <f t="shared" si="1602"/>
        <v>47</v>
      </c>
      <c r="M2619" s="1" t="str">
        <f t="shared" si="1577"/>
        <v>0</v>
      </c>
      <c r="N2619" s="1" t="str">
        <f t="shared" si="1578"/>
        <v>0</v>
      </c>
      <c r="O2619" s="1" t="str">
        <f t="shared" si="1593"/>
        <v>0</v>
      </c>
    </row>
    <row r="2620" s="1" customFormat="1" spans="1:15">
      <c r="A2620" s="1" t="str">
        <f t="shared" si="1579"/>
        <v>202406</v>
      </c>
      <c r="B2620" s="1" t="str">
        <f t="shared" si="1580"/>
        <v>150525100</v>
      </c>
      <c r="C2620" s="1" t="str">
        <f>"1014589271"</f>
        <v>1014589271</v>
      </c>
      <c r="D2620" s="1" t="str">
        <f>"152326196002050418"</f>
        <v>152326196002050418</v>
      </c>
      <c r="E2620" s="1" t="s">
        <v>2695</v>
      </c>
      <c r="F2620" s="1" t="s">
        <v>25</v>
      </c>
      <c r="G2620" s="1" t="s">
        <v>17</v>
      </c>
      <c r="H2620" s="1" t="str">
        <f>"64"</f>
        <v>64</v>
      </c>
      <c r="I2620" s="1" t="str">
        <f>"159.18"</f>
        <v>159.18</v>
      </c>
      <c r="J2620" s="1" t="str">
        <f t="shared" si="1600"/>
        <v>0</v>
      </c>
      <c r="K2620" s="1" t="str">
        <f t="shared" si="1601"/>
        <v>103</v>
      </c>
      <c r="L2620" s="1" t="str">
        <f t="shared" si="1602"/>
        <v>47</v>
      </c>
      <c r="M2620" s="1" t="str">
        <f t="shared" si="1577"/>
        <v>0</v>
      </c>
      <c r="N2620" s="1" t="str">
        <f t="shared" si="1578"/>
        <v>0</v>
      </c>
      <c r="O2620" s="1" t="str">
        <f>"9.18"</f>
        <v>9.18</v>
      </c>
    </row>
    <row r="2621" s="1" customFormat="1" spans="1:15">
      <c r="A2621" s="1" t="str">
        <f t="shared" si="1579"/>
        <v>202406</v>
      </c>
      <c r="B2621" s="1" t="str">
        <f t="shared" si="1580"/>
        <v>150525100</v>
      </c>
      <c r="C2621" s="1" t="str">
        <f>"1015307348"</f>
        <v>1015307348</v>
      </c>
      <c r="D2621" s="1" t="str">
        <f>"152326195007070915"</f>
        <v>152326195007070915</v>
      </c>
      <c r="E2621" s="1" t="s">
        <v>2696</v>
      </c>
      <c r="F2621" s="1" t="s">
        <v>25</v>
      </c>
      <c r="G2621" s="1" t="s">
        <v>19</v>
      </c>
      <c r="H2621" s="1" t="str">
        <f t="shared" ref="H2621:H2624" si="1604">"74"</f>
        <v>74</v>
      </c>
      <c r="I2621" s="1" t="str">
        <f t="shared" ref="I2621:I2628" si="1605">"160"</f>
        <v>160</v>
      </c>
      <c r="J2621" s="1" t="str">
        <f t="shared" si="1600"/>
        <v>0</v>
      </c>
      <c r="K2621" s="1" t="str">
        <f t="shared" si="1601"/>
        <v>103</v>
      </c>
      <c r="L2621" s="1" t="str">
        <f t="shared" si="1602"/>
        <v>47</v>
      </c>
      <c r="M2621" s="1" t="str">
        <f t="shared" si="1577"/>
        <v>0</v>
      </c>
      <c r="N2621" s="1" t="str">
        <f t="shared" si="1578"/>
        <v>0</v>
      </c>
      <c r="O2621" s="1" t="str">
        <f t="shared" ref="O2621:O2628" si="1606">"0"</f>
        <v>0</v>
      </c>
    </row>
    <row r="2622" s="1" customFormat="1" spans="1:15">
      <c r="A2622" s="1" t="str">
        <f t="shared" si="1579"/>
        <v>202406</v>
      </c>
      <c r="B2622" s="1" t="str">
        <f t="shared" si="1580"/>
        <v>150525100</v>
      </c>
      <c r="C2622" s="1" t="str">
        <f>"1014589300"</f>
        <v>1014589300</v>
      </c>
      <c r="D2622" s="1" t="s">
        <v>2697</v>
      </c>
      <c r="E2622" s="1" t="s">
        <v>2698</v>
      </c>
      <c r="F2622" s="1" t="s">
        <v>16</v>
      </c>
      <c r="G2622" s="1" t="s">
        <v>96</v>
      </c>
      <c r="H2622" s="1" t="str">
        <f>"65"</f>
        <v>65</v>
      </c>
      <c r="I2622" s="1" t="str">
        <f>"158.21"</f>
        <v>158.21</v>
      </c>
      <c r="J2622" s="1" t="str">
        <f t="shared" si="1600"/>
        <v>0</v>
      </c>
      <c r="K2622" s="1" t="str">
        <f t="shared" si="1601"/>
        <v>103</v>
      </c>
      <c r="L2622" s="1" t="str">
        <f t="shared" si="1602"/>
        <v>47</v>
      </c>
      <c r="M2622" s="1" t="str">
        <f t="shared" si="1577"/>
        <v>0</v>
      </c>
      <c r="N2622" s="1" t="str">
        <f t="shared" si="1578"/>
        <v>0</v>
      </c>
      <c r="O2622" s="1" t="str">
        <f>"8.21"</f>
        <v>8.21</v>
      </c>
    </row>
    <row r="2623" s="1" customFormat="1" spans="1:15">
      <c r="A2623" s="1" t="str">
        <f t="shared" si="1579"/>
        <v>202406</v>
      </c>
      <c r="B2623" s="1" t="str">
        <f t="shared" si="1580"/>
        <v>150525100</v>
      </c>
      <c r="C2623" s="1" t="str">
        <f>"1014624232"</f>
        <v>1014624232</v>
      </c>
      <c r="D2623" s="1" t="str">
        <f>"152326195010110666"</f>
        <v>152326195010110666</v>
      </c>
      <c r="E2623" s="1" t="s">
        <v>2699</v>
      </c>
      <c r="F2623" s="1" t="s">
        <v>16</v>
      </c>
      <c r="G2623" s="1" t="s">
        <v>17</v>
      </c>
      <c r="H2623" s="1" t="str">
        <f t="shared" si="1604"/>
        <v>74</v>
      </c>
      <c r="I2623" s="1" t="str">
        <f t="shared" si="1605"/>
        <v>160</v>
      </c>
      <c r="J2623" s="1" t="str">
        <f t="shared" si="1600"/>
        <v>0</v>
      </c>
      <c r="K2623" s="1" t="str">
        <f t="shared" si="1601"/>
        <v>103</v>
      </c>
      <c r="L2623" s="1" t="str">
        <f t="shared" si="1602"/>
        <v>47</v>
      </c>
      <c r="M2623" s="1" t="str">
        <f t="shared" si="1577"/>
        <v>0</v>
      </c>
      <c r="N2623" s="1" t="str">
        <f t="shared" si="1578"/>
        <v>0</v>
      </c>
      <c r="O2623" s="1" t="str">
        <f t="shared" si="1606"/>
        <v>0</v>
      </c>
    </row>
    <row r="2624" s="1" customFormat="1" spans="1:15">
      <c r="A2624" s="1" t="str">
        <f t="shared" si="1579"/>
        <v>202406</v>
      </c>
      <c r="B2624" s="1" t="str">
        <f t="shared" si="1580"/>
        <v>150525100</v>
      </c>
      <c r="C2624" s="1" t="str">
        <f>"1014624240"</f>
        <v>1014624240</v>
      </c>
      <c r="D2624" s="1" t="str">
        <f>"152326195008080664"</f>
        <v>152326195008080664</v>
      </c>
      <c r="E2624" s="1" t="s">
        <v>2700</v>
      </c>
      <c r="F2624" s="1" t="s">
        <v>16</v>
      </c>
      <c r="G2624" s="1" t="s">
        <v>17</v>
      </c>
      <c r="H2624" s="1" t="str">
        <f t="shared" si="1604"/>
        <v>74</v>
      </c>
      <c r="I2624" s="1" t="str">
        <f t="shared" si="1605"/>
        <v>160</v>
      </c>
      <c r="J2624" s="1" t="str">
        <f t="shared" si="1600"/>
        <v>0</v>
      </c>
      <c r="K2624" s="1" t="str">
        <f t="shared" si="1601"/>
        <v>103</v>
      </c>
      <c r="L2624" s="1" t="str">
        <f t="shared" si="1602"/>
        <v>47</v>
      </c>
      <c r="M2624" s="1" t="str">
        <f t="shared" si="1577"/>
        <v>0</v>
      </c>
      <c r="N2624" s="1" t="str">
        <f t="shared" si="1578"/>
        <v>0</v>
      </c>
      <c r="O2624" s="1" t="str">
        <f t="shared" si="1606"/>
        <v>0</v>
      </c>
    </row>
    <row r="2625" s="1" customFormat="1" spans="1:15">
      <c r="A2625" s="1" t="str">
        <f t="shared" si="1579"/>
        <v>202406</v>
      </c>
      <c r="B2625" s="1" t="str">
        <f t="shared" si="1580"/>
        <v>150525100</v>
      </c>
      <c r="C2625" s="1" t="str">
        <f>"1014624251"</f>
        <v>1014624251</v>
      </c>
      <c r="D2625" s="1" t="str">
        <f>"152326194712250677"</f>
        <v>152326194712250677</v>
      </c>
      <c r="E2625" s="1" t="s">
        <v>2701</v>
      </c>
      <c r="F2625" s="1" t="s">
        <v>25</v>
      </c>
      <c r="G2625" s="1" t="s">
        <v>17</v>
      </c>
      <c r="H2625" s="1" t="str">
        <f>"77"</f>
        <v>77</v>
      </c>
      <c r="I2625" s="1" t="str">
        <f t="shared" si="1605"/>
        <v>160</v>
      </c>
      <c r="J2625" s="1" t="str">
        <f t="shared" si="1600"/>
        <v>0</v>
      </c>
      <c r="K2625" s="1" t="str">
        <f t="shared" si="1601"/>
        <v>103</v>
      </c>
      <c r="L2625" s="1" t="str">
        <f t="shared" si="1602"/>
        <v>47</v>
      </c>
      <c r="M2625" s="1" t="str">
        <f t="shared" ref="M2625:M2688" si="1607">"0"</f>
        <v>0</v>
      </c>
      <c r="N2625" s="1" t="str">
        <f t="shared" ref="N2625:N2688" si="1608">"0"</f>
        <v>0</v>
      </c>
      <c r="O2625" s="1" t="str">
        <f t="shared" si="1606"/>
        <v>0</v>
      </c>
    </row>
    <row r="2626" s="1" customFormat="1" spans="1:15">
      <c r="A2626" s="1" t="str">
        <f t="shared" ref="A2626:A2689" si="1609">"202406"</f>
        <v>202406</v>
      </c>
      <c r="B2626" s="1" t="str">
        <f t="shared" ref="B2626:B2689" si="1610">"150525100"</f>
        <v>150525100</v>
      </c>
      <c r="C2626" s="1" t="str">
        <f>"1014619234"</f>
        <v>1014619234</v>
      </c>
      <c r="D2626" s="1" t="str">
        <f>"152326194705243823"</f>
        <v>152326194705243823</v>
      </c>
      <c r="E2626" s="1" t="s">
        <v>2702</v>
      </c>
      <c r="F2626" s="1" t="s">
        <v>16</v>
      </c>
      <c r="G2626" s="1" t="s">
        <v>17</v>
      </c>
      <c r="H2626" s="1" t="str">
        <f>"77"</f>
        <v>77</v>
      </c>
      <c r="I2626" s="1" t="str">
        <f t="shared" si="1605"/>
        <v>160</v>
      </c>
      <c r="J2626" s="1" t="str">
        <f t="shared" si="1600"/>
        <v>0</v>
      </c>
      <c r="K2626" s="1" t="str">
        <f t="shared" si="1601"/>
        <v>103</v>
      </c>
      <c r="L2626" s="1" t="str">
        <f t="shared" si="1602"/>
        <v>47</v>
      </c>
      <c r="M2626" s="1" t="str">
        <f t="shared" si="1607"/>
        <v>0</v>
      </c>
      <c r="N2626" s="1" t="str">
        <f t="shared" si="1608"/>
        <v>0</v>
      </c>
      <c r="O2626" s="1" t="str">
        <f t="shared" si="1606"/>
        <v>0</v>
      </c>
    </row>
    <row r="2627" s="1" customFormat="1" spans="1:15">
      <c r="A2627" s="1" t="str">
        <f t="shared" si="1609"/>
        <v>202406</v>
      </c>
      <c r="B2627" s="1" t="str">
        <f t="shared" si="1610"/>
        <v>150525100</v>
      </c>
      <c r="C2627" s="1" t="str">
        <f>"1014623238"</f>
        <v>1014623238</v>
      </c>
      <c r="D2627" s="1" t="str">
        <f>"152326194908260439"</f>
        <v>152326194908260439</v>
      </c>
      <c r="E2627" s="1" t="s">
        <v>2447</v>
      </c>
      <c r="F2627" s="1" t="s">
        <v>25</v>
      </c>
      <c r="G2627" s="1" t="s">
        <v>17</v>
      </c>
      <c r="H2627" s="1" t="str">
        <f>"75"</f>
        <v>75</v>
      </c>
      <c r="I2627" s="1" t="str">
        <f t="shared" si="1605"/>
        <v>160</v>
      </c>
      <c r="J2627" s="1" t="str">
        <f t="shared" si="1600"/>
        <v>0</v>
      </c>
      <c r="K2627" s="1" t="str">
        <f t="shared" si="1601"/>
        <v>103</v>
      </c>
      <c r="L2627" s="1" t="str">
        <f t="shared" si="1602"/>
        <v>47</v>
      </c>
      <c r="M2627" s="1" t="str">
        <f t="shared" si="1607"/>
        <v>0</v>
      </c>
      <c r="N2627" s="1" t="str">
        <f t="shared" si="1608"/>
        <v>0</v>
      </c>
      <c r="O2627" s="1" t="str">
        <f t="shared" si="1606"/>
        <v>0</v>
      </c>
    </row>
    <row r="2628" s="1" customFormat="1" spans="1:15">
      <c r="A2628" s="1" t="str">
        <f t="shared" si="1609"/>
        <v>202406</v>
      </c>
      <c r="B2628" s="1" t="str">
        <f t="shared" si="1610"/>
        <v>150525100</v>
      </c>
      <c r="C2628" s="1" t="str">
        <f>"1014623683"</f>
        <v>1014623683</v>
      </c>
      <c r="D2628" s="1" t="str">
        <f>"152326195104290418"</f>
        <v>152326195104290418</v>
      </c>
      <c r="E2628" s="1" t="s">
        <v>2703</v>
      </c>
      <c r="F2628" s="1" t="s">
        <v>25</v>
      </c>
      <c r="G2628" s="1" t="s">
        <v>17</v>
      </c>
      <c r="H2628" s="1" t="str">
        <f>"73"</f>
        <v>73</v>
      </c>
      <c r="I2628" s="1" t="str">
        <f t="shared" si="1605"/>
        <v>160</v>
      </c>
      <c r="J2628" s="1" t="str">
        <f t="shared" si="1600"/>
        <v>0</v>
      </c>
      <c r="K2628" s="1" t="str">
        <f t="shared" si="1601"/>
        <v>103</v>
      </c>
      <c r="L2628" s="1" t="str">
        <f t="shared" si="1602"/>
        <v>47</v>
      </c>
      <c r="M2628" s="1" t="str">
        <f t="shared" si="1607"/>
        <v>0</v>
      </c>
      <c r="N2628" s="1" t="str">
        <f t="shared" si="1608"/>
        <v>0</v>
      </c>
      <c r="O2628" s="1" t="str">
        <f t="shared" si="1606"/>
        <v>0</v>
      </c>
    </row>
    <row r="2629" s="1" customFormat="1" spans="1:15">
      <c r="A2629" s="1" t="str">
        <f t="shared" si="1609"/>
        <v>202406</v>
      </c>
      <c r="B2629" s="1" t="str">
        <f t="shared" si="1610"/>
        <v>150525100</v>
      </c>
      <c r="C2629" s="1" t="str">
        <f>"1014589309"</f>
        <v>1014589309</v>
      </c>
      <c r="D2629" s="1" t="s">
        <v>2704</v>
      </c>
      <c r="E2629" s="1" t="s">
        <v>2705</v>
      </c>
      <c r="F2629" s="1" t="s">
        <v>16</v>
      </c>
      <c r="G2629" s="1" t="s">
        <v>19</v>
      </c>
      <c r="H2629" s="1" t="str">
        <f>"61"</f>
        <v>61</v>
      </c>
      <c r="I2629" s="1" t="str">
        <f>"172.42"</f>
        <v>172.42</v>
      </c>
      <c r="J2629" s="1" t="str">
        <f t="shared" si="1600"/>
        <v>0</v>
      </c>
      <c r="K2629" s="1" t="str">
        <f t="shared" si="1601"/>
        <v>103</v>
      </c>
      <c r="L2629" s="1" t="str">
        <f t="shared" si="1602"/>
        <v>47</v>
      </c>
      <c r="M2629" s="1" t="str">
        <f t="shared" si="1607"/>
        <v>0</v>
      </c>
      <c r="N2629" s="1" t="str">
        <f t="shared" si="1608"/>
        <v>0</v>
      </c>
      <c r="O2629" s="1" t="str">
        <f>"22.42"</f>
        <v>22.42</v>
      </c>
    </row>
    <row r="2630" s="1" customFormat="1" spans="1:15">
      <c r="A2630" s="1" t="str">
        <f t="shared" si="1609"/>
        <v>202406</v>
      </c>
      <c r="B2630" s="1" t="str">
        <f t="shared" si="1610"/>
        <v>150525100</v>
      </c>
      <c r="C2630" s="1" t="str">
        <f>"1014613521"</f>
        <v>1014613521</v>
      </c>
      <c r="D2630" s="1" t="str">
        <f>"152326195008120427"</f>
        <v>152326195008120427</v>
      </c>
      <c r="E2630" s="1" t="s">
        <v>2706</v>
      </c>
      <c r="F2630" s="1" t="s">
        <v>16</v>
      </c>
      <c r="G2630" s="1" t="s">
        <v>19</v>
      </c>
      <c r="H2630" s="1" t="str">
        <f>"74"</f>
        <v>74</v>
      </c>
      <c r="I2630" s="1" t="str">
        <f t="shared" ref="I2630:I2637" si="1611">"160"</f>
        <v>160</v>
      </c>
      <c r="J2630" s="1" t="str">
        <f t="shared" si="1600"/>
        <v>0</v>
      </c>
      <c r="K2630" s="1" t="str">
        <f t="shared" si="1601"/>
        <v>103</v>
      </c>
      <c r="L2630" s="1" t="str">
        <f t="shared" si="1602"/>
        <v>47</v>
      </c>
      <c r="M2630" s="1" t="str">
        <f t="shared" si="1607"/>
        <v>0</v>
      </c>
      <c r="N2630" s="1" t="str">
        <f t="shared" si="1608"/>
        <v>0</v>
      </c>
      <c r="O2630" s="1" t="str">
        <f t="shared" ref="O2630:O2633" si="1612">"0"</f>
        <v>0</v>
      </c>
    </row>
    <row r="2631" s="1" customFormat="1" spans="1:15">
      <c r="A2631" s="1" t="str">
        <f t="shared" si="1609"/>
        <v>202406</v>
      </c>
      <c r="B2631" s="1" t="str">
        <f t="shared" si="1610"/>
        <v>150525100</v>
      </c>
      <c r="C2631" s="1" t="str">
        <f>"1014623847"</f>
        <v>1014623847</v>
      </c>
      <c r="D2631" s="1" t="str">
        <f>"152326193808060670"</f>
        <v>152326193808060670</v>
      </c>
      <c r="E2631" s="1" t="s">
        <v>2707</v>
      </c>
      <c r="F2631" s="1" t="s">
        <v>25</v>
      </c>
      <c r="G2631" s="1" t="s">
        <v>17</v>
      </c>
      <c r="H2631" s="1" t="str">
        <f>"86"</f>
        <v>86</v>
      </c>
      <c r="I2631" s="1" t="str">
        <f>"170"</f>
        <v>170</v>
      </c>
      <c r="J2631" s="1" t="str">
        <f t="shared" si="1600"/>
        <v>0</v>
      </c>
      <c r="K2631" s="1" t="str">
        <f t="shared" si="1601"/>
        <v>103</v>
      </c>
      <c r="L2631" s="1" t="str">
        <f t="shared" si="1602"/>
        <v>47</v>
      </c>
      <c r="M2631" s="1" t="str">
        <f t="shared" si="1607"/>
        <v>0</v>
      </c>
      <c r="N2631" s="1" t="str">
        <f t="shared" si="1608"/>
        <v>0</v>
      </c>
      <c r="O2631" s="1" t="str">
        <f t="shared" si="1612"/>
        <v>0</v>
      </c>
    </row>
    <row r="2632" s="1" customFormat="1" spans="1:15">
      <c r="A2632" s="1" t="str">
        <f t="shared" si="1609"/>
        <v>202406</v>
      </c>
      <c r="B2632" s="1" t="str">
        <f t="shared" si="1610"/>
        <v>150525100</v>
      </c>
      <c r="C2632" s="1" t="str">
        <f>"1014619313"</f>
        <v>1014619313</v>
      </c>
      <c r="D2632" s="1" t="str">
        <f>"152326194504100666"</f>
        <v>152326194504100666</v>
      </c>
      <c r="E2632" s="1" t="s">
        <v>2708</v>
      </c>
      <c r="F2632" s="1" t="s">
        <v>16</v>
      </c>
      <c r="G2632" s="1" t="s">
        <v>19</v>
      </c>
      <c r="H2632" s="1" t="str">
        <f>"79"</f>
        <v>79</v>
      </c>
      <c r="I2632" s="1" t="str">
        <f t="shared" si="1611"/>
        <v>160</v>
      </c>
      <c r="J2632" s="1" t="str">
        <f t="shared" si="1600"/>
        <v>0</v>
      </c>
      <c r="K2632" s="1" t="str">
        <f t="shared" si="1601"/>
        <v>103</v>
      </c>
      <c r="L2632" s="1" t="str">
        <f t="shared" si="1602"/>
        <v>47</v>
      </c>
      <c r="M2632" s="1" t="str">
        <f t="shared" si="1607"/>
        <v>0</v>
      </c>
      <c r="N2632" s="1" t="str">
        <f t="shared" si="1608"/>
        <v>0</v>
      </c>
      <c r="O2632" s="1" t="str">
        <f t="shared" si="1612"/>
        <v>0</v>
      </c>
    </row>
    <row r="2633" s="1" customFormat="1" spans="1:15">
      <c r="A2633" s="1" t="str">
        <f t="shared" si="1609"/>
        <v>202406</v>
      </c>
      <c r="B2633" s="1" t="str">
        <f t="shared" si="1610"/>
        <v>150525100</v>
      </c>
      <c r="C2633" s="1" t="str">
        <f>"1014623325"</f>
        <v>1014623325</v>
      </c>
      <c r="D2633" s="1" t="str">
        <f>"152326194803053820"</f>
        <v>152326194803053820</v>
      </c>
      <c r="E2633" s="1" t="s">
        <v>2709</v>
      </c>
      <c r="F2633" s="1" t="s">
        <v>16</v>
      </c>
      <c r="G2633" s="1" t="s">
        <v>17</v>
      </c>
      <c r="H2633" s="1" t="str">
        <f>"76"</f>
        <v>76</v>
      </c>
      <c r="I2633" s="1" t="str">
        <f>"1600"</f>
        <v>1600</v>
      </c>
      <c r="J2633" s="1" t="str">
        <f>"1440"</f>
        <v>1440</v>
      </c>
      <c r="K2633" s="1" t="str">
        <f>"1030"</f>
        <v>1030</v>
      </c>
      <c r="L2633" s="1" t="str">
        <f>"470"</f>
        <v>470</v>
      </c>
      <c r="M2633" s="1" t="str">
        <f t="shared" si="1607"/>
        <v>0</v>
      </c>
      <c r="N2633" s="1" t="str">
        <f t="shared" si="1608"/>
        <v>0</v>
      </c>
      <c r="O2633" s="1" t="str">
        <f t="shared" si="1612"/>
        <v>0</v>
      </c>
    </row>
    <row r="2634" s="1" customFormat="1" spans="1:15">
      <c r="A2634" s="1" t="str">
        <f t="shared" si="1609"/>
        <v>202406</v>
      </c>
      <c r="B2634" s="1" t="str">
        <f t="shared" si="1610"/>
        <v>150525100</v>
      </c>
      <c r="C2634" s="1" t="str">
        <f>"1042683034"</f>
        <v>1042683034</v>
      </c>
      <c r="D2634" s="1" t="str">
        <f>"152324196006246829"</f>
        <v>152324196006246829</v>
      </c>
      <c r="E2634" s="1" t="s">
        <v>2710</v>
      </c>
      <c r="F2634" s="1" t="s">
        <v>16</v>
      </c>
      <c r="G2634" s="1" t="s">
        <v>17</v>
      </c>
      <c r="H2634" s="1" t="str">
        <f>"64"</f>
        <v>64</v>
      </c>
      <c r="I2634" s="1" t="str">
        <f>"164.41"</f>
        <v>164.41</v>
      </c>
      <c r="J2634" s="1" t="str">
        <f t="shared" ref="J2634:J2646" si="1613">"0"</f>
        <v>0</v>
      </c>
      <c r="K2634" s="1" t="str">
        <f t="shared" ref="K2634:K2646" si="1614">"103"</f>
        <v>103</v>
      </c>
      <c r="L2634" s="1" t="str">
        <f t="shared" ref="L2634:L2646" si="1615">"47"</f>
        <v>47</v>
      </c>
      <c r="M2634" s="1" t="str">
        <f t="shared" si="1607"/>
        <v>0</v>
      </c>
      <c r="N2634" s="1" t="str">
        <f t="shared" si="1608"/>
        <v>0</v>
      </c>
      <c r="O2634" s="1" t="str">
        <f>"14.41"</f>
        <v>14.41</v>
      </c>
    </row>
    <row r="2635" s="1" customFormat="1" spans="1:15">
      <c r="A2635" s="1" t="str">
        <f t="shared" si="1609"/>
        <v>202406</v>
      </c>
      <c r="B2635" s="1" t="str">
        <f t="shared" si="1610"/>
        <v>150525100</v>
      </c>
      <c r="C2635" s="1" t="str">
        <f>"1014613447"</f>
        <v>1014613447</v>
      </c>
      <c r="D2635" s="1" t="str">
        <f>"152326194808213328"</f>
        <v>152326194808213328</v>
      </c>
      <c r="E2635" s="1" t="s">
        <v>2711</v>
      </c>
      <c r="F2635" s="1" t="s">
        <v>16</v>
      </c>
      <c r="G2635" s="1" t="s">
        <v>17</v>
      </c>
      <c r="H2635" s="1" t="str">
        <f>"76"</f>
        <v>76</v>
      </c>
      <c r="I2635" s="1" t="str">
        <f t="shared" si="1611"/>
        <v>160</v>
      </c>
      <c r="J2635" s="1" t="str">
        <f t="shared" si="1613"/>
        <v>0</v>
      </c>
      <c r="K2635" s="1" t="str">
        <f t="shared" si="1614"/>
        <v>103</v>
      </c>
      <c r="L2635" s="1" t="str">
        <f t="shared" si="1615"/>
        <v>47</v>
      </c>
      <c r="M2635" s="1" t="str">
        <f t="shared" si="1607"/>
        <v>0</v>
      </c>
      <c r="N2635" s="1" t="str">
        <f t="shared" si="1608"/>
        <v>0</v>
      </c>
      <c r="O2635" s="1" t="str">
        <f t="shared" ref="O2635:O2671" si="1616">"0"</f>
        <v>0</v>
      </c>
    </row>
    <row r="2636" s="1" customFormat="1" spans="1:15">
      <c r="A2636" s="1" t="str">
        <f t="shared" si="1609"/>
        <v>202406</v>
      </c>
      <c r="B2636" s="1" t="str">
        <f t="shared" si="1610"/>
        <v>150525100</v>
      </c>
      <c r="C2636" s="1" t="str">
        <f>"1014622074"</f>
        <v>1014622074</v>
      </c>
      <c r="D2636" s="1" t="str">
        <f>"152326194706040673"</f>
        <v>152326194706040673</v>
      </c>
      <c r="E2636" s="1" t="s">
        <v>2712</v>
      </c>
      <c r="F2636" s="1" t="s">
        <v>25</v>
      </c>
      <c r="G2636" s="1" t="s">
        <v>17</v>
      </c>
      <c r="H2636" s="1" t="str">
        <f>"77"</f>
        <v>77</v>
      </c>
      <c r="I2636" s="1" t="str">
        <f t="shared" si="1611"/>
        <v>160</v>
      </c>
      <c r="J2636" s="1" t="str">
        <f t="shared" si="1613"/>
        <v>0</v>
      </c>
      <c r="K2636" s="1" t="str">
        <f t="shared" si="1614"/>
        <v>103</v>
      </c>
      <c r="L2636" s="1" t="str">
        <f t="shared" si="1615"/>
        <v>47</v>
      </c>
      <c r="M2636" s="1" t="str">
        <f t="shared" si="1607"/>
        <v>0</v>
      </c>
      <c r="N2636" s="1" t="str">
        <f t="shared" si="1608"/>
        <v>0</v>
      </c>
      <c r="O2636" s="1" t="str">
        <f t="shared" si="1616"/>
        <v>0</v>
      </c>
    </row>
    <row r="2637" s="1" customFormat="1" spans="1:15">
      <c r="A2637" s="1" t="str">
        <f t="shared" si="1609"/>
        <v>202406</v>
      </c>
      <c r="B2637" s="1" t="str">
        <f t="shared" si="1610"/>
        <v>150525100</v>
      </c>
      <c r="C2637" s="1" t="str">
        <f>"1014622090"</f>
        <v>1014622090</v>
      </c>
      <c r="D2637" s="1" t="str">
        <f>"152326194907076381"</f>
        <v>152326194907076381</v>
      </c>
      <c r="E2637" s="1" t="s">
        <v>2713</v>
      </c>
      <c r="F2637" s="1" t="s">
        <v>16</v>
      </c>
      <c r="G2637" s="1" t="s">
        <v>17</v>
      </c>
      <c r="H2637" s="1" t="str">
        <f>"75"</f>
        <v>75</v>
      </c>
      <c r="I2637" s="1" t="str">
        <f t="shared" si="1611"/>
        <v>160</v>
      </c>
      <c r="J2637" s="1" t="str">
        <f t="shared" si="1613"/>
        <v>0</v>
      </c>
      <c r="K2637" s="1" t="str">
        <f t="shared" si="1614"/>
        <v>103</v>
      </c>
      <c r="L2637" s="1" t="str">
        <f t="shared" si="1615"/>
        <v>47</v>
      </c>
      <c r="M2637" s="1" t="str">
        <f t="shared" si="1607"/>
        <v>0</v>
      </c>
      <c r="N2637" s="1" t="str">
        <f t="shared" si="1608"/>
        <v>0</v>
      </c>
      <c r="O2637" s="1" t="str">
        <f t="shared" si="1616"/>
        <v>0</v>
      </c>
    </row>
    <row r="2638" s="1" customFormat="1" spans="1:15">
      <c r="A2638" s="1" t="str">
        <f t="shared" si="1609"/>
        <v>202406</v>
      </c>
      <c r="B2638" s="1" t="str">
        <f t="shared" si="1610"/>
        <v>150525100</v>
      </c>
      <c r="C2638" s="1" t="str">
        <f>"1014624266"</f>
        <v>1014624266</v>
      </c>
      <c r="D2638" s="1" t="str">
        <f>"152326193702173810"</f>
        <v>152326193702173810</v>
      </c>
      <c r="E2638" s="1" t="s">
        <v>2714</v>
      </c>
      <c r="F2638" s="1" t="s">
        <v>25</v>
      </c>
      <c r="G2638" s="1" t="s">
        <v>17</v>
      </c>
      <c r="H2638" s="1" t="str">
        <f>"87"</f>
        <v>87</v>
      </c>
      <c r="I2638" s="1" t="str">
        <f t="shared" ref="I2638:I2642" si="1617">"170"</f>
        <v>170</v>
      </c>
      <c r="J2638" s="1" t="str">
        <f t="shared" si="1613"/>
        <v>0</v>
      </c>
      <c r="K2638" s="1" t="str">
        <f t="shared" si="1614"/>
        <v>103</v>
      </c>
      <c r="L2638" s="1" t="str">
        <f t="shared" si="1615"/>
        <v>47</v>
      </c>
      <c r="M2638" s="1" t="str">
        <f t="shared" si="1607"/>
        <v>0</v>
      </c>
      <c r="N2638" s="1" t="str">
        <f t="shared" si="1608"/>
        <v>0</v>
      </c>
      <c r="O2638" s="1" t="str">
        <f t="shared" si="1616"/>
        <v>0</v>
      </c>
    </row>
    <row r="2639" s="1" customFormat="1" spans="1:15">
      <c r="A2639" s="1" t="str">
        <f t="shared" si="1609"/>
        <v>202406</v>
      </c>
      <c r="B2639" s="1" t="str">
        <f t="shared" si="1610"/>
        <v>150525100</v>
      </c>
      <c r="C2639" s="1" t="str">
        <f>"1014619270"</f>
        <v>1014619270</v>
      </c>
      <c r="D2639" s="1" t="str">
        <f>"152326193110110429"</f>
        <v>152326193110110429</v>
      </c>
      <c r="E2639" s="1" t="s">
        <v>2715</v>
      </c>
      <c r="F2639" s="1" t="s">
        <v>16</v>
      </c>
      <c r="G2639" s="1" t="s">
        <v>17</v>
      </c>
      <c r="H2639" s="1" t="str">
        <f>"93"</f>
        <v>93</v>
      </c>
      <c r="I2639" s="1" t="str">
        <f t="shared" si="1617"/>
        <v>170</v>
      </c>
      <c r="J2639" s="1" t="str">
        <f t="shared" si="1613"/>
        <v>0</v>
      </c>
      <c r="K2639" s="1" t="str">
        <f t="shared" si="1614"/>
        <v>103</v>
      </c>
      <c r="L2639" s="1" t="str">
        <f t="shared" si="1615"/>
        <v>47</v>
      </c>
      <c r="M2639" s="1" t="str">
        <f t="shared" si="1607"/>
        <v>0</v>
      </c>
      <c r="N2639" s="1" t="str">
        <f t="shared" si="1608"/>
        <v>0</v>
      </c>
      <c r="O2639" s="1" t="str">
        <f t="shared" si="1616"/>
        <v>0</v>
      </c>
    </row>
    <row r="2640" s="1" customFormat="1" spans="1:15">
      <c r="A2640" s="1" t="str">
        <f t="shared" si="1609"/>
        <v>202406</v>
      </c>
      <c r="B2640" s="1" t="str">
        <f t="shared" si="1610"/>
        <v>150525100</v>
      </c>
      <c r="C2640" s="1" t="str">
        <f>"1014622891"</f>
        <v>1014622891</v>
      </c>
      <c r="D2640" s="1" t="str">
        <f>"152326195106190429"</f>
        <v>152326195106190429</v>
      </c>
      <c r="E2640" s="1" t="s">
        <v>2716</v>
      </c>
      <c r="F2640" s="1" t="s">
        <v>16</v>
      </c>
      <c r="G2640" s="1" t="s">
        <v>17</v>
      </c>
      <c r="H2640" s="1" t="str">
        <f>"73"</f>
        <v>73</v>
      </c>
      <c r="I2640" s="1" t="str">
        <f>"160"</f>
        <v>160</v>
      </c>
      <c r="J2640" s="1" t="str">
        <f t="shared" si="1613"/>
        <v>0</v>
      </c>
      <c r="K2640" s="1" t="str">
        <f t="shared" si="1614"/>
        <v>103</v>
      </c>
      <c r="L2640" s="1" t="str">
        <f t="shared" si="1615"/>
        <v>47</v>
      </c>
      <c r="M2640" s="1" t="str">
        <f t="shared" si="1607"/>
        <v>0</v>
      </c>
      <c r="N2640" s="1" t="str">
        <f t="shared" si="1608"/>
        <v>0</v>
      </c>
      <c r="O2640" s="1" t="str">
        <f t="shared" si="1616"/>
        <v>0</v>
      </c>
    </row>
    <row r="2641" s="1" customFormat="1" spans="1:15">
      <c r="A2641" s="1" t="str">
        <f t="shared" si="1609"/>
        <v>202406</v>
      </c>
      <c r="B2641" s="1" t="str">
        <f t="shared" si="1610"/>
        <v>150525100</v>
      </c>
      <c r="C2641" s="1" t="str">
        <f>"1014622918"</f>
        <v>1014622918</v>
      </c>
      <c r="D2641" s="1" t="str">
        <f>"152326193707240429"</f>
        <v>152326193707240429</v>
      </c>
      <c r="E2641" s="1" t="s">
        <v>2717</v>
      </c>
      <c r="F2641" s="1" t="s">
        <v>16</v>
      </c>
      <c r="G2641" s="1" t="s">
        <v>17</v>
      </c>
      <c r="H2641" s="1" t="str">
        <f>"87"</f>
        <v>87</v>
      </c>
      <c r="I2641" s="1" t="str">
        <f t="shared" si="1617"/>
        <v>170</v>
      </c>
      <c r="J2641" s="1" t="str">
        <f t="shared" si="1613"/>
        <v>0</v>
      </c>
      <c r="K2641" s="1" t="str">
        <f t="shared" si="1614"/>
        <v>103</v>
      </c>
      <c r="L2641" s="1" t="str">
        <f t="shared" si="1615"/>
        <v>47</v>
      </c>
      <c r="M2641" s="1" t="str">
        <f t="shared" si="1607"/>
        <v>0</v>
      </c>
      <c r="N2641" s="1" t="str">
        <f t="shared" si="1608"/>
        <v>0</v>
      </c>
      <c r="O2641" s="1" t="str">
        <f t="shared" si="1616"/>
        <v>0</v>
      </c>
    </row>
    <row r="2642" s="1" customFormat="1" spans="1:15">
      <c r="A2642" s="1" t="str">
        <f t="shared" si="1609"/>
        <v>202406</v>
      </c>
      <c r="B2642" s="1" t="str">
        <f t="shared" si="1610"/>
        <v>150525100</v>
      </c>
      <c r="C2642" s="1" t="str">
        <f>"1014623718"</f>
        <v>1014623718</v>
      </c>
      <c r="D2642" s="1" t="str">
        <f>"152326194402023815"</f>
        <v>152326194402023815</v>
      </c>
      <c r="E2642" s="1" t="s">
        <v>2718</v>
      </c>
      <c r="F2642" s="1" t="s">
        <v>25</v>
      </c>
      <c r="G2642" s="1" t="s">
        <v>19</v>
      </c>
      <c r="H2642" s="1" t="str">
        <f>"80"</f>
        <v>80</v>
      </c>
      <c r="I2642" s="1" t="str">
        <f t="shared" si="1617"/>
        <v>170</v>
      </c>
      <c r="J2642" s="1" t="str">
        <f t="shared" si="1613"/>
        <v>0</v>
      </c>
      <c r="K2642" s="1" t="str">
        <f t="shared" si="1614"/>
        <v>103</v>
      </c>
      <c r="L2642" s="1" t="str">
        <f t="shared" si="1615"/>
        <v>47</v>
      </c>
      <c r="M2642" s="1" t="str">
        <f t="shared" si="1607"/>
        <v>0</v>
      </c>
      <c r="N2642" s="1" t="str">
        <f t="shared" si="1608"/>
        <v>0</v>
      </c>
      <c r="O2642" s="1" t="str">
        <f t="shared" si="1616"/>
        <v>0</v>
      </c>
    </row>
    <row r="2643" s="1" customFormat="1" spans="1:15">
      <c r="A2643" s="1" t="str">
        <f t="shared" si="1609"/>
        <v>202406</v>
      </c>
      <c r="B2643" s="1" t="str">
        <f t="shared" si="1610"/>
        <v>150525100</v>
      </c>
      <c r="C2643" s="1" t="str">
        <f>"1014623720"</f>
        <v>1014623720</v>
      </c>
      <c r="D2643" s="1" t="str">
        <f>"152326194603143813"</f>
        <v>152326194603143813</v>
      </c>
      <c r="E2643" s="1" t="s">
        <v>2719</v>
      </c>
      <c r="F2643" s="1" t="s">
        <v>25</v>
      </c>
      <c r="G2643" s="1" t="s">
        <v>17</v>
      </c>
      <c r="H2643" s="1" t="str">
        <f>"78"</f>
        <v>78</v>
      </c>
      <c r="I2643" s="1" t="str">
        <f t="shared" ref="I2643:I2648" si="1618">"160"</f>
        <v>160</v>
      </c>
      <c r="J2643" s="1" t="str">
        <f t="shared" si="1613"/>
        <v>0</v>
      </c>
      <c r="K2643" s="1" t="str">
        <f t="shared" si="1614"/>
        <v>103</v>
      </c>
      <c r="L2643" s="1" t="str">
        <f t="shared" si="1615"/>
        <v>47</v>
      </c>
      <c r="M2643" s="1" t="str">
        <f t="shared" si="1607"/>
        <v>0</v>
      </c>
      <c r="N2643" s="1" t="str">
        <f t="shared" si="1608"/>
        <v>0</v>
      </c>
      <c r="O2643" s="1" t="str">
        <f t="shared" si="1616"/>
        <v>0</v>
      </c>
    </row>
    <row r="2644" s="1" customFormat="1" spans="1:15">
      <c r="A2644" s="1" t="str">
        <f t="shared" si="1609"/>
        <v>202406</v>
      </c>
      <c r="B2644" s="1" t="str">
        <f t="shared" si="1610"/>
        <v>150525100</v>
      </c>
      <c r="C2644" s="1" t="str">
        <f>"1014613490"</f>
        <v>1014613490</v>
      </c>
      <c r="D2644" s="1" t="str">
        <f>"152326193910060423"</f>
        <v>152326193910060423</v>
      </c>
      <c r="E2644" s="1" t="s">
        <v>2720</v>
      </c>
      <c r="F2644" s="1" t="s">
        <v>16</v>
      </c>
      <c r="G2644" s="1" t="s">
        <v>17</v>
      </c>
      <c r="H2644" s="1" t="str">
        <f t="shared" ref="H2644:H2649" si="1619">"85"</f>
        <v>85</v>
      </c>
      <c r="I2644" s="1" t="str">
        <f>"170"</f>
        <v>170</v>
      </c>
      <c r="J2644" s="1" t="str">
        <f t="shared" si="1613"/>
        <v>0</v>
      </c>
      <c r="K2644" s="1" t="str">
        <f t="shared" si="1614"/>
        <v>103</v>
      </c>
      <c r="L2644" s="1" t="str">
        <f t="shared" si="1615"/>
        <v>47</v>
      </c>
      <c r="M2644" s="1" t="str">
        <f t="shared" si="1607"/>
        <v>0</v>
      </c>
      <c r="N2644" s="1" t="str">
        <f t="shared" si="1608"/>
        <v>0</v>
      </c>
      <c r="O2644" s="1" t="str">
        <f t="shared" si="1616"/>
        <v>0</v>
      </c>
    </row>
    <row r="2645" s="1" customFormat="1" spans="1:15">
      <c r="A2645" s="1" t="str">
        <f t="shared" si="1609"/>
        <v>202406</v>
      </c>
      <c r="B2645" s="1" t="str">
        <f t="shared" si="1610"/>
        <v>150525100</v>
      </c>
      <c r="C2645" s="1" t="str">
        <f>"1014624301"</f>
        <v>1014624301</v>
      </c>
      <c r="D2645" s="1" t="str">
        <f>"152326193906123081"</f>
        <v>152326193906123081</v>
      </c>
      <c r="E2645" s="1" t="s">
        <v>2721</v>
      </c>
      <c r="F2645" s="1" t="s">
        <v>16</v>
      </c>
      <c r="G2645" s="1" t="s">
        <v>19</v>
      </c>
      <c r="H2645" s="1" t="str">
        <f t="shared" si="1619"/>
        <v>85</v>
      </c>
      <c r="I2645" s="1" t="str">
        <f>"170"</f>
        <v>170</v>
      </c>
      <c r="J2645" s="1" t="str">
        <f t="shared" si="1613"/>
        <v>0</v>
      </c>
      <c r="K2645" s="1" t="str">
        <f t="shared" si="1614"/>
        <v>103</v>
      </c>
      <c r="L2645" s="1" t="str">
        <f t="shared" si="1615"/>
        <v>47</v>
      </c>
      <c r="M2645" s="1" t="str">
        <f t="shared" si="1607"/>
        <v>0</v>
      </c>
      <c r="N2645" s="1" t="str">
        <f t="shared" si="1608"/>
        <v>0</v>
      </c>
      <c r="O2645" s="1" t="str">
        <f t="shared" si="1616"/>
        <v>0</v>
      </c>
    </row>
    <row r="2646" s="1" customFormat="1" spans="1:15">
      <c r="A2646" s="1" t="str">
        <f t="shared" si="1609"/>
        <v>202406</v>
      </c>
      <c r="B2646" s="1" t="str">
        <f t="shared" si="1610"/>
        <v>150525100</v>
      </c>
      <c r="C2646" s="1" t="str">
        <f>"1014619843"</f>
        <v>1014619843</v>
      </c>
      <c r="D2646" s="1" t="s">
        <v>2722</v>
      </c>
      <c r="E2646" s="1" t="s">
        <v>2723</v>
      </c>
      <c r="F2646" s="1" t="s">
        <v>16</v>
      </c>
      <c r="G2646" s="1" t="s">
        <v>17</v>
      </c>
      <c r="H2646" s="1" t="str">
        <f>"76"</f>
        <v>76</v>
      </c>
      <c r="I2646" s="1" t="str">
        <f t="shared" si="1618"/>
        <v>160</v>
      </c>
      <c r="J2646" s="1" t="str">
        <f t="shared" si="1613"/>
        <v>0</v>
      </c>
      <c r="K2646" s="1" t="str">
        <f t="shared" si="1614"/>
        <v>103</v>
      </c>
      <c r="L2646" s="1" t="str">
        <f t="shared" si="1615"/>
        <v>47</v>
      </c>
      <c r="M2646" s="1" t="str">
        <f t="shared" si="1607"/>
        <v>0</v>
      </c>
      <c r="N2646" s="1" t="str">
        <f t="shared" si="1608"/>
        <v>0</v>
      </c>
      <c r="O2646" s="1" t="str">
        <f t="shared" si="1616"/>
        <v>0</v>
      </c>
    </row>
    <row r="2647" s="1" customFormat="1" spans="1:15">
      <c r="A2647" s="1" t="str">
        <f t="shared" si="1609"/>
        <v>202406</v>
      </c>
      <c r="B2647" s="1" t="str">
        <f t="shared" si="1610"/>
        <v>150525100</v>
      </c>
      <c r="C2647" s="1" t="str">
        <f>"1014619844"</f>
        <v>1014619844</v>
      </c>
      <c r="D2647" s="1" t="str">
        <f>"152326194805070667"</f>
        <v>152326194805070667</v>
      </c>
      <c r="E2647" s="1" t="s">
        <v>2724</v>
      </c>
      <c r="F2647" s="1" t="s">
        <v>16</v>
      </c>
      <c r="G2647" s="1" t="s">
        <v>96</v>
      </c>
      <c r="H2647" s="1" t="str">
        <f>"76"</f>
        <v>76</v>
      </c>
      <c r="I2647" s="1" t="str">
        <f>"1600"</f>
        <v>1600</v>
      </c>
      <c r="J2647" s="1" t="str">
        <f>"1440"</f>
        <v>1440</v>
      </c>
      <c r="K2647" s="1" t="str">
        <f>"1030"</f>
        <v>1030</v>
      </c>
      <c r="L2647" s="1" t="str">
        <f>"470"</f>
        <v>470</v>
      </c>
      <c r="M2647" s="1" t="str">
        <f t="shared" si="1607"/>
        <v>0</v>
      </c>
      <c r="N2647" s="1" t="str">
        <f t="shared" si="1608"/>
        <v>0</v>
      </c>
      <c r="O2647" s="1" t="str">
        <f t="shared" si="1616"/>
        <v>0</v>
      </c>
    </row>
    <row r="2648" s="1" customFormat="1" spans="1:15">
      <c r="A2648" s="1" t="str">
        <f t="shared" si="1609"/>
        <v>202406</v>
      </c>
      <c r="B2648" s="1" t="str">
        <f t="shared" si="1610"/>
        <v>150525100</v>
      </c>
      <c r="C2648" s="1" t="str">
        <f>"1014623290"</f>
        <v>1014623290</v>
      </c>
      <c r="D2648" s="1" t="str">
        <f>"152326195110093082"</f>
        <v>152326195110093082</v>
      </c>
      <c r="E2648" s="1" t="s">
        <v>919</v>
      </c>
      <c r="F2648" s="1" t="s">
        <v>16</v>
      </c>
      <c r="G2648" s="1" t="s">
        <v>17</v>
      </c>
      <c r="H2648" s="1" t="str">
        <f>"73"</f>
        <v>73</v>
      </c>
      <c r="I2648" s="1" t="str">
        <f t="shared" si="1618"/>
        <v>160</v>
      </c>
      <c r="J2648" s="1" t="str">
        <f t="shared" ref="J2648:J2706" si="1620">"0"</f>
        <v>0</v>
      </c>
      <c r="K2648" s="1" t="str">
        <f t="shared" ref="K2648:K2706" si="1621">"103"</f>
        <v>103</v>
      </c>
      <c r="L2648" s="1" t="str">
        <f t="shared" ref="L2648:L2706" si="1622">"47"</f>
        <v>47</v>
      </c>
      <c r="M2648" s="1" t="str">
        <f t="shared" si="1607"/>
        <v>0</v>
      </c>
      <c r="N2648" s="1" t="str">
        <f t="shared" si="1608"/>
        <v>0</v>
      </c>
      <c r="O2648" s="1" t="str">
        <f t="shared" si="1616"/>
        <v>0</v>
      </c>
    </row>
    <row r="2649" s="1" customFormat="1" spans="1:15">
      <c r="A2649" s="1" t="str">
        <f t="shared" si="1609"/>
        <v>202406</v>
      </c>
      <c r="B2649" s="1" t="str">
        <f t="shared" si="1610"/>
        <v>150525100</v>
      </c>
      <c r="C2649" s="1" t="str">
        <f>"1014623306"</f>
        <v>1014623306</v>
      </c>
      <c r="D2649" s="1" t="str">
        <f>"152326193910033820"</f>
        <v>152326193910033820</v>
      </c>
      <c r="E2649" s="1" t="s">
        <v>1843</v>
      </c>
      <c r="F2649" s="1" t="s">
        <v>16</v>
      </c>
      <c r="G2649" s="1" t="s">
        <v>17</v>
      </c>
      <c r="H2649" s="1" t="str">
        <f t="shared" si="1619"/>
        <v>85</v>
      </c>
      <c r="I2649" s="1" t="str">
        <f>"1630"</f>
        <v>1630</v>
      </c>
      <c r="J2649" s="1" t="str">
        <f t="shared" ref="J2649:L2649" si="1623">"0"</f>
        <v>0</v>
      </c>
      <c r="K2649" s="1" t="str">
        <f t="shared" si="1623"/>
        <v>0</v>
      </c>
      <c r="L2649" s="1" t="str">
        <f t="shared" si="1623"/>
        <v>0</v>
      </c>
      <c r="M2649" s="1" t="str">
        <f t="shared" si="1607"/>
        <v>0</v>
      </c>
      <c r="N2649" s="1" t="str">
        <f t="shared" si="1608"/>
        <v>0</v>
      </c>
      <c r="O2649" s="1" t="str">
        <f t="shared" si="1616"/>
        <v>0</v>
      </c>
    </row>
    <row r="2650" s="1" customFormat="1" spans="1:15">
      <c r="A2650" s="1" t="str">
        <f t="shared" si="1609"/>
        <v>202406</v>
      </c>
      <c r="B2650" s="1" t="str">
        <f t="shared" si="1610"/>
        <v>150525100</v>
      </c>
      <c r="C2650" s="1" t="str">
        <f>"1014623735"</f>
        <v>1014623735</v>
      </c>
      <c r="D2650" s="1" t="str">
        <f>"152326194901293094"</f>
        <v>152326194901293094</v>
      </c>
      <c r="E2650" s="1" t="s">
        <v>2725</v>
      </c>
      <c r="F2650" s="1" t="s">
        <v>25</v>
      </c>
      <c r="G2650" s="1" t="s">
        <v>19</v>
      </c>
      <c r="H2650" s="1" t="str">
        <f>"75"</f>
        <v>75</v>
      </c>
      <c r="I2650" s="1" t="str">
        <f t="shared" ref="I2650:I2661" si="1624">"160"</f>
        <v>160</v>
      </c>
      <c r="J2650" s="1" t="str">
        <f t="shared" si="1620"/>
        <v>0</v>
      </c>
      <c r="K2650" s="1" t="str">
        <f t="shared" si="1621"/>
        <v>103</v>
      </c>
      <c r="L2650" s="1" t="str">
        <f t="shared" si="1622"/>
        <v>47</v>
      </c>
      <c r="M2650" s="1" t="str">
        <f t="shared" si="1607"/>
        <v>0</v>
      </c>
      <c r="N2650" s="1" t="str">
        <f t="shared" si="1608"/>
        <v>0</v>
      </c>
      <c r="O2650" s="1" t="str">
        <f t="shared" si="1616"/>
        <v>0</v>
      </c>
    </row>
    <row r="2651" s="1" customFormat="1" spans="1:15">
      <c r="A2651" s="1" t="str">
        <f t="shared" si="1609"/>
        <v>202406</v>
      </c>
      <c r="B2651" s="1" t="str">
        <f t="shared" si="1610"/>
        <v>150525100</v>
      </c>
      <c r="C2651" s="1" t="str">
        <f>"1014623750"</f>
        <v>1014623750</v>
      </c>
      <c r="D2651" s="1" t="str">
        <f>"152326195103133816"</f>
        <v>152326195103133816</v>
      </c>
      <c r="E2651" s="1" t="s">
        <v>2726</v>
      </c>
      <c r="F2651" s="1" t="s">
        <v>25</v>
      </c>
      <c r="G2651" s="1" t="s">
        <v>19</v>
      </c>
      <c r="H2651" s="1" t="str">
        <f>"73"</f>
        <v>73</v>
      </c>
      <c r="I2651" s="1" t="str">
        <f t="shared" si="1624"/>
        <v>160</v>
      </c>
      <c r="J2651" s="1" t="str">
        <f t="shared" si="1620"/>
        <v>0</v>
      </c>
      <c r="K2651" s="1" t="str">
        <f t="shared" si="1621"/>
        <v>103</v>
      </c>
      <c r="L2651" s="1" t="str">
        <f t="shared" si="1622"/>
        <v>47</v>
      </c>
      <c r="M2651" s="1" t="str">
        <f t="shared" si="1607"/>
        <v>0</v>
      </c>
      <c r="N2651" s="1" t="str">
        <f t="shared" si="1608"/>
        <v>0</v>
      </c>
      <c r="O2651" s="1" t="str">
        <f t="shared" si="1616"/>
        <v>0</v>
      </c>
    </row>
    <row r="2652" s="1" customFormat="1" spans="1:15">
      <c r="A2652" s="1" t="str">
        <f t="shared" si="1609"/>
        <v>202406</v>
      </c>
      <c r="B2652" s="1" t="str">
        <f t="shared" si="1610"/>
        <v>150525100</v>
      </c>
      <c r="C2652" s="1" t="str">
        <f>"1014623751"</f>
        <v>1014623751</v>
      </c>
      <c r="D2652" s="1" t="str">
        <f>"152326194903103813"</f>
        <v>152326194903103813</v>
      </c>
      <c r="E2652" s="1" t="s">
        <v>2727</v>
      </c>
      <c r="F2652" s="1" t="s">
        <v>25</v>
      </c>
      <c r="G2652" s="1" t="s">
        <v>19</v>
      </c>
      <c r="H2652" s="1" t="str">
        <f>"75"</f>
        <v>75</v>
      </c>
      <c r="I2652" s="1" t="str">
        <f t="shared" si="1624"/>
        <v>160</v>
      </c>
      <c r="J2652" s="1" t="str">
        <f t="shared" si="1620"/>
        <v>0</v>
      </c>
      <c r="K2652" s="1" t="str">
        <f t="shared" si="1621"/>
        <v>103</v>
      </c>
      <c r="L2652" s="1" t="str">
        <f t="shared" si="1622"/>
        <v>47</v>
      </c>
      <c r="M2652" s="1" t="str">
        <f t="shared" si="1607"/>
        <v>0</v>
      </c>
      <c r="N2652" s="1" t="str">
        <f t="shared" si="1608"/>
        <v>0</v>
      </c>
      <c r="O2652" s="1" t="str">
        <f t="shared" si="1616"/>
        <v>0</v>
      </c>
    </row>
    <row r="2653" s="1" customFormat="1" spans="1:15">
      <c r="A2653" s="1" t="str">
        <f t="shared" si="1609"/>
        <v>202406</v>
      </c>
      <c r="B2653" s="1" t="str">
        <f t="shared" si="1610"/>
        <v>150525100</v>
      </c>
      <c r="C2653" s="1" t="str">
        <f>"1014612760"</f>
        <v>1014612760</v>
      </c>
      <c r="D2653" s="1" t="str">
        <f>"152326194805150915"</f>
        <v>152326194805150915</v>
      </c>
      <c r="E2653" s="1" t="s">
        <v>2728</v>
      </c>
      <c r="F2653" s="1" t="s">
        <v>25</v>
      </c>
      <c r="G2653" s="1" t="s">
        <v>19</v>
      </c>
      <c r="H2653" s="1" t="str">
        <f>"76"</f>
        <v>76</v>
      </c>
      <c r="I2653" s="1" t="str">
        <f t="shared" si="1624"/>
        <v>160</v>
      </c>
      <c r="J2653" s="1" t="str">
        <f t="shared" si="1620"/>
        <v>0</v>
      </c>
      <c r="K2653" s="1" t="str">
        <f t="shared" si="1621"/>
        <v>103</v>
      </c>
      <c r="L2653" s="1" t="str">
        <f t="shared" si="1622"/>
        <v>47</v>
      </c>
      <c r="M2653" s="1" t="str">
        <f t="shared" si="1607"/>
        <v>0</v>
      </c>
      <c r="N2653" s="1" t="str">
        <f t="shared" si="1608"/>
        <v>0</v>
      </c>
      <c r="O2653" s="1" t="str">
        <f t="shared" si="1616"/>
        <v>0</v>
      </c>
    </row>
    <row r="2654" s="1" customFormat="1" spans="1:15">
      <c r="A2654" s="1" t="str">
        <f t="shared" si="1609"/>
        <v>202406</v>
      </c>
      <c r="B2654" s="1" t="str">
        <f t="shared" si="1610"/>
        <v>150525100</v>
      </c>
      <c r="C2654" s="1" t="str">
        <f>"1014612762"</f>
        <v>1014612762</v>
      </c>
      <c r="D2654" s="1" t="s">
        <v>2729</v>
      </c>
      <c r="E2654" s="1" t="s">
        <v>2730</v>
      </c>
      <c r="F2654" s="1" t="s">
        <v>25</v>
      </c>
      <c r="G2654" s="1" t="s">
        <v>19</v>
      </c>
      <c r="H2654" s="1" t="str">
        <f>"77"</f>
        <v>77</v>
      </c>
      <c r="I2654" s="1" t="str">
        <f t="shared" si="1624"/>
        <v>160</v>
      </c>
      <c r="J2654" s="1" t="str">
        <f t="shared" si="1620"/>
        <v>0</v>
      </c>
      <c r="K2654" s="1" t="str">
        <f t="shared" si="1621"/>
        <v>103</v>
      </c>
      <c r="L2654" s="1" t="str">
        <f t="shared" si="1622"/>
        <v>47</v>
      </c>
      <c r="M2654" s="1" t="str">
        <f t="shared" si="1607"/>
        <v>0</v>
      </c>
      <c r="N2654" s="1" t="str">
        <f t="shared" si="1608"/>
        <v>0</v>
      </c>
      <c r="O2654" s="1" t="str">
        <f t="shared" si="1616"/>
        <v>0</v>
      </c>
    </row>
    <row r="2655" s="1" customFormat="1" spans="1:15">
      <c r="A2655" s="1" t="str">
        <f t="shared" si="1609"/>
        <v>202406</v>
      </c>
      <c r="B2655" s="1" t="str">
        <f t="shared" si="1610"/>
        <v>150525100</v>
      </c>
      <c r="C2655" s="1" t="str">
        <f>"1014612776"</f>
        <v>1014612776</v>
      </c>
      <c r="D2655" s="1" t="str">
        <f>"152326194702230912"</f>
        <v>152326194702230912</v>
      </c>
      <c r="E2655" s="1" t="s">
        <v>2731</v>
      </c>
      <c r="F2655" s="1" t="s">
        <v>25</v>
      </c>
      <c r="G2655" s="1" t="s">
        <v>19</v>
      </c>
      <c r="H2655" s="1" t="str">
        <f>"77"</f>
        <v>77</v>
      </c>
      <c r="I2655" s="1" t="str">
        <f t="shared" si="1624"/>
        <v>160</v>
      </c>
      <c r="J2655" s="1" t="str">
        <f t="shared" si="1620"/>
        <v>0</v>
      </c>
      <c r="K2655" s="1" t="str">
        <f t="shared" si="1621"/>
        <v>103</v>
      </c>
      <c r="L2655" s="1" t="str">
        <f t="shared" si="1622"/>
        <v>47</v>
      </c>
      <c r="M2655" s="1" t="str">
        <f t="shared" si="1607"/>
        <v>0</v>
      </c>
      <c r="N2655" s="1" t="str">
        <f t="shared" si="1608"/>
        <v>0</v>
      </c>
      <c r="O2655" s="1" t="str">
        <f t="shared" si="1616"/>
        <v>0</v>
      </c>
    </row>
    <row r="2656" s="1" customFormat="1" spans="1:15">
      <c r="A2656" s="1" t="str">
        <f t="shared" si="1609"/>
        <v>202406</v>
      </c>
      <c r="B2656" s="1" t="str">
        <f t="shared" si="1610"/>
        <v>150525100</v>
      </c>
      <c r="C2656" s="1" t="str">
        <f>"1014622478"</f>
        <v>1014622478</v>
      </c>
      <c r="D2656" s="1" t="s">
        <v>2732</v>
      </c>
      <c r="E2656" s="1" t="s">
        <v>2733</v>
      </c>
      <c r="F2656" s="1" t="s">
        <v>16</v>
      </c>
      <c r="G2656" s="1" t="s">
        <v>17</v>
      </c>
      <c r="H2656" s="1" t="str">
        <f>"75"</f>
        <v>75</v>
      </c>
      <c r="I2656" s="1" t="str">
        <f t="shared" si="1624"/>
        <v>160</v>
      </c>
      <c r="J2656" s="1" t="str">
        <f t="shared" si="1620"/>
        <v>0</v>
      </c>
      <c r="K2656" s="1" t="str">
        <f t="shared" si="1621"/>
        <v>103</v>
      </c>
      <c r="L2656" s="1" t="str">
        <f t="shared" si="1622"/>
        <v>47</v>
      </c>
      <c r="M2656" s="1" t="str">
        <f t="shared" si="1607"/>
        <v>0</v>
      </c>
      <c r="N2656" s="1" t="str">
        <f t="shared" si="1608"/>
        <v>0</v>
      </c>
      <c r="O2656" s="1" t="str">
        <f t="shared" si="1616"/>
        <v>0</v>
      </c>
    </row>
    <row r="2657" s="1" customFormat="1" spans="1:15">
      <c r="A2657" s="1" t="str">
        <f t="shared" si="1609"/>
        <v>202406</v>
      </c>
      <c r="B2657" s="1" t="str">
        <f t="shared" si="1610"/>
        <v>150525100</v>
      </c>
      <c r="C2657" s="1" t="str">
        <f>"1014623865"</f>
        <v>1014623865</v>
      </c>
      <c r="D2657" s="1" t="str">
        <f>"152326195006120669"</f>
        <v>152326195006120669</v>
      </c>
      <c r="E2657" s="1" t="s">
        <v>2734</v>
      </c>
      <c r="F2657" s="1" t="s">
        <v>16</v>
      </c>
      <c r="G2657" s="1" t="s">
        <v>17</v>
      </c>
      <c r="H2657" s="1" t="str">
        <f>"74"</f>
        <v>74</v>
      </c>
      <c r="I2657" s="1" t="str">
        <f t="shared" si="1624"/>
        <v>160</v>
      </c>
      <c r="J2657" s="1" t="str">
        <f t="shared" si="1620"/>
        <v>0</v>
      </c>
      <c r="K2657" s="1" t="str">
        <f t="shared" si="1621"/>
        <v>103</v>
      </c>
      <c r="L2657" s="1" t="str">
        <f t="shared" si="1622"/>
        <v>47</v>
      </c>
      <c r="M2657" s="1" t="str">
        <f t="shared" si="1607"/>
        <v>0</v>
      </c>
      <c r="N2657" s="1" t="str">
        <f t="shared" si="1608"/>
        <v>0</v>
      </c>
      <c r="O2657" s="1" t="str">
        <f t="shared" si="1616"/>
        <v>0</v>
      </c>
    </row>
    <row r="2658" s="1" customFormat="1" spans="1:15">
      <c r="A2658" s="1" t="str">
        <f t="shared" si="1609"/>
        <v>202406</v>
      </c>
      <c r="B2658" s="1" t="str">
        <f t="shared" si="1610"/>
        <v>150525100</v>
      </c>
      <c r="C2658" s="1" t="str">
        <f>"1014623874"</f>
        <v>1014623874</v>
      </c>
      <c r="D2658" s="1" t="str">
        <f>"152326194904120674"</f>
        <v>152326194904120674</v>
      </c>
      <c r="E2658" s="1" t="s">
        <v>2735</v>
      </c>
      <c r="F2658" s="1" t="s">
        <v>25</v>
      </c>
      <c r="G2658" s="1" t="s">
        <v>17</v>
      </c>
      <c r="H2658" s="1" t="str">
        <f>"75"</f>
        <v>75</v>
      </c>
      <c r="I2658" s="1" t="str">
        <f t="shared" si="1624"/>
        <v>160</v>
      </c>
      <c r="J2658" s="1" t="str">
        <f t="shared" si="1620"/>
        <v>0</v>
      </c>
      <c r="K2658" s="1" t="str">
        <f t="shared" si="1621"/>
        <v>103</v>
      </c>
      <c r="L2658" s="1" t="str">
        <f t="shared" si="1622"/>
        <v>47</v>
      </c>
      <c r="M2658" s="1" t="str">
        <f t="shared" si="1607"/>
        <v>0</v>
      </c>
      <c r="N2658" s="1" t="str">
        <f t="shared" si="1608"/>
        <v>0</v>
      </c>
      <c r="O2658" s="1" t="str">
        <f t="shared" si="1616"/>
        <v>0</v>
      </c>
    </row>
    <row r="2659" s="1" customFormat="1" spans="1:15">
      <c r="A2659" s="1" t="str">
        <f t="shared" si="1609"/>
        <v>202406</v>
      </c>
      <c r="B2659" s="1" t="str">
        <f t="shared" si="1610"/>
        <v>150525100</v>
      </c>
      <c r="C2659" s="1" t="str">
        <f>"1014624340"</f>
        <v>1014624340</v>
      </c>
      <c r="D2659" s="1" t="str">
        <f>"152326194505173816"</f>
        <v>152326194505173816</v>
      </c>
      <c r="E2659" s="1" t="s">
        <v>2736</v>
      </c>
      <c r="F2659" s="1" t="s">
        <v>25</v>
      </c>
      <c r="G2659" s="1" t="s">
        <v>17</v>
      </c>
      <c r="H2659" s="1" t="str">
        <f>"79"</f>
        <v>79</v>
      </c>
      <c r="I2659" s="1" t="str">
        <f t="shared" si="1624"/>
        <v>160</v>
      </c>
      <c r="J2659" s="1" t="str">
        <f t="shared" si="1620"/>
        <v>0</v>
      </c>
      <c r="K2659" s="1" t="str">
        <f t="shared" si="1621"/>
        <v>103</v>
      </c>
      <c r="L2659" s="1" t="str">
        <f t="shared" si="1622"/>
        <v>47</v>
      </c>
      <c r="M2659" s="1" t="str">
        <f t="shared" si="1607"/>
        <v>0</v>
      </c>
      <c r="N2659" s="1" t="str">
        <f t="shared" si="1608"/>
        <v>0</v>
      </c>
      <c r="O2659" s="1" t="str">
        <f t="shared" si="1616"/>
        <v>0</v>
      </c>
    </row>
    <row r="2660" s="1" customFormat="1" spans="1:15">
      <c r="A2660" s="1" t="str">
        <f t="shared" si="1609"/>
        <v>202406</v>
      </c>
      <c r="B2660" s="1" t="str">
        <f t="shared" si="1610"/>
        <v>150525100</v>
      </c>
      <c r="C2660" s="1" t="str">
        <f>"1014624367"</f>
        <v>1014624367</v>
      </c>
      <c r="D2660" s="1" t="str">
        <f>"152326195001150922"</f>
        <v>152326195001150922</v>
      </c>
      <c r="E2660" s="1" t="s">
        <v>2737</v>
      </c>
      <c r="F2660" s="1" t="s">
        <v>16</v>
      </c>
      <c r="G2660" s="1" t="s">
        <v>19</v>
      </c>
      <c r="H2660" s="1" t="str">
        <f>"74"</f>
        <v>74</v>
      </c>
      <c r="I2660" s="1" t="str">
        <f t="shared" si="1624"/>
        <v>160</v>
      </c>
      <c r="J2660" s="1" t="str">
        <f t="shared" si="1620"/>
        <v>0</v>
      </c>
      <c r="K2660" s="1" t="str">
        <f t="shared" si="1621"/>
        <v>103</v>
      </c>
      <c r="L2660" s="1" t="str">
        <f t="shared" si="1622"/>
        <v>47</v>
      </c>
      <c r="M2660" s="1" t="str">
        <f t="shared" si="1607"/>
        <v>0</v>
      </c>
      <c r="N2660" s="1" t="str">
        <f t="shared" si="1608"/>
        <v>0</v>
      </c>
      <c r="O2660" s="1" t="str">
        <f t="shared" si="1616"/>
        <v>0</v>
      </c>
    </row>
    <row r="2661" s="1" customFormat="1" spans="1:15">
      <c r="A2661" s="1" t="str">
        <f t="shared" si="1609"/>
        <v>202406</v>
      </c>
      <c r="B2661" s="1" t="str">
        <f t="shared" si="1610"/>
        <v>150525100</v>
      </c>
      <c r="C2661" s="1" t="str">
        <f>"1014619334"</f>
        <v>1014619334</v>
      </c>
      <c r="D2661" s="1" t="str">
        <f>"152326194809133821"</f>
        <v>152326194809133821</v>
      </c>
      <c r="E2661" s="1" t="s">
        <v>2738</v>
      </c>
      <c r="F2661" s="1" t="s">
        <v>16</v>
      </c>
      <c r="G2661" s="1" t="s">
        <v>19</v>
      </c>
      <c r="H2661" s="1" t="str">
        <f>"76"</f>
        <v>76</v>
      </c>
      <c r="I2661" s="1" t="str">
        <f t="shared" si="1624"/>
        <v>160</v>
      </c>
      <c r="J2661" s="1" t="str">
        <f t="shared" si="1620"/>
        <v>0</v>
      </c>
      <c r="K2661" s="1" t="str">
        <f t="shared" si="1621"/>
        <v>103</v>
      </c>
      <c r="L2661" s="1" t="str">
        <f t="shared" si="1622"/>
        <v>47</v>
      </c>
      <c r="M2661" s="1" t="str">
        <f t="shared" si="1607"/>
        <v>0</v>
      </c>
      <c r="N2661" s="1" t="str">
        <f t="shared" si="1608"/>
        <v>0</v>
      </c>
      <c r="O2661" s="1" t="str">
        <f t="shared" si="1616"/>
        <v>0</v>
      </c>
    </row>
    <row r="2662" s="1" customFormat="1" spans="1:15">
      <c r="A2662" s="1" t="str">
        <f t="shared" si="1609"/>
        <v>202406</v>
      </c>
      <c r="B2662" s="1" t="str">
        <f t="shared" si="1610"/>
        <v>150525100</v>
      </c>
      <c r="C2662" s="1" t="str">
        <f>"1014619339"</f>
        <v>1014619339</v>
      </c>
      <c r="D2662" s="1" t="str">
        <f>"152326194105053081"</f>
        <v>152326194105053081</v>
      </c>
      <c r="E2662" s="1" t="s">
        <v>2739</v>
      </c>
      <c r="F2662" s="1" t="s">
        <v>16</v>
      </c>
      <c r="G2662" s="1" t="s">
        <v>19</v>
      </c>
      <c r="H2662" s="1" t="str">
        <f>"83"</f>
        <v>83</v>
      </c>
      <c r="I2662" s="1" t="str">
        <f t="shared" ref="I2662:I2666" si="1625">"170"</f>
        <v>170</v>
      </c>
      <c r="J2662" s="1" t="str">
        <f t="shared" si="1620"/>
        <v>0</v>
      </c>
      <c r="K2662" s="1" t="str">
        <f t="shared" si="1621"/>
        <v>103</v>
      </c>
      <c r="L2662" s="1" t="str">
        <f t="shared" si="1622"/>
        <v>47</v>
      </c>
      <c r="M2662" s="1" t="str">
        <f t="shared" si="1607"/>
        <v>0</v>
      </c>
      <c r="N2662" s="1" t="str">
        <f t="shared" si="1608"/>
        <v>0</v>
      </c>
      <c r="O2662" s="1" t="str">
        <f t="shared" si="1616"/>
        <v>0</v>
      </c>
    </row>
    <row r="2663" s="1" customFormat="1" spans="1:15">
      <c r="A2663" s="1" t="str">
        <f t="shared" si="1609"/>
        <v>202406</v>
      </c>
      <c r="B2663" s="1" t="str">
        <f t="shared" si="1610"/>
        <v>150525100</v>
      </c>
      <c r="C2663" s="1" t="str">
        <f>"1014619892"</f>
        <v>1014619892</v>
      </c>
      <c r="D2663" s="1" t="str">
        <f>"152326194811163843"</f>
        <v>152326194811163843</v>
      </c>
      <c r="E2663" s="1" t="s">
        <v>2740</v>
      </c>
      <c r="F2663" s="1" t="s">
        <v>16</v>
      </c>
      <c r="G2663" s="1" t="s">
        <v>17</v>
      </c>
      <c r="H2663" s="1" t="str">
        <f>"76"</f>
        <v>76</v>
      </c>
      <c r="I2663" s="1" t="str">
        <f t="shared" ref="I2663:I2667" si="1626">"160"</f>
        <v>160</v>
      </c>
      <c r="J2663" s="1" t="str">
        <f t="shared" si="1620"/>
        <v>0</v>
      </c>
      <c r="K2663" s="1" t="str">
        <f t="shared" si="1621"/>
        <v>103</v>
      </c>
      <c r="L2663" s="1" t="str">
        <f t="shared" si="1622"/>
        <v>47</v>
      </c>
      <c r="M2663" s="1" t="str">
        <f t="shared" si="1607"/>
        <v>0</v>
      </c>
      <c r="N2663" s="1" t="str">
        <f t="shared" si="1608"/>
        <v>0</v>
      </c>
      <c r="O2663" s="1" t="str">
        <f t="shared" si="1616"/>
        <v>0</v>
      </c>
    </row>
    <row r="2664" s="1" customFormat="1" spans="1:15">
      <c r="A2664" s="1" t="str">
        <f t="shared" si="1609"/>
        <v>202406</v>
      </c>
      <c r="B2664" s="1" t="str">
        <f t="shared" si="1610"/>
        <v>150525100</v>
      </c>
      <c r="C2664" s="1" t="str">
        <f>"1014619900"</f>
        <v>1014619900</v>
      </c>
      <c r="D2664" s="1" t="str">
        <f>"152326193704043825"</f>
        <v>152326193704043825</v>
      </c>
      <c r="E2664" s="1" t="s">
        <v>1062</v>
      </c>
      <c r="F2664" s="1" t="s">
        <v>16</v>
      </c>
      <c r="G2664" s="1" t="s">
        <v>17</v>
      </c>
      <c r="H2664" s="1" t="str">
        <f>"87"</f>
        <v>87</v>
      </c>
      <c r="I2664" s="1" t="str">
        <f t="shared" si="1625"/>
        <v>170</v>
      </c>
      <c r="J2664" s="1" t="str">
        <f t="shared" si="1620"/>
        <v>0</v>
      </c>
      <c r="K2664" s="1" t="str">
        <f t="shared" si="1621"/>
        <v>103</v>
      </c>
      <c r="L2664" s="1" t="str">
        <f t="shared" si="1622"/>
        <v>47</v>
      </c>
      <c r="M2664" s="1" t="str">
        <f t="shared" si="1607"/>
        <v>0</v>
      </c>
      <c r="N2664" s="1" t="str">
        <f t="shared" si="1608"/>
        <v>0</v>
      </c>
      <c r="O2664" s="1" t="str">
        <f t="shared" si="1616"/>
        <v>0</v>
      </c>
    </row>
    <row r="2665" s="1" customFormat="1" spans="1:15">
      <c r="A2665" s="1" t="str">
        <f t="shared" si="1609"/>
        <v>202406</v>
      </c>
      <c r="B2665" s="1" t="str">
        <f t="shared" si="1610"/>
        <v>150525100</v>
      </c>
      <c r="C2665" s="1" t="str">
        <f>"1014619902"</f>
        <v>1014619902</v>
      </c>
      <c r="D2665" s="1" t="str">
        <f>"152326194507053826"</f>
        <v>152326194507053826</v>
      </c>
      <c r="E2665" s="1" t="s">
        <v>280</v>
      </c>
      <c r="F2665" s="1" t="s">
        <v>16</v>
      </c>
      <c r="G2665" s="1" t="s">
        <v>17</v>
      </c>
      <c r="H2665" s="1" t="str">
        <f>"79"</f>
        <v>79</v>
      </c>
      <c r="I2665" s="1" t="str">
        <f t="shared" si="1626"/>
        <v>160</v>
      </c>
      <c r="J2665" s="1" t="str">
        <f t="shared" si="1620"/>
        <v>0</v>
      </c>
      <c r="K2665" s="1" t="str">
        <f t="shared" si="1621"/>
        <v>103</v>
      </c>
      <c r="L2665" s="1" t="str">
        <f t="shared" si="1622"/>
        <v>47</v>
      </c>
      <c r="M2665" s="1" t="str">
        <f t="shared" si="1607"/>
        <v>0</v>
      </c>
      <c r="N2665" s="1" t="str">
        <f t="shared" si="1608"/>
        <v>0</v>
      </c>
      <c r="O2665" s="1" t="str">
        <f t="shared" si="1616"/>
        <v>0</v>
      </c>
    </row>
    <row r="2666" s="1" customFormat="1" spans="1:15">
      <c r="A2666" s="1" t="str">
        <f t="shared" si="1609"/>
        <v>202406</v>
      </c>
      <c r="B2666" s="1" t="str">
        <f t="shared" si="1610"/>
        <v>150525100</v>
      </c>
      <c r="C2666" s="1" t="str">
        <f>"1014619911"</f>
        <v>1014619911</v>
      </c>
      <c r="D2666" s="1" t="str">
        <f>"152326193910010661"</f>
        <v>152326193910010661</v>
      </c>
      <c r="E2666" s="1" t="s">
        <v>2741</v>
      </c>
      <c r="F2666" s="1" t="s">
        <v>16</v>
      </c>
      <c r="G2666" s="1" t="s">
        <v>17</v>
      </c>
      <c r="H2666" s="1" t="str">
        <f>"85"</f>
        <v>85</v>
      </c>
      <c r="I2666" s="1" t="str">
        <f t="shared" si="1625"/>
        <v>170</v>
      </c>
      <c r="J2666" s="1" t="str">
        <f t="shared" si="1620"/>
        <v>0</v>
      </c>
      <c r="K2666" s="1" t="str">
        <f t="shared" si="1621"/>
        <v>103</v>
      </c>
      <c r="L2666" s="1" t="str">
        <f t="shared" si="1622"/>
        <v>47</v>
      </c>
      <c r="M2666" s="1" t="str">
        <f t="shared" si="1607"/>
        <v>0</v>
      </c>
      <c r="N2666" s="1" t="str">
        <f t="shared" si="1608"/>
        <v>0</v>
      </c>
      <c r="O2666" s="1" t="str">
        <f t="shared" si="1616"/>
        <v>0</v>
      </c>
    </row>
    <row r="2667" s="1" customFormat="1" spans="1:15">
      <c r="A2667" s="1" t="str">
        <f t="shared" si="1609"/>
        <v>202406</v>
      </c>
      <c r="B2667" s="1" t="str">
        <f t="shared" si="1610"/>
        <v>150525100</v>
      </c>
      <c r="C2667" s="1" t="str">
        <f>"1014623351"</f>
        <v>1014623351</v>
      </c>
      <c r="D2667" s="1" t="s">
        <v>2742</v>
      </c>
      <c r="E2667" s="1" t="s">
        <v>2743</v>
      </c>
      <c r="F2667" s="1" t="s">
        <v>16</v>
      </c>
      <c r="G2667" s="1" t="s">
        <v>17</v>
      </c>
      <c r="H2667" s="1" t="str">
        <f>"73"</f>
        <v>73</v>
      </c>
      <c r="I2667" s="1" t="str">
        <f t="shared" si="1626"/>
        <v>160</v>
      </c>
      <c r="J2667" s="1" t="str">
        <f t="shared" si="1620"/>
        <v>0</v>
      </c>
      <c r="K2667" s="1" t="str">
        <f t="shared" si="1621"/>
        <v>103</v>
      </c>
      <c r="L2667" s="1" t="str">
        <f t="shared" si="1622"/>
        <v>47</v>
      </c>
      <c r="M2667" s="1" t="str">
        <f t="shared" si="1607"/>
        <v>0</v>
      </c>
      <c r="N2667" s="1" t="str">
        <f t="shared" si="1608"/>
        <v>0</v>
      </c>
      <c r="O2667" s="1" t="str">
        <f t="shared" si="1616"/>
        <v>0</v>
      </c>
    </row>
    <row r="2668" s="1" customFormat="1" spans="1:15">
      <c r="A2668" s="1" t="str">
        <f t="shared" si="1609"/>
        <v>202406</v>
      </c>
      <c r="B2668" s="1" t="str">
        <f t="shared" si="1610"/>
        <v>150525100</v>
      </c>
      <c r="C2668" s="1" t="str">
        <f>"1014623372"</f>
        <v>1014623372</v>
      </c>
      <c r="D2668" s="1" t="str">
        <f>"152326193712233821"</f>
        <v>152326193712233821</v>
      </c>
      <c r="E2668" s="1" t="s">
        <v>2744</v>
      </c>
      <c r="F2668" s="1" t="s">
        <v>16</v>
      </c>
      <c r="G2668" s="1" t="s">
        <v>17</v>
      </c>
      <c r="H2668" s="1" t="str">
        <f>"87"</f>
        <v>87</v>
      </c>
      <c r="I2668" s="1" t="str">
        <f>"170"</f>
        <v>170</v>
      </c>
      <c r="J2668" s="1" t="str">
        <f t="shared" si="1620"/>
        <v>0</v>
      </c>
      <c r="K2668" s="1" t="str">
        <f t="shared" si="1621"/>
        <v>103</v>
      </c>
      <c r="L2668" s="1" t="str">
        <f t="shared" si="1622"/>
        <v>47</v>
      </c>
      <c r="M2668" s="1" t="str">
        <f t="shared" si="1607"/>
        <v>0</v>
      </c>
      <c r="N2668" s="1" t="str">
        <f t="shared" si="1608"/>
        <v>0</v>
      </c>
      <c r="O2668" s="1" t="str">
        <f t="shared" si="1616"/>
        <v>0</v>
      </c>
    </row>
    <row r="2669" s="1" customFormat="1" spans="1:15">
      <c r="A2669" s="1" t="str">
        <f t="shared" si="1609"/>
        <v>202406</v>
      </c>
      <c r="B2669" s="1" t="str">
        <f t="shared" si="1610"/>
        <v>150525100</v>
      </c>
      <c r="C2669" s="1" t="str">
        <f>"1014623374"</f>
        <v>1014623374</v>
      </c>
      <c r="D2669" s="1" t="s">
        <v>2745</v>
      </c>
      <c r="E2669" s="1" t="s">
        <v>2746</v>
      </c>
      <c r="F2669" s="1" t="s">
        <v>16</v>
      </c>
      <c r="G2669" s="1" t="s">
        <v>96</v>
      </c>
      <c r="H2669" s="1" t="str">
        <f>"74"</f>
        <v>74</v>
      </c>
      <c r="I2669" s="1" t="str">
        <f t="shared" ref="I2669:I2671" si="1627">"160"</f>
        <v>160</v>
      </c>
      <c r="J2669" s="1" t="str">
        <f t="shared" si="1620"/>
        <v>0</v>
      </c>
      <c r="K2669" s="1" t="str">
        <f t="shared" si="1621"/>
        <v>103</v>
      </c>
      <c r="L2669" s="1" t="str">
        <f t="shared" si="1622"/>
        <v>47</v>
      </c>
      <c r="M2669" s="1" t="str">
        <f t="shared" si="1607"/>
        <v>0</v>
      </c>
      <c r="N2669" s="1" t="str">
        <f t="shared" si="1608"/>
        <v>0</v>
      </c>
      <c r="O2669" s="1" t="str">
        <f t="shared" si="1616"/>
        <v>0</v>
      </c>
    </row>
    <row r="2670" s="1" customFormat="1" spans="1:15">
      <c r="A2670" s="1" t="str">
        <f t="shared" si="1609"/>
        <v>202406</v>
      </c>
      <c r="B2670" s="1" t="str">
        <f t="shared" si="1610"/>
        <v>150525100</v>
      </c>
      <c r="C2670" s="1" t="str">
        <f>"1014629517"</f>
        <v>1014629517</v>
      </c>
      <c r="D2670" s="1" t="str">
        <f>"152326194609270020"</f>
        <v>152326194609270020</v>
      </c>
      <c r="E2670" s="1" t="s">
        <v>2747</v>
      </c>
      <c r="F2670" s="1" t="s">
        <v>16</v>
      </c>
      <c r="G2670" s="1" t="s">
        <v>17</v>
      </c>
      <c r="H2670" s="1" t="str">
        <f>"78"</f>
        <v>78</v>
      </c>
      <c r="I2670" s="1" t="str">
        <f t="shared" si="1627"/>
        <v>160</v>
      </c>
      <c r="J2670" s="1" t="str">
        <f t="shared" si="1620"/>
        <v>0</v>
      </c>
      <c r="K2670" s="1" t="str">
        <f t="shared" si="1621"/>
        <v>103</v>
      </c>
      <c r="L2670" s="1" t="str">
        <f t="shared" si="1622"/>
        <v>47</v>
      </c>
      <c r="M2670" s="1" t="str">
        <f t="shared" si="1607"/>
        <v>0</v>
      </c>
      <c r="N2670" s="1" t="str">
        <f t="shared" si="1608"/>
        <v>0</v>
      </c>
      <c r="O2670" s="1" t="str">
        <f t="shared" si="1616"/>
        <v>0</v>
      </c>
    </row>
    <row r="2671" s="1" customFormat="1" spans="1:15">
      <c r="A2671" s="1" t="str">
        <f t="shared" si="1609"/>
        <v>202406</v>
      </c>
      <c r="B2671" s="1" t="str">
        <f t="shared" si="1610"/>
        <v>150525100</v>
      </c>
      <c r="C2671" s="1" t="str">
        <f>"1014629526"</f>
        <v>1014629526</v>
      </c>
      <c r="D2671" s="1" t="s">
        <v>2748</v>
      </c>
      <c r="E2671" s="1" t="s">
        <v>288</v>
      </c>
      <c r="F2671" s="1" t="s">
        <v>16</v>
      </c>
      <c r="G2671" s="1" t="s">
        <v>17</v>
      </c>
      <c r="H2671" s="1" t="str">
        <f>"76"</f>
        <v>76</v>
      </c>
      <c r="I2671" s="1" t="str">
        <f t="shared" si="1627"/>
        <v>160</v>
      </c>
      <c r="J2671" s="1" t="str">
        <f t="shared" si="1620"/>
        <v>0</v>
      </c>
      <c r="K2671" s="1" t="str">
        <f t="shared" si="1621"/>
        <v>103</v>
      </c>
      <c r="L2671" s="1" t="str">
        <f t="shared" si="1622"/>
        <v>47</v>
      </c>
      <c r="M2671" s="1" t="str">
        <f t="shared" si="1607"/>
        <v>0</v>
      </c>
      <c r="N2671" s="1" t="str">
        <f t="shared" si="1608"/>
        <v>0</v>
      </c>
      <c r="O2671" s="1" t="str">
        <f t="shared" si="1616"/>
        <v>0</v>
      </c>
    </row>
    <row r="2672" s="1" customFormat="1" spans="1:15">
      <c r="A2672" s="1" t="str">
        <f t="shared" si="1609"/>
        <v>202406</v>
      </c>
      <c r="B2672" s="1" t="str">
        <f t="shared" si="1610"/>
        <v>150525100</v>
      </c>
      <c r="C2672" s="1" t="str">
        <f>"1014588940"</f>
        <v>1014588940</v>
      </c>
      <c r="D2672" s="1" t="str">
        <f>"152326195504160444"</f>
        <v>152326195504160444</v>
      </c>
      <c r="E2672" s="1" t="s">
        <v>2749</v>
      </c>
      <c r="F2672" s="1" t="s">
        <v>16</v>
      </c>
      <c r="G2672" s="1" t="s">
        <v>19</v>
      </c>
      <c r="H2672" s="1" t="str">
        <f>"69"</f>
        <v>69</v>
      </c>
      <c r="I2672" s="1" t="str">
        <f>"157.48"</f>
        <v>157.48</v>
      </c>
      <c r="J2672" s="1" t="str">
        <f t="shared" si="1620"/>
        <v>0</v>
      </c>
      <c r="K2672" s="1" t="str">
        <f t="shared" si="1621"/>
        <v>103</v>
      </c>
      <c r="L2672" s="1" t="str">
        <f t="shared" si="1622"/>
        <v>47</v>
      </c>
      <c r="M2672" s="1" t="str">
        <f t="shared" si="1607"/>
        <v>0</v>
      </c>
      <c r="N2672" s="1" t="str">
        <f t="shared" si="1608"/>
        <v>0</v>
      </c>
      <c r="O2672" s="1" t="str">
        <f>"7.48"</f>
        <v>7.48</v>
      </c>
    </row>
    <row r="2673" s="1" customFormat="1" spans="1:15">
      <c r="A2673" s="1" t="str">
        <f t="shared" si="1609"/>
        <v>202406</v>
      </c>
      <c r="B2673" s="1" t="str">
        <f t="shared" si="1610"/>
        <v>150525100</v>
      </c>
      <c r="C2673" s="1" t="str">
        <f>"1042699820"</f>
        <v>1042699820</v>
      </c>
      <c r="D2673" s="1" t="str">
        <f>"152326196105180928"</f>
        <v>152326196105180928</v>
      </c>
      <c r="E2673" s="1" t="s">
        <v>2750</v>
      </c>
      <c r="F2673" s="1" t="s">
        <v>16</v>
      </c>
      <c r="G2673" s="1" t="s">
        <v>17</v>
      </c>
      <c r="H2673" s="1" t="str">
        <f>"63"</f>
        <v>63</v>
      </c>
      <c r="I2673" s="1" t="str">
        <f>"224.7"</f>
        <v>224.7</v>
      </c>
      <c r="J2673" s="1" t="str">
        <f t="shared" si="1620"/>
        <v>0</v>
      </c>
      <c r="K2673" s="1" t="str">
        <f t="shared" si="1621"/>
        <v>103</v>
      </c>
      <c r="L2673" s="1" t="str">
        <f t="shared" si="1622"/>
        <v>47</v>
      </c>
      <c r="M2673" s="1" t="str">
        <f t="shared" si="1607"/>
        <v>0</v>
      </c>
      <c r="N2673" s="1" t="str">
        <f t="shared" si="1608"/>
        <v>0</v>
      </c>
      <c r="O2673" s="1" t="str">
        <f>"74.7"</f>
        <v>74.7</v>
      </c>
    </row>
    <row r="2674" s="1" customFormat="1" spans="1:15">
      <c r="A2674" s="1" t="str">
        <f t="shared" si="1609"/>
        <v>202406</v>
      </c>
      <c r="B2674" s="1" t="str">
        <f t="shared" si="1610"/>
        <v>150525100</v>
      </c>
      <c r="C2674" s="1" t="str">
        <f>"1043025273"</f>
        <v>1043025273</v>
      </c>
      <c r="D2674" s="1" t="str">
        <f>"152326195701010912"</f>
        <v>152326195701010912</v>
      </c>
      <c r="E2674" s="1" t="s">
        <v>2751</v>
      </c>
      <c r="F2674" s="1" t="s">
        <v>25</v>
      </c>
      <c r="G2674" s="1" t="s">
        <v>19</v>
      </c>
      <c r="H2674" s="1" t="str">
        <f>"68"</f>
        <v>68</v>
      </c>
      <c r="I2674" s="1" t="str">
        <f>"156.48"</f>
        <v>156.48</v>
      </c>
      <c r="J2674" s="1" t="str">
        <f t="shared" si="1620"/>
        <v>0</v>
      </c>
      <c r="K2674" s="1" t="str">
        <f t="shared" si="1621"/>
        <v>103</v>
      </c>
      <c r="L2674" s="1" t="str">
        <f t="shared" si="1622"/>
        <v>47</v>
      </c>
      <c r="M2674" s="1" t="str">
        <f t="shared" si="1607"/>
        <v>0</v>
      </c>
      <c r="N2674" s="1" t="str">
        <f t="shared" si="1608"/>
        <v>0</v>
      </c>
      <c r="O2674" s="1" t="str">
        <f>"6.48"</f>
        <v>6.48</v>
      </c>
    </row>
    <row r="2675" s="1" customFormat="1" spans="1:15">
      <c r="A2675" s="1" t="str">
        <f t="shared" si="1609"/>
        <v>202406</v>
      </c>
      <c r="B2675" s="1" t="str">
        <f t="shared" si="1610"/>
        <v>150525100</v>
      </c>
      <c r="C2675" s="1" t="str">
        <f>"1014660694"</f>
        <v>1014660694</v>
      </c>
      <c r="D2675" s="1" t="str">
        <f>"152326195304103824"</f>
        <v>152326195304103824</v>
      </c>
      <c r="E2675" s="1" t="s">
        <v>2752</v>
      </c>
      <c r="F2675" s="1" t="s">
        <v>16</v>
      </c>
      <c r="G2675" s="1" t="s">
        <v>19</v>
      </c>
      <c r="H2675" s="1" t="str">
        <f>"71"</f>
        <v>71</v>
      </c>
      <c r="I2675" s="1" t="str">
        <f>"162.15"</f>
        <v>162.15</v>
      </c>
      <c r="J2675" s="1" t="str">
        <f t="shared" si="1620"/>
        <v>0</v>
      </c>
      <c r="K2675" s="1" t="str">
        <f t="shared" si="1621"/>
        <v>103</v>
      </c>
      <c r="L2675" s="1" t="str">
        <f t="shared" si="1622"/>
        <v>47</v>
      </c>
      <c r="M2675" s="1" t="str">
        <f t="shared" si="1607"/>
        <v>0</v>
      </c>
      <c r="N2675" s="1" t="str">
        <f t="shared" si="1608"/>
        <v>0</v>
      </c>
      <c r="O2675" s="1" t="str">
        <f>"2.15"</f>
        <v>2.15</v>
      </c>
    </row>
    <row r="2676" s="1" customFormat="1" spans="1:15">
      <c r="A2676" s="1" t="str">
        <f t="shared" si="1609"/>
        <v>202406</v>
      </c>
      <c r="B2676" s="1" t="str">
        <f t="shared" si="1610"/>
        <v>150525100</v>
      </c>
      <c r="C2676" s="1" t="str">
        <f>"1014656296"</f>
        <v>1014656296</v>
      </c>
      <c r="D2676" s="1" t="s">
        <v>2753</v>
      </c>
      <c r="E2676" s="1" t="s">
        <v>2549</v>
      </c>
      <c r="F2676" s="1" t="s">
        <v>25</v>
      </c>
      <c r="G2676" s="1" t="s">
        <v>17</v>
      </c>
      <c r="H2676" s="1" t="str">
        <f>"70"</f>
        <v>70</v>
      </c>
      <c r="I2676" s="1" t="str">
        <f>"154.14"</f>
        <v>154.14</v>
      </c>
      <c r="J2676" s="1" t="str">
        <f t="shared" si="1620"/>
        <v>0</v>
      </c>
      <c r="K2676" s="1" t="str">
        <f t="shared" si="1621"/>
        <v>103</v>
      </c>
      <c r="L2676" s="1" t="str">
        <f t="shared" si="1622"/>
        <v>47</v>
      </c>
      <c r="M2676" s="1" t="str">
        <f t="shared" si="1607"/>
        <v>0</v>
      </c>
      <c r="N2676" s="1" t="str">
        <f t="shared" si="1608"/>
        <v>0</v>
      </c>
      <c r="O2676" s="1" t="str">
        <f>"4.14"</f>
        <v>4.14</v>
      </c>
    </row>
    <row r="2677" s="1" customFormat="1" spans="1:15">
      <c r="A2677" s="1" t="str">
        <f t="shared" si="1609"/>
        <v>202406</v>
      </c>
      <c r="B2677" s="1" t="str">
        <f t="shared" si="1610"/>
        <v>150525100</v>
      </c>
      <c r="C2677" s="1" t="str">
        <f>"1014656002"</f>
        <v>1014656002</v>
      </c>
      <c r="D2677" s="1" t="s">
        <v>2754</v>
      </c>
      <c r="E2677" s="1" t="s">
        <v>2755</v>
      </c>
      <c r="F2677" s="1" t="s">
        <v>16</v>
      </c>
      <c r="G2677" s="1" t="s">
        <v>17</v>
      </c>
      <c r="H2677" s="1" t="str">
        <f>"63"</f>
        <v>63</v>
      </c>
      <c r="I2677" s="1" t="str">
        <f>"161"</f>
        <v>161</v>
      </c>
      <c r="J2677" s="1" t="str">
        <f t="shared" si="1620"/>
        <v>0</v>
      </c>
      <c r="K2677" s="1" t="str">
        <f t="shared" si="1621"/>
        <v>103</v>
      </c>
      <c r="L2677" s="1" t="str">
        <f t="shared" si="1622"/>
        <v>47</v>
      </c>
      <c r="M2677" s="1" t="str">
        <f t="shared" si="1607"/>
        <v>0</v>
      </c>
      <c r="N2677" s="1" t="str">
        <f t="shared" si="1608"/>
        <v>0</v>
      </c>
      <c r="O2677" s="1" t="str">
        <f>"11"</f>
        <v>11</v>
      </c>
    </row>
    <row r="2678" s="1" customFormat="1" spans="1:15">
      <c r="A2678" s="1" t="str">
        <f t="shared" si="1609"/>
        <v>202406</v>
      </c>
      <c r="B2678" s="1" t="str">
        <f t="shared" si="1610"/>
        <v>150525100</v>
      </c>
      <c r="C2678" s="1" t="str">
        <f>"1014656017"</f>
        <v>1014656017</v>
      </c>
      <c r="D2678" s="1" t="str">
        <f>"152326195402010664"</f>
        <v>152326195402010664</v>
      </c>
      <c r="E2678" s="1" t="s">
        <v>2756</v>
      </c>
      <c r="F2678" s="1" t="s">
        <v>16</v>
      </c>
      <c r="G2678" s="1" t="s">
        <v>17</v>
      </c>
      <c r="H2678" s="1" t="str">
        <f>"70"</f>
        <v>70</v>
      </c>
      <c r="I2678" s="1" t="str">
        <f>"164.15"</f>
        <v>164.15</v>
      </c>
      <c r="J2678" s="1" t="str">
        <f t="shared" si="1620"/>
        <v>0</v>
      </c>
      <c r="K2678" s="1" t="str">
        <f t="shared" si="1621"/>
        <v>103</v>
      </c>
      <c r="L2678" s="1" t="str">
        <f t="shared" si="1622"/>
        <v>47</v>
      </c>
      <c r="M2678" s="1" t="str">
        <f t="shared" si="1607"/>
        <v>0</v>
      </c>
      <c r="N2678" s="1" t="str">
        <f t="shared" si="1608"/>
        <v>0</v>
      </c>
      <c r="O2678" s="1" t="str">
        <f>"4.15"</f>
        <v>4.15</v>
      </c>
    </row>
    <row r="2679" s="1" customFormat="1" spans="1:15">
      <c r="A2679" s="1" t="str">
        <f t="shared" si="1609"/>
        <v>202406</v>
      </c>
      <c r="B2679" s="1" t="str">
        <f t="shared" si="1610"/>
        <v>150525100</v>
      </c>
      <c r="C2679" s="1" t="str">
        <f>"1014656028"</f>
        <v>1014656028</v>
      </c>
      <c r="D2679" s="1" t="str">
        <f>"152326195904070667"</f>
        <v>152326195904070667</v>
      </c>
      <c r="E2679" s="1" t="s">
        <v>2757</v>
      </c>
      <c r="F2679" s="1" t="s">
        <v>16</v>
      </c>
      <c r="G2679" s="1" t="s">
        <v>17</v>
      </c>
      <c r="H2679" s="1" t="str">
        <f>"65"</f>
        <v>65</v>
      </c>
      <c r="I2679" s="1" t="str">
        <f>"158.14"</f>
        <v>158.14</v>
      </c>
      <c r="J2679" s="1" t="str">
        <f t="shared" si="1620"/>
        <v>0</v>
      </c>
      <c r="K2679" s="1" t="str">
        <f t="shared" si="1621"/>
        <v>103</v>
      </c>
      <c r="L2679" s="1" t="str">
        <f t="shared" si="1622"/>
        <v>47</v>
      </c>
      <c r="M2679" s="1" t="str">
        <f t="shared" si="1607"/>
        <v>0</v>
      </c>
      <c r="N2679" s="1" t="str">
        <f t="shared" si="1608"/>
        <v>0</v>
      </c>
      <c r="O2679" s="1" t="str">
        <f>"8.14"</f>
        <v>8.14</v>
      </c>
    </row>
    <row r="2680" s="1" customFormat="1" spans="1:15">
      <c r="A2680" s="1" t="str">
        <f t="shared" si="1609"/>
        <v>202406</v>
      </c>
      <c r="B2680" s="1" t="str">
        <f t="shared" si="1610"/>
        <v>150525100</v>
      </c>
      <c r="C2680" s="1" t="str">
        <f>"1041457893"</f>
        <v>1041457893</v>
      </c>
      <c r="D2680" s="1" t="str">
        <f>"152326195604030014"</f>
        <v>152326195604030014</v>
      </c>
      <c r="E2680" s="1" t="s">
        <v>2758</v>
      </c>
      <c r="F2680" s="1" t="s">
        <v>25</v>
      </c>
      <c r="G2680" s="1" t="s">
        <v>19</v>
      </c>
      <c r="H2680" s="1" t="str">
        <f>"68"</f>
        <v>68</v>
      </c>
      <c r="I2680" s="1" t="str">
        <f>"155.43"</f>
        <v>155.43</v>
      </c>
      <c r="J2680" s="1" t="str">
        <f t="shared" si="1620"/>
        <v>0</v>
      </c>
      <c r="K2680" s="1" t="str">
        <f t="shared" si="1621"/>
        <v>103</v>
      </c>
      <c r="L2680" s="1" t="str">
        <f t="shared" si="1622"/>
        <v>47</v>
      </c>
      <c r="M2680" s="1" t="str">
        <f t="shared" si="1607"/>
        <v>0</v>
      </c>
      <c r="N2680" s="1" t="str">
        <f t="shared" si="1608"/>
        <v>0</v>
      </c>
      <c r="O2680" s="1" t="str">
        <f>"5.43"</f>
        <v>5.43</v>
      </c>
    </row>
    <row r="2681" s="1" customFormat="1" spans="1:15">
      <c r="A2681" s="1" t="str">
        <f t="shared" si="1609"/>
        <v>202406</v>
      </c>
      <c r="B2681" s="1" t="str">
        <f t="shared" si="1610"/>
        <v>150525100</v>
      </c>
      <c r="C2681" s="1" t="str">
        <f>"1014583710"</f>
        <v>1014583710</v>
      </c>
      <c r="D2681" s="1" t="str">
        <f>"152326196403120712"</f>
        <v>152326196403120712</v>
      </c>
      <c r="E2681" s="1" t="s">
        <v>2759</v>
      </c>
      <c r="F2681" s="1" t="s">
        <v>25</v>
      </c>
      <c r="G2681" s="1" t="s">
        <v>17</v>
      </c>
      <c r="H2681" s="1" t="str">
        <f>"60"</f>
        <v>60</v>
      </c>
      <c r="I2681" s="1" t="str">
        <f>"168.27"</f>
        <v>168.27</v>
      </c>
      <c r="J2681" s="1" t="str">
        <f t="shared" si="1620"/>
        <v>0</v>
      </c>
      <c r="K2681" s="1" t="str">
        <f t="shared" si="1621"/>
        <v>103</v>
      </c>
      <c r="L2681" s="1" t="str">
        <f t="shared" si="1622"/>
        <v>47</v>
      </c>
      <c r="M2681" s="1" t="str">
        <f t="shared" si="1607"/>
        <v>0</v>
      </c>
      <c r="N2681" s="1" t="str">
        <f t="shared" si="1608"/>
        <v>0</v>
      </c>
      <c r="O2681" s="1" t="str">
        <f>"18.27"</f>
        <v>18.27</v>
      </c>
    </row>
    <row r="2682" s="1" customFormat="1" spans="1:15">
      <c r="A2682" s="1" t="str">
        <f t="shared" si="1609"/>
        <v>202406</v>
      </c>
      <c r="B2682" s="1" t="str">
        <f t="shared" si="1610"/>
        <v>150525100</v>
      </c>
      <c r="C2682" s="1" t="str">
        <f>"1042692764"</f>
        <v>1042692764</v>
      </c>
      <c r="D2682" s="1" t="str">
        <f>"152326196211023328"</f>
        <v>152326196211023328</v>
      </c>
      <c r="E2682" s="1" t="s">
        <v>2760</v>
      </c>
      <c r="F2682" s="1" t="s">
        <v>16</v>
      </c>
      <c r="G2682" s="1" t="s">
        <v>17</v>
      </c>
      <c r="H2682" s="1" t="str">
        <f>"62"</f>
        <v>62</v>
      </c>
      <c r="I2682" s="1" t="str">
        <f>"160.42"</f>
        <v>160.42</v>
      </c>
      <c r="J2682" s="1" t="str">
        <f t="shared" si="1620"/>
        <v>0</v>
      </c>
      <c r="K2682" s="1" t="str">
        <f t="shared" si="1621"/>
        <v>103</v>
      </c>
      <c r="L2682" s="1" t="str">
        <f t="shared" si="1622"/>
        <v>47</v>
      </c>
      <c r="M2682" s="1" t="str">
        <f t="shared" si="1607"/>
        <v>0</v>
      </c>
      <c r="N2682" s="1" t="str">
        <f t="shared" si="1608"/>
        <v>0</v>
      </c>
      <c r="O2682" s="1" t="str">
        <f>"10.42"</f>
        <v>10.42</v>
      </c>
    </row>
    <row r="2683" s="1" customFormat="1" spans="1:15">
      <c r="A2683" s="1" t="str">
        <f t="shared" si="1609"/>
        <v>202406</v>
      </c>
      <c r="B2683" s="1" t="str">
        <f t="shared" si="1610"/>
        <v>150525100</v>
      </c>
      <c r="C2683" s="1" t="str">
        <f>"1043017649"</f>
        <v>1043017649</v>
      </c>
      <c r="D2683" s="1" t="str">
        <f>"152326194703173817"</f>
        <v>152326194703173817</v>
      </c>
      <c r="E2683" s="1" t="s">
        <v>2761</v>
      </c>
      <c r="F2683" s="1" t="s">
        <v>25</v>
      </c>
      <c r="G2683" s="1" t="s">
        <v>19</v>
      </c>
      <c r="H2683" s="1" t="str">
        <f>"77"</f>
        <v>77</v>
      </c>
      <c r="I2683" s="1" t="str">
        <f>"160"</f>
        <v>160</v>
      </c>
      <c r="J2683" s="1" t="str">
        <f t="shared" si="1620"/>
        <v>0</v>
      </c>
      <c r="K2683" s="1" t="str">
        <f t="shared" si="1621"/>
        <v>103</v>
      </c>
      <c r="L2683" s="1" t="str">
        <f t="shared" si="1622"/>
        <v>47</v>
      </c>
      <c r="M2683" s="1" t="str">
        <f t="shared" si="1607"/>
        <v>0</v>
      </c>
      <c r="N2683" s="1" t="str">
        <f t="shared" si="1608"/>
        <v>0</v>
      </c>
      <c r="O2683" s="1" t="str">
        <f>"0"</f>
        <v>0</v>
      </c>
    </row>
    <row r="2684" s="1" customFormat="1" spans="1:15">
      <c r="A2684" s="1" t="str">
        <f t="shared" si="1609"/>
        <v>202406</v>
      </c>
      <c r="B2684" s="1" t="str">
        <f t="shared" si="1610"/>
        <v>150525100</v>
      </c>
      <c r="C2684" s="1" t="str">
        <f>"1040937384"</f>
        <v>1040937384</v>
      </c>
      <c r="D2684" s="1" t="str">
        <f>"152326195703070417"</f>
        <v>152326195703070417</v>
      </c>
      <c r="E2684" s="1" t="s">
        <v>2762</v>
      </c>
      <c r="F2684" s="1" t="s">
        <v>25</v>
      </c>
      <c r="G2684" s="1" t="s">
        <v>17</v>
      </c>
      <c r="H2684" s="1" t="str">
        <f>"67"</f>
        <v>67</v>
      </c>
      <c r="I2684" s="1" t="str">
        <f>"155.45"</f>
        <v>155.45</v>
      </c>
      <c r="J2684" s="1" t="str">
        <f t="shared" si="1620"/>
        <v>0</v>
      </c>
      <c r="K2684" s="1" t="str">
        <f t="shared" si="1621"/>
        <v>103</v>
      </c>
      <c r="L2684" s="1" t="str">
        <f t="shared" si="1622"/>
        <v>47</v>
      </c>
      <c r="M2684" s="1" t="str">
        <f t="shared" si="1607"/>
        <v>0</v>
      </c>
      <c r="N2684" s="1" t="str">
        <f t="shared" si="1608"/>
        <v>0</v>
      </c>
      <c r="O2684" s="1" t="str">
        <f>"5.45"</f>
        <v>5.45</v>
      </c>
    </row>
    <row r="2685" s="1" customFormat="1" spans="1:15">
      <c r="A2685" s="1" t="str">
        <f t="shared" si="1609"/>
        <v>202406</v>
      </c>
      <c r="B2685" s="1" t="str">
        <f t="shared" si="1610"/>
        <v>150525100</v>
      </c>
      <c r="C2685" s="1" t="str">
        <f>"1040937395"</f>
        <v>1040937395</v>
      </c>
      <c r="D2685" s="1" t="str">
        <f>"152326196305010421"</f>
        <v>152326196305010421</v>
      </c>
      <c r="E2685" s="1" t="s">
        <v>2763</v>
      </c>
      <c r="F2685" s="1" t="s">
        <v>16</v>
      </c>
      <c r="G2685" s="1" t="s">
        <v>17</v>
      </c>
      <c r="H2685" s="1" t="str">
        <f>"61"</f>
        <v>61</v>
      </c>
      <c r="I2685" s="1" t="str">
        <f>"164.35"</f>
        <v>164.35</v>
      </c>
      <c r="J2685" s="1" t="str">
        <f t="shared" si="1620"/>
        <v>0</v>
      </c>
      <c r="K2685" s="1" t="str">
        <f t="shared" si="1621"/>
        <v>103</v>
      </c>
      <c r="L2685" s="1" t="str">
        <f t="shared" si="1622"/>
        <v>47</v>
      </c>
      <c r="M2685" s="1" t="str">
        <f t="shared" si="1607"/>
        <v>0</v>
      </c>
      <c r="N2685" s="1" t="str">
        <f t="shared" si="1608"/>
        <v>0</v>
      </c>
      <c r="O2685" s="1" t="str">
        <f>"14.35"</f>
        <v>14.35</v>
      </c>
    </row>
    <row r="2686" s="1" customFormat="1" spans="1:15">
      <c r="A2686" s="1" t="str">
        <f t="shared" si="1609"/>
        <v>202406</v>
      </c>
      <c r="B2686" s="1" t="str">
        <f t="shared" si="1610"/>
        <v>150525100</v>
      </c>
      <c r="C2686" s="1" t="str">
        <f>"1040937402"</f>
        <v>1040937402</v>
      </c>
      <c r="D2686" s="1" t="str">
        <f>"152326196007090419"</f>
        <v>152326196007090419</v>
      </c>
      <c r="E2686" s="1" t="s">
        <v>2764</v>
      </c>
      <c r="F2686" s="1" t="s">
        <v>25</v>
      </c>
      <c r="G2686" s="1" t="s">
        <v>17</v>
      </c>
      <c r="H2686" s="1" t="str">
        <f>"64"</f>
        <v>64</v>
      </c>
      <c r="I2686" s="1" t="str">
        <f>"158.61"</f>
        <v>158.61</v>
      </c>
      <c r="J2686" s="1" t="str">
        <f t="shared" si="1620"/>
        <v>0</v>
      </c>
      <c r="K2686" s="1" t="str">
        <f t="shared" si="1621"/>
        <v>103</v>
      </c>
      <c r="L2686" s="1" t="str">
        <f t="shared" si="1622"/>
        <v>47</v>
      </c>
      <c r="M2686" s="1" t="str">
        <f t="shared" si="1607"/>
        <v>0</v>
      </c>
      <c r="N2686" s="1" t="str">
        <f t="shared" si="1608"/>
        <v>0</v>
      </c>
      <c r="O2686" s="1" t="str">
        <f>"8.61"</f>
        <v>8.61</v>
      </c>
    </row>
    <row r="2687" s="1" customFormat="1" spans="1:15">
      <c r="A2687" s="1" t="str">
        <f t="shared" si="1609"/>
        <v>202406</v>
      </c>
      <c r="B2687" s="1" t="str">
        <f t="shared" si="1610"/>
        <v>150525100</v>
      </c>
      <c r="C2687" s="1" t="str">
        <f>"1014583753"</f>
        <v>1014583753</v>
      </c>
      <c r="D2687" s="1" t="str">
        <f>"152326195304210427"</f>
        <v>152326195304210427</v>
      </c>
      <c r="E2687" s="1" t="s">
        <v>2765</v>
      </c>
      <c r="F2687" s="1" t="s">
        <v>16</v>
      </c>
      <c r="G2687" s="1" t="s">
        <v>19</v>
      </c>
      <c r="H2687" s="1" t="str">
        <f>"71"</f>
        <v>71</v>
      </c>
      <c r="I2687" s="1" t="str">
        <f>"163.17"</f>
        <v>163.17</v>
      </c>
      <c r="J2687" s="1" t="str">
        <f t="shared" si="1620"/>
        <v>0</v>
      </c>
      <c r="K2687" s="1" t="str">
        <f t="shared" si="1621"/>
        <v>103</v>
      </c>
      <c r="L2687" s="1" t="str">
        <f t="shared" si="1622"/>
        <v>47</v>
      </c>
      <c r="M2687" s="1" t="str">
        <f t="shared" si="1607"/>
        <v>0</v>
      </c>
      <c r="N2687" s="1" t="str">
        <f t="shared" si="1608"/>
        <v>0</v>
      </c>
      <c r="O2687" s="1" t="str">
        <f>"3.17"</f>
        <v>3.17</v>
      </c>
    </row>
    <row r="2688" s="1" customFormat="1" spans="1:15">
      <c r="A2688" s="1" t="str">
        <f t="shared" si="1609"/>
        <v>202406</v>
      </c>
      <c r="B2688" s="1" t="str">
        <f t="shared" si="1610"/>
        <v>150525100</v>
      </c>
      <c r="C2688" s="1" t="str">
        <f>"1040937453"</f>
        <v>1040937453</v>
      </c>
      <c r="D2688" s="1" t="str">
        <f>"152326195803130915"</f>
        <v>152326195803130915</v>
      </c>
      <c r="E2688" s="1" t="s">
        <v>2766</v>
      </c>
      <c r="F2688" s="1" t="s">
        <v>25</v>
      </c>
      <c r="G2688" s="1" t="s">
        <v>19</v>
      </c>
      <c r="H2688" s="1" t="str">
        <f>"66"</f>
        <v>66</v>
      </c>
      <c r="I2688" s="1" t="str">
        <f>"176.59"</f>
        <v>176.59</v>
      </c>
      <c r="J2688" s="1" t="str">
        <f t="shared" si="1620"/>
        <v>0</v>
      </c>
      <c r="K2688" s="1" t="str">
        <f t="shared" si="1621"/>
        <v>103</v>
      </c>
      <c r="L2688" s="1" t="str">
        <f t="shared" si="1622"/>
        <v>47</v>
      </c>
      <c r="M2688" s="1" t="str">
        <f t="shared" si="1607"/>
        <v>0</v>
      </c>
      <c r="N2688" s="1" t="str">
        <f t="shared" si="1608"/>
        <v>0</v>
      </c>
      <c r="O2688" s="1" t="str">
        <f>"26.59"</f>
        <v>26.59</v>
      </c>
    </row>
    <row r="2689" s="1" customFormat="1" spans="1:15">
      <c r="A2689" s="1" t="str">
        <f t="shared" si="1609"/>
        <v>202406</v>
      </c>
      <c r="B2689" s="1" t="str">
        <f t="shared" si="1610"/>
        <v>150525100</v>
      </c>
      <c r="C2689" s="1" t="str">
        <f>"1040937478"</f>
        <v>1040937478</v>
      </c>
      <c r="D2689" s="1" t="str">
        <f>"152326196206170921"</f>
        <v>152326196206170921</v>
      </c>
      <c r="E2689" s="1" t="s">
        <v>2767</v>
      </c>
      <c r="F2689" s="1" t="s">
        <v>16</v>
      </c>
      <c r="G2689" s="1" t="s">
        <v>19</v>
      </c>
      <c r="H2689" s="1" t="str">
        <f>"62"</f>
        <v>62</v>
      </c>
      <c r="I2689" s="1" t="str">
        <f>"162.4"</f>
        <v>162.4</v>
      </c>
      <c r="J2689" s="1" t="str">
        <f t="shared" si="1620"/>
        <v>0</v>
      </c>
      <c r="K2689" s="1" t="str">
        <f t="shared" si="1621"/>
        <v>103</v>
      </c>
      <c r="L2689" s="1" t="str">
        <f t="shared" si="1622"/>
        <v>47</v>
      </c>
      <c r="M2689" s="1" t="str">
        <f t="shared" ref="M2689:M2752" si="1628">"0"</f>
        <v>0</v>
      </c>
      <c r="N2689" s="1" t="str">
        <f t="shared" ref="N2689:N2752" si="1629">"0"</f>
        <v>0</v>
      </c>
      <c r="O2689" s="1" t="str">
        <f>"12.4"</f>
        <v>12.4</v>
      </c>
    </row>
    <row r="2690" s="1" customFormat="1" spans="1:15">
      <c r="A2690" s="1" t="str">
        <f t="shared" ref="A2690:A2753" si="1630">"202406"</f>
        <v>202406</v>
      </c>
      <c r="B2690" s="1" t="str">
        <f t="shared" ref="B2690:B2753" si="1631">"150525100"</f>
        <v>150525100</v>
      </c>
      <c r="C2690" s="1" t="str">
        <f>"1014547854"</f>
        <v>1014547854</v>
      </c>
      <c r="D2690" s="1" t="str">
        <f>"152326195509023828"</f>
        <v>152326195509023828</v>
      </c>
      <c r="E2690" s="1" t="s">
        <v>2091</v>
      </c>
      <c r="F2690" s="1" t="s">
        <v>16</v>
      </c>
      <c r="G2690" s="1" t="s">
        <v>19</v>
      </c>
      <c r="H2690" s="1" t="str">
        <f>"69"</f>
        <v>69</v>
      </c>
      <c r="I2690" s="1" t="str">
        <f>"154.87"</f>
        <v>154.87</v>
      </c>
      <c r="J2690" s="1" t="str">
        <f t="shared" si="1620"/>
        <v>0</v>
      </c>
      <c r="K2690" s="1" t="str">
        <f t="shared" si="1621"/>
        <v>103</v>
      </c>
      <c r="L2690" s="1" t="str">
        <f t="shared" si="1622"/>
        <v>47</v>
      </c>
      <c r="M2690" s="1" t="str">
        <f t="shared" si="1628"/>
        <v>0</v>
      </c>
      <c r="N2690" s="1" t="str">
        <f t="shared" si="1629"/>
        <v>0</v>
      </c>
      <c r="O2690" s="1" t="str">
        <f>"4.87"</f>
        <v>4.87</v>
      </c>
    </row>
    <row r="2691" s="1" customFormat="1" spans="1:15">
      <c r="A2691" s="1" t="str">
        <f t="shared" si="1630"/>
        <v>202406</v>
      </c>
      <c r="B2691" s="1" t="str">
        <f t="shared" si="1631"/>
        <v>150525100</v>
      </c>
      <c r="C2691" s="1" t="str">
        <f>"1014547853"</f>
        <v>1014547853</v>
      </c>
      <c r="D2691" s="1" t="str">
        <f>"152326195303033836"</f>
        <v>152326195303033836</v>
      </c>
      <c r="E2691" s="1" t="s">
        <v>2768</v>
      </c>
      <c r="F2691" s="1" t="s">
        <v>25</v>
      </c>
      <c r="G2691" s="1" t="s">
        <v>19</v>
      </c>
      <c r="H2691" s="1" t="str">
        <f>"71"</f>
        <v>71</v>
      </c>
      <c r="I2691" s="1" t="str">
        <f>"163.16"</f>
        <v>163.16</v>
      </c>
      <c r="J2691" s="1" t="str">
        <f t="shared" si="1620"/>
        <v>0</v>
      </c>
      <c r="K2691" s="1" t="str">
        <f t="shared" si="1621"/>
        <v>103</v>
      </c>
      <c r="L2691" s="1" t="str">
        <f t="shared" si="1622"/>
        <v>47</v>
      </c>
      <c r="M2691" s="1" t="str">
        <f t="shared" si="1628"/>
        <v>0</v>
      </c>
      <c r="N2691" s="1" t="str">
        <f t="shared" si="1629"/>
        <v>0</v>
      </c>
      <c r="O2691" s="1" t="str">
        <f>"3.16"</f>
        <v>3.16</v>
      </c>
    </row>
    <row r="2692" s="1" customFormat="1" spans="1:15">
      <c r="A2692" s="1" t="str">
        <f t="shared" si="1630"/>
        <v>202406</v>
      </c>
      <c r="B2692" s="1" t="str">
        <f t="shared" si="1631"/>
        <v>150525100</v>
      </c>
      <c r="C2692" s="1" t="str">
        <f>"1014552305"</f>
        <v>1014552305</v>
      </c>
      <c r="D2692" s="1" t="str">
        <f>"152326196003023825"</f>
        <v>152326196003023825</v>
      </c>
      <c r="E2692" s="1" t="s">
        <v>2769</v>
      </c>
      <c r="F2692" s="1" t="s">
        <v>16</v>
      </c>
      <c r="G2692" s="1" t="s">
        <v>96</v>
      </c>
      <c r="H2692" s="1" t="str">
        <f>"64"</f>
        <v>64</v>
      </c>
      <c r="I2692" s="1" t="str">
        <f>"158.94"</f>
        <v>158.94</v>
      </c>
      <c r="J2692" s="1" t="str">
        <f t="shared" si="1620"/>
        <v>0</v>
      </c>
      <c r="K2692" s="1" t="str">
        <f t="shared" si="1621"/>
        <v>103</v>
      </c>
      <c r="L2692" s="1" t="str">
        <f t="shared" si="1622"/>
        <v>47</v>
      </c>
      <c r="M2692" s="1" t="str">
        <f t="shared" si="1628"/>
        <v>0</v>
      </c>
      <c r="N2692" s="1" t="str">
        <f t="shared" si="1629"/>
        <v>0</v>
      </c>
      <c r="O2692" s="1" t="str">
        <f>"8.94"</f>
        <v>8.94</v>
      </c>
    </row>
    <row r="2693" s="1" customFormat="1" spans="1:15">
      <c r="A2693" s="1" t="str">
        <f t="shared" si="1630"/>
        <v>202406</v>
      </c>
      <c r="B2693" s="1" t="str">
        <f t="shared" si="1631"/>
        <v>150525100</v>
      </c>
      <c r="C2693" s="1" t="str">
        <f>"1014575758"</f>
        <v>1014575758</v>
      </c>
      <c r="D2693" s="1" t="str">
        <f>"152326195408220670"</f>
        <v>152326195408220670</v>
      </c>
      <c r="E2693" s="1" t="s">
        <v>2770</v>
      </c>
      <c r="F2693" s="1" t="s">
        <v>25</v>
      </c>
      <c r="G2693" s="1" t="s">
        <v>17</v>
      </c>
      <c r="H2693" s="1" t="str">
        <f t="shared" ref="H2693:H2697" si="1632">"70"</f>
        <v>70</v>
      </c>
      <c r="I2693" s="1" t="str">
        <f>"154.14"</f>
        <v>154.14</v>
      </c>
      <c r="J2693" s="1" t="str">
        <f t="shared" si="1620"/>
        <v>0</v>
      </c>
      <c r="K2693" s="1" t="str">
        <f t="shared" si="1621"/>
        <v>103</v>
      </c>
      <c r="L2693" s="1" t="str">
        <f t="shared" si="1622"/>
        <v>47</v>
      </c>
      <c r="M2693" s="1" t="str">
        <f t="shared" si="1628"/>
        <v>0</v>
      </c>
      <c r="N2693" s="1" t="str">
        <f t="shared" si="1629"/>
        <v>0</v>
      </c>
      <c r="O2693" s="1" t="str">
        <f>"4.14"</f>
        <v>4.14</v>
      </c>
    </row>
    <row r="2694" s="1" customFormat="1" spans="1:15">
      <c r="A2694" s="1" t="str">
        <f t="shared" si="1630"/>
        <v>202406</v>
      </c>
      <c r="B2694" s="1" t="str">
        <f t="shared" si="1631"/>
        <v>150525100</v>
      </c>
      <c r="C2694" s="1" t="str">
        <f>"1014575759"</f>
        <v>1014575759</v>
      </c>
      <c r="D2694" s="1" t="str">
        <f>"152326195412100663"</f>
        <v>152326195412100663</v>
      </c>
      <c r="E2694" s="1" t="s">
        <v>2771</v>
      </c>
      <c r="F2694" s="1" t="s">
        <v>16</v>
      </c>
      <c r="G2694" s="1" t="s">
        <v>17</v>
      </c>
      <c r="H2694" s="1" t="str">
        <f t="shared" si="1632"/>
        <v>70</v>
      </c>
      <c r="I2694" s="1" t="str">
        <f>"154.14"</f>
        <v>154.14</v>
      </c>
      <c r="J2694" s="1" t="str">
        <f t="shared" si="1620"/>
        <v>0</v>
      </c>
      <c r="K2694" s="1" t="str">
        <f t="shared" si="1621"/>
        <v>103</v>
      </c>
      <c r="L2694" s="1" t="str">
        <f t="shared" si="1622"/>
        <v>47</v>
      </c>
      <c r="M2694" s="1" t="str">
        <f t="shared" si="1628"/>
        <v>0</v>
      </c>
      <c r="N2694" s="1" t="str">
        <f t="shared" si="1629"/>
        <v>0</v>
      </c>
      <c r="O2694" s="1" t="str">
        <f>"4.14"</f>
        <v>4.14</v>
      </c>
    </row>
    <row r="2695" s="1" customFormat="1" spans="1:15">
      <c r="A2695" s="1" t="str">
        <f t="shared" si="1630"/>
        <v>202406</v>
      </c>
      <c r="B2695" s="1" t="str">
        <f t="shared" si="1631"/>
        <v>150525100</v>
      </c>
      <c r="C2695" s="1" t="str">
        <f>"1014548025"</f>
        <v>1014548025</v>
      </c>
      <c r="D2695" s="1" t="s">
        <v>2772</v>
      </c>
      <c r="E2695" s="1" t="s">
        <v>2773</v>
      </c>
      <c r="F2695" s="1" t="s">
        <v>25</v>
      </c>
      <c r="G2695" s="1" t="s">
        <v>17</v>
      </c>
      <c r="H2695" s="1" t="str">
        <f>"68"</f>
        <v>68</v>
      </c>
      <c r="I2695" s="1" t="str">
        <f>"156.02"</f>
        <v>156.02</v>
      </c>
      <c r="J2695" s="1" t="str">
        <f t="shared" si="1620"/>
        <v>0</v>
      </c>
      <c r="K2695" s="1" t="str">
        <f t="shared" si="1621"/>
        <v>103</v>
      </c>
      <c r="L2695" s="1" t="str">
        <f t="shared" si="1622"/>
        <v>47</v>
      </c>
      <c r="M2695" s="1" t="str">
        <f t="shared" si="1628"/>
        <v>0</v>
      </c>
      <c r="N2695" s="1" t="str">
        <f t="shared" si="1629"/>
        <v>0</v>
      </c>
      <c r="O2695" s="1" t="str">
        <f>"6.02"</f>
        <v>6.02</v>
      </c>
    </row>
    <row r="2696" s="1" customFormat="1" spans="1:15">
      <c r="A2696" s="1" t="str">
        <f t="shared" si="1630"/>
        <v>202406</v>
      </c>
      <c r="B2696" s="1" t="str">
        <f t="shared" si="1631"/>
        <v>150525100</v>
      </c>
      <c r="C2696" s="1" t="str">
        <f>"1014548100"</f>
        <v>1014548100</v>
      </c>
      <c r="D2696" s="1" t="str">
        <f>"152326195402060944"</f>
        <v>152326195402060944</v>
      </c>
      <c r="E2696" s="1" t="s">
        <v>2774</v>
      </c>
      <c r="F2696" s="1" t="s">
        <v>16</v>
      </c>
      <c r="G2696" s="1" t="s">
        <v>19</v>
      </c>
      <c r="H2696" s="1" t="str">
        <f t="shared" si="1632"/>
        <v>70</v>
      </c>
      <c r="I2696" s="1" t="str">
        <f>"163.88"</f>
        <v>163.88</v>
      </c>
      <c r="J2696" s="1" t="str">
        <f t="shared" si="1620"/>
        <v>0</v>
      </c>
      <c r="K2696" s="1" t="str">
        <f t="shared" si="1621"/>
        <v>103</v>
      </c>
      <c r="L2696" s="1" t="str">
        <f t="shared" si="1622"/>
        <v>47</v>
      </c>
      <c r="M2696" s="1" t="str">
        <f t="shared" si="1628"/>
        <v>0</v>
      </c>
      <c r="N2696" s="1" t="str">
        <f t="shared" si="1629"/>
        <v>0</v>
      </c>
      <c r="O2696" s="1" t="str">
        <f>"3.88"</f>
        <v>3.88</v>
      </c>
    </row>
    <row r="2697" s="1" customFormat="1" spans="1:15">
      <c r="A2697" s="1" t="str">
        <f t="shared" si="1630"/>
        <v>202406</v>
      </c>
      <c r="B2697" s="1" t="str">
        <f t="shared" si="1631"/>
        <v>150525100</v>
      </c>
      <c r="C2697" s="1" t="str">
        <f>"1014576300"</f>
        <v>1014576300</v>
      </c>
      <c r="D2697" s="1" t="str">
        <f>"152326195404230417"</f>
        <v>152326195404230417</v>
      </c>
      <c r="E2697" s="1" t="s">
        <v>2775</v>
      </c>
      <c r="F2697" s="1" t="s">
        <v>25</v>
      </c>
      <c r="G2697" s="1" t="s">
        <v>17</v>
      </c>
      <c r="H2697" s="1" t="str">
        <f t="shared" si="1632"/>
        <v>70</v>
      </c>
      <c r="I2697" s="1" t="str">
        <f>"163.91"</f>
        <v>163.91</v>
      </c>
      <c r="J2697" s="1" t="str">
        <f t="shared" si="1620"/>
        <v>0</v>
      </c>
      <c r="K2697" s="1" t="str">
        <f t="shared" si="1621"/>
        <v>103</v>
      </c>
      <c r="L2697" s="1" t="str">
        <f t="shared" si="1622"/>
        <v>47</v>
      </c>
      <c r="M2697" s="1" t="str">
        <f t="shared" si="1628"/>
        <v>0</v>
      </c>
      <c r="N2697" s="1" t="str">
        <f t="shared" si="1629"/>
        <v>0</v>
      </c>
      <c r="O2697" s="1" t="str">
        <f>"3.91"</f>
        <v>3.91</v>
      </c>
    </row>
    <row r="2698" s="1" customFormat="1" spans="1:15">
      <c r="A2698" s="1" t="str">
        <f t="shared" si="1630"/>
        <v>202406</v>
      </c>
      <c r="B2698" s="1" t="str">
        <f t="shared" si="1631"/>
        <v>150525100</v>
      </c>
      <c r="C2698" s="1" t="str">
        <f>"1014576303"</f>
        <v>1014576303</v>
      </c>
      <c r="D2698" s="1" t="str">
        <f>"152326195503070420"</f>
        <v>152326195503070420</v>
      </c>
      <c r="E2698" s="1" t="s">
        <v>2776</v>
      </c>
      <c r="F2698" s="1" t="s">
        <v>16</v>
      </c>
      <c r="G2698" s="1" t="s">
        <v>17</v>
      </c>
      <c r="H2698" s="1" t="str">
        <f>"69"</f>
        <v>69</v>
      </c>
      <c r="I2698" s="1" t="str">
        <f>"154.44"</f>
        <v>154.44</v>
      </c>
      <c r="J2698" s="1" t="str">
        <f t="shared" si="1620"/>
        <v>0</v>
      </c>
      <c r="K2698" s="1" t="str">
        <f t="shared" si="1621"/>
        <v>103</v>
      </c>
      <c r="L2698" s="1" t="str">
        <f t="shared" si="1622"/>
        <v>47</v>
      </c>
      <c r="M2698" s="1" t="str">
        <f t="shared" si="1628"/>
        <v>0</v>
      </c>
      <c r="N2698" s="1" t="str">
        <f t="shared" si="1629"/>
        <v>0</v>
      </c>
      <c r="O2698" s="1" t="str">
        <f>"4.44"</f>
        <v>4.44</v>
      </c>
    </row>
    <row r="2699" s="1" customFormat="1" spans="1:15">
      <c r="A2699" s="1" t="str">
        <f t="shared" si="1630"/>
        <v>202406</v>
      </c>
      <c r="B2699" s="1" t="str">
        <f t="shared" si="1631"/>
        <v>150525100</v>
      </c>
      <c r="C2699" s="1" t="str">
        <f>"1014576308"</f>
        <v>1014576308</v>
      </c>
      <c r="D2699" s="1" t="str">
        <f>"152326195708040428"</f>
        <v>152326195708040428</v>
      </c>
      <c r="E2699" s="1" t="s">
        <v>2777</v>
      </c>
      <c r="F2699" s="1" t="s">
        <v>16</v>
      </c>
      <c r="G2699" s="1" t="s">
        <v>17</v>
      </c>
      <c r="H2699" s="1" t="str">
        <f t="shared" ref="H2699:H2702" si="1633">"67"</f>
        <v>67</v>
      </c>
      <c r="I2699" s="1" t="str">
        <f>"155.85"</f>
        <v>155.85</v>
      </c>
      <c r="J2699" s="1" t="str">
        <f t="shared" si="1620"/>
        <v>0</v>
      </c>
      <c r="K2699" s="1" t="str">
        <f t="shared" si="1621"/>
        <v>103</v>
      </c>
      <c r="L2699" s="1" t="str">
        <f t="shared" si="1622"/>
        <v>47</v>
      </c>
      <c r="M2699" s="1" t="str">
        <f t="shared" si="1628"/>
        <v>0</v>
      </c>
      <c r="N2699" s="1" t="str">
        <f t="shared" si="1629"/>
        <v>0</v>
      </c>
      <c r="O2699" s="1" t="str">
        <f>"5.85"</f>
        <v>5.85</v>
      </c>
    </row>
    <row r="2700" s="1" customFormat="1" spans="1:15">
      <c r="A2700" s="1" t="str">
        <f t="shared" si="1630"/>
        <v>202406</v>
      </c>
      <c r="B2700" s="1" t="str">
        <f t="shared" si="1631"/>
        <v>150525100</v>
      </c>
      <c r="C2700" s="1" t="str">
        <f>"1014576311"</f>
        <v>1014576311</v>
      </c>
      <c r="D2700" s="1" t="str">
        <f>"152326195805030416"</f>
        <v>152326195805030416</v>
      </c>
      <c r="E2700" s="1" t="s">
        <v>2778</v>
      </c>
      <c r="F2700" s="1" t="s">
        <v>25</v>
      </c>
      <c r="G2700" s="1" t="s">
        <v>17</v>
      </c>
      <c r="H2700" s="1" t="str">
        <f>"66"</f>
        <v>66</v>
      </c>
      <c r="I2700" s="1" t="str">
        <f>"156.86"</f>
        <v>156.86</v>
      </c>
      <c r="J2700" s="1" t="str">
        <f t="shared" si="1620"/>
        <v>0</v>
      </c>
      <c r="K2700" s="1" t="str">
        <f t="shared" si="1621"/>
        <v>103</v>
      </c>
      <c r="L2700" s="1" t="str">
        <f t="shared" si="1622"/>
        <v>47</v>
      </c>
      <c r="M2700" s="1" t="str">
        <f t="shared" si="1628"/>
        <v>0</v>
      </c>
      <c r="N2700" s="1" t="str">
        <f t="shared" si="1629"/>
        <v>0</v>
      </c>
      <c r="O2700" s="1" t="str">
        <f>"6.86"</f>
        <v>6.86</v>
      </c>
    </row>
    <row r="2701" s="1" customFormat="1" spans="1:15">
      <c r="A2701" s="1" t="str">
        <f t="shared" si="1630"/>
        <v>202406</v>
      </c>
      <c r="B2701" s="1" t="str">
        <f t="shared" si="1631"/>
        <v>150525100</v>
      </c>
      <c r="C2701" s="1" t="str">
        <f>"1014576639"</f>
        <v>1014576639</v>
      </c>
      <c r="D2701" s="1" t="str">
        <f>"152326195708270709"</f>
        <v>152326195708270709</v>
      </c>
      <c r="E2701" s="1" t="s">
        <v>905</v>
      </c>
      <c r="F2701" s="1" t="s">
        <v>16</v>
      </c>
      <c r="G2701" s="1" t="s">
        <v>19</v>
      </c>
      <c r="H2701" s="1" t="str">
        <f t="shared" si="1633"/>
        <v>67</v>
      </c>
      <c r="I2701" s="1" t="str">
        <f>"156.08"</f>
        <v>156.08</v>
      </c>
      <c r="J2701" s="1" t="str">
        <f t="shared" si="1620"/>
        <v>0</v>
      </c>
      <c r="K2701" s="1" t="str">
        <f t="shared" si="1621"/>
        <v>103</v>
      </c>
      <c r="L2701" s="1" t="str">
        <f t="shared" si="1622"/>
        <v>47</v>
      </c>
      <c r="M2701" s="1" t="str">
        <f t="shared" si="1628"/>
        <v>0</v>
      </c>
      <c r="N2701" s="1" t="str">
        <f t="shared" si="1629"/>
        <v>0</v>
      </c>
      <c r="O2701" s="1" t="str">
        <f>"6.08"</f>
        <v>6.08</v>
      </c>
    </row>
    <row r="2702" s="1" customFormat="1" spans="1:15">
      <c r="A2702" s="1" t="str">
        <f t="shared" si="1630"/>
        <v>202406</v>
      </c>
      <c r="B2702" s="1" t="str">
        <f t="shared" si="1631"/>
        <v>150525100</v>
      </c>
      <c r="C2702" s="1" t="str">
        <f>"1014576643"</f>
        <v>1014576643</v>
      </c>
      <c r="D2702" s="1" t="str">
        <f>"152326195711100663"</f>
        <v>152326195711100663</v>
      </c>
      <c r="E2702" s="1" t="s">
        <v>2779</v>
      </c>
      <c r="F2702" s="1" t="s">
        <v>16</v>
      </c>
      <c r="G2702" s="1" t="s">
        <v>19</v>
      </c>
      <c r="H2702" s="1" t="str">
        <f t="shared" si="1633"/>
        <v>67</v>
      </c>
      <c r="I2702" s="1" t="str">
        <f>"156.11"</f>
        <v>156.11</v>
      </c>
      <c r="J2702" s="1" t="str">
        <f t="shared" si="1620"/>
        <v>0</v>
      </c>
      <c r="K2702" s="1" t="str">
        <f t="shared" si="1621"/>
        <v>103</v>
      </c>
      <c r="L2702" s="1" t="str">
        <f t="shared" si="1622"/>
        <v>47</v>
      </c>
      <c r="M2702" s="1" t="str">
        <f t="shared" si="1628"/>
        <v>0</v>
      </c>
      <c r="N2702" s="1" t="str">
        <f t="shared" si="1629"/>
        <v>0</v>
      </c>
      <c r="O2702" s="1" t="str">
        <f>"6.11"</f>
        <v>6.11</v>
      </c>
    </row>
    <row r="2703" s="1" customFormat="1" spans="1:15">
      <c r="A2703" s="1" t="str">
        <f t="shared" si="1630"/>
        <v>202406</v>
      </c>
      <c r="B2703" s="1" t="str">
        <f t="shared" si="1631"/>
        <v>150525100</v>
      </c>
      <c r="C2703" s="1" t="str">
        <f>"1014576644"</f>
        <v>1014576644</v>
      </c>
      <c r="D2703" s="1" t="str">
        <f>"152326195805020672"</f>
        <v>152326195805020672</v>
      </c>
      <c r="E2703" s="1" t="s">
        <v>2780</v>
      </c>
      <c r="F2703" s="1" t="s">
        <v>25</v>
      </c>
      <c r="G2703" s="1" t="s">
        <v>19</v>
      </c>
      <c r="H2703" s="1" t="str">
        <f>"66"</f>
        <v>66</v>
      </c>
      <c r="I2703" s="1" t="str">
        <f>"157.09"</f>
        <v>157.09</v>
      </c>
      <c r="J2703" s="1" t="str">
        <f t="shared" si="1620"/>
        <v>0</v>
      </c>
      <c r="K2703" s="1" t="str">
        <f t="shared" si="1621"/>
        <v>103</v>
      </c>
      <c r="L2703" s="1" t="str">
        <f t="shared" si="1622"/>
        <v>47</v>
      </c>
      <c r="M2703" s="1" t="str">
        <f t="shared" si="1628"/>
        <v>0</v>
      </c>
      <c r="N2703" s="1" t="str">
        <f t="shared" si="1629"/>
        <v>0</v>
      </c>
      <c r="O2703" s="1" t="str">
        <f>"7.09"</f>
        <v>7.09</v>
      </c>
    </row>
    <row r="2704" s="1" customFormat="1" spans="1:15">
      <c r="A2704" s="1" t="str">
        <f t="shared" si="1630"/>
        <v>202406</v>
      </c>
      <c r="B2704" s="1" t="str">
        <f t="shared" si="1631"/>
        <v>150525100</v>
      </c>
      <c r="C2704" s="1" t="str">
        <f>"1014576649"</f>
        <v>1014576649</v>
      </c>
      <c r="D2704" s="1" t="str">
        <f>"152326195912250668"</f>
        <v>152326195912250668</v>
      </c>
      <c r="E2704" s="1" t="s">
        <v>933</v>
      </c>
      <c r="F2704" s="1" t="s">
        <v>16</v>
      </c>
      <c r="G2704" s="1" t="s">
        <v>19</v>
      </c>
      <c r="H2704" s="1" t="str">
        <f>"65"</f>
        <v>65</v>
      </c>
      <c r="I2704" s="1" t="str">
        <f>"158.21"</f>
        <v>158.21</v>
      </c>
      <c r="J2704" s="1" t="str">
        <f t="shared" si="1620"/>
        <v>0</v>
      </c>
      <c r="K2704" s="1" t="str">
        <f t="shared" si="1621"/>
        <v>103</v>
      </c>
      <c r="L2704" s="1" t="str">
        <f t="shared" si="1622"/>
        <v>47</v>
      </c>
      <c r="M2704" s="1" t="str">
        <f t="shared" si="1628"/>
        <v>0</v>
      </c>
      <c r="N2704" s="1" t="str">
        <f t="shared" si="1629"/>
        <v>0</v>
      </c>
      <c r="O2704" s="1" t="str">
        <f>"8.21"</f>
        <v>8.21</v>
      </c>
    </row>
    <row r="2705" s="1" customFormat="1" spans="1:15">
      <c r="A2705" s="1" t="str">
        <f t="shared" si="1630"/>
        <v>202406</v>
      </c>
      <c r="B2705" s="1" t="str">
        <f t="shared" si="1631"/>
        <v>150525100</v>
      </c>
      <c r="C2705" s="1" t="str">
        <f>"1014576666"</f>
        <v>1014576666</v>
      </c>
      <c r="D2705" s="1" t="str">
        <f>"152326195610280669"</f>
        <v>152326195610280669</v>
      </c>
      <c r="E2705" s="1" t="s">
        <v>2781</v>
      </c>
      <c r="F2705" s="1" t="s">
        <v>16</v>
      </c>
      <c r="G2705" s="1" t="s">
        <v>17</v>
      </c>
      <c r="H2705" s="1" t="str">
        <f>"68"</f>
        <v>68</v>
      </c>
      <c r="I2705" s="1" t="str">
        <f>"156"</f>
        <v>156</v>
      </c>
      <c r="J2705" s="1" t="str">
        <f t="shared" si="1620"/>
        <v>0</v>
      </c>
      <c r="K2705" s="1" t="str">
        <f t="shared" si="1621"/>
        <v>103</v>
      </c>
      <c r="L2705" s="1" t="str">
        <f t="shared" si="1622"/>
        <v>47</v>
      </c>
      <c r="M2705" s="1" t="str">
        <f t="shared" si="1628"/>
        <v>0</v>
      </c>
      <c r="N2705" s="1" t="str">
        <f t="shared" si="1629"/>
        <v>0</v>
      </c>
      <c r="O2705" s="1" t="str">
        <f>"6"</f>
        <v>6</v>
      </c>
    </row>
    <row r="2706" s="1" customFormat="1" spans="1:15">
      <c r="A2706" s="1" t="str">
        <f t="shared" si="1630"/>
        <v>202406</v>
      </c>
      <c r="B2706" s="1" t="str">
        <f t="shared" si="1631"/>
        <v>150525100</v>
      </c>
      <c r="C2706" s="1" t="str">
        <f>"1014548127"</f>
        <v>1014548127</v>
      </c>
      <c r="D2706" s="1" t="str">
        <f>"152326195906140665"</f>
        <v>152326195906140665</v>
      </c>
      <c r="E2706" s="1" t="s">
        <v>2782</v>
      </c>
      <c r="F2706" s="1" t="s">
        <v>16</v>
      </c>
      <c r="G2706" s="1" t="s">
        <v>17</v>
      </c>
      <c r="H2706" s="1" t="str">
        <f>"65"</f>
        <v>65</v>
      </c>
      <c r="I2706" s="1" t="str">
        <f>"157.65"</f>
        <v>157.65</v>
      </c>
      <c r="J2706" s="1" t="str">
        <f t="shared" si="1620"/>
        <v>0</v>
      </c>
      <c r="K2706" s="1" t="str">
        <f t="shared" si="1621"/>
        <v>103</v>
      </c>
      <c r="L2706" s="1" t="str">
        <f t="shared" si="1622"/>
        <v>47</v>
      </c>
      <c r="M2706" s="1" t="str">
        <f t="shared" si="1628"/>
        <v>0</v>
      </c>
      <c r="N2706" s="1" t="str">
        <f t="shared" si="1629"/>
        <v>0</v>
      </c>
      <c r="O2706" s="1" t="str">
        <f>"7.65"</f>
        <v>7.65</v>
      </c>
    </row>
    <row r="2707" s="1" customFormat="1" spans="1:15">
      <c r="A2707" s="1" t="str">
        <f t="shared" si="1630"/>
        <v>202406</v>
      </c>
      <c r="B2707" s="1" t="str">
        <f t="shared" si="1631"/>
        <v>150525100</v>
      </c>
      <c r="C2707" s="1" t="str">
        <f>"1014576343"</f>
        <v>1014576343</v>
      </c>
      <c r="D2707" s="1" t="str">
        <f>"152326196205030679"</f>
        <v>152326196205030679</v>
      </c>
      <c r="E2707" s="1" t="s">
        <v>2783</v>
      </c>
      <c r="F2707" s="1" t="s">
        <v>25</v>
      </c>
      <c r="G2707" s="1" t="s">
        <v>19</v>
      </c>
      <c r="H2707" s="1" t="str">
        <f>"62"</f>
        <v>62</v>
      </c>
      <c r="I2707" s="1" t="str">
        <f>"978.06"</f>
        <v>978.06</v>
      </c>
      <c r="J2707" s="1" t="str">
        <f>"815.05"</f>
        <v>815.05</v>
      </c>
      <c r="K2707" s="1" t="str">
        <f>"618"</f>
        <v>618</v>
      </c>
      <c r="L2707" s="1" t="str">
        <f>"282"</f>
        <v>282</v>
      </c>
      <c r="M2707" s="1" t="str">
        <f t="shared" si="1628"/>
        <v>0</v>
      </c>
      <c r="N2707" s="1" t="str">
        <f t="shared" si="1629"/>
        <v>0</v>
      </c>
      <c r="O2707" s="1" t="str">
        <f>"78.06"</f>
        <v>78.06</v>
      </c>
    </row>
    <row r="2708" s="1" customFormat="1" spans="1:15">
      <c r="A2708" s="1" t="str">
        <f t="shared" si="1630"/>
        <v>202406</v>
      </c>
      <c r="B2708" s="1" t="str">
        <f t="shared" si="1631"/>
        <v>150525100</v>
      </c>
      <c r="C2708" s="1" t="str">
        <f>"1014576348"</f>
        <v>1014576348</v>
      </c>
      <c r="D2708" s="1" t="str">
        <f>"152326196210170676"</f>
        <v>152326196210170676</v>
      </c>
      <c r="E2708" s="1" t="s">
        <v>2784</v>
      </c>
      <c r="F2708" s="1" t="s">
        <v>25</v>
      </c>
      <c r="G2708" s="1" t="s">
        <v>19</v>
      </c>
      <c r="H2708" s="1" t="str">
        <f>"62"</f>
        <v>62</v>
      </c>
      <c r="I2708" s="1" t="str">
        <f>"162.91"</f>
        <v>162.91</v>
      </c>
      <c r="J2708" s="1" t="str">
        <f t="shared" ref="J2708:J2771" si="1634">"0"</f>
        <v>0</v>
      </c>
      <c r="K2708" s="1" t="str">
        <f t="shared" ref="K2708:K2771" si="1635">"103"</f>
        <v>103</v>
      </c>
      <c r="L2708" s="1" t="str">
        <f t="shared" ref="L2708:L2771" si="1636">"47"</f>
        <v>47</v>
      </c>
      <c r="M2708" s="1" t="str">
        <f t="shared" si="1628"/>
        <v>0</v>
      </c>
      <c r="N2708" s="1" t="str">
        <f t="shared" si="1629"/>
        <v>0</v>
      </c>
      <c r="O2708" s="1" t="str">
        <f>"12.91"</f>
        <v>12.91</v>
      </c>
    </row>
    <row r="2709" s="1" customFormat="1" spans="1:15">
      <c r="A2709" s="1" t="str">
        <f t="shared" si="1630"/>
        <v>202406</v>
      </c>
      <c r="B2709" s="1" t="str">
        <f t="shared" si="1631"/>
        <v>150525100</v>
      </c>
      <c r="C2709" s="1" t="str">
        <f>"1014576466"</f>
        <v>1014576466</v>
      </c>
      <c r="D2709" s="1" t="s">
        <v>2785</v>
      </c>
      <c r="E2709" s="1" t="s">
        <v>2786</v>
      </c>
      <c r="F2709" s="1" t="s">
        <v>25</v>
      </c>
      <c r="G2709" s="1" t="s">
        <v>19</v>
      </c>
      <c r="H2709" s="1" t="str">
        <f>"66"</f>
        <v>66</v>
      </c>
      <c r="I2709" s="1" t="str">
        <f>"157.13"</f>
        <v>157.13</v>
      </c>
      <c r="J2709" s="1" t="str">
        <f t="shared" si="1634"/>
        <v>0</v>
      </c>
      <c r="K2709" s="1" t="str">
        <f t="shared" si="1635"/>
        <v>103</v>
      </c>
      <c r="L2709" s="1" t="str">
        <f t="shared" si="1636"/>
        <v>47</v>
      </c>
      <c r="M2709" s="1" t="str">
        <f t="shared" si="1628"/>
        <v>0</v>
      </c>
      <c r="N2709" s="1" t="str">
        <f t="shared" si="1629"/>
        <v>0</v>
      </c>
      <c r="O2709" s="1" t="str">
        <f>"7.13"</f>
        <v>7.13</v>
      </c>
    </row>
    <row r="2710" s="1" customFormat="1" spans="1:15">
      <c r="A2710" s="1" t="str">
        <f t="shared" si="1630"/>
        <v>202406</v>
      </c>
      <c r="B2710" s="1" t="str">
        <f t="shared" si="1631"/>
        <v>150525100</v>
      </c>
      <c r="C2710" s="1" t="str">
        <f>"1014576475"</f>
        <v>1014576475</v>
      </c>
      <c r="D2710" s="1" t="str">
        <f>"152326195707066124"</f>
        <v>152326195707066124</v>
      </c>
      <c r="E2710" s="1" t="s">
        <v>2787</v>
      </c>
      <c r="F2710" s="1" t="s">
        <v>16</v>
      </c>
      <c r="G2710" s="1" t="s">
        <v>17</v>
      </c>
      <c r="H2710" s="1" t="str">
        <f>"67"</f>
        <v>67</v>
      </c>
      <c r="I2710" s="1" t="str">
        <f>"156.07"</f>
        <v>156.07</v>
      </c>
      <c r="J2710" s="1" t="str">
        <f t="shared" si="1634"/>
        <v>0</v>
      </c>
      <c r="K2710" s="1" t="str">
        <f t="shared" si="1635"/>
        <v>103</v>
      </c>
      <c r="L2710" s="1" t="str">
        <f t="shared" si="1636"/>
        <v>47</v>
      </c>
      <c r="M2710" s="1" t="str">
        <f t="shared" si="1628"/>
        <v>0</v>
      </c>
      <c r="N2710" s="1" t="str">
        <f t="shared" si="1629"/>
        <v>0</v>
      </c>
      <c r="O2710" s="1" t="str">
        <f>"6.07"</f>
        <v>6.07</v>
      </c>
    </row>
    <row r="2711" s="1" customFormat="1" spans="1:15">
      <c r="A2711" s="1" t="str">
        <f t="shared" si="1630"/>
        <v>202406</v>
      </c>
      <c r="B2711" s="1" t="str">
        <f t="shared" si="1631"/>
        <v>150525100</v>
      </c>
      <c r="C2711" s="1" t="str">
        <f>"1014576482"</f>
        <v>1014576482</v>
      </c>
      <c r="D2711" s="1" t="str">
        <f>"152326196005076373"</f>
        <v>152326196005076373</v>
      </c>
      <c r="E2711" s="1" t="s">
        <v>2788</v>
      </c>
      <c r="F2711" s="1" t="s">
        <v>25</v>
      </c>
      <c r="G2711" s="1" t="s">
        <v>17</v>
      </c>
      <c r="H2711" s="1" t="str">
        <f>"64"</f>
        <v>64</v>
      </c>
      <c r="I2711" s="1" t="str">
        <f>"158.98"</f>
        <v>158.98</v>
      </c>
      <c r="J2711" s="1" t="str">
        <f t="shared" si="1634"/>
        <v>0</v>
      </c>
      <c r="K2711" s="1" t="str">
        <f t="shared" si="1635"/>
        <v>103</v>
      </c>
      <c r="L2711" s="1" t="str">
        <f t="shared" si="1636"/>
        <v>47</v>
      </c>
      <c r="M2711" s="1" t="str">
        <f t="shared" si="1628"/>
        <v>0</v>
      </c>
      <c r="N2711" s="1" t="str">
        <f t="shared" si="1629"/>
        <v>0</v>
      </c>
      <c r="O2711" s="1" t="str">
        <f>"8.98"</f>
        <v>8.98</v>
      </c>
    </row>
    <row r="2712" s="1" customFormat="1" spans="1:15">
      <c r="A2712" s="1" t="str">
        <f t="shared" si="1630"/>
        <v>202406</v>
      </c>
      <c r="B2712" s="1" t="str">
        <f t="shared" si="1631"/>
        <v>150525100</v>
      </c>
      <c r="C2712" s="1" t="str">
        <f>"1014576485"</f>
        <v>1014576485</v>
      </c>
      <c r="D2712" s="1" t="str">
        <f>"152326196108016373"</f>
        <v>152326196108016373</v>
      </c>
      <c r="E2712" s="1" t="s">
        <v>2789</v>
      </c>
      <c r="F2712" s="1" t="s">
        <v>25</v>
      </c>
      <c r="G2712" s="1" t="s">
        <v>17</v>
      </c>
      <c r="H2712" s="1" t="str">
        <f>"63"</f>
        <v>63</v>
      </c>
      <c r="I2712" s="1" t="str">
        <f>"160.86"</f>
        <v>160.86</v>
      </c>
      <c r="J2712" s="1" t="str">
        <f t="shared" si="1634"/>
        <v>0</v>
      </c>
      <c r="K2712" s="1" t="str">
        <f t="shared" si="1635"/>
        <v>103</v>
      </c>
      <c r="L2712" s="1" t="str">
        <f t="shared" si="1636"/>
        <v>47</v>
      </c>
      <c r="M2712" s="1" t="str">
        <f t="shared" si="1628"/>
        <v>0</v>
      </c>
      <c r="N2712" s="1" t="str">
        <f t="shared" si="1629"/>
        <v>0</v>
      </c>
      <c r="O2712" s="1" t="str">
        <f>"10.86"</f>
        <v>10.86</v>
      </c>
    </row>
    <row r="2713" s="1" customFormat="1" spans="1:15">
      <c r="A2713" s="1" t="str">
        <f t="shared" si="1630"/>
        <v>202406</v>
      </c>
      <c r="B2713" s="1" t="str">
        <f t="shared" si="1631"/>
        <v>150525100</v>
      </c>
      <c r="C2713" s="1" t="str">
        <f>"1014576488"</f>
        <v>1014576488</v>
      </c>
      <c r="D2713" s="1" t="str">
        <f>"152326196208266126"</f>
        <v>152326196208266126</v>
      </c>
      <c r="E2713" s="1" t="s">
        <v>2790</v>
      </c>
      <c r="F2713" s="1" t="s">
        <v>16</v>
      </c>
      <c r="G2713" s="1" t="s">
        <v>17</v>
      </c>
      <c r="H2713" s="1" t="str">
        <f>"62"</f>
        <v>62</v>
      </c>
      <c r="I2713" s="1" t="str">
        <f>"162.85"</f>
        <v>162.85</v>
      </c>
      <c r="J2713" s="1" t="str">
        <f t="shared" si="1634"/>
        <v>0</v>
      </c>
      <c r="K2713" s="1" t="str">
        <f t="shared" si="1635"/>
        <v>103</v>
      </c>
      <c r="L2713" s="1" t="str">
        <f t="shared" si="1636"/>
        <v>47</v>
      </c>
      <c r="M2713" s="1" t="str">
        <f t="shared" si="1628"/>
        <v>0</v>
      </c>
      <c r="N2713" s="1" t="str">
        <f t="shared" si="1629"/>
        <v>0</v>
      </c>
      <c r="O2713" s="1" t="str">
        <f>"12.85"</f>
        <v>12.85</v>
      </c>
    </row>
    <row r="2714" s="1" customFormat="1" spans="1:15">
      <c r="A2714" s="1" t="str">
        <f t="shared" si="1630"/>
        <v>202406</v>
      </c>
      <c r="B2714" s="1" t="str">
        <f t="shared" si="1631"/>
        <v>150525100</v>
      </c>
      <c r="C2714" s="1" t="str">
        <f>"1014576492"</f>
        <v>1014576492</v>
      </c>
      <c r="D2714" s="1" t="str">
        <f>"152326196305046117"</f>
        <v>152326196305046117</v>
      </c>
      <c r="E2714" s="1" t="s">
        <v>2791</v>
      </c>
      <c r="F2714" s="1" t="s">
        <v>25</v>
      </c>
      <c r="G2714" s="1" t="s">
        <v>17</v>
      </c>
      <c r="H2714" s="1" t="str">
        <f>"61"</f>
        <v>61</v>
      </c>
      <c r="I2714" s="1" t="str">
        <f>"164.57"</f>
        <v>164.57</v>
      </c>
      <c r="J2714" s="1" t="str">
        <f t="shared" si="1634"/>
        <v>0</v>
      </c>
      <c r="K2714" s="1" t="str">
        <f t="shared" si="1635"/>
        <v>103</v>
      </c>
      <c r="L2714" s="1" t="str">
        <f t="shared" si="1636"/>
        <v>47</v>
      </c>
      <c r="M2714" s="1" t="str">
        <f t="shared" si="1628"/>
        <v>0</v>
      </c>
      <c r="N2714" s="1" t="str">
        <f t="shared" si="1629"/>
        <v>0</v>
      </c>
      <c r="O2714" s="1" t="str">
        <f>"14.57"</f>
        <v>14.57</v>
      </c>
    </row>
    <row r="2715" s="1" customFormat="1" spans="1:15">
      <c r="A2715" s="1" t="str">
        <f t="shared" si="1630"/>
        <v>202406</v>
      </c>
      <c r="B2715" s="1" t="str">
        <f t="shared" si="1631"/>
        <v>150525100</v>
      </c>
      <c r="C2715" s="1" t="str">
        <f>"1014548092"</f>
        <v>1014548092</v>
      </c>
      <c r="D2715" s="1" t="str">
        <f>"152326195411193079"</f>
        <v>152326195411193079</v>
      </c>
      <c r="E2715" s="1" t="s">
        <v>2792</v>
      </c>
      <c r="F2715" s="1" t="s">
        <v>25</v>
      </c>
      <c r="G2715" s="1" t="s">
        <v>17</v>
      </c>
      <c r="H2715" s="1" t="str">
        <f>"70"</f>
        <v>70</v>
      </c>
      <c r="I2715" s="1" t="str">
        <f>"154.14"</f>
        <v>154.14</v>
      </c>
      <c r="J2715" s="1" t="str">
        <f t="shared" si="1634"/>
        <v>0</v>
      </c>
      <c r="K2715" s="1" t="str">
        <f t="shared" si="1635"/>
        <v>103</v>
      </c>
      <c r="L2715" s="1" t="str">
        <f t="shared" si="1636"/>
        <v>47</v>
      </c>
      <c r="M2715" s="1" t="str">
        <f t="shared" si="1628"/>
        <v>0</v>
      </c>
      <c r="N2715" s="1" t="str">
        <f t="shared" si="1629"/>
        <v>0</v>
      </c>
      <c r="O2715" s="1" t="str">
        <f>"4.14"</f>
        <v>4.14</v>
      </c>
    </row>
    <row r="2716" s="1" customFormat="1" spans="1:15">
      <c r="A2716" s="1" t="str">
        <f t="shared" si="1630"/>
        <v>202406</v>
      </c>
      <c r="B2716" s="1" t="str">
        <f t="shared" si="1631"/>
        <v>150525100</v>
      </c>
      <c r="C2716" s="1" t="str">
        <f>"1014548474"</f>
        <v>1014548474</v>
      </c>
      <c r="D2716" s="1" t="str">
        <f>"152326196005070676"</f>
        <v>152326196005070676</v>
      </c>
      <c r="E2716" s="1" t="s">
        <v>2793</v>
      </c>
      <c r="F2716" s="1" t="s">
        <v>25</v>
      </c>
      <c r="G2716" s="1" t="s">
        <v>17</v>
      </c>
      <c r="H2716" s="1" t="str">
        <f>"64"</f>
        <v>64</v>
      </c>
      <c r="I2716" s="1" t="str">
        <f>"189.4"</f>
        <v>189.4</v>
      </c>
      <c r="J2716" s="1" t="str">
        <f t="shared" si="1634"/>
        <v>0</v>
      </c>
      <c r="K2716" s="1" t="str">
        <f t="shared" si="1635"/>
        <v>103</v>
      </c>
      <c r="L2716" s="1" t="str">
        <f t="shared" si="1636"/>
        <v>47</v>
      </c>
      <c r="M2716" s="1" t="str">
        <f t="shared" si="1628"/>
        <v>0</v>
      </c>
      <c r="N2716" s="1" t="str">
        <f t="shared" si="1629"/>
        <v>0</v>
      </c>
      <c r="O2716" s="1" t="str">
        <f>"39.4"</f>
        <v>39.4</v>
      </c>
    </row>
    <row r="2717" s="1" customFormat="1" spans="1:15">
      <c r="A2717" s="1" t="str">
        <f t="shared" si="1630"/>
        <v>202406</v>
      </c>
      <c r="B2717" s="1" t="str">
        <f t="shared" si="1631"/>
        <v>150525100</v>
      </c>
      <c r="C2717" s="1" t="str">
        <f>"1014576701"</f>
        <v>1014576701</v>
      </c>
      <c r="D2717" s="1" t="str">
        <f>"152326195305160660"</f>
        <v>152326195305160660</v>
      </c>
      <c r="E2717" s="1" t="s">
        <v>2794</v>
      </c>
      <c r="F2717" s="1" t="s">
        <v>16</v>
      </c>
      <c r="G2717" s="1" t="s">
        <v>17</v>
      </c>
      <c r="H2717" s="1" t="str">
        <f>"71"</f>
        <v>71</v>
      </c>
      <c r="I2717" s="1" t="str">
        <f>"163.16"</f>
        <v>163.16</v>
      </c>
      <c r="J2717" s="1" t="str">
        <f t="shared" si="1634"/>
        <v>0</v>
      </c>
      <c r="K2717" s="1" t="str">
        <f t="shared" si="1635"/>
        <v>103</v>
      </c>
      <c r="L2717" s="1" t="str">
        <f t="shared" si="1636"/>
        <v>47</v>
      </c>
      <c r="M2717" s="1" t="str">
        <f t="shared" si="1628"/>
        <v>0</v>
      </c>
      <c r="N2717" s="1" t="str">
        <f t="shared" si="1629"/>
        <v>0</v>
      </c>
      <c r="O2717" s="1" t="str">
        <f>"3.16"</f>
        <v>3.16</v>
      </c>
    </row>
    <row r="2718" s="1" customFormat="1" spans="1:15">
      <c r="A2718" s="1" t="str">
        <f t="shared" si="1630"/>
        <v>202406</v>
      </c>
      <c r="B2718" s="1" t="str">
        <f t="shared" si="1631"/>
        <v>150525100</v>
      </c>
      <c r="C2718" s="1" t="str">
        <f>"1014576963"</f>
        <v>1014576963</v>
      </c>
      <c r="D2718" s="1" t="s">
        <v>2795</v>
      </c>
      <c r="E2718" s="1" t="s">
        <v>2796</v>
      </c>
      <c r="F2718" s="1" t="s">
        <v>16</v>
      </c>
      <c r="G2718" s="1" t="s">
        <v>17</v>
      </c>
      <c r="H2718" s="1" t="str">
        <f>"61"</f>
        <v>61</v>
      </c>
      <c r="I2718" s="1" t="str">
        <f>"165.08"</f>
        <v>165.08</v>
      </c>
      <c r="J2718" s="1" t="str">
        <f t="shared" si="1634"/>
        <v>0</v>
      </c>
      <c r="K2718" s="1" t="str">
        <f t="shared" si="1635"/>
        <v>103</v>
      </c>
      <c r="L2718" s="1" t="str">
        <f t="shared" si="1636"/>
        <v>47</v>
      </c>
      <c r="M2718" s="1" t="str">
        <f t="shared" si="1628"/>
        <v>0</v>
      </c>
      <c r="N2718" s="1" t="str">
        <f t="shared" si="1629"/>
        <v>0</v>
      </c>
      <c r="O2718" s="1" t="str">
        <f>"15.08"</f>
        <v>15.08</v>
      </c>
    </row>
    <row r="2719" s="1" customFormat="1" spans="1:15">
      <c r="A2719" s="1" t="str">
        <f t="shared" si="1630"/>
        <v>202406</v>
      </c>
      <c r="B2719" s="1" t="str">
        <f t="shared" si="1631"/>
        <v>150525100</v>
      </c>
      <c r="C2719" s="1" t="str">
        <f>"1014570277"</f>
        <v>1014570277</v>
      </c>
      <c r="D2719" s="1" t="str">
        <f>"152326195101123833"</f>
        <v>152326195101123833</v>
      </c>
      <c r="E2719" s="1" t="s">
        <v>2797</v>
      </c>
      <c r="F2719" s="1" t="s">
        <v>25</v>
      </c>
      <c r="G2719" s="1" t="s">
        <v>19</v>
      </c>
      <c r="H2719" s="1" t="str">
        <f>"73"</f>
        <v>73</v>
      </c>
      <c r="I2719" s="1" t="str">
        <f>"160.94"</f>
        <v>160.94</v>
      </c>
      <c r="J2719" s="1" t="str">
        <f t="shared" si="1634"/>
        <v>0</v>
      </c>
      <c r="K2719" s="1" t="str">
        <f t="shared" si="1635"/>
        <v>103</v>
      </c>
      <c r="L2719" s="1" t="str">
        <f t="shared" si="1636"/>
        <v>47</v>
      </c>
      <c r="M2719" s="1" t="str">
        <f t="shared" si="1628"/>
        <v>0</v>
      </c>
      <c r="N2719" s="1" t="str">
        <f t="shared" si="1629"/>
        <v>0</v>
      </c>
      <c r="O2719" s="1" t="str">
        <f>"0.94"</f>
        <v>0.94</v>
      </c>
    </row>
    <row r="2720" s="1" customFormat="1" spans="1:15">
      <c r="A2720" s="1" t="str">
        <f t="shared" si="1630"/>
        <v>202406</v>
      </c>
      <c r="B2720" s="1" t="str">
        <f t="shared" si="1631"/>
        <v>150525100</v>
      </c>
      <c r="C2720" s="1" t="str">
        <f>"1014576557"</f>
        <v>1014576557</v>
      </c>
      <c r="D2720" s="1" t="str">
        <f>"152326195609200422"</f>
        <v>152326195609200422</v>
      </c>
      <c r="E2720" s="1" t="s">
        <v>2798</v>
      </c>
      <c r="F2720" s="1" t="s">
        <v>16</v>
      </c>
      <c r="G2720" s="1" t="s">
        <v>17</v>
      </c>
      <c r="H2720" s="1" t="str">
        <f>"68"</f>
        <v>68</v>
      </c>
      <c r="I2720" s="1" t="str">
        <f>"155.77"</f>
        <v>155.77</v>
      </c>
      <c r="J2720" s="1" t="str">
        <f t="shared" si="1634"/>
        <v>0</v>
      </c>
      <c r="K2720" s="1" t="str">
        <f t="shared" si="1635"/>
        <v>103</v>
      </c>
      <c r="L2720" s="1" t="str">
        <f t="shared" si="1636"/>
        <v>47</v>
      </c>
      <c r="M2720" s="1" t="str">
        <f t="shared" si="1628"/>
        <v>0</v>
      </c>
      <c r="N2720" s="1" t="str">
        <f t="shared" si="1629"/>
        <v>0</v>
      </c>
      <c r="O2720" s="1" t="str">
        <f>"5.77"</f>
        <v>5.77</v>
      </c>
    </row>
    <row r="2721" s="1" customFormat="1" spans="1:15">
      <c r="A2721" s="1" t="str">
        <f t="shared" si="1630"/>
        <v>202406</v>
      </c>
      <c r="B2721" s="1" t="str">
        <f t="shared" si="1631"/>
        <v>150525100</v>
      </c>
      <c r="C2721" s="1" t="str">
        <f>"1014576558"</f>
        <v>1014576558</v>
      </c>
      <c r="D2721" s="1" t="str">
        <f>"152326195701100424"</f>
        <v>152326195701100424</v>
      </c>
      <c r="E2721" s="1" t="s">
        <v>2799</v>
      </c>
      <c r="F2721" s="1" t="s">
        <v>16</v>
      </c>
      <c r="G2721" s="1" t="s">
        <v>19</v>
      </c>
      <c r="H2721" s="1" t="str">
        <f>"67"</f>
        <v>67</v>
      </c>
      <c r="I2721" s="1" t="str">
        <f>"155.8"</f>
        <v>155.8</v>
      </c>
      <c r="J2721" s="1" t="str">
        <f t="shared" si="1634"/>
        <v>0</v>
      </c>
      <c r="K2721" s="1" t="str">
        <f t="shared" si="1635"/>
        <v>103</v>
      </c>
      <c r="L2721" s="1" t="str">
        <f t="shared" si="1636"/>
        <v>47</v>
      </c>
      <c r="M2721" s="1" t="str">
        <f t="shared" si="1628"/>
        <v>0</v>
      </c>
      <c r="N2721" s="1" t="str">
        <f t="shared" si="1629"/>
        <v>0</v>
      </c>
      <c r="O2721" s="1" t="str">
        <f>"5.8"</f>
        <v>5.8</v>
      </c>
    </row>
    <row r="2722" s="1" customFormat="1" spans="1:15">
      <c r="A2722" s="1" t="str">
        <f t="shared" si="1630"/>
        <v>202406</v>
      </c>
      <c r="B2722" s="1" t="str">
        <f t="shared" si="1631"/>
        <v>150525100</v>
      </c>
      <c r="C2722" s="1" t="str">
        <f>"1014576734"</f>
        <v>1014576734</v>
      </c>
      <c r="D2722" s="1" t="str">
        <f>"152326195601100662"</f>
        <v>152326195601100662</v>
      </c>
      <c r="E2722" s="1" t="s">
        <v>2800</v>
      </c>
      <c r="F2722" s="1" t="s">
        <v>16</v>
      </c>
      <c r="G2722" s="1" t="s">
        <v>17</v>
      </c>
      <c r="H2722" s="1" t="str">
        <f>"68"</f>
        <v>68</v>
      </c>
      <c r="I2722" s="1" t="str">
        <f>"156.02"</f>
        <v>156.02</v>
      </c>
      <c r="J2722" s="1" t="str">
        <f t="shared" si="1634"/>
        <v>0</v>
      </c>
      <c r="K2722" s="1" t="str">
        <f t="shared" si="1635"/>
        <v>103</v>
      </c>
      <c r="L2722" s="1" t="str">
        <f t="shared" si="1636"/>
        <v>47</v>
      </c>
      <c r="M2722" s="1" t="str">
        <f t="shared" si="1628"/>
        <v>0</v>
      </c>
      <c r="N2722" s="1" t="str">
        <f t="shared" si="1629"/>
        <v>0</v>
      </c>
      <c r="O2722" s="1" t="str">
        <f>"6.02"</f>
        <v>6.02</v>
      </c>
    </row>
    <row r="2723" s="1" customFormat="1" spans="1:15">
      <c r="A2723" s="1" t="str">
        <f t="shared" si="1630"/>
        <v>202406</v>
      </c>
      <c r="B2723" s="1" t="str">
        <f t="shared" si="1631"/>
        <v>150525100</v>
      </c>
      <c r="C2723" s="1" t="str">
        <f>"1014576762"</f>
        <v>1014576762</v>
      </c>
      <c r="D2723" s="1" t="s">
        <v>2801</v>
      </c>
      <c r="E2723" s="1" t="s">
        <v>1192</v>
      </c>
      <c r="F2723" s="1" t="s">
        <v>16</v>
      </c>
      <c r="G2723" s="1" t="s">
        <v>17</v>
      </c>
      <c r="H2723" s="1" t="str">
        <f>"66"</f>
        <v>66</v>
      </c>
      <c r="I2723" s="1" t="str">
        <f>"161.31"</f>
        <v>161.31</v>
      </c>
      <c r="J2723" s="1" t="str">
        <f t="shared" si="1634"/>
        <v>0</v>
      </c>
      <c r="K2723" s="1" t="str">
        <f t="shared" si="1635"/>
        <v>103</v>
      </c>
      <c r="L2723" s="1" t="str">
        <f t="shared" si="1636"/>
        <v>47</v>
      </c>
      <c r="M2723" s="1" t="str">
        <f t="shared" si="1628"/>
        <v>0</v>
      </c>
      <c r="N2723" s="1" t="str">
        <f t="shared" si="1629"/>
        <v>0</v>
      </c>
      <c r="O2723" s="1" t="str">
        <f>"11.31"</f>
        <v>11.31</v>
      </c>
    </row>
    <row r="2724" s="1" customFormat="1" spans="1:15">
      <c r="A2724" s="1" t="str">
        <f t="shared" si="1630"/>
        <v>202406</v>
      </c>
      <c r="B2724" s="1" t="str">
        <f t="shared" si="1631"/>
        <v>150525100</v>
      </c>
      <c r="C2724" s="1" t="str">
        <f>"1014576987"</f>
        <v>1014576987</v>
      </c>
      <c r="D2724" s="1" t="str">
        <f>"152326195309090663"</f>
        <v>152326195309090663</v>
      </c>
      <c r="E2724" s="1" t="s">
        <v>2802</v>
      </c>
      <c r="F2724" s="1" t="s">
        <v>16</v>
      </c>
      <c r="G2724" s="1" t="s">
        <v>17</v>
      </c>
      <c r="H2724" s="1" t="str">
        <f t="shared" ref="H2724:H2733" si="1637">"71"</f>
        <v>71</v>
      </c>
      <c r="I2724" s="1" t="str">
        <f>"163.16"</f>
        <v>163.16</v>
      </c>
      <c r="J2724" s="1" t="str">
        <f t="shared" si="1634"/>
        <v>0</v>
      </c>
      <c r="K2724" s="1" t="str">
        <f t="shared" si="1635"/>
        <v>103</v>
      </c>
      <c r="L2724" s="1" t="str">
        <f t="shared" si="1636"/>
        <v>47</v>
      </c>
      <c r="M2724" s="1" t="str">
        <f t="shared" si="1628"/>
        <v>0</v>
      </c>
      <c r="N2724" s="1" t="str">
        <f t="shared" si="1629"/>
        <v>0</v>
      </c>
      <c r="O2724" s="1" t="str">
        <f>"3.16"</f>
        <v>3.16</v>
      </c>
    </row>
    <row r="2725" s="1" customFormat="1" spans="1:15">
      <c r="A2725" s="1" t="str">
        <f t="shared" si="1630"/>
        <v>202406</v>
      </c>
      <c r="B2725" s="1" t="str">
        <f t="shared" si="1631"/>
        <v>150525100</v>
      </c>
      <c r="C2725" s="1" t="str">
        <f>"1014576991"</f>
        <v>1014576991</v>
      </c>
      <c r="D2725" s="1" t="str">
        <f>"152326195405060675"</f>
        <v>152326195405060675</v>
      </c>
      <c r="E2725" s="1" t="s">
        <v>2803</v>
      </c>
      <c r="F2725" s="1" t="s">
        <v>25</v>
      </c>
      <c r="G2725" s="1" t="s">
        <v>17</v>
      </c>
      <c r="H2725" s="1" t="str">
        <f>"70"</f>
        <v>70</v>
      </c>
      <c r="I2725" s="1" t="str">
        <f>"164.14"</f>
        <v>164.14</v>
      </c>
      <c r="J2725" s="1" t="str">
        <f t="shared" si="1634"/>
        <v>0</v>
      </c>
      <c r="K2725" s="1" t="str">
        <f t="shared" si="1635"/>
        <v>103</v>
      </c>
      <c r="L2725" s="1" t="str">
        <f t="shared" si="1636"/>
        <v>47</v>
      </c>
      <c r="M2725" s="1" t="str">
        <f t="shared" si="1628"/>
        <v>0</v>
      </c>
      <c r="N2725" s="1" t="str">
        <f t="shared" si="1629"/>
        <v>0</v>
      </c>
      <c r="O2725" s="1" t="str">
        <f>"4.14"</f>
        <v>4.14</v>
      </c>
    </row>
    <row r="2726" s="1" customFormat="1" spans="1:15">
      <c r="A2726" s="1" t="str">
        <f t="shared" si="1630"/>
        <v>202406</v>
      </c>
      <c r="B2726" s="1" t="str">
        <f t="shared" si="1631"/>
        <v>150525100</v>
      </c>
      <c r="C2726" s="1" t="str">
        <f>"1014576993"</f>
        <v>1014576993</v>
      </c>
      <c r="D2726" s="1" t="str">
        <f>"152326195405100702"</f>
        <v>152326195405100702</v>
      </c>
      <c r="E2726" s="1" t="s">
        <v>2804</v>
      </c>
      <c r="F2726" s="1" t="s">
        <v>16</v>
      </c>
      <c r="G2726" s="1" t="s">
        <v>17</v>
      </c>
      <c r="H2726" s="1" t="str">
        <f>"70"</f>
        <v>70</v>
      </c>
      <c r="I2726" s="1" t="str">
        <f>"164.14"</f>
        <v>164.14</v>
      </c>
      <c r="J2726" s="1" t="str">
        <f t="shared" si="1634"/>
        <v>0</v>
      </c>
      <c r="K2726" s="1" t="str">
        <f t="shared" si="1635"/>
        <v>103</v>
      </c>
      <c r="L2726" s="1" t="str">
        <f t="shared" si="1636"/>
        <v>47</v>
      </c>
      <c r="M2726" s="1" t="str">
        <f t="shared" si="1628"/>
        <v>0</v>
      </c>
      <c r="N2726" s="1" t="str">
        <f t="shared" si="1629"/>
        <v>0</v>
      </c>
      <c r="O2726" s="1" t="str">
        <f>"4.14"</f>
        <v>4.14</v>
      </c>
    </row>
    <row r="2727" s="1" customFormat="1" spans="1:15">
      <c r="A2727" s="1" t="str">
        <f t="shared" si="1630"/>
        <v>202406</v>
      </c>
      <c r="B2727" s="1" t="str">
        <f t="shared" si="1631"/>
        <v>150525100</v>
      </c>
      <c r="C2727" s="1" t="str">
        <f>"1014570294"</f>
        <v>1014570294</v>
      </c>
      <c r="D2727" s="1" t="str">
        <f>"152326195811133817"</f>
        <v>152326195811133817</v>
      </c>
      <c r="E2727" s="1" t="s">
        <v>2805</v>
      </c>
      <c r="F2727" s="1" t="s">
        <v>25</v>
      </c>
      <c r="G2727" s="1" t="s">
        <v>19</v>
      </c>
      <c r="H2727" s="1" t="str">
        <f>"66"</f>
        <v>66</v>
      </c>
      <c r="I2727" s="1" t="str">
        <f>"158.1"</f>
        <v>158.1</v>
      </c>
      <c r="J2727" s="1" t="str">
        <f t="shared" si="1634"/>
        <v>0</v>
      </c>
      <c r="K2727" s="1" t="str">
        <f t="shared" si="1635"/>
        <v>103</v>
      </c>
      <c r="L2727" s="1" t="str">
        <f t="shared" si="1636"/>
        <v>47</v>
      </c>
      <c r="M2727" s="1" t="str">
        <f t="shared" si="1628"/>
        <v>0</v>
      </c>
      <c r="N2727" s="1" t="str">
        <f t="shared" si="1629"/>
        <v>0</v>
      </c>
      <c r="O2727" s="1" t="str">
        <f>"8.1"</f>
        <v>8.1</v>
      </c>
    </row>
    <row r="2728" s="1" customFormat="1" spans="1:15">
      <c r="A2728" s="1" t="str">
        <f t="shared" si="1630"/>
        <v>202406</v>
      </c>
      <c r="B2728" s="1" t="str">
        <f t="shared" si="1631"/>
        <v>150525100</v>
      </c>
      <c r="C2728" s="1" t="str">
        <f>"1014576765"</f>
        <v>1014576765</v>
      </c>
      <c r="D2728" s="1" t="str">
        <f>"152326195310220664"</f>
        <v>152326195310220664</v>
      </c>
      <c r="E2728" s="1" t="s">
        <v>2806</v>
      </c>
      <c r="F2728" s="1" t="s">
        <v>16</v>
      </c>
      <c r="G2728" s="1" t="s">
        <v>17</v>
      </c>
      <c r="H2728" s="1" t="str">
        <f t="shared" si="1637"/>
        <v>71</v>
      </c>
      <c r="I2728" s="1" t="str">
        <f>"163.87"</f>
        <v>163.87</v>
      </c>
      <c r="J2728" s="1" t="str">
        <f t="shared" si="1634"/>
        <v>0</v>
      </c>
      <c r="K2728" s="1" t="str">
        <f t="shared" si="1635"/>
        <v>103</v>
      </c>
      <c r="L2728" s="1" t="str">
        <f t="shared" si="1636"/>
        <v>47</v>
      </c>
      <c r="M2728" s="1" t="str">
        <f t="shared" si="1628"/>
        <v>0</v>
      </c>
      <c r="N2728" s="1" t="str">
        <f t="shared" si="1629"/>
        <v>0</v>
      </c>
      <c r="O2728" s="1" t="str">
        <f>"3.87"</f>
        <v>3.87</v>
      </c>
    </row>
    <row r="2729" s="1" customFormat="1" spans="1:15">
      <c r="A2729" s="1" t="str">
        <f t="shared" si="1630"/>
        <v>202406</v>
      </c>
      <c r="B2729" s="1" t="str">
        <f t="shared" si="1631"/>
        <v>150525100</v>
      </c>
      <c r="C2729" s="1" t="str">
        <f>"1014576771"</f>
        <v>1014576771</v>
      </c>
      <c r="D2729" s="1" t="str">
        <f>"152326195310170660"</f>
        <v>152326195310170660</v>
      </c>
      <c r="E2729" s="1" t="s">
        <v>2807</v>
      </c>
      <c r="F2729" s="1" t="s">
        <v>16</v>
      </c>
      <c r="G2729" s="1" t="s">
        <v>17</v>
      </c>
      <c r="H2729" s="1" t="str">
        <f t="shared" si="1637"/>
        <v>71</v>
      </c>
      <c r="I2729" s="1" t="str">
        <f>"165.71"</f>
        <v>165.71</v>
      </c>
      <c r="J2729" s="1" t="str">
        <f t="shared" si="1634"/>
        <v>0</v>
      </c>
      <c r="K2729" s="1" t="str">
        <f t="shared" si="1635"/>
        <v>103</v>
      </c>
      <c r="L2729" s="1" t="str">
        <f t="shared" si="1636"/>
        <v>47</v>
      </c>
      <c r="M2729" s="1" t="str">
        <f t="shared" si="1628"/>
        <v>0</v>
      </c>
      <c r="N2729" s="1" t="str">
        <f t="shared" si="1629"/>
        <v>0</v>
      </c>
      <c r="O2729" s="1" t="str">
        <f>"5.71"</f>
        <v>5.71</v>
      </c>
    </row>
    <row r="2730" s="1" customFormat="1" spans="1:15">
      <c r="A2730" s="1" t="str">
        <f t="shared" si="1630"/>
        <v>202406</v>
      </c>
      <c r="B2730" s="1" t="str">
        <f t="shared" si="1631"/>
        <v>150525100</v>
      </c>
      <c r="C2730" s="1" t="str">
        <f>"1014577037"</f>
        <v>1014577037</v>
      </c>
      <c r="D2730" s="1" t="str">
        <f>"152326195303040665"</f>
        <v>152326195303040665</v>
      </c>
      <c r="E2730" s="1" t="s">
        <v>2808</v>
      </c>
      <c r="F2730" s="1" t="s">
        <v>16</v>
      </c>
      <c r="G2730" s="1" t="s">
        <v>17</v>
      </c>
      <c r="H2730" s="1" t="str">
        <f t="shared" si="1637"/>
        <v>71</v>
      </c>
      <c r="I2730" s="1" t="str">
        <f t="shared" ref="I2730:I2732" si="1638">"163.16"</f>
        <v>163.16</v>
      </c>
      <c r="J2730" s="1" t="str">
        <f t="shared" si="1634"/>
        <v>0</v>
      </c>
      <c r="K2730" s="1" t="str">
        <f t="shared" si="1635"/>
        <v>103</v>
      </c>
      <c r="L2730" s="1" t="str">
        <f t="shared" si="1636"/>
        <v>47</v>
      </c>
      <c r="M2730" s="1" t="str">
        <f t="shared" si="1628"/>
        <v>0</v>
      </c>
      <c r="N2730" s="1" t="str">
        <f t="shared" si="1629"/>
        <v>0</v>
      </c>
      <c r="O2730" s="1" t="str">
        <f t="shared" ref="O2730:O2732" si="1639">"3.16"</f>
        <v>3.16</v>
      </c>
    </row>
    <row r="2731" s="1" customFormat="1" spans="1:15">
      <c r="A2731" s="1" t="str">
        <f t="shared" si="1630"/>
        <v>202406</v>
      </c>
      <c r="B2731" s="1" t="str">
        <f t="shared" si="1631"/>
        <v>150525100</v>
      </c>
      <c r="C2731" s="1" t="str">
        <f>"1014577043"</f>
        <v>1014577043</v>
      </c>
      <c r="D2731" s="1" t="s">
        <v>2809</v>
      </c>
      <c r="E2731" s="1" t="s">
        <v>2810</v>
      </c>
      <c r="F2731" s="1" t="s">
        <v>16</v>
      </c>
      <c r="G2731" s="1" t="s">
        <v>17</v>
      </c>
      <c r="H2731" s="1" t="str">
        <f t="shared" si="1637"/>
        <v>71</v>
      </c>
      <c r="I2731" s="1" t="str">
        <f t="shared" si="1638"/>
        <v>163.16</v>
      </c>
      <c r="J2731" s="1" t="str">
        <f t="shared" si="1634"/>
        <v>0</v>
      </c>
      <c r="K2731" s="1" t="str">
        <f t="shared" si="1635"/>
        <v>103</v>
      </c>
      <c r="L2731" s="1" t="str">
        <f t="shared" si="1636"/>
        <v>47</v>
      </c>
      <c r="M2731" s="1" t="str">
        <f t="shared" si="1628"/>
        <v>0</v>
      </c>
      <c r="N2731" s="1" t="str">
        <f t="shared" si="1629"/>
        <v>0</v>
      </c>
      <c r="O2731" s="1" t="str">
        <f t="shared" si="1639"/>
        <v>3.16</v>
      </c>
    </row>
    <row r="2732" s="1" customFormat="1" spans="1:15">
      <c r="A2732" s="1" t="str">
        <f t="shared" si="1630"/>
        <v>202406</v>
      </c>
      <c r="B2732" s="1" t="str">
        <f t="shared" si="1631"/>
        <v>150525100</v>
      </c>
      <c r="C2732" s="1" t="str">
        <f>"1014548275"</f>
        <v>1014548275</v>
      </c>
      <c r="D2732" s="1" t="str">
        <f>"152326195305283812"</f>
        <v>152326195305283812</v>
      </c>
      <c r="E2732" s="1" t="s">
        <v>1133</v>
      </c>
      <c r="F2732" s="1" t="s">
        <v>25</v>
      </c>
      <c r="G2732" s="1" t="s">
        <v>17</v>
      </c>
      <c r="H2732" s="1" t="str">
        <f t="shared" si="1637"/>
        <v>71</v>
      </c>
      <c r="I2732" s="1" t="str">
        <f t="shared" si="1638"/>
        <v>163.16</v>
      </c>
      <c r="J2732" s="1" t="str">
        <f t="shared" si="1634"/>
        <v>0</v>
      </c>
      <c r="K2732" s="1" t="str">
        <f t="shared" si="1635"/>
        <v>103</v>
      </c>
      <c r="L2732" s="1" t="str">
        <f t="shared" si="1636"/>
        <v>47</v>
      </c>
      <c r="M2732" s="1" t="str">
        <f t="shared" si="1628"/>
        <v>0</v>
      </c>
      <c r="N2732" s="1" t="str">
        <f t="shared" si="1629"/>
        <v>0</v>
      </c>
      <c r="O2732" s="1" t="str">
        <f t="shared" si="1639"/>
        <v>3.16</v>
      </c>
    </row>
    <row r="2733" s="1" customFormat="1" spans="1:15">
      <c r="A2733" s="1" t="str">
        <f t="shared" si="1630"/>
        <v>202406</v>
      </c>
      <c r="B2733" s="1" t="str">
        <f t="shared" si="1631"/>
        <v>150525100</v>
      </c>
      <c r="C2733" s="1" t="str">
        <f>"1014552535"</f>
        <v>1014552535</v>
      </c>
      <c r="D2733" s="1" t="str">
        <f>"152326195311063840"</f>
        <v>152326195311063840</v>
      </c>
      <c r="E2733" s="1" t="s">
        <v>2811</v>
      </c>
      <c r="F2733" s="1" t="s">
        <v>16</v>
      </c>
      <c r="G2733" s="1" t="s">
        <v>17</v>
      </c>
      <c r="H2733" s="1" t="str">
        <f t="shared" si="1637"/>
        <v>71</v>
      </c>
      <c r="I2733" s="1" t="str">
        <f>"162.93"</f>
        <v>162.93</v>
      </c>
      <c r="J2733" s="1" t="str">
        <f t="shared" si="1634"/>
        <v>0</v>
      </c>
      <c r="K2733" s="1" t="str">
        <f t="shared" si="1635"/>
        <v>103</v>
      </c>
      <c r="L2733" s="1" t="str">
        <f t="shared" si="1636"/>
        <v>47</v>
      </c>
      <c r="M2733" s="1" t="str">
        <f t="shared" si="1628"/>
        <v>0</v>
      </c>
      <c r="N2733" s="1" t="str">
        <f t="shared" si="1629"/>
        <v>0</v>
      </c>
      <c r="O2733" s="1" t="str">
        <f>"2.93"</f>
        <v>2.93</v>
      </c>
    </row>
    <row r="2734" s="1" customFormat="1" spans="1:15">
      <c r="A2734" s="1" t="str">
        <f t="shared" si="1630"/>
        <v>202406</v>
      </c>
      <c r="B2734" s="1" t="str">
        <f t="shared" si="1631"/>
        <v>150525100</v>
      </c>
      <c r="C2734" s="1" t="str">
        <f>"1014577048"</f>
        <v>1014577048</v>
      </c>
      <c r="D2734" s="1" t="str">
        <f>"152326195601040663"</f>
        <v>152326195601040663</v>
      </c>
      <c r="E2734" s="1" t="s">
        <v>2812</v>
      </c>
      <c r="F2734" s="1" t="s">
        <v>16</v>
      </c>
      <c r="G2734" s="1" t="s">
        <v>17</v>
      </c>
      <c r="H2734" s="1" t="str">
        <f>"69"</f>
        <v>69</v>
      </c>
      <c r="I2734" s="1" t="str">
        <f>"156.01"</f>
        <v>156.01</v>
      </c>
      <c r="J2734" s="1" t="str">
        <f t="shared" si="1634"/>
        <v>0</v>
      </c>
      <c r="K2734" s="1" t="str">
        <f t="shared" si="1635"/>
        <v>103</v>
      </c>
      <c r="L2734" s="1" t="str">
        <f t="shared" si="1636"/>
        <v>47</v>
      </c>
      <c r="M2734" s="1" t="str">
        <f t="shared" si="1628"/>
        <v>0</v>
      </c>
      <c r="N2734" s="1" t="str">
        <f t="shared" si="1629"/>
        <v>0</v>
      </c>
      <c r="O2734" s="1" t="str">
        <f>"6.01"</f>
        <v>6.01</v>
      </c>
    </row>
    <row r="2735" s="1" customFormat="1" spans="1:15">
      <c r="A2735" s="1" t="str">
        <f t="shared" si="1630"/>
        <v>202406</v>
      </c>
      <c r="B2735" s="1" t="str">
        <f t="shared" si="1631"/>
        <v>150525100</v>
      </c>
      <c r="C2735" s="1" t="str">
        <f>"1014577056"</f>
        <v>1014577056</v>
      </c>
      <c r="D2735" s="1" t="str">
        <f>"152326195609210663"</f>
        <v>152326195609210663</v>
      </c>
      <c r="E2735" s="1" t="s">
        <v>2813</v>
      </c>
      <c r="F2735" s="1" t="s">
        <v>16</v>
      </c>
      <c r="G2735" s="1" t="s">
        <v>17</v>
      </c>
      <c r="H2735" s="1" t="str">
        <f>"68"</f>
        <v>68</v>
      </c>
      <c r="I2735" s="1" t="str">
        <f>"155.99"</f>
        <v>155.99</v>
      </c>
      <c r="J2735" s="1" t="str">
        <f t="shared" si="1634"/>
        <v>0</v>
      </c>
      <c r="K2735" s="1" t="str">
        <f t="shared" si="1635"/>
        <v>103</v>
      </c>
      <c r="L2735" s="1" t="str">
        <f t="shared" si="1636"/>
        <v>47</v>
      </c>
      <c r="M2735" s="1" t="str">
        <f t="shared" si="1628"/>
        <v>0</v>
      </c>
      <c r="N2735" s="1" t="str">
        <f t="shared" si="1629"/>
        <v>0</v>
      </c>
      <c r="O2735" s="1" t="str">
        <f>"5.99"</f>
        <v>5.99</v>
      </c>
    </row>
    <row r="2736" s="1" customFormat="1" spans="1:15">
      <c r="A2736" s="1" t="str">
        <f t="shared" si="1630"/>
        <v>202406</v>
      </c>
      <c r="B2736" s="1" t="str">
        <f t="shared" si="1631"/>
        <v>150525100</v>
      </c>
      <c r="C2736" s="1" t="str">
        <f>"1014572301"</f>
        <v>1014572301</v>
      </c>
      <c r="D2736" s="1" t="str">
        <f>"152326196204280051"</f>
        <v>152326196204280051</v>
      </c>
      <c r="E2736" s="1" t="s">
        <v>2814</v>
      </c>
      <c r="F2736" s="1" t="s">
        <v>25</v>
      </c>
      <c r="G2736" s="1" t="s">
        <v>96</v>
      </c>
      <c r="H2736" s="1" t="str">
        <f>"62"</f>
        <v>62</v>
      </c>
      <c r="I2736" s="1" t="str">
        <f>"162.96"</f>
        <v>162.96</v>
      </c>
      <c r="J2736" s="1" t="str">
        <f t="shared" si="1634"/>
        <v>0</v>
      </c>
      <c r="K2736" s="1" t="str">
        <f t="shared" si="1635"/>
        <v>103</v>
      </c>
      <c r="L2736" s="1" t="str">
        <f t="shared" si="1636"/>
        <v>47</v>
      </c>
      <c r="M2736" s="1" t="str">
        <f t="shared" si="1628"/>
        <v>0</v>
      </c>
      <c r="N2736" s="1" t="str">
        <f t="shared" si="1629"/>
        <v>0</v>
      </c>
      <c r="O2736" s="1" t="str">
        <f>"12.96"</f>
        <v>12.96</v>
      </c>
    </row>
    <row r="2737" s="1" customFormat="1" spans="1:15">
      <c r="A2737" s="1" t="str">
        <f t="shared" si="1630"/>
        <v>202406</v>
      </c>
      <c r="B2737" s="1" t="str">
        <f t="shared" si="1631"/>
        <v>150525100</v>
      </c>
      <c r="C2737" s="1" t="str">
        <f>"1014572590"</f>
        <v>1014572590</v>
      </c>
      <c r="D2737" s="1" t="str">
        <f>"152326195604240919"</f>
        <v>152326195604240919</v>
      </c>
      <c r="E2737" s="1" t="s">
        <v>2815</v>
      </c>
      <c r="F2737" s="1" t="s">
        <v>25</v>
      </c>
      <c r="G2737" s="1" t="s">
        <v>19</v>
      </c>
      <c r="H2737" s="1" t="str">
        <f>"68"</f>
        <v>68</v>
      </c>
      <c r="I2737" s="1" t="str">
        <f>"155.53"</f>
        <v>155.53</v>
      </c>
      <c r="J2737" s="1" t="str">
        <f t="shared" si="1634"/>
        <v>0</v>
      </c>
      <c r="K2737" s="1" t="str">
        <f t="shared" si="1635"/>
        <v>103</v>
      </c>
      <c r="L2737" s="1" t="str">
        <f t="shared" si="1636"/>
        <v>47</v>
      </c>
      <c r="M2737" s="1" t="str">
        <f t="shared" si="1628"/>
        <v>0</v>
      </c>
      <c r="N2737" s="1" t="str">
        <f t="shared" si="1629"/>
        <v>0</v>
      </c>
      <c r="O2737" s="1" t="str">
        <f>"5.53"</f>
        <v>5.53</v>
      </c>
    </row>
    <row r="2738" s="1" customFormat="1" spans="1:15">
      <c r="A2738" s="1" t="str">
        <f t="shared" si="1630"/>
        <v>202406</v>
      </c>
      <c r="B2738" s="1" t="str">
        <f t="shared" si="1631"/>
        <v>150525100</v>
      </c>
      <c r="C2738" s="1" t="str">
        <f>"1014572598"</f>
        <v>1014572598</v>
      </c>
      <c r="D2738" s="1" t="str">
        <f>"152326195701080929"</f>
        <v>152326195701080929</v>
      </c>
      <c r="E2738" s="1" t="s">
        <v>2816</v>
      </c>
      <c r="F2738" s="1" t="s">
        <v>16</v>
      </c>
      <c r="G2738" s="1" t="s">
        <v>19</v>
      </c>
      <c r="H2738" s="1" t="str">
        <f>"67"</f>
        <v>67</v>
      </c>
      <c r="I2738" s="1" t="str">
        <f>"155.78"</f>
        <v>155.78</v>
      </c>
      <c r="J2738" s="1" t="str">
        <f t="shared" si="1634"/>
        <v>0</v>
      </c>
      <c r="K2738" s="1" t="str">
        <f t="shared" si="1635"/>
        <v>103</v>
      </c>
      <c r="L2738" s="1" t="str">
        <f t="shared" si="1636"/>
        <v>47</v>
      </c>
      <c r="M2738" s="1" t="str">
        <f t="shared" si="1628"/>
        <v>0</v>
      </c>
      <c r="N2738" s="1" t="str">
        <f t="shared" si="1629"/>
        <v>0</v>
      </c>
      <c r="O2738" s="1" t="str">
        <f>"5.78"</f>
        <v>5.78</v>
      </c>
    </row>
    <row r="2739" s="1" customFormat="1" spans="1:15">
      <c r="A2739" s="1" t="str">
        <f t="shared" si="1630"/>
        <v>202406</v>
      </c>
      <c r="B2739" s="1" t="str">
        <f t="shared" si="1631"/>
        <v>150525100</v>
      </c>
      <c r="C2739" s="1" t="str">
        <f>"1014552573"</f>
        <v>1014552573</v>
      </c>
      <c r="D2739" s="1" t="str">
        <f>"152326195411163822"</f>
        <v>152326195411163822</v>
      </c>
      <c r="E2739" s="1" t="s">
        <v>2817</v>
      </c>
      <c r="F2739" s="1" t="s">
        <v>16</v>
      </c>
      <c r="G2739" s="1" t="s">
        <v>17</v>
      </c>
      <c r="H2739" s="1" t="str">
        <f>"70"</f>
        <v>70</v>
      </c>
      <c r="I2739" s="1" t="str">
        <f>"164.17"</f>
        <v>164.17</v>
      </c>
      <c r="J2739" s="1" t="str">
        <f t="shared" si="1634"/>
        <v>0</v>
      </c>
      <c r="K2739" s="1" t="str">
        <f t="shared" si="1635"/>
        <v>103</v>
      </c>
      <c r="L2739" s="1" t="str">
        <f t="shared" si="1636"/>
        <v>47</v>
      </c>
      <c r="M2739" s="1" t="str">
        <f t="shared" si="1628"/>
        <v>0</v>
      </c>
      <c r="N2739" s="1" t="str">
        <f t="shared" si="1629"/>
        <v>0</v>
      </c>
      <c r="O2739" s="1" t="str">
        <f>"14.17"</f>
        <v>14.17</v>
      </c>
    </row>
    <row r="2740" s="1" customFormat="1" spans="1:15">
      <c r="A2740" s="1" t="str">
        <f t="shared" si="1630"/>
        <v>202406</v>
      </c>
      <c r="B2740" s="1" t="str">
        <f t="shared" si="1631"/>
        <v>150525100</v>
      </c>
      <c r="C2740" s="1" t="str">
        <f>"1014552575"</f>
        <v>1014552575</v>
      </c>
      <c r="D2740" s="1" t="str">
        <f>"152326195201283818"</f>
        <v>152326195201283818</v>
      </c>
      <c r="E2740" s="1" t="s">
        <v>2818</v>
      </c>
      <c r="F2740" s="1" t="s">
        <v>25</v>
      </c>
      <c r="G2740" s="1" t="s">
        <v>17</v>
      </c>
      <c r="H2740" s="1" t="str">
        <f>"72"</f>
        <v>72</v>
      </c>
      <c r="I2740" s="1" t="str">
        <f>"176.28"</f>
        <v>176.28</v>
      </c>
      <c r="J2740" s="1" t="str">
        <f t="shared" si="1634"/>
        <v>0</v>
      </c>
      <c r="K2740" s="1" t="str">
        <f t="shared" si="1635"/>
        <v>103</v>
      </c>
      <c r="L2740" s="1" t="str">
        <f t="shared" si="1636"/>
        <v>47</v>
      </c>
      <c r="M2740" s="1" t="str">
        <f t="shared" si="1628"/>
        <v>0</v>
      </c>
      <c r="N2740" s="1" t="str">
        <f t="shared" si="1629"/>
        <v>0</v>
      </c>
      <c r="O2740" s="1" t="str">
        <f>"16.28"</f>
        <v>16.28</v>
      </c>
    </row>
    <row r="2741" s="1" customFormat="1" spans="1:15">
      <c r="A2741" s="1" t="str">
        <f t="shared" si="1630"/>
        <v>202406</v>
      </c>
      <c r="B2741" s="1" t="str">
        <f t="shared" si="1631"/>
        <v>150525100</v>
      </c>
      <c r="C2741" s="1" t="str">
        <f>"1014548335"</f>
        <v>1014548335</v>
      </c>
      <c r="D2741" s="1" t="str">
        <f>"152326195204120686"</f>
        <v>152326195204120686</v>
      </c>
      <c r="E2741" s="1" t="s">
        <v>2819</v>
      </c>
      <c r="F2741" s="1" t="s">
        <v>16</v>
      </c>
      <c r="G2741" s="1" t="s">
        <v>17</v>
      </c>
      <c r="H2741" s="1" t="str">
        <f>"72"</f>
        <v>72</v>
      </c>
      <c r="I2741" s="1" t="str">
        <f>"162.15"</f>
        <v>162.15</v>
      </c>
      <c r="J2741" s="1" t="str">
        <f t="shared" si="1634"/>
        <v>0</v>
      </c>
      <c r="K2741" s="1" t="str">
        <f t="shared" si="1635"/>
        <v>103</v>
      </c>
      <c r="L2741" s="1" t="str">
        <f t="shared" si="1636"/>
        <v>47</v>
      </c>
      <c r="M2741" s="1" t="str">
        <f t="shared" si="1628"/>
        <v>0</v>
      </c>
      <c r="N2741" s="1" t="str">
        <f t="shared" si="1629"/>
        <v>0</v>
      </c>
      <c r="O2741" s="1" t="str">
        <f>"2.15"</f>
        <v>2.15</v>
      </c>
    </row>
    <row r="2742" s="1" customFormat="1" spans="1:15">
      <c r="A2742" s="1" t="str">
        <f t="shared" si="1630"/>
        <v>202406</v>
      </c>
      <c r="B2742" s="1" t="str">
        <f t="shared" si="1631"/>
        <v>150525100</v>
      </c>
      <c r="C2742" s="1" t="str">
        <f>"1014570209"</f>
        <v>1014570209</v>
      </c>
      <c r="D2742" s="1" t="str">
        <f>"152326195801073830"</f>
        <v>152326195801073830</v>
      </c>
      <c r="E2742" s="1" t="s">
        <v>2820</v>
      </c>
      <c r="F2742" s="1" t="s">
        <v>25</v>
      </c>
      <c r="G2742" s="1" t="s">
        <v>19</v>
      </c>
      <c r="H2742" s="1" t="str">
        <f>"67"</f>
        <v>67</v>
      </c>
      <c r="I2742" s="1" t="str">
        <f>"157.07"</f>
        <v>157.07</v>
      </c>
      <c r="J2742" s="1" t="str">
        <f t="shared" si="1634"/>
        <v>0</v>
      </c>
      <c r="K2742" s="1" t="str">
        <f t="shared" si="1635"/>
        <v>103</v>
      </c>
      <c r="L2742" s="1" t="str">
        <f t="shared" si="1636"/>
        <v>47</v>
      </c>
      <c r="M2742" s="1" t="str">
        <f t="shared" si="1628"/>
        <v>0</v>
      </c>
      <c r="N2742" s="1" t="str">
        <f t="shared" si="1629"/>
        <v>0</v>
      </c>
      <c r="O2742" s="1" t="str">
        <f>"7.07"</f>
        <v>7.07</v>
      </c>
    </row>
    <row r="2743" s="1" customFormat="1" spans="1:15">
      <c r="A2743" s="1" t="str">
        <f t="shared" si="1630"/>
        <v>202406</v>
      </c>
      <c r="B2743" s="1" t="str">
        <f t="shared" si="1631"/>
        <v>150525100</v>
      </c>
      <c r="C2743" s="1" t="str">
        <f>"1014570224"</f>
        <v>1014570224</v>
      </c>
      <c r="D2743" s="1" t="str">
        <f>"152326196205273822"</f>
        <v>152326196205273822</v>
      </c>
      <c r="E2743" s="1" t="s">
        <v>2821</v>
      </c>
      <c r="F2743" s="1" t="s">
        <v>16</v>
      </c>
      <c r="G2743" s="1" t="s">
        <v>19</v>
      </c>
      <c r="H2743" s="1" t="str">
        <f>"62"</f>
        <v>62</v>
      </c>
      <c r="I2743" s="1" t="str">
        <f>"164.25"</f>
        <v>164.25</v>
      </c>
      <c r="J2743" s="1" t="str">
        <f t="shared" si="1634"/>
        <v>0</v>
      </c>
      <c r="K2743" s="1" t="str">
        <f t="shared" si="1635"/>
        <v>103</v>
      </c>
      <c r="L2743" s="1" t="str">
        <f t="shared" si="1636"/>
        <v>47</v>
      </c>
      <c r="M2743" s="1" t="str">
        <f t="shared" si="1628"/>
        <v>0</v>
      </c>
      <c r="N2743" s="1" t="str">
        <f t="shared" si="1629"/>
        <v>0</v>
      </c>
      <c r="O2743" s="1" t="str">
        <f>"14.25"</f>
        <v>14.25</v>
      </c>
    </row>
    <row r="2744" s="1" customFormat="1" spans="1:15">
      <c r="A2744" s="1" t="str">
        <f t="shared" si="1630"/>
        <v>202406</v>
      </c>
      <c r="B2744" s="1" t="str">
        <f t="shared" si="1631"/>
        <v>150525100</v>
      </c>
      <c r="C2744" s="1" t="str">
        <f>"1014572475"</f>
        <v>1014572475</v>
      </c>
      <c r="D2744" s="1" t="str">
        <f>"152326195402190925"</f>
        <v>152326195402190925</v>
      </c>
      <c r="E2744" s="1" t="s">
        <v>2822</v>
      </c>
      <c r="F2744" s="1" t="s">
        <v>16</v>
      </c>
      <c r="G2744" s="1" t="s">
        <v>19</v>
      </c>
      <c r="H2744" s="1" t="str">
        <f>"70"</f>
        <v>70</v>
      </c>
      <c r="I2744" s="1" t="str">
        <f>"163.16"</f>
        <v>163.16</v>
      </c>
      <c r="J2744" s="1" t="str">
        <f t="shared" si="1634"/>
        <v>0</v>
      </c>
      <c r="K2744" s="1" t="str">
        <f t="shared" si="1635"/>
        <v>103</v>
      </c>
      <c r="L2744" s="1" t="str">
        <f t="shared" si="1636"/>
        <v>47</v>
      </c>
      <c r="M2744" s="1" t="str">
        <f t="shared" si="1628"/>
        <v>0</v>
      </c>
      <c r="N2744" s="1" t="str">
        <f t="shared" si="1629"/>
        <v>0</v>
      </c>
      <c r="O2744" s="1" t="str">
        <f>"3.16"</f>
        <v>3.16</v>
      </c>
    </row>
    <row r="2745" s="1" customFormat="1" spans="1:15">
      <c r="A2745" s="1" t="str">
        <f t="shared" si="1630"/>
        <v>202406</v>
      </c>
      <c r="B2745" s="1" t="str">
        <f t="shared" si="1631"/>
        <v>150525100</v>
      </c>
      <c r="C2745" s="1" t="str">
        <f>"1014572637"</f>
        <v>1014572637</v>
      </c>
      <c r="D2745" s="1" t="str">
        <f>"152326195305210015"</f>
        <v>152326195305210015</v>
      </c>
      <c r="E2745" s="1" t="s">
        <v>2823</v>
      </c>
      <c r="F2745" s="1" t="s">
        <v>25</v>
      </c>
      <c r="G2745" s="1" t="s">
        <v>17</v>
      </c>
      <c r="H2745" s="1" t="str">
        <f>"71"</f>
        <v>71</v>
      </c>
      <c r="I2745" s="1" t="str">
        <f>"163.16"</f>
        <v>163.16</v>
      </c>
      <c r="J2745" s="1" t="str">
        <f t="shared" si="1634"/>
        <v>0</v>
      </c>
      <c r="K2745" s="1" t="str">
        <f t="shared" si="1635"/>
        <v>103</v>
      </c>
      <c r="L2745" s="1" t="str">
        <f t="shared" si="1636"/>
        <v>47</v>
      </c>
      <c r="M2745" s="1" t="str">
        <f t="shared" si="1628"/>
        <v>0</v>
      </c>
      <c r="N2745" s="1" t="str">
        <f t="shared" si="1629"/>
        <v>0</v>
      </c>
      <c r="O2745" s="1" t="str">
        <f>"3.16"</f>
        <v>3.16</v>
      </c>
    </row>
    <row r="2746" s="1" customFormat="1" spans="1:15">
      <c r="A2746" s="1" t="str">
        <f t="shared" si="1630"/>
        <v>202406</v>
      </c>
      <c r="B2746" s="1" t="str">
        <f t="shared" si="1631"/>
        <v>150525100</v>
      </c>
      <c r="C2746" s="1" t="str">
        <f>"1014644470"</f>
        <v>1014644470</v>
      </c>
      <c r="D2746" s="1" t="str">
        <f>"152326195504130667"</f>
        <v>152326195504130667</v>
      </c>
      <c r="E2746" s="1" t="s">
        <v>2824</v>
      </c>
      <c r="F2746" s="1" t="s">
        <v>16</v>
      </c>
      <c r="G2746" s="1" t="s">
        <v>17</v>
      </c>
      <c r="H2746" s="1" t="str">
        <f>"69"</f>
        <v>69</v>
      </c>
      <c r="I2746" s="1" t="str">
        <f>"154.85"</f>
        <v>154.85</v>
      </c>
      <c r="J2746" s="1" t="str">
        <f t="shared" si="1634"/>
        <v>0</v>
      </c>
      <c r="K2746" s="1" t="str">
        <f t="shared" si="1635"/>
        <v>103</v>
      </c>
      <c r="L2746" s="1" t="str">
        <f t="shared" si="1636"/>
        <v>47</v>
      </c>
      <c r="M2746" s="1" t="str">
        <f t="shared" si="1628"/>
        <v>0</v>
      </c>
      <c r="N2746" s="1" t="str">
        <f t="shared" si="1629"/>
        <v>0</v>
      </c>
      <c r="O2746" s="1" t="str">
        <f>"4.85"</f>
        <v>4.85</v>
      </c>
    </row>
    <row r="2747" s="1" customFormat="1" spans="1:15">
      <c r="A2747" s="1" t="str">
        <f t="shared" si="1630"/>
        <v>202406</v>
      </c>
      <c r="B2747" s="1" t="str">
        <f t="shared" si="1631"/>
        <v>150525100</v>
      </c>
      <c r="C2747" s="1" t="str">
        <f>"1014567724"</f>
        <v>1014567724</v>
      </c>
      <c r="D2747" s="1" t="str">
        <f>"152326196109193814"</f>
        <v>152326196109193814</v>
      </c>
      <c r="E2747" s="1" t="s">
        <v>2825</v>
      </c>
      <c r="F2747" s="1" t="s">
        <v>25</v>
      </c>
      <c r="G2747" s="1" t="s">
        <v>17</v>
      </c>
      <c r="H2747" s="1" t="str">
        <f>"63"</f>
        <v>63</v>
      </c>
      <c r="I2747" s="1" t="str">
        <f>"161.12"</f>
        <v>161.12</v>
      </c>
      <c r="J2747" s="1" t="str">
        <f t="shared" si="1634"/>
        <v>0</v>
      </c>
      <c r="K2747" s="1" t="str">
        <f t="shared" si="1635"/>
        <v>103</v>
      </c>
      <c r="L2747" s="1" t="str">
        <f t="shared" si="1636"/>
        <v>47</v>
      </c>
      <c r="M2747" s="1" t="str">
        <f t="shared" si="1628"/>
        <v>0</v>
      </c>
      <c r="N2747" s="1" t="str">
        <f t="shared" si="1629"/>
        <v>0</v>
      </c>
      <c r="O2747" s="1" t="str">
        <f>"11.12"</f>
        <v>11.12</v>
      </c>
    </row>
    <row r="2748" s="1" customFormat="1" spans="1:15">
      <c r="A2748" s="1" t="str">
        <f t="shared" si="1630"/>
        <v>202406</v>
      </c>
      <c r="B2748" s="1" t="str">
        <f t="shared" si="1631"/>
        <v>150525100</v>
      </c>
      <c r="C2748" s="1" t="str">
        <f>"1014568755"</f>
        <v>1014568755</v>
      </c>
      <c r="D2748" s="1" t="str">
        <f>"152326196210253818"</f>
        <v>152326196210253818</v>
      </c>
      <c r="E2748" s="1" t="s">
        <v>2826</v>
      </c>
      <c r="F2748" s="1" t="s">
        <v>25</v>
      </c>
      <c r="G2748" s="1" t="s">
        <v>19</v>
      </c>
      <c r="H2748" s="1" t="str">
        <f>"62"</f>
        <v>62</v>
      </c>
      <c r="I2748" s="1" t="str">
        <f>"163.15"</f>
        <v>163.15</v>
      </c>
      <c r="J2748" s="1" t="str">
        <f t="shared" si="1634"/>
        <v>0</v>
      </c>
      <c r="K2748" s="1" t="str">
        <f t="shared" si="1635"/>
        <v>103</v>
      </c>
      <c r="L2748" s="1" t="str">
        <f t="shared" si="1636"/>
        <v>47</v>
      </c>
      <c r="M2748" s="1" t="str">
        <f t="shared" si="1628"/>
        <v>0</v>
      </c>
      <c r="N2748" s="1" t="str">
        <f t="shared" si="1629"/>
        <v>0</v>
      </c>
      <c r="O2748" s="1" t="str">
        <f>"13.15"</f>
        <v>13.15</v>
      </c>
    </row>
    <row r="2749" s="1" customFormat="1" spans="1:15">
      <c r="A2749" s="1" t="str">
        <f t="shared" si="1630"/>
        <v>202406</v>
      </c>
      <c r="B2749" s="1" t="str">
        <f t="shared" si="1631"/>
        <v>150525100</v>
      </c>
      <c r="C2749" s="1" t="str">
        <f>"1014562799"</f>
        <v>1014562799</v>
      </c>
      <c r="D2749" s="1" t="str">
        <f>"152326195905200427"</f>
        <v>152326195905200427</v>
      </c>
      <c r="E2749" s="1" t="s">
        <v>1247</v>
      </c>
      <c r="F2749" s="1" t="s">
        <v>16</v>
      </c>
      <c r="G2749" s="1" t="s">
        <v>17</v>
      </c>
      <c r="H2749" s="1" t="str">
        <f>"65"</f>
        <v>65</v>
      </c>
      <c r="I2749" s="1" t="str">
        <f>"158.17"</f>
        <v>158.17</v>
      </c>
      <c r="J2749" s="1" t="str">
        <f t="shared" si="1634"/>
        <v>0</v>
      </c>
      <c r="K2749" s="1" t="str">
        <f t="shared" si="1635"/>
        <v>103</v>
      </c>
      <c r="L2749" s="1" t="str">
        <f t="shared" si="1636"/>
        <v>47</v>
      </c>
      <c r="M2749" s="1" t="str">
        <f t="shared" si="1628"/>
        <v>0</v>
      </c>
      <c r="N2749" s="1" t="str">
        <f t="shared" si="1629"/>
        <v>0</v>
      </c>
      <c r="O2749" s="1" t="str">
        <f>"8.17"</f>
        <v>8.17</v>
      </c>
    </row>
    <row r="2750" s="1" customFormat="1" spans="1:15">
      <c r="A2750" s="1" t="str">
        <f t="shared" si="1630"/>
        <v>202406</v>
      </c>
      <c r="B2750" s="1" t="str">
        <f t="shared" si="1631"/>
        <v>150525100</v>
      </c>
      <c r="C2750" s="1" t="str">
        <f>"1014562809"</f>
        <v>1014562809</v>
      </c>
      <c r="D2750" s="1" t="str">
        <f>"152326195601020427"</f>
        <v>152326195601020427</v>
      </c>
      <c r="E2750" s="1" t="s">
        <v>202</v>
      </c>
      <c r="F2750" s="1" t="s">
        <v>16</v>
      </c>
      <c r="G2750" s="1" t="s">
        <v>17</v>
      </c>
      <c r="H2750" s="1" t="str">
        <f>"69"</f>
        <v>69</v>
      </c>
      <c r="I2750" s="1" t="str">
        <f>"155.97"</f>
        <v>155.97</v>
      </c>
      <c r="J2750" s="1" t="str">
        <f t="shared" si="1634"/>
        <v>0</v>
      </c>
      <c r="K2750" s="1" t="str">
        <f t="shared" si="1635"/>
        <v>103</v>
      </c>
      <c r="L2750" s="1" t="str">
        <f t="shared" si="1636"/>
        <v>47</v>
      </c>
      <c r="M2750" s="1" t="str">
        <f t="shared" si="1628"/>
        <v>0</v>
      </c>
      <c r="N2750" s="1" t="str">
        <f t="shared" si="1629"/>
        <v>0</v>
      </c>
      <c r="O2750" s="1" t="str">
        <f>"5.97"</f>
        <v>5.97</v>
      </c>
    </row>
    <row r="2751" s="1" customFormat="1" spans="1:15">
      <c r="A2751" s="1" t="str">
        <f t="shared" si="1630"/>
        <v>202406</v>
      </c>
      <c r="B2751" s="1" t="str">
        <f t="shared" si="1631"/>
        <v>150525100</v>
      </c>
      <c r="C2751" s="1" t="str">
        <f>"1014562823"</f>
        <v>1014562823</v>
      </c>
      <c r="D2751" s="1" t="str">
        <f>"152326196311140425"</f>
        <v>152326196311140425</v>
      </c>
      <c r="E2751" s="1" t="s">
        <v>2827</v>
      </c>
      <c r="F2751" s="1" t="s">
        <v>16</v>
      </c>
      <c r="G2751" s="1" t="s">
        <v>17</v>
      </c>
      <c r="H2751" s="1" t="str">
        <f t="shared" ref="H2751:H2756" si="1640">"61"</f>
        <v>61</v>
      </c>
      <c r="I2751" s="1" t="str">
        <f>"166.56"</f>
        <v>166.56</v>
      </c>
      <c r="J2751" s="1" t="str">
        <f t="shared" si="1634"/>
        <v>0</v>
      </c>
      <c r="K2751" s="1" t="str">
        <f t="shared" si="1635"/>
        <v>103</v>
      </c>
      <c r="L2751" s="1" t="str">
        <f t="shared" si="1636"/>
        <v>47</v>
      </c>
      <c r="M2751" s="1" t="str">
        <f t="shared" si="1628"/>
        <v>0</v>
      </c>
      <c r="N2751" s="1" t="str">
        <f t="shared" si="1629"/>
        <v>0</v>
      </c>
      <c r="O2751" s="1" t="str">
        <f>"16.56"</f>
        <v>16.56</v>
      </c>
    </row>
    <row r="2752" s="1" customFormat="1" spans="1:15">
      <c r="A2752" s="1" t="str">
        <f t="shared" si="1630"/>
        <v>202406</v>
      </c>
      <c r="B2752" s="1" t="str">
        <f t="shared" si="1631"/>
        <v>150525100</v>
      </c>
      <c r="C2752" s="1" t="str">
        <f>"1014562825"</f>
        <v>1014562825</v>
      </c>
      <c r="D2752" s="1" t="str">
        <f>"152326196212010422"</f>
        <v>152326196212010422</v>
      </c>
      <c r="E2752" s="1" t="s">
        <v>2828</v>
      </c>
      <c r="F2752" s="1" t="s">
        <v>16</v>
      </c>
      <c r="G2752" s="1" t="s">
        <v>17</v>
      </c>
      <c r="H2752" s="1" t="str">
        <f>"62"</f>
        <v>62</v>
      </c>
      <c r="I2752" s="1" t="str">
        <f>"163.22"</f>
        <v>163.22</v>
      </c>
      <c r="J2752" s="1" t="str">
        <f t="shared" si="1634"/>
        <v>0</v>
      </c>
      <c r="K2752" s="1" t="str">
        <f t="shared" si="1635"/>
        <v>103</v>
      </c>
      <c r="L2752" s="1" t="str">
        <f t="shared" si="1636"/>
        <v>47</v>
      </c>
      <c r="M2752" s="1" t="str">
        <f t="shared" si="1628"/>
        <v>0</v>
      </c>
      <c r="N2752" s="1" t="str">
        <f t="shared" si="1629"/>
        <v>0</v>
      </c>
      <c r="O2752" s="1" t="str">
        <f>"13.22"</f>
        <v>13.22</v>
      </c>
    </row>
    <row r="2753" s="1" customFormat="1" spans="1:15">
      <c r="A2753" s="1" t="str">
        <f t="shared" si="1630"/>
        <v>202406</v>
      </c>
      <c r="B2753" s="1" t="str">
        <f t="shared" si="1631"/>
        <v>150525100</v>
      </c>
      <c r="C2753" s="1" t="str">
        <f>"1014562826"</f>
        <v>1014562826</v>
      </c>
      <c r="D2753" s="1" t="str">
        <f>"152326196308050410"</f>
        <v>152326196308050410</v>
      </c>
      <c r="E2753" s="1" t="s">
        <v>2829</v>
      </c>
      <c r="F2753" s="1" t="s">
        <v>25</v>
      </c>
      <c r="G2753" s="1" t="s">
        <v>17</v>
      </c>
      <c r="H2753" s="1" t="str">
        <f t="shared" si="1640"/>
        <v>61</v>
      </c>
      <c r="I2753" s="1" t="str">
        <f>"166.81"</f>
        <v>166.81</v>
      </c>
      <c r="J2753" s="1" t="str">
        <f t="shared" si="1634"/>
        <v>0</v>
      </c>
      <c r="K2753" s="1" t="str">
        <f t="shared" si="1635"/>
        <v>103</v>
      </c>
      <c r="L2753" s="1" t="str">
        <f t="shared" si="1636"/>
        <v>47</v>
      </c>
      <c r="M2753" s="1" t="str">
        <f t="shared" ref="M2753:M2816" si="1641">"0"</f>
        <v>0</v>
      </c>
      <c r="N2753" s="1" t="str">
        <f t="shared" ref="N2753:N2816" si="1642">"0"</f>
        <v>0</v>
      </c>
      <c r="O2753" s="1" t="str">
        <f>"16.81"</f>
        <v>16.81</v>
      </c>
    </row>
    <row r="2754" s="1" customFormat="1" spans="1:15">
      <c r="A2754" s="1" t="str">
        <f t="shared" ref="A2754:A2817" si="1643">"202406"</f>
        <v>202406</v>
      </c>
      <c r="B2754" s="1" t="str">
        <f t="shared" ref="B2754:B2817" si="1644">"150525100"</f>
        <v>150525100</v>
      </c>
      <c r="C2754" s="1" t="str">
        <f>"1014584008"</f>
        <v>1014584008</v>
      </c>
      <c r="D2754" s="1" t="str">
        <f>"152326195701050420"</f>
        <v>152326195701050420</v>
      </c>
      <c r="E2754" s="1" t="s">
        <v>2830</v>
      </c>
      <c r="F2754" s="1" t="s">
        <v>16</v>
      </c>
      <c r="G2754" s="1" t="s">
        <v>17</v>
      </c>
      <c r="H2754" s="1" t="str">
        <f>"68"</f>
        <v>68</v>
      </c>
      <c r="I2754" s="1" t="str">
        <f>"156.02"</f>
        <v>156.02</v>
      </c>
      <c r="J2754" s="1" t="str">
        <f t="shared" si="1634"/>
        <v>0</v>
      </c>
      <c r="K2754" s="1" t="str">
        <f t="shared" si="1635"/>
        <v>103</v>
      </c>
      <c r="L2754" s="1" t="str">
        <f t="shared" si="1636"/>
        <v>47</v>
      </c>
      <c r="M2754" s="1" t="str">
        <f t="shared" si="1641"/>
        <v>0</v>
      </c>
      <c r="N2754" s="1" t="str">
        <f t="shared" si="1642"/>
        <v>0</v>
      </c>
      <c r="O2754" s="1" t="str">
        <f>"6.02"</f>
        <v>6.02</v>
      </c>
    </row>
    <row r="2755" s="1" customFormat="1" spans="1:15">
      <c r="A2755" s="1" t="str">
        <f t="shared" si="1643"/>
        <v>202406</v>
      </c>
      <c r="B2755" s="1" t="str">
        <f t="shared" si="1644"/>
        <v>150525100</v>
      </c>
      <c r="C2755" s="1" t="str">
        <f>"1014584340"</f>
        <v>1014584340</v>
      </c>
      <c r="D2755" s="1" t="str">
        <f>"152326195201260421"</f>
        <v>152326195201260421</v>
      </c>
      <c r="E2755" s="1" t="s">
        <v>2831</v>
      </c>
      <c r="F2755" s="1" t="s">
        <v>16</v>
      </c>
      <c r="G2755" s="1" t="s">
        <v>17</v>
      </c>
      <c r="H2755" s="1" t="str">
        <f t="shared" ref="H2755:H2761" si="1645">"72"</f>
        <v>72</v>
      </c>
      <c r="I2755" s="1" t="str">
        <f>"162.14"</f>
        <v>162.14</v>
      </c>
      <c r="J2755" s="1" t="str">
        <f t="shared" si="1634"/>
        <v>0</v>
      </c>
      <c r="K2755" s="1" t="str">
        <f t="shared" si="1635"/>
        <v>103</v>
      </c>
      <c r="L2755" s="1" t="str">
        <f t="shared" si="1636"/>
        <v>47</v>
      </c>
      <c r="M2755" s="1" t="str">
        <f t="shared" si="1641"/>
        <v>0</v>
      </c>
      <c r="N2755" s="1" t="str">
        <f t="shared" si="1642"/>
        <v>0</v>
      </c>
      <c r="O2755" s="1" t="str">
        <f>"2.14"</f>
        <v>2.14</v>
      </c>
    </row>
    <row r="2756" s="1" customFormat="1" spans="1:15">
      <c r="A2756" s="1" t="str">
        <f t="shared" si="1643"/>
        <v>202406</v>
      </c>
      <c r="B2756" s="1" t="str">
        <f t="shared" si="1644"/>
        <v>150525100</v>
      </c>
      <c r="C2756" s="1" t="str">
        <f>"1014550419"</f>
        <v>1014550419</v>
      </c>
      <c r="D2756" s="1" t="str">
        <f>"152326196312260672"</f>
        <v>152326196312260672</v>
      </c>
      <c r="E2756" s="1" t="s">
        <v>2832</v>
      </c>
      <c r="F2756" s="1" t="s">
        <v>25</v>
      </c>
      <c r="G2756" s="1" t="s">
        <v>17</v>
      </c>
      <c r="H2756" s="1" t="str">
        <f t="shared" si="1640"/>
        <v>61</v>
      </c>
      <c r="I2756" s="1" t="str">
        <f>"165.14"</f>
        <v>165.14</v>
      </c>
      <c r="J2756" s="1" t="str">
        <f t="shared" si="1634"/>
        <v>0</v>
      </c>
      <c r="K2756" s="1" t="str">
        <f t="shared" si="1635"/>
        <v>103</v>
      </c>
      <c r="L2756" s="1" t="str">
        <f t="shared" si="1636"/>
        <v>47</v>
      </c>
      <c r="M2756" s="1" t="str">
        <f t="shared" si="1641"/>
        <v>0</v>
      </c>
      <c r="N2756" s="1" t="str">
        <f t="shared" si="1642"/>
        <v>0</v>
      </c>
      <c r="O2756" s="1" t="str">
        <f>"15.14"</f>
        <v>15.14</v>
      </c>
    </row>
    <row r="2757" s="1" customFormat="1" spans="1:15">
      <c r="A2757" s="1" t="str">
        <f t="shared" si="1643"/>
        <v>202406</v>
      </c>
      <c r="B2757" s="1" t="str">
        <f t="shared" si="1644"/>
        <v>150525100</v>
      </c>
      <c r="C2757" s="1" t="str">
        <f>"1014584446"</f>
        <v>1014584446</v>
      </c>
      <c r="D2757" s="1" t="str">
        <f>"152326195212090413"</f>
        <v>152326195212090413</v>
      </c>
      <c r="E2757" s="1" t="s">
        <v>2833</v>
      </c>
      <c r="F2757" s="1" t="s">
        <v>25</v>
      </c>
      <c r="G2757" s="1" t="s">
        <v>17</v>
      </c>
      <c r="H2757" s="1" t="str">
        <f t="shared" si="1645"/>
        <v>72</v>
      </c>
      <c r="I2757" s="1" t="str">
        <f>"162.14"</f>
        <v>162.14</v>
      </c>
      <c r="J2757" s="1" t="str">
        <f t="shared" si="1634"/>
        <v>0</v>
      </c>
      <c r="K2757" s="1" t="str">
        <f t="shared" si="1635"/>
        <v>103</v>
      </c>
      <c r="L2757" s="1" t="str">
        <f t="shared" si="1636"/>
        <v>47</v>
      </c>
      <c r="M2757" s="1" t="str">
        <f t="shared" si="1641"/>
        <v>0</v>
      </c>
      <c r="N2757" s="1" t="str">
        <f t="shared" si="1642"/>
        <v>0</v>
      </c>
      <c r="O2757" s="1" t="str">
        <f>"2.14"</f>
        <v>2.14</v>
      </c>
    </row>
    <row r="2758" s="1" customFormat="1" spans="1:15">
      <c r="A2758" s="1" t="str">
        <f t="shared" si="1643"/>
        <v>202406</v>
      </c>
      <c r="B2758" s="1" t="str">
        <f t="shared" si="1644"/>
        <v>150525100</v>
      </c>
      <c r="C2758" s="1" t="str">
        <f>"1014584948"</f>
        <v>1014584948</v>
      </c>
      <c r="D2758" s="1" t="str">
        <f>"152326195311250419"</f>
        <v>152326195311250419</v>
      </c>
      <c r="E2758" s="1" t="s">
        <v>2834</v>
      </c>
      <c r="F2758" s="1" t="s">
        <v>25</v>
      </c>
      <c r="G2758" s="1" t="s">
        <v>17</v>
      </c>
      <c r="H2758" s="1" t="str">
        <f>"71"</f>
        <v>71</v>
      </c>
      <c r="I2758" s="1" t="str">
        <f>"163.16"</f>
        <v>163.16</v>
      </c>
      <c r="J2758" s="1" t="str">
        <f t="shared" si="1634"/>
        <v>0</v>
      </c>
      <c r="K2758" s="1" t="str">
        <f t="shared" si="1635"/>
        <v>103</v>
      </c>
      <c r="L2758" s="1" t="str">
        <f t="shared" si="1636"/>
        <v>47</v>
      </c>
      <c r="M2758" s="1" t="str">
        <f t="shared" si="1641"/>
        <v>0</v>
      </c>
      <c r="N2758" s="1" t="str">
        <f t="shared" si="1642"/>
        <v>0</v>
      </c>
      <c r="O2758" s="1" t="str">
        <f>"3.16"</f>
        <v>3.16</v>
      </c>
    </row>
    <row r="2759" s="1" customFormat="1" spans="1:15">
      <c r="A2759" s="1" t="str">
        <f t="shared" si="1643"/>
        <v>202406</v>
      </c>
      <c r="B2759" s="1" t="str">
        <f t="shared" si="1644"/>
        <v>150525100</v>
      </c>
      <c r="C2759" s="1" t="str">
        <f>"1014567759"</f>
        <v>1014567759</v>
      </c>
      <c r="D2759" s="1" t="str">
        <f>"152326195708043821"</f>
        <v>152326195708043821</v>
      </c>
      <c r="E2759" s="1" t="s">
        <v>2835</v>
      </c>
      <c r="F2759" s="1" t="s">
        <v>16</v>
      </c>
      <c r="G2759" s="1" t="s">
        <v>17</v>
      </c>
      <c r="H2759" s="1" t="str">
        <f>"67"</f>
        <v>67</v>
      </c>
      <c r="I2759" s="1" t="str">
        <f>"156.09"</f>
        <v>156.09</v>
      </c>
      <c r="J2759" s="1" t="str">
        <f t="shared" si="1634"/>
        <v>0</v>
      </c>
      <c r="K2759" s="1" t="str">
        <f t="shared" si="1635"/>
        <v>103</v>
      </c>
      <c r="L2759" s="1" t="str">
        <f t="shared" si="1636"/>
        <v>47</v>
      </c>
      <c r="M2759" s="1" t="str">
        <f t="shared" si="1641"/>
        <v>0</v>
      </c>
      <c r="N2759" s="1" t="str">
        <f t="shared" si="1642"/>
        <v>0</v>
      </c>
      <c r="O2759" s="1" t="str">
        <f>"6.09"</f>
        <v>6.09</v>
      </c>
    </row>
    <row r="2760" s="1" customFormat="1" spans="1:15">
      <c r="A2760" s="1" t="str">
        <f t="shared" si="1643"/>
        <v>202406</v>
      </c>
      <c r="B2760" s="1" t="str">
        <f t="shared" si="1644"/>
        <v>150525100</v>
      </c>
      <c r="C2760" s="1" t="str">
        <f>"1014568778"</f>
        <v>1014568778</v>
      </c>
      <c r="D2760" s="1" t="str">
        <f>"152326195207293814"</f>
        <v>152326195207293814</v>
      </c>
      <c r="E2760" s="1" t="s">
        <v>2836</v>
      </c>
      <c r="F2760" s="1" t="s">
        <v>25</v>
      </c>
      <c r="G2760" s="1" t="s">
        <v>19</v>
      </c>
      <c r="H2760" s="1" t="str">
        <f t="shared" si="1645"/>
        <v>72</v>
      </c>
      <c r="I2760" s="1" t="str">
        <f>"162.15"</f>
        <v>162.15</v>
      </c>
      <c r="J2760" s="1" t="str">
        <f t="shared" si="1634"/>
        <v>0</v>
      </c>
      <c r="K2760" s="1" t="str">
        <f t="shared" si="1635"/>
        <v>103</v>
      </c>
      <c r="L2760" s="1" t="str">
        <f t="shared" si="1636"/>
        <v>47</v>
      </c>
      <c r="M2760" s="1" t="str">
        <f t="shared" si="1641"/>
        <v>0</v>
      </c>
      <c r="N2760" s="1" t="str">
        <f t="shared" si="1642"/>
        <v>0</v>
      </c>
      <c r="O2760" s="1" t="str">
        <f>"2.15"</f>
        <v>2.15</v>
      </c>
    </row>
    <row r="2761" s="1" customFormat="1" spans="1:15">
      <c r="A2761" s="1" t="str">
        <f t="shared" si="1643"/>
        <v>202406</v>
      </c>
      <c r="B2761" s="1" t="str">
        <f t="shared" si="1644"/>
        <v>150525100</v>
      </c>
      <c r="C2761" s="1" t="str">
        <f>"1014568779"</f>
        <v>1014568779</v>
      </c>
      <c r="D2761" s="1" t="str">
        <f>"152326195211173815"</f>
        <v>152326195211173815</v>
      </c>
      <c r="E2761" s="1" t="s">
        <v>2837</v>
      </c>
      <c r="F2761" s="1" t="s">
        <v>25</v>
      </c>
      <c r="G2761" s="1" t="s">
        <v>19</v>
      </c>
      <c r="H2761" s="1" t="str">
        <f t="shared" si="1645"/>
        <v>72</v>
      </c>
      <c r="I2761" s="1" t="str">
        <f>"162.15"</f>
        <v>162.15</v>
      </c>
      <c r="J2761" s="1" t="str">
        <f t="shared" si="1634"/>
        <v>0</v>
      </c>
      <c r="K2761" s="1" t="str">
        <f t="shared" si="1635"/>
        <v>103</v>
      </c>
      <c r="L2761" s="1" t="str">
        <f t="shared" si="1636"/>
        <v>47</v>
      </c>
      <c r="M2761" s="1" t="str">
        <f t="shared" si="1641"/>
        <v>0</v>
      </c>
      <c r="N2761" s="1" t="str">
        <f t="shared" si="1642"/>
        <v>0</v>
      </c>
      <c r="O2761" s="1" t="str">
        <f>"2.15"</f>
        <v>2.15</v>
      </c>
    </row>
    <row r="2762" s="1" customFormat="1" spans="1:15">
      <c r="A2762" s="1" t="str">
        <f t="shared" si="1643"/>
        <v>202406</v>
      </c>
      <c r="B2762" s="1" t="str">
        <f t="shared" si="1644"/>
        <v>150525100</v>
      </c>
      <c r="C2762" s="1" t="str">
        <f>"1014568782"</f>
        <v>1014568782</v>
      </c>
      <c r="D2762" s="1" t="str">
        <f>"152326195310153852"</f>
        <v>152326195310153852</v>
      </c>
      <c r="E2762" s="1" t="s">
        <v>2838</v>
      </c>
      <c r="F2762" s="1" t="s">
        <v>25</v>
      </c>
      <c r="G2762" s="1" t="s">
        <v>19</v>
      </c>
      <c r="H2762" s="1" t="str">
        <f>"71"</f>
        <v>71</v>
      </c>
      <c r="I2762" s="1" t="str">
        <f>"163.16"</f>
        <v>163.16</v>
      </c>
      <c r="J2762" s="1" t="str">
        <f t="shared" si="1634"/>
        <v>0</v>
      </c>
      <c r="K2762" s="1" t="str">
        <f t="shared" si="1635"/>
        <v>103</v>
      </c>
      <c r="L2762" s="1" t="str">
        <f t="shared" si="1636"/>
        <v>47</v>
      </c>
      <c r="M2762" s="1" t="str">
        <f t="shared" si="1641"/>
        <v>0</v>
      </c>
      <c r="N2762" s="1" t="str">
        <f t="shared" si="1642"/>
        <v>0</v>
      </c>
      <c r="O2762" s="1" t="str">
        <f>"3.16"</f>
        <v>3.16</v>
      </c>
    </row>
    <row r="2763" s="1" customFormat="1" spans="1:15">
      <c r="A2763" s="1" t="str">
        <f t="shared" si="1643"/>
        <v>202406</v>
      </c>
      <c r="B2763" s="1" t="str">
        <f t="shared" si="1644"/>
        <v>150525100</v>
      </c>
      <c r="C2763" s="1" t="str">
        <f>"1014568787"</f>
        <v>1014568787</v>
      </c>
      <c r="D2763" s="1" t="str">
        <f>"152326195612233823"</f>
        <v>152326195612233823</v>
      </c>
      <c r="E2763" s="1" t="s">
        <v>2839</v>
      </c>
      <c r="F2763" s="1" t="s">
        <v>16</v>
      </c>
      <c r="G2763" s="1" t="s">
        <v>19</v>
      </c>
      <c r="H2763" s="1" t="str">
        <f>"68"</f>
        <v>68</v>
      </c>
      <c r="I2763" s="1" t="str">
        <f>"156.03"</f>
        <v>156.03</v>
      </c>
      <c r="J2763" s="1" t="str">
        <f t="shared" si="1634"/>
        <v>0</v>
      </c>
      <c r="K2763" s="1" t="str">
        <f t="shared" si="1635"/>
        <v>103</v>
      </c>
      <c r="L2763" s="1" t="str">
        <f t="shared" si="1636"/>
        <v>47</v>
      </c>
      <c r="M2763" s="1" t="str">
        <f t="shared" si="1641"/>
        <v>0</v>
      </c>
      <c r="N2763" s="1" t="str">
        <f t="shared" si="1642"/>
        <v>0</v>
      </c>
      <c r="O2763" s="1" t="str">
        <f>"6.03"</f>
        <v>6.03</v>
      </c>
    </row>
    <row r="2764" s="1" customFormat="1" spans="1:15">
      <c r="A2764" s="1" t="str">
        <f t="shared" si="1643"/>
        <v>202406</v>
      </c>
      <c r="B2764" s="1" t="str">
        <f t="shared" si="1644"/>
        <v>150525100</v>
      </c>
      <c r="C2764" s="1" t="str">
        <f>"1014568790"</f>
        <v>1014568790</v>
      </c>
      <c r="D2764" s="1" t="str">
        <f>"152326195710103846"</f>
        <v>152326195710103846</v>
      </c>
      <c r="E2764" s="1" t="s">
        <v>2840</v>
      </c>
      <c r="F2764" s="1" t="s">
        <v>16</v>
      </c>
      <c r="G2764" s="1" t="s">
        <v>19</v>
      </c>
      <c r="H2764" s="1" t="str">
        <f>"67"</f>
        <v>67</v>
      </c>
      <c r="I2764" s="1" t="str">
        <f>"156.11"</f>
        <v>156.11</v>
      </c>
      <c r="J2764" s="1" t="str">
        <f t="shared" si="1634"/>
        <v>0</v>
      </c>
      <c r="K2764" s="1" t="str">
        <f t="shared" si="1635"/>
        <v>103</v>
      </c>
      <c r="L2764" s="1" t="str">
        <f t="shared" si="1636"/>
        <v>47</v>
      </c>
      <c r="M2764" s="1" t="str">
        <f t="shared" si="1641"/>
        <v>0</v>
      </c>
      <c r="N2764" s="1" t="str">
        <f t="shared" si="1642"/>
        <v>0</v>
      </c>
      <c r="O2764" s="1" t="str">
        <f>"6.11"</f>
        <v>6.11</v>
      </c>
    </row>
    <row r="2765" s="1" customFormat="1" spans="1:15">
      <c r="A2765" s="1" t="str">
        <f t="shared" si="1643"/>
        <v>202406</v>
      </c>
      <c r="B2765" s="1" t="str">
        <f t="shared" si="1644"/>
        <v>150525100</v>
      </c>
      <c r="C2765" s="1" t="str">
        <f>"1014568791"</f>
        <v>1014568791</v>
      </c>
      <c r="D2765" s="1" t="str">
        <f>"152326195810143829"</f>
        <v>152326195810143829</v>
      </c>
      <c r="E2765" s="1" t="s">
        <v>2841</v>
      </c>
      <c r="F2765" s="1" t="s">
        <v>16</v>
      </c>
      <c r="G2765" s="1" t="s">
        <v>19</v>
      </c>
      <c r="H2765" s="1" t="str">
        <f>"66"</f>
        <v>66</v>
      </c>
      <c r="I2765" s="1" t="str">
        <f>"157.88"</f>
        <v>157.88</v>
      </c>
      <c r="J2765" s="1" t="str">
        <f t="shared" si="1634"/>
        <v>0</v>
      </c>
      <c r="K2765" s="1" t="str">
        <f t="shared" si="1635"/>
        <v>103</v>
      </c>
      <c r="L2765" s="1" t="str">
        <f t="shared" si="1636"/>
        <v>47</v>
      </c>
      <c r="M2765" s="1" t="str">
        <f t="shared" si="1641"/>
        <v>0</v>
      </c>
      <c r="N2765" s="1" t="str">
        <f t="shared" si="1642"/>
        <v>0</v>
      </c>
      <c r="O2765" s="1" t="str">
        <f>"7.88"</f>
        <v>7.88</v>
      </c>
    </row>
    <row r="2766" s="1" customFormat="1" spans="1:15">
      <c r="A2766" s="1" t="str">
        <f t="shared" si="1643"/>
        <v>202406</v>
      </c>
      <c r="B2766" s="1" t="str">
        <f t="shared" si="1644"/>
        <v>150525100</v>
      </c>
      <c r="C2766" s="1" t="str">
        <f>"1014562845"</f>
        <v>1014562845</v>
      </c>
      <c r="D2766" s="1" t="str">
        <f>"152326195804100427"</f>
        <v>152326195804100427</v>
      </c>
      <c r="E2766" s="1" t="s">
        <v>2842</v>
      </c>
      <c r="F2766" s="1" t="s">
        <v>16</v>
      </c>
      <c r="G2766" s="1" t="s">
        <v>96</v>
      </c>
      <c r="H2766" s="1" t="str">
        <f>"66"</f>
        <v>66</v>
      </c>
      <c r="I2766" s="1" t="str">
        <f>"157.11"</f>
        <v>157.11</v>
      </c>
      <c r="J2766" s="1" t="str">
        <f t="shared" si="1634"/>
        <v>0</v>
      </c>
      <c r="K2766" s="1" t="str">
        <f t="shared" si="1635"/>
        <v>103</v>
      </c>
      <c r="L2766" s="1" t="str">
        <f t="shared" si="1636"/>
        <v>47</v>
      </c>
      <c r="M2766" s="1" t="str">
        <f t="shared" si="1641"/>
        <v>0</v>
      </c>
      <c r="N2766" s="1" t="str">
        <f t="shared" si="1642"/>
        <v>0</v>
      </c>
      <c r="O2766" s="1" t="str">
        <f>"7.11"</f>
        <v>7.11</v>
      </c>
    </row>
    <row r="2767" s="1" customFormat="1" spans="1:15">
      <c r="A2767" s="1" t="str">
        <f t="shared" si="1643"/>
        <v>202406</v>
      </c>
      <c r="B2767" s="1" t="str">
        <f t="shared" si="1644"/>
        <v>150525100</v>
      </c>
      <c r="C2767" s="1" t="str">
        <f>"1014563215"</f>
        <v>1014563215</v>
      </c>
      <c r="D2767" s="1" t="s">
        <v>2843</v>
      </c>
      <c r="E2767" s="1" t="s">
        <v>2844</v>
      </c>
      <c r="F2767" s="1" t="s">
        <v>25</v>
      </c>
      <c r="G2767" s="1" t="s">
        <v>17</v>
      </c>
      <c r="H2767" s="1" t="str">
        <f>"67"</f>
        <v>67</v>
      </c>
      <c r="I2767" s="1" t="str">
        <f>"156.1"</f>
        <v>156.1</v>
      </c>
      <c r="J2767" s="1" t="str">
        <f t="shared" si="1634"/>
        <v>0</v>
      </c>
      <c r="K2767" s="1" t="str">
        <f t="shared" si="1635"/>
        <v>103</v>
      </c>
      <c r="L2767" s="1" t="str">
        <f t="shared" si="1636"/>
        <v>47</v>
      </c>
      <c r="M2767" s="1" t="str">
        <f t="shared" si="1641"/>
        <v>0</v>
      </c>
      <c r="N2767" s="1" t="str">
        <f t="shared" si="1642"/>
        <v>0</v>
      </c>
      <c r="O2767" s="1" t="str">
        <f>"6.1"</f>
        <v>6.1</v>
      </c>
    </row>
    <row r="2768" s="1" customFormat="1" spans="1:15">
      <c r="A2768" s="1" t="str">
        <f t="shared" si="1643"/>
        <v>202406</v>
      </c>
      <c r="B2768" s="1" t="str">
        <f t="shared" si="1644"/>
        <v>150525100</v>
      </c>
      <c r="C2768" s="1" t="str">
        <f>"1014563225"</f>
        <v>1014563225</v>
      </c>
      <c r="D2768" s="1" t="str">
        <f>"152326195411120427"</f>
        <v>152326195411120427</v>
      </c>
      <c r="E2768" s="1" t="s">
        <v>2845</v>
      </c>
      <c r="F2768" s="1" t="s">
        <v>16</v>
      </c>
      <c r="G2768" s="1" t="s">
        <v>17</v>
      </c>
      <c r="H2768" s="1" t="str">
        <f>"70"</f>
        <v>70</v>
      </c>
      <c r="I2768" s="1" t="str">
        <f>"153.91"</f>
        <v>153.91</v>
      </c>
      <c r="J2768" s="1" t="str">
        <f t="shared" si="1634"/>
        <v>0</v>
      </c>
      <c r="K2768" s="1" t="str">
        <f t="shared" si="1635"/>
        <v>103</v>
      </c>
      <c r="L2768" s="1" t="str">
        <f t="shared" si="1636"/>
        <v>47</v>
      </c>
      <c r="M2768" s="1" t="str">
        <f t="shared" si="1641"/>
        <v>0</v>
      </c>
      <c r="N2768" s="1" t="str">
        <f t="shared" si="1642"/>
        <v>0</v>
      </c>
      <c r="O2768" s="1" t="str">
        <f>"3.91"</f>
        <v>3.91</v>
      </c>
    </row>
    <row r="2769" s="1" customFormat="1" spans="1:15">
      <c r="A2769" s="1" t="str">
        <f t="shared" si="1643"/>
        <v>202406</v>
      </c>
      <c r="B2769" s="1" t="str">
        <f t="shared" si="1644"/>
        <v>150525100</v>
      </c>
      <c r="C2769" s="1" t="str">
        <f>"1014569642"</f>
        <v>1014569642</v>
      </c>
      <c r="D2769" s="1" t="str">
        <f>"152326195605100424"</f>
        <v>152326195605100424</v>
      </c>
      <c r="E2769" s="1" t="s">
        <v>980</v>
      </c>
      <c r="F2769" s="1" t="s">
        <v>16</v>
      </c>
      <c r="G2769" s="1" t="s">
        <v>17</v>
      </c>
      <c r="H2769" s="1" t="str">
        <f>"68"</f>
        <v>68</v>
      </c>
      <c r="I2769" s="1" t="str">
        <f>"160.85"</f>
        <v>160.85</v>
      </c>
      <c r="J2769" s="1" t="str">
        <f t="shared" si="1634"/>
        <v>0</v>
      </c>
      <c r="K2769" s="1" t="str">
        <f t="shared" si="1635"/>
        <v>103</v>
      </c>
      <c r="L2769" s="1" t="str">
        <f t="shared" si="1636"/>
        <v>47</v>
      </c>
      <c r="M2769" s="1" t="str">
        <f t="shared" si="1641"/>
        <v>0</v>
      </c>
      <c r="N2769" s="1" t="str">
        <f t="shared" si="1642"/>
        <v>0</v>
      </c>
      <c r="O2769" s="1" t="str">
        <f>"10.85"</f>
        <v>10.85</v>
      </c>
    </row>
    <row r="2770" s="1" customFormat="1" spans="1:15">
      <c r="A2770" s="1" t="str">
        <f t="shared" si="1643"/>
        <v>202406</v>
      </c>
      <c r="B2770" s="1" t="str">
        <f t="shared" si="1644"/>
        <v>150525100</v>
      </c>
      <c r="C2770" s="1" t="str">
        <f>"1014569654"</f>
        <v>1014569654</v>
      </c>
      <c r="D2770" s="1" t="str">
        <f>"152326195401280419"</f>
        <v>152326195401280419</v>
      </c>
      <c r="E2770" s="1" t="s">
        <v>2846</v>
      </c>
      <c r="F2770" s="1" t="s">
        <v>25</v>
      </c>
      <c r="G2770" s="1" t="s">
        <v>17</v>
      </c>
      <c r="H2770" s="1" t="str">
        <f>"70"</f>
        <v>70</v>
      </c>
      <c r="I2770" s="1" t="str">
        <f>"192"</f>
        <v>192</v>
      </c>
      <c r="J2770" s="1" t="str">
        <f t="shared" si="1634"/>
        <v>0</v>
      </c>
      <c r="K2770" s="1" t="str">
        <f t="shared" si="1635"/>
        <v>103</v>
      </c>
      <c r="L2770" s="1" t="str">
        <f t="shared" si="1636"/>
        <v>47</v>
      </c>
      <c r="M2770" s="1" t="str">
        <f t="shared" si="1641"/>
        <v>0</v>
      </c>
      <c r="N2770" s="1" t="str">
        <f t="shared" si="1642"/>
        <v>0</v>
      </c>
      <c r="O2770" s="1" t="str">
        <f>"32"</f>
        <v>32</v>
      </c>
    </row>
    <row r="2771" s="1" customFormat="1" spans="1:15">
      <c r="A2771" s="1" t="str">
        <f t="shared" si="1643"/>
        <v>202406</v>
      </c>
      <c r="B2771" s="1" t="str">
        <f t="shared" si="1644"/>
        <v>150525100</v>
      </c>
      <c r="C2771" s="1" t="str">
        <f>"1014569673"</f>
        <v>1014569673</v>
      </c>
      <c r="D2771" s="1" t="str">
        <f>"152326195211230429"</f>
        <v>152326195211230429</v>
      </c>
      <c r="E2771" s="1" t="s">
        <v>2847</v>
      </c>
      <c r="F2771" s="1" t="s">
        <v>16</v>
      </c>
      <c r="G2771" s="1" t="s">
        <v>17</v>
      </c>
      <c r="H2771" s="1" t="str">
        <f>"72"</f>
        <v>72</v>
      </c>
      <c r="I2771" s="1" t="str">
        <f>"162.15"</f>
        <v>162.15</v>
      </c>
      <c r="J2771" s="1" t="str">
        <f t="shared" si="1634"/>
        <v>0</v>
      </c>
      <c r="K2771" s="1" t="str">
        <f t="shared" si="1635"/>
        <v>103</v>
      </c>
      <c r="L2771" s="1" t="str">
        <f t="shared" si="1636"/>
        <v>47</v>
      </c>
      <c r="M2771" s="1" t="str">
        <f t="shared" si="1641"/>
        <v>0</v>
      </c>
      <c r="N2771" s="1" t="str">
        <f t="shared" si="1642"/>
        <v>0</v>
      </c>
      <c r="O2771" s="1" t="str">
        <f>"2.15"</f>
        <v>2.15</v>
      </c>
    </row>
    <row r="2772" s="1" customFormat="1" spans="1:15">
      <c r="A2772" s="1" t="str">
        <f t="shared" si="1643"/>
        <v>202406</v>
      </c>
      <c r="B2772" s="1" t="str">
        <f t="shared" si="1644"/>
        <v>150525100</v>
      </c>
      <c r="C2772" s="1" t="str">
        <f>"1014584343"</f>
        <v>1014584343</v>
      </c>
      <c r="D2772" s="1" t="s">
        <v>2848</v>
      </c>
      <c r="E2772" s="1" t="s">
        <v>2849</v>
      </c>
      <c r="F2772" s="1" t="s">
        <v>25</v>
      </c>
      <c r="G2772" s="1" t="s">
        <v>19</v>
      </c>
      <c r="H2772" s="1" t="str">
        <f>"63"</f>
        <v>63</v>
      </c>
      <c r="I2772" s="1" t="str">
        <f>"161.1"</f>
        <v>161.1</v>
      </c>
      <c r="J2772" s="1" t="str">
        <f t="shared" ref="J2772:J2835" si="1646">"0"</f>
        <v>0</v>
      </c>
      <c r="K2772" s="1" t="str">
        <f t="shared" ref="K2772:K2835" si="1647">"103"</f>
        <v>103</v>
      </c>
      <c r="L2772" s="1" t="str">
        <f t="shared" ref="L2772:L2835" si="1648">"47"</f>
        <v>47</v>
      </c>
      <c r="M2772" s="1" t="str">
        <f t="shared" si="1641"/>
        <v>0</v>
      </c>
      <c r="N2772" s="1" t="str">
        <f t="shared" si="1642"/>
        <v>0</v>
      </c>
      <c r="O2772" s="1" t="str">
        <f>"11.1"</f>
        <v>11.1</v>
      </c>
    </row>
    <row r="2773" s="1" customFormat="1" spans="1:15">
      <c r="A2773" s="1" t="str">
        <f t="shared" si="1643"/>
        <v>202406</v>
      </c>
      <c r="B2773" s="1" t="str">
        <f t="shared" si="1644"/>
        <v>150525100</v>
      </c>
      <c r="C2773" s="1" t="str">
        <f>"1014549934"</f>
        <v>1014549934</v>
      </c>
      <c r="D2773" s="1" t="str">
        <f>"152326195503170667"</f>
        <v>152326195503170667</v>
      </c>
      <c r="E2773" s="1" t="s">
        <v>2850</v>
      </c>
      <c r="F2773" s="1" t="s">
        <v>16</v>
      </c>
      <c r="G2773" s="1" t="s">
        <v>17</v>
      </c>
      <c r="H2773" s="1" t="str">
        <f>"69"</f>
        <v>69</v>
      </c>
      <c r="I2773" s="1" t="str">
        <f>"155.11"</f>
        <v>155.11</v>
      </c>
      <c r="J2773" s="1" t="str">
        <f t="shared" si="1646"/>
        <v>0</v>
      </c>
      <c r="K2773" s="1" t="str">
        <f t="shared" si="1647"/>
        <v>103</v>
      </c>
      <c r="L2773" s="1" t="str">
        <f t="shared" si="1648"/>
        <v>47</v>
      </c>
      <c r="M2773" s="1" t="str">
        <f t="shared" si="1641"/>
        <v>0</v>
      </c>
      <c r="N2773" s="1" t="str">
        <f t="shared" si="1642"/>
        <v>0</v>
      </c>
      <c r="O2773" s="1" t="str">
        <f>"5.11"</f>
        <v>5.11</v>
      </c>
    </row>
    <row r="2774" s="1" customFormat="1" spans="1:15">
      <c r="A2774" s="1" t="str">
        <f t="shared" si="1643"/>
        <v>202406</v>
      </c>
      <c r="B2774" s="1" t="str">
        <f t="shared" si="1644"/>
        <v>150525100</v>
      </c>
      <c r="C2774" s="1" t="str">
        <f>"1014584469"</f>
        <v>1014584469</v>
      </c>
      <c r="D2774" s="1" t="s">
        <v>2851</v>
      </c>
      <c r="E2774" s="1" t="s">
        <v>2852</v>
      </c>
      <c r="F2774" s="1" t="s">
        <v>25</v>
      </c>
      <c r="G2774" s="1" t="s">
        <v>17</v>
      </c>
      <c r="H2774" s="1" t="str">
        <f>"70"</f>
        <v>70</v>
      </c>
      <c r="I2774" s="1" t="str">
        <f>"154.14"</f>
        <v>154.14</v>
      </c>
      <c r="J2774" s="1" t="str">
        <f t="shared" si="1646"/>
        <v>0</v>
      </c>
      <c r="K2774" s="1" t="str">
        <f t="shared" si="1647"/>
        <v>103</v>
      </c>
      <c r="L2774" s="1" t="str">
        <f t="shared" si="1648"/>
        <v>47</v>
      </c>
      <c r="M2774" s="1" t="str">
        <f t="shared" si="1641"/>
        <v>0</v>
      </c>
      <c r="N2774" s="1" t="str">
        <f t="shared" si="1642"/>
        <v>0</v>
      </c>
      <c r="O2774" s="1" t="str">
        <f>"4.14"</f>
        <v>4.14</v>
      </c>
    </row>
    <row r="2775" s="1" customFormat="1" spans="1:15">
      <c r="A2775" s="1" t="str">
        <f t="shared" si="1643"/>
        <v>202406</v>
      </c>
      <c r="B2775" s="1" t="str">
        <f t="shared" si="1644"/>
        <v>150525100</v>
      </c>
      <c r="C2775" s="1" t="str">
        <f>"1014584970"</f>
        <v>1014584970</v>
      </c>
      <c r="D2775" s="1" t="str">
        <f>"152326195606160410"</f>
        <v>152326195606160410</v>
      </c>
      <c r="E2775" s="1" t="s">
        <v>2853</v>
      </c>
      <c r="F2775" s="1" t="s">
        <v>25</v>
      </c>
      <c r="G2775" s="1" t="s">
        <v>17</v>
      </c>
      <c r="H2775" s="1" t="str">
        <f t="shared" ref="H2775:H2777" si="1649">"68"</f>
        <v>68</v>
      </c>
      <c r="I2775" s="1" t="str">
        <f>"155.97"</f>
        <v>155.97</v>
      </c>
      <c r="J2775" s="1" t="str">
        <f t="shared" si="1646"/>
        <v>0</v>
      </c>
      <c r="K2775" s="1" t="str">
        <f t="shared" si="1647"/>
        <v>103</v>
      </c>
      <c r="L2775" s="1" t="str">
        <f t="shared" si="1648"/>
        <v>47</v>
      </c>
      <c r="M2775" s="1" t="str">
        <f t="shared" si="1641"/>
        <v>0</v>
      </c>
      <c r="N2775" s="1" t="str">
        <f t="shared" si="1642"/>
        <v>0</v>
      </c>
      <c r="O2775" s="1" t="str">
        <f>"5.97"</f>
        <v>5.97</v>
      </c>
    </row>
    <row r="2776" s="1" customFormat="1" spans="1:15">
      <c r="A2776" s="1" t="str">
        <f t="shared" si="1643"/>
        <v>202406</v>
      </c>
      <c r="B2776" s="1" t="str">
        <f t="shared" si="1644"/>
        <v>150525100</v>
      </c>
      <c r="C2776" s="1" t="str">
        <f>"1014584973"</f>
        <v>1014584973</v>
      </c>
      <c r="D2776" s="1" t="str">
        <f>"152326195610140420"</f>
        <v>152326195610140420</v>
      </c>
      <c r="E2776" s="1" t="s">
        <v>2854</v>
      </c>
      <c r="F2776" s="1" t="s">
        <v>16</v>
      </c>
      <c r="G2776" s="1" t="s">
        <v>17</v>
      </c>
      <c r="H2776" s="1" t="str">
        <f t="shared" si="1649"/>
        <v>68</v>
      </c>
      <c r="I2776" s="1" t="str">
        <f>"156.01"</f>
        <v>156.01</v>
      </c>
      <c r="J2776" s="1" t="str">
        <f t="shared" si="1646"/>
        <v>0</v>
      </c>
      <c r="K2776" s="1" t="str">
        <f t="shared" si="1647"/>
        <v>103</v>
      </c>
      <c r="L2776" s="1" t="str">
        <f t="shared" si="1648"/>
        <v>47</v>
      </c>
      <c r="M2776" s="1" t="str">
        <f t="shared" si="1641"/>
        <v>0</v>
      </c>
      <c r="N2776" s="1" t="str">
        <f t="shared" si="1642"/>
        <v>0</v>
      </c>
      <c r="O2776" s="1" t="str">
        <f>"6.01"</f>
        <v>6.01</v>
      </c>
    </row>
    <row r="2777" s="1" customFormat="1" spans="1:15">
      <c r="A2777" s="1" t="str">
        <f t="shared" si="1643"/>
        <v>202406</v>
      </c>
      <c r="B2777" s="1" t="str">
        <f t="shared" si="1644"/>
        <v>150525100</v>
      </c>
      <c r="C2777" s="1" t="str">
        <f>"1014584976"</f>
        <v>1014584976</v>
      </c>
      <c r="D2777" s="1" t="str">
        <f>"152326195612270421"</f>
        <v>152326195612270421</v>
      </c>
      <c r="E2777" s="1" t="s">
        <v>2855</v>
      </c>
      <c r="F2777" s="1" t="s">
        <v>16</v>
      </c>
      <c r="G2777" s="1" t="s">
        <v>17</v>
      </c>
      <c r="H2777" s="1" t="str">
        <f t="shared" si="1649"/>
        <v>68</v>
      </c>
      <c r="I2777" s="1" t="str">
        <f>"156.02"</f>
        <v>156.02</v>
      </c>
      <c r="J2777" s="1" t="str">
        <f t="shared" si="1646"/>
        <v>0</v>
      </c>
      <c r="K2777" s="1" t="str">
        <f t="shared" si="1647"/>
        <v>103</v>
      </c>
      <c r="L2777" s="1" t="str">
        <f t="shared" si="1648"/>
        <v>47</v>
      </c>
      <c r="M2777" s="1" t="str">
        <f t="shared" si="1641"/>
        <v>0</v>
      </c>
      <c r="N2777" s="1" t="str">
        <f t="shared" si="1642"/>
        <v>0</v>
      </c>
      <c r="O2777" s="1" t="str">
        <f>"6.02"</f>
        <v>6.02</v>
      </c>
    </row>
    <row r="2778" s="1" customFormat="1" spans="1:15">
      <c r="A2778" s="1" t="str">
        <f t="shared" si="1643"/>
        <v>202406</v>
      </c>
      <c r="B2778" s="1" t="str">
        <f t="shared" si="1644"/>
        <v>150525100</v>
      </c>
      <c r="C2778" s="1" t="str">
        <f>"1014584977"</f>
        <v>1014584977</v>
      </c>
      <c r="D2778" s="1" t="str">
        <f>"152326195705140423"</f>
        <v>152326195705140423</v>
      </c>
      <c r="E2778" s="1" t="s">
        <v>2856</v>
      </c>
      <c r="F2778" s="1" t="s">
        <v>16</v>
      </c>
      <c r="G2778" s="1" t="s">
        <v>17</v>
      </c>
      <c r="H2778" s="1" t="str">
        <f>"67"</f>
        <v>67</v>
      </c>
      <c r="I2778" s="1" t="str">
        <f>"157.03"</f>
        <v>157.03</v>
      </c>
      <c r="J2778" s="1" t="str">
        <f t="shared" si="1646"/>
        <v>0</v>
      </c>
      <c r="K2778" s="1" t="str">
        <f t="shared" si="1647"/>
        <v>103</v>
      </c>
      <c r="L2778" s="1" t="str">
        <f t="shared" si="1648"/>
        <v>47</v>
      </c>
      <c r="M2778" s="1" t="str">
        <f t="shared" si="1641"/>
        <v>0</v>
      </c>
      <c r="N2778" s="1" t="str">
        <f t="shared" si="1642"/>
        <v>0</v>
      </c>
      <c r="O2778" s="1" t="str">
        <f>"7.03"</f>
        <v>7.03</v>
      </c>
    </row>
    <row r="2779" s="1" customFormat="1" spans="1:15">
      <c r="A2779" s="1" t="str">
        <f t="shared" si="1643"/>
        <v>202406</v>
      </c>
      <c r="B2779" s="1" t="str">
        <f t="shared" si="1644"/>
        <v>150525100</v>
      </c>
      <c r="C2779" s="1" t="str">
        <f>"1014584981"</f>
        <v>1014584981</v>
      </c>
      <c r="D2779" s="1" t="str">
        <f>"152326195710210449"</f>
        <v>152326195710210449</v>
      </c>
      <c r="E2779" s="1" t="s">
        <v>2857</v>
      </c>
      <c r="F2779" s="1" t="s">
        <v>16</v>
      </c>
      <c r="G2779" s="1" t="s">
        <v>17</v>
      </c>
      <c r="H2779" s="1" t="str">
        <f>"67"</f>
        <v>67</v>
      </c>
      <c r="I2779" s="1" t="str">
        <f>"157.03"</f>
        <v>157.03</v>
      </c>
      <c r="J2779" s="1" t="str">
        <f t="shared" si="1646"/>
        <v>0</v>
      </c>
      <c r="K2779" s="1" t="str">
        <f t="shared" si="1647"/>
        <v>103</v>
      </c>
      <c r="L2779" s="1" t="str">
        <f t="shared" si="1648"/>
        <v>47</v>
      </c>
      <c r="M2779" s="1" t="str">
        <f t="shared" si="1641"/>
        <v>0</v>
      </c>
      <c r="N2779" s="1" t="str">
        <f t="shared" si="1642"/>
        <v>0</v>
      </c>
      <c r="O2779" s="1" t="str">
        <f>"7.03"</f>
        <v>7.03</v>
      </c>
    </row>
    <row r="2780" s="1" customFormat="1" spans="1:15">
      <c r="A2780" s="1" t="str">
        <f t="shared" si="1643"/>
        <v>202406</v>
      </c>
      <c r="B2780" s="1" t="str">
        <f t="shared" si="1644"/>
        <v>150525100</v>
      </c>
      <c r="C2780" s="1" t="str">
        <f>"1040833016"</f>
        <v>1040833016</v>
      </c>
      <c r="D2780" s="1" t="s">
        <v>2858</v>
      </c>
      <c r="E2780" s="1" t="s">
        <v>2859</v>
      </c>
      <c r="F2780" s="1" t="s">
        <v>16</v>
      </c>
      <c r="G2780" s="1" t="s">
        <v>17</v>
      </c>
      <c r="H2780" s="1" t="str">
        <f>"69"</f>
        <v>69</v>
      </c>
      <c r="I2780" s="1" t="str">
        <f>"154.52"</f>
        <v>154.52</v>
      </c>
      <c r="J2780" s="1" t="str">
        <f t="shared" si="1646"/>
        <v>0</v>
      </c>
      <c r="K2780" s="1" t="str">
        <f t="shared" si="1647"/>
        <v>103</v>
      </c>
      <c r="L2780" s="1" t="str">
        <f t="shared" si="1648"/>
        <v>47</v>
      </c>
      <c r="M2780" s="1" t="str">
        <f t="shared" si="1641"/>
        <v>0</v>
      </c>
      <c r="N2780" s="1" t="str">
        <f t="shared" si="1642"/>
        <v>0</v>
      </c>
      <c r="O2780" s="1" t="str">
        <f>"4.52"</f>
        <v>4.52</v>
      </c>
    </row>
    <row r="2781" s="1" customFormat="1" spans="1:15">
      <c r="A2781" s="1" t="str">
        <f t="shared" si="1643"/>
        <v>202406</v>
      </c>
      <c r="B2781" s="1" t="str">
        <f t="shared" si="1644"/>
        <v>150525100</v>
      </c>
      <c r="C2781" s="1" t="str">
        <f>"1014562883"</f>
        <v>1014562883</v>
      </c>
      <c r="D2781" s="1" t="str">
        <f>"152326195202160414"</f>
        <v>152326195202160414</v>
      </c>
      <c r="E2781" s="1" t="s">
        <v>2860</v>
      </c>
      <c r="F2781" s="1" t="s">
        <v>25</v>
      </c>
      <c r="G2781" s="1" t="s">
        <v>17</v>
      </c>
      <c r="H2781" s="1" t="str">
        <f>"72"</f>
        <v>72</v>
      </c>
      <c r="I2781" s="1" t="str">
        <f>"162.16"</f>
        <v>162.16</v>
      </c>
      <c r="J2781" s="1" t="str">
        <f t="shared" si="1646"/>
        <v>0</v>
      </c>
      <c r="K2781" s="1" t="str">
        <f t="shared" si="1647"/>
        <v>103</v>
      </c>
      <c r="L2781" s="1" t="str">
        <f t="shared" si="1648"/>
        <v>47</v>
      </c>
      <c r="M2781" s="1" t="str">
        <f t="shared" si="1641"/>
        <v>0</v>
      </c>
      <c r="N2781" s="1" t="str">
        <f t="shared" si="1642"/>
        <v>0</v>
      </c>
      <c r="O2781" s="1" t="str">
        <f>"2.16"</f>
        <v>2.16</v>
      </c>
    </row>
    <row r="2782" s="1" customFormat="1" spans="1:15">
      <c r="A2782" s="1" t="str">
        <f t="shared" si="1643"/>
        <v>202406</v>
      </c>
      <c r="B2782" s="1" t="str">
        <f t="shared" si="1644"/>
        <v>150525100</v>
      </c>
      <c r="C2782" s="1" t="str">
        <f>"1014562884"</f>
        <v>1014562884</v>
      </c>
      <c r="D2782" s="1" t="str">
        <f>"152326195509180428"</f>
        <v>152326195509180428</v>
      </c>
      <c r="E2782" s="1" t="s">
        <v>2861</v>
      </c>
      <c r="F2782" s="1" t="s">
        <v>16</v>
      </c>
      <c r="G2782" s="1" t="s">
        <v>17</v>
      </c>
      <c r="H2782" s="1" t="str">
        <f>"69"</f>
        <v>69</v>
      </c>
      <c r="I2782" s="1" t="str">
        <f>"155.12"</f>
        <v>155.12</v>
      </c>
      <c r="J2782" s="1" t="str">
        <f t="shared" si="1646"/>
        <v>0</v>
      </c>
      <c r="K2782" s="1" t="str">
        <f t="shared" si="1647"/>
        <v>103</v>
      </c>
      <c r="L2782" s="1" t="str">
        <f t="shared" si="1648"/>
        <v>47</v>
      </c>
      <c r="M2782" s="1" t="str">
        <f t="shared" si="1641"/>
        <v>0</v>
      </c>
      <c r="N2782" s="1" t="str">
        <f t="shared" si="1642"/>
        <v>0</v>
      </c>
      <c r="O2782" s="1" t="str">
        <f>"5.12"</f>
        <v>5.12</v>
      </c>
    </row>
    <row r="2783" s="1" customFormat="1" spans="1:15">
      <c r="A2783" s="1" t="str">
        <f t="shared" si="1643"/>
        <v>202406</v>
      </c>
      <c r="B2783" s="1" t="str">
        <f t="shared" si="1644"/>
        <v>150525100</v>
      </c>
      <c r="C2783" s="1" t="str">
        <f>"1014562887"</f>
        <v>1014562887</v>
      </c>
      <c r="D2783" s="1" t="str">
        <f>"152326195912200425"</f>
        <v>152326195912200425</v>
      </c>
      <c r="E2783" s="1" t="s">
        <v>1964</v>
      </c>
      <c r="F2783" s="1" t="s">
        <v>16</v>
      </c>
      <c r="G2783" s="1" t="s">
        <v>17</v>
      </c>
      <c r="H2783" s="1" t="str">
        <f>"65"</f>
        <v>65</v>
      </c>
      <c r="I2783" s="1" t="str">
        <f>"158.24"</f>
        <v>158.24</v>
      </c>
      <c r="J2783" s="1" t="str">
        <f t="shared" si="1646"/>
        <v>0</v>
      </c>
      <c r="K2783" s="1" t="str">
        <f t="shared" si="1647"/>
        <v>103</v>
      </c>
      <c r="L2783" s="1" t="str">
        <f t="shared" si="1648"/>
        <v>47</v>
      </c>
      <c r="M2783" s="1" t="str">
        <f t="shared" si="1641"/>
        <v>0</v>
      </c>
      <c r="N2783" s="1" t="str">
        <f t="shared" si="1642"/>
        <v>0</v>
      </c>
      <c r="O2783" s="1" t="str">
        <f>"8.24"</f>
        <v>8.24</v>
      </c>
    </row>
    <row r="2784" s="1" customFormat="1" spans="1:15">
      <c r="A2784" s="1" t="str">
        <f t="shared" si="1643"/>
        <v>202406</v>
      </c>
      <c r="B2784" s="1" t="str">
        <f t="shared" si="1644"/>
        <v>150525100</v>
      </c>
      <c r="C2784" s="1" t="str">
        <f>"1014569681"</f>
        <v>1014569681</v>
      </c>
      <c r="D2784" s="1" t="str">
        <f>"152326195403290426"</f>
        <v>152326195403290426</v>
      </c>
      <c r="E2784" s="1" t="s">
        <v>1742</v>
      </c>
      <c r="F2784" s="1" t="s">
        <v>16</v>
      </c>
      <c r="G2784" s="1" t="s">
        <v>17</v>
      </c>
      <c r="H2784" s="1" t="str">
        <f>"70"</f>
        <v>70</v>
      </c>
      <c r="I2784" s="1" t="str">
        <f>"164.14"</f>
        <v>164.14</v>
      </c>
      <c r="J2784" s="1" t="str">
        <f t="shared" si="1646"/>
        <v>0</v>
      </c>
      <c r="K2784" s="1" t="str">
        <f t="shared" si="1647"/>
        <v>103</v>
      </c>
      <c r="L2784" s="1" t="str">
        <f t="shared" si="1648"/>
        <v>47</v>
      </c>
      <c r="M2784" s="1" t="str">
        <f t="shared" si="1641"/>
        <v>0</v>
      </c>
      <c r="N2784" s="1" t="str">
        <f t="shared" si="1642"/>
        <v>0</v>
      </c>
      <c r="O2784" s="1" t="str">
        <f>"4.14"</f>
        <v>4.14</v>
      </c>
    </row>
    <row r="2785" s="1" customFormat="1" spans="1:15">
      <c r="A2785" s="1" t="str">
        <f t="shared" si="1643"/>
        <v>202406</v>
      </c>
      <c r="B2785" s="1" t="str">
        <f t="shared" si="1644"/>
        <v>150525100</v>
      </c>
      <c r="C2785" s="1" t="str">
        <f>"1014584078"</f>
        <v>1014584078</v>
      </c>
      <c r="D2785" s="1" t="str">
        <f>"152326195710260702"</f>
        <v>152326195710260702</v>
      </c>
      <c r="E2785" s="1" t="s">
        <v>1729</v>
      </c>
      <c r="F2785" s="1" t="s">
        <v>16</v>
      </c>
      <c r="G2785" s="1" t="s">
        <v>17</v>
      </c>
      <c r="H2785" s="1" t="str">
        <f>"67"</f>
        <v>67</v>
      </c>
      <c r="I2785" s="1" t="str">
        <f>"155.91"</f>
        <v>155.91</v>
      </c>
      <c r="J2785" s="1" t="str">
        <f t="shared" si="1646"/>
        <v>0</v>
      </c>
      <c r="K2785" s="1" t="str">
        <f t="shared" si="1647"/>
        <v>103</v>
      </c>
      <c r="L2785" s="1" t="str">
        <f t="shared" si="1648"/>
        <v>47</v>
      </c>
      <c r="M2785" s="1" t="str">
        <f t="shared" si="1641"/>
        <v>0</v>
      </c>
      <c r="N2785" s="1" t="str">
        <f t="shared" si="1642"/>
        <v>0</v>
      </c>
      <c r="O2785" s="1" t="str">
        <f>"5.91"</f>
        <v>5.91</v>
      </c>
    </row>
    <row r="2786" s="1" customFormat="1" spans="1:15">
      <c r="A2786" s="1" t="str">
        <f t="shared" si="1643"/>
        <v>202406</v>
      </c>
      <c r="B2786" s="1" t="str">
        <f t="shared" si="1644"/>
        <v>150525100</v>
      </c>
      <c r="C2786" s="1" t="str">
        <f>"1014549959"</f>
        <v>1014549959</v>
      </c>
      <c r="D2786" s="1" t="str">
        <f>"152326195511160688"</f>
        <v>152326195511160688</v>
      </c>
      <c r="E2786" s="1" t="s">
        <v>2862</v>
      </c>
      <c r="F2786" s="1" t="s">
        <v>16</v>
      </c>
      <c r="G2786" s="1" t="s">
        <v>17</v>
      </c>
      <c r="H2786" s="1" t="str">
        <f t="shared" ref="H2786:H2790" si="1650">"69"</f>
        <v>69</v>
      </c>
      <c r="I2786" s="1" t="str">
        <f>"155.11"</f>
        <v>155.11</v>
      </c>
      <c r="J2786" s="1" t="str">
        <f t="shared" si="1646"/>
        <v>0</v>
      </c>
      <c r="K2786" s="1" t="str">
        <f t="shared" si="1647"/>
        <v>103</v>
      </c>
      <c r="L2786" s="1" t="str">
        <f t="shared" si="1648"/>
        <v>47</v>
      </c>
      <c r="M2786" s="1" t="str">
        <f t="shared" si="1641"/>
        <v>0</v>
      </c>
      <c r="N2786" s="1" t="str">
        <f t="shared" si="1642"/>
        <v>0</v>
      </c>
      <c r="O2786" s="1" t="str">
        <f>"5.11"</f>
        <v>5.11</v>
      </c>
    </row>
    <row r="2787" s="1" customFormat="1" spans="1:15">
      <c r="A2787" s="1" t="str">
        <f t="shared" si="1643"/>
        <v>202406</v>
      </c>
      <c r="B2787" s="1" t="str">
        <f t="shared" si="1644"/>
        <v>150525100</v>
      </c>
      <c r="C2787" s="1" t="str">
        <f>"1040832969"</f>
        <v>1040832969</v>
      </c>
      <c r="D2787" s="1" t="str">
        <f>"150525195410150029"</f>
        <v>150525195410150029</v>
      </c>
      <c r="E2787" s="1" t="s">
        <v>2863</v>
      </c>
      <c r="F2787" s="1" t="s">
        <v>16</v>
      </c>
      <c r="G2787" s="1" t="s">
        <v>17</v>
      </c>
      <c r="H2787" s="1" t="str">
        <f>"70"</f>
        <v>70</v>
      </c>
      <c r="I2787" s="1" t="str">
        <f>"152.88"</f>
        <v>152.88</v>
      </c>
      <c r="J2787" s="1" t="str">
        <f t="shared" si="1646"/>
        <v>0</v>
      </c>
      <c r="K2787" s="1" t="str">
        <f t="shared" si="1647"/>
        <v>103</v>
      </c>
      <c r="L2787" s="1" t="str">
        <f t="shared" si="1648"/>
        <v>47</v>
      </c>
      <c r="M2787" s="1" t="str">
        <f t="shared" si="1641"/>
        <v>0</v>
      </c>
      <c r="N2787" s="1" t="str">
        <f t="shared" si="1642"/>
        <v>0</v>
      </c>
      <c r="O2787" s="1" t="str">
        <f>"2.88"</f>
        <v>2.88</v>
      </c>
    </row>
    <row r="2788" s="1" customFormat="1" spans="1:15">
      <c r="A2788" s="1" t="str">
        <f t="shared" si="1643"/>
        <v>202406</v>
      </c>
      <c r="B2788" s="1" t="str">
        <f t="shared" si="1644"/>
        <v>150525100</v>
      </c>
      <c r="C2788" s="1" t="str">
        <f>"1040833008"</f>
        <v>1040833008</v>
      </c>
      <c r="D2788" s="1" t="str">
        <f>"152326195503010663"</f>
        <v>152326195503010663</v>
      </c>
      <c r="E2788" s="1" t="s">
        <v>2864</v>
      </c>
      <c r="F2788" s="1" t="s">
        <v>16</v>
      </c>
      <c r="G2788" s="1" t="s">
        <v>17</v>
      </c>
      <c r="H2788" s="1" t="str">
        <f t="shared" si="1650"/>
        <v>69</v>
      </c>
      <c r="I2788" s="1" t="str">
        <f>"154.52"</f>
        <v>154.52</v>
      </c>
      <c r="J2788" s="1" t="str">
        <f t="shared" si="1646"/>
        <v>0</v>
      </c>
      <c r="K2788" s="1" t="str">
        <f t="shared" si="1647"/>
        <v>103</v>
      </c>
      <c r="L2788" s="1" t="str">
        <f t="shared" si="1648"/>
        <v>47</v>
      </c>
      <c r="M2788" s="1" t="str">
        <f t="shared" si="1641"/>
        <v>0</v>
      </c>
      <c r="N2788" s="1" t="str">
        <f t="shared" si="1642"/>
        <v>0</v>
      </c>
      <c r="O2788" s="1" t="str">
        <f>"4.52"</f>
        <v>4.52</v>
      </c>
    </row>
    <row r="2789" s="1" customFormat="1" spans="1:15">
      <c r="A2789" s="1" t="str">
        <f t="shared" si="1643"/>
        <v>202406</v>
      </c>
      <c r="B2789" s="1" t="str">
        <f t="shared" si="1644"/>
        <v>150525100</v>
      </c>
      <c r="C2789" s="1" t="str">
        <f>"1040833036"</f>
        <v>1040833036</v>
      </c>
      <c r="D2789" s="1" t="str">
        <f>"152326195309193320"</f>
        <v>152326195309193320</v>
      </c>
      <c r="E2789" s="1" t="s">
        <v>2865</v>
      </c>
      <c r="F2789" s="1" t="s">
        <v>16</v>
      </c>
      <c r="G2789" s="1" t="s">
        <v>17</v>
      </c>
      <c r="H2789" s="1" t="str">
        <f>"71"</f>
        <v>71</v>
      </c>
      <c r="I2789" s="1" t="str">
        <f>"162.58"</f>
        <v>162.58</v>
      </c>
      <c r="J2789" s="1" t="str">
        <f t="shared" si="1646"/>
        <v>0</v>
      </c>
      <c r="K2789" s="1" t="str">
        <f t="shared" si="1647"/>
        <v>103</v>
      </c>
      <c r="L2789" s="1" t="str">
        <f t="shared" si="1648"/>
        <v>47</v>
      </c>
      <c r="M2789" s="1" t="str">
        <f t="shared" si="1641"/>
        <v>0</v>
      </c>
      <c r="N2789" s="1" t="str">
        <f t="shared" si="1642"/>
        <v>0</v>
      </c>
      <c r="O2789" s="1" t="str">
        <f>"2.58"</f>
        <v>2.58</v>
      </c>
    </row>
    <row r="2790" s="1" customFormat="1" spans="1:15">
      <c r="A2790" s="1" t="str">
        <f t="shared" si="1643"/>
        <v>202406</v>
      </c>
      <c r="B2790" s="1" t="str">
        <f t="shared" si="1644"/>
        <v>150525100</v>
      </c>
      <c r="C2790" s="1" t="str">
        <f>"1040833046"</f>
        <v>1040833046</v>
      </c>
      <c r="D2790" s="1" t="s">
        <v>2866</v>
      </c>
      <c r="E2790" s="1" t="s">
        <v>2867</v>
      </c>
      <c r="F2790" s="1" t="s">
        <v>25</v>
      </c>
      <c r="G2790" s="1" t="s">
        <v>17</v>
      </c>
      <c r="H2790" s="1" t="str">
        <f t="shared" si="1650"/>
        <v>69</v>
      </c>
      <c r="I2790" s="1" t="str">
        <f>"154.51"</f>
        <v>154.51</v>
      </c>
      <c r="J2790" s="1" t="str">
        <f t="shared" si="1646"/>
        <v>0</v>
      </c>
      <c r="K2790" s="1" t="str">
        <f t="shared" si="1647"/>
        <v>103</v>
      </c>
      <c r="L2790" s="1" t="str">
        <f t="shared" si="1648"/>
        <v>47</v>
      </c>
      <c r="M2790" s="1" t="str">
        <f t="shared" si="1641"/>
        <v>0</v>
      </c>
      <c r="N2790" s="1" t="str">
        <f t="shared" si="1642"/>
        <v>0</v>
      </c>
      <c r="O2790" s="1" t="str">
        <f>"4.51"</f>
        <v>4.51</v>
      </c>
    </row>
    <row r="2791" s="1" customFormat="1" spans="1:15">
      <c r="A2791" s="1" t="str">
        <f t="shared" si="1643"/>
        <v>202406</v>
      </c>
      <c r="B2791" s="1" t="str">
        <f t="shared" si="1644"/>
        <v>150525100</v>
      </c>
      <c r="C2791" s="1" t="str">
        <f>"1014562902"</f>
        <v>1014562902</v>
      </c>
      <c r="D2791" s="1" t="str">
        <f>"152326195908140423"</f>
        <v>152326195908140423</v>
      </c>
      <c r="E2791" s="1" t="s">
        <v>2868</v>
      </c>
      <c r="F2791" s="1" t="s">
        <v>16</v>
      </c>
      <c r="G2791" s="1" t="s">
        <v>17</v>
      </c>
      <c r="H2791" s="1" t="str">
        <f>"65"</f>
        <v>65</v>
      </c>
      <c r="I2791" s="1" t="str">
        <f>"158.2"</f>
        <v>158.2</v>
      </c>
      <c r="J2791" s="1" t="str">
        <f t="shared" si="1646"/>
        <v>0</v>
      </c>
      <c r="K2791" s="1" t="str">
        <f t="shared" si="1647"/>
        <v>103</v>
      </c>
      <c r="L2791" s="1" t="str">
        <f t="shared" si="1648"/>
        <v>47</v>
      </c>
      <c r="M2791" s="1" t="str">
        <f t="shared" si="1641"/>
        <v>0</v>
      </c>
      <c r="N2791" s="1" t="str">
        <f t="shared" si="1642"/>
        <v>0</v>
      </c>
      <c r="O2791" s="1" t="str">
        <f>"8.2"</f>
        <v>8.2</v>
      </c>
    </row>
    <row r="2792" s="1" customFormat="1" spans="1:15">
      <c r="A2792" s="1" t="str">
        <f t="shared" si="1643"/>
        <v>202406</v>
      </c>
      <c r="B2792" s="1" t="str">
        <f t="shared" si="1644"/>
        <v>150525100</v>
      </c>
      <c r="C2792" s="1" t="str">
        <f>"1014562913"</f>
        <v>1014562913</v>
      </c>
      <c r="D2792" s="1" t="s">
        <v>2869</v>
      </c>
      <c r="E2792" s="1" t="s">
        <v>2870</v>
      </c>
      <c r="F2792" s="1" t="s">
        <v>16</v>
      </c>
      <c r="G2792" s="1" t="s">
        <v>17</v>
      </c>
      <c r="H2792" s="1" t="str">
        <f>"67"</f>
        <v>67</v>
      </c>
      <c r="I2792" s="1" t="str">
        <f>"156.1"</f>
        <v>156.1</v>
      </c>
      <c r="J2792" s="1" t="str">
        <f t="shared" si="1646"/>
        <v>0</v>
      </c>
      <c r="K2792" s="1" t="str">
        <f t="shared" si="1647"/>
        <v>103</v>
      </c>
      <c r="L2792" s="1" t="str">
        <f t="shared" si="1648"/>
        <v>47</v>
      </c>
      <c r="M2792" s="1" t="str">
        <f t="shared" si="1641"/>
        <v>0</v>
      </c>
      <c r="N2792" s="1" t="str">
        <f t="shared" si="1642"/>
        <v>0</v>
      </c>
      <c r="O2792" s="1" t="str">
        <f>"6.1"</f>
        <v>6.1</v>
      </c>
    </row>
    <row r="2793" s="1" customFormat="1" spans="1:15">
      <c r="A2793" s="1" t="str">
        <f t="shared" si="1643"/>
        <v>202406</v>
      </c>
      <c r="B2793" s="1" t="str">
        <f t="shared" si="1644"/>
        <v>150525100</v>
      </c>
      <c r="C2793" s="1" t="str">
        <f>"1014569702"</f>
        <v>1014569702</v>
      </c>
      <c r="D2793" s="1" t="str">
        <f>"152326196112090429"</f>
        <v>152326196112090429</v>
      </c>
      <c r="E2793" s="1" t="s">
        <v>2000</v>
      </c>
      <c r="F2793" s="1" t="s">
        <v>16</v>
      </c>
      <c r="G2793" s="1" t="s">
        <v>17</v>
      </c>
      <c r="H2793" s="1" t="str">
        <f>"63"</f>
        <v>63</v>
      </c>
      <c r="I2793" s="1" t="str">
        <f>"161.16"</f>
        <v>161.16</v>
      </c>
      <c r="J2793" s="1" t="str">
        <f t="shared" si="1646"/>
        <v>0</v>
      </c>
      <c r="K2793" s="1" t="str">
        <f t="shared" si="1647"/>
        <v>103</v>
      </c>
      <c r="L2793" s="1" t="str">
        <f t="shared" si="1648"/>
        <v>47</v>
      </c>
      <c r="M2793" s="1" t="str">
        <f t="shared" si="1641"/>
        <v>0</v>
      </c>
      <c r="N2793" s="1" t="str">
        <f t="shared" si="1642"/>
        <v>0</v>
      </c>
      <c r="O2793" s="1" t="str">
        <f>"11.16"</f>
        <v>11.16</v>
      </c>
    </row>
    <row r="2794" s="1" customFormat="1" spans="1:15">
      <c r="A2794" s="1" t="str">
        <f t="shared" si="1643"/>
        <v>202406</v>
      </c>
      <c r="B2794" s="1" t="str">
        <f t="shared" si="1644"/>
        <v>150525100</v>
      </c>
      <c r="C2794" s="1" t="str">
        <f>"1014569714"</f>
        <v>1014569714</v>
      </c>
      <c r="D2794" s="1" t="str">
        <f>"152326196212260413"</f>
        <v>152326196212260413</v>
      </c>
      <c r="E2794" s="1" t="s">
        <v>334</v>
      </c>
      <c r="F2794" s="1" t="s">
        <v>25</v>
      </c>
      <c r="G2794" s="1" t="s">
        <v>17</v>
      </c>
      <c r="H2794" s="1" t="str">
        <f>"62"</f>
        <v>62</v>
      </c>
      <c r="I2794" s="1" t="str">
        <f>"166.59"</f>
        <v>166.59</v>
      </c>
      <c r="J2794" s="1" t="str">
        <f t="shared" si="1646"/>
        <v>0</v>
      </c>
      <c r="K2794" s="1" t="str">
        <f t="shared" si="1647"/>
        <v>103</v>
      </c>
      <c r="L2794" s="1" t="str">
        <f t="shared" si="1648"/>
        <v>47</v>
      </c>
      <c r="M2794" s="1" t="str">
        <f t="shared" si="1641"/>
        <v>0</v>
      </c>
      <c r="N2794" s="1" t="str">
        <f t="shared" si="1642"/>
        <v>0</v>
      </c>
      <c r="O2794" s="1" t="str">
        <f>"16.59"</f>
        <v>16.59</v>
      </c>
    </row>
    <row r="2795" s="1" customFormat="1" spans="1:15">
      <c r="A2795" s="1" t="str">
        <f t="shared" si="1643"/>
        <v>202406</v>
      </c>
      <c r="B2795" s="1" t="str">
        <f t="shared" si="1644"/>
        <v>150525100</v>
      </c>
      <c r="C2795" s="1" t="str">
        <f>"1014569715"</f>
        <v>1014569715</v>
      </c>
      <c r="D2795" s="1" t="str">
        <f>"152326196301030425"</f>
        <v>152326196301030425</v>
      </c>
      <c r="E2795" s="1" t="s">
        <v>2871</v>
      </c>
      <c r="F2795" s="1" t="s">
        <v>16</v>
      </c>
      <c r="G2795" s="1" t="s">
        <v>17</v>
      </c>
      <c r="H2795" s="1" t="str">
        <f>"62"</f>
        <v>62</v>
      </c>
      <c r="I2795" s="1" t="str">
        <f>"164.92"</f>
        <v>164.92</v>
      </c>
      <c r="J2795" s="1" t="str">
        <f t="shared" si="1646"/>
        <v>0</v>
      </c>
      <c r="K2795" s="1" t="str">
        <f t="shared" si="1647"/>
        <v>103</v>
      </c>
      <c r="L2795" s="1" t="str">
        <f t="shared" si="1648"/>
        <v>47</v>
      </c>
      <c r="M2795" s="1" t="str">
        <f t="shared" si="1641"/>
        <v>0</v>
      </c>
      <c r="N2795" s="1" t="str">
        <f t="shared" si="1642"/>
        <v>0</v>
      </c>
      <c r="O2795" s="1" t="str">
        <f>"14.92"</f>
        <v>14.92</v>
      </c>
    </row>
    <row r="2796" s="1" customFormat="1" spans="1:15">
      <c r="A2796" s="1" t="str">
        <f t="shared" si="1643"/>
        <v>202406</v>
      </c>
      <c r="B2796" s="1" t="str">
        <f t="shared" si="1644"/>
        <v>150525100</v>
      </c>
      <c r="C2796" s="1" t="str">
        <f>"1014569718"</f>
        <v>1014569718</v>
      </c>
      <c r="D2796" s="1" t="str">
        <f>"152326196307220422"</f>
        <v>152326196307220422</v>
      </c>
      <c r="E2796" s="1" t="s">
        <v>2872</v>
      </c>
      <c r="F2796" s="1" t="s">
        <v>16</v>
      </c>
      <c r="G2796" s="1" t="s">
        <v>17</v>
      </c>
      <c r="H2796" s="1" t="str">
        <f>"61"</f>
        <v>61</v>
      </c>
      <c r="I2796" s="1" t="str">
        <f>"165.04"</f>
        <v>165.04</v>
      </c>
      <c r="J2796" s="1" t="str">
        <f t="shared" si="1646"/>
        <v>0</v>
      </c>
      <c r="K2796" s="1" t="str">
        <f t="shared" si="1647"/>
        <v>103</v>
      </c>
      <c r="L2796" s="1" t="str">
        <f t="shared" si="1648"/>
        <v>47</v>
      </c>
      <c r="M2796" s="1" t="str">
        <f t="shared" si="1641"/>
        <v>0</v>
      </c>
      <c r="N2796" s="1" t="str">
        <f t="shared" si="1642"/>
        <v>0</v>
      </c>
      <c r="O2796" s="1" t="str">
        <f>"15.04"</f>
        <v>15.04</v>
      </c>
    </row>
    <row r="2797" s="1" customFormat="1" spans="1:15">
      <c r="A2797" s="1" t="str">
        <f t="shared" si="1643"/>
        <v>202406</v>
      </c>
      <c r="B2797" s="1" t="str">
        <f t="shared" si="1644"/>
        <v>150525100</v>
      </c>
      <c r="C2797" s="1" t="str">
        <f>"1014584434"</f>
        <v>1014584434</v>
      </c>
      <c r="D2797" s="1" t="s">
        <v>2873</v>
      </c>
      <c r="E2797" s="1" t="s">
        <v>2874</v>
      </c>
      <c r="F2797" s="1" t="s">
        <v>25</v>
      </c>
      <c r="G2797" s="1" t="s">
        <v>17</v>
      </c>
      <c r="H2797" s="1" t="str">
        <f t="shared" ref="H2797:H2800" si="1651">"72"</f>
        <v>72</v>
      </c>
      <c r="I2797" s="1" t="str">
        <f>"162.14"</f>
        <v>162.14</v>
      </c>
      <c r="J2797" s="1" t="str">
        <f t="shared" si="1646"/>
        <v>0</v>
      </c>
      <c r="K2797" s="1" t="str">
        <f t="shared" si="1647"/>
        <v>103</v>
      </c>
      <c r="L2797" s="1" t="str">
        <f t="shared" si="1648"/>
        <v>47</v>
      </c>
      <c r="M2797" s="1" t="str">
        <f t="shared" si="1641"/>
        <v>0</v>
      </c>
      <c r="N2797" s="1" t="str">
        <f t="shared" si="1642"/>
        <v>0</v>
      </c>
      <c r="O2797" s="1" t="str">
        <f>"2.14"</f>
        <v>2.14</v>
      </c>
    </row>
    <row r="2798" s="1" customFormat="1" spans="1:15">
      <c r="A2798" s="1" t="str">
        <f t="shared" si="1643"/>
        <v>202406</v>
      </c>
      <c r="B2798" s="1" t="str">
        <f t="shared" si="1644"/>
        <v>150525100</v>
      </c>
      <c r="C2798" s="1" t="str">
        <f>"1014550497"</f>
        <v>1014550497</v>
      </c>
      <c r="D2798" s="1" t="str">
        <f>"152326195204253323"</f>
        <v>152326195204253323</v>
      </c>
      <c r="E2798" s="1" t="s">
        <v>2875</v>
      </c>
      <c r="F2798" s="1" t="s">
        <v>16</v>
      </c>
      <c r="G2798" s="1" t="s">
        <v>17</v>
      </c>
      <c r="H2798" s="1" t="str">
        <f t="shared" si="1651"/>
        <v>72</v>
      </c>
      <c r="I2798" s="1" t="str">
        <f>"162.15"</f>
        <v>162.15</v>
      </c>
      <c r="J2798" s="1" t="str">
        <f t="shared" si="1646"/>
        <v>0</v>
      </c>
      <c r="K2798" s="1" t="str">
        <f t="shared" si="1647"/>
        <v>103</v>
      </c>
      <c r="L2798" s="1" t="str">
        <f t="shared" si="1648"/>
        <v>47</v>
      </c>
      <c r="M2798" s="1" t="str">
        <f t="shared" si="1641"/>
        <v>0</v>
      </c>
      <c r="N2798" s="1" t="str">
        <f t="shared" si="1642"/>
        <v>0</v>
      </c>
      <c r="O2798" s="1" t="str">
        <f>"2.15"</f>
        <v>2.15</v>
      </c>
    </row>
    <row r="2799" s="1" customFormat="1" spans="1:15">
      <c r="A2799" s="1" t="str">
        <f t="shared" si="1643"/>
        <v>202406</v>
      </c>
      <c r="B2799" s="1" t="str">
        <f t="shared" si="1644"/>
        <v>150525100</v>
      </c>
      <c r="C2799" s="1" t="str">
        <f>"1014585057"</f>
        <v>1014585057</v>
      </c>
      <c r="D2799" s="1" t="str">
        <f>"152326195408230422"</f>
        <v>152326195408230422</v>
      </c>
      <c r="E2799" s="1" t="s">
        <v>522</v>
      </c>
      <c r="F2799" s="1" t="s">
        <v>16</v>
      </c>
      <c r="G2799" s="1" t="s">
        <v>17</v>
      </c>
      <c r="H2799" s="1" t="str">
        <f>"70"</f>
        <v>70</v>
      </c>
      <c r="I2799" s="1" t="str">
        <f>"154.14"</f>
        <v>154.14</v>
      </c>
      <c r="J2799" s="1" t="str">
        <f t="shared" si="1646"/>
        <v>0</v>
      </c>
      <c r="K2799" s="1" t="str">
        <f t="shared" si="1647"/>
        <v>103</v>
      </c>
      <c r="L2799" s="1" t="str">
        <f t="shared" si="1648"/>
        <v>47</v>
      </c>
      <c r="M2799" s="1" t="str">
        <f t="shared" si="1641"/>
        <v>0</v>
      </c>
      <c r="N2799" s="1" t="str">
        <f t="shared" si="1642"/>
        <v>0</v>
      </c>
      <c r="O2799" s="1" t="str">
        <f>"4.14"</f>
        <v>4.14</v>
      </c>
    </row>
    <row r="2800" s="1" customFormat="1" spans="1:15">
      <c r="A2800" s="1" t="str">
        <f t="shared" si="1643"/>
        <v>202406</v>
      </c>
      <c r="B2800" s="1" t="str">
        <f t="shared" si="1644"/>
        <v>150525100</v>
      </c>
      <c r="C2800" s="1" t="str">
        <f>"1014561110"</f>
        <v>1014561110</v>
      </c>
      <c r="D2800" s="1" t="str">
        <f>"152326195210240449"</f>
        <v>152326195210240449</v>
      </c>
      <c r="E2800" s="1" t="s">
        <v>2876</v>
      </c>
      <c r="F2800" s="1" t="s">
        <v>16</v>
      </c>
      <c r="G2800" s="1" t="s">
        <v>17</v>
      </c>
      <c r="H2800" s="1" t="str">
        <f t="shared" si="1651"/>
        <v>72</v>
      </c>
      <c r="I2800" s="1" t="str">
        <f>"169.09"</f>
        <v>169.09</v>
      </c>
      <c r="J2800" s="1" t="str">
        <f t="shared" si="1646"/>
        <v>0</v>
      </c>
      <c r="K2800" s="1" t="str">
        <f t="shared" si="1647"/>
        <v>103</v>
      </c>
      <c r="L2800" s="1" t="str">
        <f t="shared" si="1648"/>
        <v>47</v>
      </c>
      <c r="M2800" s="1" t="str">
        <f t="shared" si="1641"/>
        <v>0</v>
      </c>
      <c r="N2800" s="1" t="str">
        <f t="shared" si="1642"/>
        <v>0</v>
      </c>
      <c r="O2800" s="1" t="str">
        <f>"9.09"</f>
        <v>9.09</v>
      </c>
    </row>
    <row r="2801" s="1" customFormat="1" spans="1:15">
      <c r="A2801" s="1" t="str">
        <f t="shared" si="1643"/>
        <v>202406</v>
      </c>
      <c r="B2801" s="1" t="str">
        <f t="shared" si="1644"/>
        <v>150525100</v>
      </c>
      <c r="C2801" s="1" t="str">
        <f>"1014561121"</f>
        <v>1014561121</v>
      </c>
      <c r="D2801" s="1" t="str">
        <f>"152326196303230420"</f>
        <v>152326196303230420</v>
      </c>
      <c r="E2801" s="1" t="s">
        <v>2877</v>
      </c>
      <c r="F2801" s="1" t="s">
        <v>16</v>
      </c>
      <c r="G2801" s="1" t="s">
        <v>17</v>
      </c>
      <c r="H2801" s="1" t="str">
        <f>"61"</f>
        <v>61</v>
      </c>
      <c r="I2801" s="1" t="str">
        <f>"204.17"</f>
        <v>204.17</v>
      </c>
      <c r="J2801" s="1" t="str">
        <f t="shared" si="1646"/>
        <v>0</v>
      </c>
      <c r="K2801" s="1" t="str">
        <f t="shared" si="1647"/>
        <v>103</v>
      </c>
      <c r="L2801" s="1" t="str">
        <f t="shared" si="1648"/>
        <v>47</v>
      </c>
      <c r="M2801" s="1" t="str">
        <f t="shared" si="1641"/>
        <v>0</v>
      </c>
      <c r="N2801" s="1" t="str">
        <f t="shared" si="1642"/>
        <v>0</v>
      </c>
      <c r="O2801" s="1" t="str">
        <f>"54.17"</f>
        <v>54.17</v>
      </c>
    </row>
    <row r="2802" s="1" customFormat="1" spans="1:15">
      <c r="A2802" s="1" t="str">
        <f t="shared" si="1643"/>
        <v>202406</v>
      </c>
      <c r="B2802" s="1" t="str">
        <f t="shared" si="1644"/>
        <v>150525100</v>
      </c>
      <c r="C2802" s="1" t="str">
        <f>"1014561174"</f>
        <v>1014561174</v>
      </c>
      <c r="D2802" s="1" t="str">
        <f>"152326195604010419"</f>
        <v>152326195604010419</v>
      </c>
      <c r="E2802" s="1" t="s">
        <v>2878</v>
      </c>
      <c r="F2802" s="1" t="s">
        <v>25</v>
      </c>
      <c r="G2802" s="1" t="s">
        <v>17</v>
      </c>
      <c r="H2802" s="1" t="str">
        <f t="shared" ref="H2802:H2804" si="1652">"68"</f>
        <v>68</v>
      </c>
      <c r="I2802" s="1" t="str">
        <f t="shared" ref="I2802:I2804" si="1653">"156.01"</f>
        <v>156.01</v>
      </c>
      <c r="J2802" s="1" t="str">
        <f t="shared" si="1646"/>
        <v>0</v>
      </c>
      <c r="K2802" s="1" t="str">
        <f t="shared" si="1647"/>
        <v>103</v>
      </c>
      <c r="L2802" s="1" t="str">
        <f t="shared" si="1648"/>
        <v>47</v>
      </c>
      <c r="M2802" s="1" t="str">
        <f t="shared" si="1641"/>
        <v>0</v>
      </c>
      <c r="N2802" s="1" t="str">
        <f t="shared" si="1642"/>
        <v>0</v>
      </c>
      <c r="O2802" s="1" t="str">
        <f t="shared" ref="O2802:O2804" si="1654">"6.01"</f>
        <v>6.01</v>
      </c>
    </row>
    <row r="2803" s="1" customFormat="1" spans="1:15">
      <c r="A2803" s="1" t="str">
        <f t="shared" si="1643"/>
        <v>202406</v>
      </c>
      <c r="B2803" s="1" t="str">
        <f t="shared" si="1644"/>
        <v>150525100</v>
      </c>
      <c r="C2803" s="1" t="str">
        <f>"1014561182"</f>
        <v>1014561182</v>
      </c>
      <c r="D2803" s="1" t="str">
        <f>"152326195611170429"</f>
        <v>152326195611170429</v>
      </c>
      <c r="E2803" s="1" t="s">
        <v>2879</v>
      </c>
      <c r="F2803" s="1" t="s">
        <v>16</v>
      </c>
      <c r="G2803" s="1" t="s">
        <v>17</v>
      </c>
      <c r="H2803" s="1" t="str">
        <f t="shared" si="1652"/>
        <v>68</v>
      </c>
      <c r="I2803" s="1" t="str">
        <f t="shared" si="1653"/>
        <v>156.01</v>
      </c>
      <c r="J2803" s="1" t="str">
        <f t="shared" si="1646"/>
        <v>0</v>
      </c>
      <c r="K2803" s="1" t="str">
        <f t="shared" si="1647"/>
        <v>103</v>
      </c>
      <c r="L2803" s="1" t="str">
        <f t="shared" si="1648"/>
        <v>47</v>
      </c>
      <c r="M2803" s="1" t="str">
        <f t="shared" si="1641"/>
        <v>0</v>
      </c>
      <c r="N2803" s="1" t="str">
        <f t="shared" si="1642"/>
        <v>0</v>
      </c>
      <c r="O2803" s="1" t="str">
        <f t="shared" si="1654"/>
        <v>6.01</v>
      </c>
    </row>
    <row r="2804" s="1" customFormat="1" spans="1:15">
      <c r="A2804" s="1" t="str">
        <f t="shared" si="1643"/>
        <v>202406</v>
      </c>
      <c r="B2804" s="1" t="str">
        <f t="shared" si="1644"/>
        <v>150525100</v>
      </c>
      <c r="C2804" s="1" t="str">
        <f>"1014567844"</f>
        <v>1014567844</v>
      </c>
      <c r="D2804" s="1" t="str">
        <f>"152326195606253828"</f>
        <v>152326195606253828</v>
      </c>
      <c r="E2804" s="1" t="s">
        <v>2880</v>
      </c>
      <c r="F2804" s="1" t="s">
        <v>16</v>
      </c>
      <c r="G2804" s="1" t="s">
        <v>19</v>
      </c>
      <c r="H2804" s="1" t="str">
        <f t="shared" si="1652"/>
        <v>68</v>
      </c>
      <c r="I2804" s="1" t="str">
        <f t="shared" si="1653"/>
        <v>156.01</v>
      </c>
      <c r="J2804" s="1" t="str">
        <f t="shared" si="1646"/>
        <v>0</v>
      </c>
      <c r="K2804" s="1" t="str">
        <f t="shared" si="1647"/>
        <v>103</v>
      </c>
      <c r="L2804" s="1" t="str">
        <f t="shared" si="1648"/>
        <v>47</v>
      </c>
      <c r="M2804" s="1" t="str">
        <f t="shared" si="1641"/>
        <v>0</v>
      </c>
      <c r="N2804" s="1" t="str">
        <f t="shared" si="1642"/>
        <v>0</v>
      </c>
      <c r="O2804" s="1" t="str">
        <f t="shared" si="1654"/>
        <v>6.01</v>
      </c>
    </row>
    <row r="2805" s="1" customFormat="1" spans="1:15">
      <c r="A2805" s="1" t="str">
        <f t="shared" si="1643"/>
        <v>202406</v>
      </c>
      <c r="B2805" s="1" t="str">
        <f t="shared" si="1644"/>
        <v>150525100</v>
      </c>
      <c r="C2805" s="1" t="str">
        <f>"1014562933"</f>
        <v>1014562933</v>
      </c>
      <c r="D2805" s="1" t="str">
        <f>"152326196309290424"</f>
        <v>152326196309290424</v>
      </c>
      <c r="E2805" s="1" t="s">
        <v>159</v>
      </c>
      <c r="F2805" s="1" t="s">
        <v>16</v>
      </c>
      <c r="G2805" s="1" t="s">
        <v>17</v>
      </c>
      <c r="H2805" s="1" t="str">
        <f>"61"</f>
        <v>61</v>
      </c>
      <c r="I2805" s="1" t="str">
        <f>"191.52"</f>
        <v>191.52</v>
      </c>
      <c r="J2805" s="1" t="str">
        <f t="shared" si="1646"/>
        <v>0</v>
      </c>
      <c r="K2805" s="1" t="str">
        <f t="shared" si="1647"/>
        <v>103</v>
      </c>
      <c r="L2805" s="1" t="str">
        <f t="shared" si="1648"/>
        <v>47</v>
      </c>
      <c r="M2805" s="1" t="str">
        <f t="shared" si="1641"/>
        <v>0</v>
      </c>
      <c r="N2805" s="1" t="str">
        <f t="shared" si="1642"/>
        <v>0</v>
      </c>
      <c r="O2805" s="1" t="str">
        <f>"41.52"</f>
        <v>41.52</v>
      </c>
    </row>
    <row r="2806" s="1" customFormat="1" spans="1:15">
      <c r="A2806" s="1" t="str">
        <f t="shared" si="1643"/>
        <v>202406</v>
      </c>
      <c r="B2806" s="1" t="str">
        <f t="shared" si="1644"/>
        <v>150525100</v>
      </c>
      <c r="C2806" s="1" t="str">
        <f>"1014562942"</f>
        <v>1014562942</v>
      </c>
      <c r="D2806" s="1" t="s">
        <v>2881</v>
      </c>
      <c r="E2806" s="1" t="s">
        <v>2849</v>
      </c>
      <c r="F2806" s="1" t="s">
        <v>25</v>
      </c>
      <c r="G2806" s="1" t="s">
        <v>17</v>
      </c>
      <c r="H2806" s="1" t="str">
        <f>"62"</f>
        <v>62</v>
      </c>
      <c r="I2806" s="1" t="str">
        <f>"163.2"</f>
        <v>163.2</v>
      </c>
      <c r="J2806" s="1" t="str">
        <f t="shared" si="1646"/>
        <v>0</v>
      </c>
      <c r="K2806" s="1" t="str">
        <f t="shared" si="1647"/>
        <v>103</v>
      </c>
      <c r="L2806" s="1" t="str">
        <f t="shared" si="1648"/>
        <v>47</v>
      </c>
      <c r="M2806" s="1" t="str">
        <f t="shared" si="1641"/>
        <v>0</v>
      </c>
      <c r="N2806" s="1" t="str">
        <f t="shared" si="1642"/>
        <v>0</v>
      </c>
      <c r="O2806" s="1" t="str">
        <f>"13.2"</f>
        <v>13.2</v>
      </c>
    </row>
    <row r="2807" s="1" customFormat="1" spans="1:15">
      <c r="A2807" s="1" t="str">
        <f t="shared" si="1643"/>
        <v>202406</v>
      </c>
      <c r="B2807" s="1" t="str">
        <f t="shared" si="1644"/>
        <v>150525100</v>
      </c>
      <c r="C2807" s="1" t="str">
        <f>"1014563322"</f>
        <v>1014563322</v>
      </c>
      <c r="D2807" s="1" t="str">
        <f>"152326196305250417"</f>
        <v>152326196305250417</v>
      </c>
      <c r="E2807" s="1" t="s">
        <v>2882</v>
      </c>
      <c r="F2807" s="1" t="s">
        <v>25</v>
      </c>
      <c r="G2807" s="1" t="s">
        <v>17</v>
      </c>
      <c r="H2807" s="1" t="str">
        <f>"61"</f>
        <v>61</v>
      </c>
      <c r="I2807" s="1" t="str">
        <f>"164.41"</f>
        <v>164.41</v>
      </c>
      <c r="J2807" s="1" t="str">
        <f t="shared" si="1646"/>
        <v>0</v>
      </c>
      <c r="K2807" s="1" t="str">
        <f t="shared" si="1647"/>
        <v>103</v>
      </c>
      <c r="L2807" s="1" t="str">
        <f t="shared" si="1648"/>
        <v>47</v>
      </c>
      <c r="M2807" s="1" t="str">
        <f t="shared" si="1641"/>
        <v>0</v>
      </c>
      <c r="N2807" s="1" t="str">
        <f t="shared" si="1642"/>
        <v>0</v>
      </c>
      <c r="O2807" s="1" t="str">
        <f>"14.41"</f>
        <v>14.41</v>
      </c>
    </row>
    <row r="2808" s="1" customFormat="1" spans="1:15">
      <c r="A2808" s="1" t="str">
        <f t="shared" si="1643"/>
        <v>202406</v>
      </c>
      <c r="B2808" s="1" t="str">
        <f t="shared" si="1644"/>
        <v>150525100</v>
      </c>
      <c r="C2808" s="1" t="str">
        <f>"1014569747"</f>
        <v>1014569747</v>
      </c>
      <c r="D2808" s="1" t="str">
        <f>"152326195609120422"</f>
        <v>152326195609120422</v>
      </c>
      <c r="E2808" s="1" t="s">
        <v>2883</v>
      </c>
      <c r="F2808" s="1" t="s">
        <v>16</v>
      </c>
      <c r="G2808" s="1" t="s">
        <v>17</v>
      </c>
      <c r="H2808" s="1" t="str">
        <f>"68"</f>
        <v>68</v>
      </c>
      <c r="I2808" s="1" t="str">
        <f>"156"</f>
        <v>156</v>
      </c>
      <c r="J2808" s="1" t="str">
        <f t="shared" si="1646"/>
        <v>0</v>
      </c>
      <c r="K2808" s="1" t="str">
        <f t="shared" si="1647"/>
        <v>103</v>
      </c>
      <c r="L2808" s="1" t="str">
        <f t="shared" si="1648"/>
        <v>47</v>
      </c>
      <c r="M2808" s="1" t="str">
        <f t="shared" si="1641"/>
        <v>0</v>
      </c>
      <c r="N2808" s="1" t="str">
        <f t="shared" si="1642"/>
        <v>0</v>
      </c>
      <c r="O2808" s="1" t="str">
        <f>"6"</f>
        <v>6</v>
      </c>
    </row>
    <row r="2809" s="1" customFormat="1" spans="1:15">
      <c r="A2809" s="1" t="str">
        <f t="shared" si="1643"/>
        <v>202406</v>
      </c>
      <c r="B2809" s="1" t="str">
        <f t="shared" si="1644"/>
        <v>150525100</v>
      </c>
      <c r="C2809" s="1" t="str">
        <f>"1014585070"</f>
        <v>1014585070</v>
      </c>
      <c r="D2809" s="1" t="str">
        <f>"152326195412100428"</f>
        <v>152326195412100428</v>
      </c>
      <c r="E2809" s="1" t="s">
        <v>2884</v>
      </c>
      <c r="F2809" s="1" t="s">
        <v>16</v>
      </c>
      <c r="G2809" s="1" t="s">
        <v>17</v>
      </c>
      <c r="H2809" s="1" t="str">
        <f>"70"</f>
        <v>70</v>
      </c>
      <c r="I2809" s="1" t="str">
        <f>"154.14"</f>
        <v>154.14</v>
      </c>
      <c r="J2809" s="1" t="str">
        <f t="shared" si="1646"/>
        <v>0</v>
      </c>
      <c r="K2809" s="1" t="str">
        <f t="shared" si="1647"/>
        <v>103</v>
      </c>
      <c r="L2809" s="1" t="str">
        <f t="shared" si="1648"/>
        <v>47</v>
      </c>
      <c r="M2809" s="1" t="str">
        <f t="shared" si="1641"/>
        <v>0</v>
      </c>
      <c r="N2809" s="1" t="str">
        <f t="shared" si="1642"/>
        <v>0</v>
      </c>
      <c r="O2809" s="1" t="str">
        <f>"4.14"</f>
        <v>4.14</v>
      </c>
    </row>
    <row r="2810" s="1" customFormat="1" spans="1:15">
      <c r="A2810" s="1" t="str">
        <f t="shared" si="1643"/>
        <v>202406</v>
      </c>
      <c r="B2810" s="1" t="str">
        <f t="shared" si="1644"/>
        <v>150525100</v>
      </c>
      <c r="C2810" s="1" t="str">
        <f>"1014585072"</f>
        <v>1014585072</v>
      </c>
      <c r="D2810" s="1" t="str">
        <f>"152326195501120412"</f>
        <v>152326195501120412</v>
      </c>
      <c r="E2810" s="1" t="s">
        <v>2885</v>
      </c>
      <c r="F2810" s="1" t="s">
        <v>25</v>
      </c>
      <c r="G2810" s="1" t="s">
        <v>17</v>
      </c>
      <c r="H2810" s="1" t="str">
        <f t="shared" ref="H2810:H2815" si="1655">"69"</f>
        <v>69</v>
      </c>
      <c r="I2810" s="1" t="str">
        <f>"155.09"</f>
        <v>155.09</v>
      </c>
      <c r="J2810" s="1" t="str">
        <f t="shared" si="1646"/>
        <v>0</v>
      </c>
      <c r="K2810" s="1" t="str">
        <f t="shared" si="1647"/>
        <v>103</v>
      </c>
      <c r="L2810" s="1" t="str">
        <f t="shared" si="1648"/>
        <v>47</v>
      </c>
      <c r="M2810" s="1" t="str">
        <f t="shared" si="1641"/>
        <v>0</v>
      </c>
      <c r="N2810" s="1" t="str">
        <f t="shared" si="1642"/>
        <v>0</v>
      </c>
      <c r="O2810" s="1" t="str">
        <f>"5.09"</f>
        <v>5.09</v>
      </c>
    </row>
    <row r="2811" s="1" customFormat="1" spans="1:15">
      <c r="A2811" s="1" t="str">
        <f t="shared" si="1643"/>
        <v>202406</v>
      </c>
      <c r="B2811" s="1" t="str">
        <f t="shared" si="1644"/>
        <v>150525100</v>
      </c>
      <c r="C2811" s="1" t="str">
        <f>"1014585073"</f>
        <v>1014585073</v>
      </c>
      <c r="D2811" s="1" t="str">
        <f>"152326195501190664"</f>
        <v>152326195501190664</v>
      </c>
      <c r="E2811" s="1" t="s">
        <v>2886</v>
      </c>
      <c r="F2811" s="1" t="s">
        <v>16</v>
      </c>
      <c r="G2811" s="1" t="s">
        <v>17</v>
      </c>
      <c r="H2811" s="1" t="str">
        <f t="shared" si="1655"/>
        <v>69</v>
      </c>
      <c r="I2811" s="1" t="str">
        <f>"155.09"</f>
        <v>155.09</v>
      </c>
      <c r="J2811" s="1" t="str">
        <f t="shared" si="1646"/>
        <v>0</v>
      </c>
      <c r="K2811" s="1" t="str">
        <f t="shared" si="1647"/>
        <v>103</v>
      </c>
      <c r="L2811" s="1" t="str">
        <f t="shared" si="1648"/>
        <v>47</v>
      </c>
      <c r="M2811" s="1" t="str">
        <f t="shared" si="1641"/>
        <v>0</v>
      </c>
      <c r="N2811" s="1" t="str">
        <f t="shared" si="1642"/>
        <v>0</v>
      </c>
      <c r="O2811" s="1" t="str">
        <f>"5.09"</f>
        <v>5.09</v>
      </c>
    </row>
    <row r="2812" s="1" customFormat="1" spans="1:15">
      <c r="A2812" s="1" t="str">
        <f t="shared" si="1643"/>
        <v>202406</v>
      </c>
      <c r="B2812" s="1" t="str">
        <f t="shared" si="1644"/>
        <v>150525100</v>
      </c>
      <c r="C2812" s="1" t="str">
        <f>"1014561208"</f>
        <v>1014561208</v>
      </c>
      <c r="D2812" s="1" t="str">
        <f>"152326195711050440"</f>
        <v>152326195711050440</v>
      </c>
      <c r="E2812" s="1" t="s">
        <v>340</v>
      </c>
      <c r="F2812" s="1" t="s">
        <v>16</v>
      </c>
      <c r="G2812" s="1" t="s">
        <v>17</v>
      </c>
      <c r="H2812" s="1" t="str">
        <f>"67"</f>
        <v>67</v>
      </c>
      <c r="I2812" s="1" t="str">
        <f>"157.04"</f>
        <v>157.04</v>
      </c>
      <c r="J2812" s="1" t="str">
        <f t="shared" si="1646"/>
        <v>0</v>
      </c>
      <c r="K2812" s="1" t="str">
        <f t="shared" si="1647"/>
        <v>103</v>
      </c>
      <c r="L2812" s="1" t="str">
        <f t="shared" si="1648"/>
        <v>47</v>
      </c>
      <c r="M2812" s="1" t="str">
        <f t="shared" si="1641"/>
        <v>0</v>
      </c>
      <c r="N2812" s="1" t="str">
        <f t="shared" si="1642"/>
        <v>0</v>
      </c>
      <c r="O2812" s="1" t="str">
        <f>"7.04"</f>
        <v>7.04</v>
      </c>
    </row>
    <row r="2813" s="1" customFormat="1" spans="1:15">
      <c r="A2813" s="1" t="str">
        <f t="shared" si="1643"/>
        <v>202406</v>
      </c>
      <c r="B2813" s="1" t="str">
        <f t="shared" si="1644"/>
        <v>150525100</v>
      </c>
      <c r="C2813" s="1" t="str">
        <f>"1014561212"</f>
        <v>1014561212</v>
      </c>
      <c r="D2813" s="1" t="str">
        <f>"152326195805110424"</f>
        <v>152326195805110424</v>
      </c>
      <c r="E2813" s="1" t="s">
        <v>83</v>
      </c>
      <c r="F2813" s="1" t="s">
        <v>16</v>
      </c>
      <c r="G2813" s="1" t="s">
        <v>17</v>
      </c>
      <c r="H2813" s="1" t="str">
        <f>"66"</f>
        <v>66</v>
      </c>
      <c r="I2813" s="1" t="str">
        <f>"157.09"</f>
        <v>157.09</v>
      </c>
      <c r="J2813" s="1" t="str">
        <f t="shared" si="1646"/>
        <v>0</v>
      </c>
      <c r="K2813" s="1" t="str">
        <f t="shared" si="1647"/>
        <v>103</v>
      </c>
      <c r="L2813" s="1" t="str">
        <f t="shared" si="1648"/>
        <v>47</v>
      </c>
      <c r="M2813" s="1" t="str">
        <f t="shared" si="1641"/>
        <v>0</v>
      </c>
      <c r="N2813" s="1" t="str">
        <f t="shared" si="1642"/>
        <v>0</v>
      </c>
      <c r="O2813" s="1" t="str">
        <f>"7.09"</f>
        <v>7.09</v>
      </c>
    </row>
    <row r="2814" s="1" customFormat="1" spans="1:15">
      <c r="A2814" s="1" t="str">
        <f t="shared" si="1643"/>
        <v>202406</v>
      </c>
      <c r="B2814" s="1" t="str">
        <f t="shared" si="1644"/>
        <v>150525100</v>
      </c>
      <c r="C2814" s="1" t="str">
        <f>"1014561214"</f>
        <v>1014561214</v>
      </c>
      <c r="D2814" s="1" t="str">
        <f>"152326195807010427"</f>
        <v>152326195807010427</v>
      </c>
      <c r="E2814" s="1" t="s">
        <v>881</v>
      </c>
      <c r="F2814" s="1" t="s">
        <v>16</v>
      </c>
      <c r="G2814" s="1" t="s">
        <v>17</v>
      </c>
      <c r="H2814" s="1" t="str">
        <f>"66"</f>
        <v>66</v>
      </c>
      <c r="I2814" s="1" t="str">
        <f>"157.11"</f>
        <v>157.11</v>
      </c>
      <c r="J2814" s="1" t="str">
        <f t="shared" si="1646"/>
        <v>0</v>
      </c>
      <c r="K2814" s="1" t="str">
        <f t="shared" si="1647"/>
        <v>103</v>
      </c>
      <c r="L2814" s="1" t="str">
        <f t="shared" si="1648"/>
        <v>47</v>
      </c>
      <c r="M2814" s="1" t="str">
        <f t="shared" si="1641"/>
        <v>0</v>
      </c>
      <c r="N2814" s="1" t="str">
        <f t="shared" si="1642"/>
        <v>0</v>
      </c>
      <c r="O2814" s="1" t="str">
        <f>"7.11"</f>
        <v>7.11</v>
      </c>
    </row>
    <row r="2815" s="1" customFormat="1" spans="1:15">
      <c r="A2815" s="1" t="str">
        <f t="shared" si="1643"/>
        <v>202406</v>
      </c>
      <c r="B2815" s="1" t="str">
        <f t="shared" si="1644"/>
        <v>150525100</v>
      </c>
      <c r="C2815" s="1" t="str">
        <f>"1040833151"</f>
        <v>1040833151</v>
      </c>
      <c r="D2815" s="1" t="str">
        <f>"152326195511170050"</f>
        <v>152326195511170050</v>
      </c>
      <c r="E2815" s="1" t="s">
        <v>2887</v>
      </c>
      <c r="F2815" s="1" t="s">
        <v>25</v>
      </c>
      <c r="G2815" s="1" t="s">
        <v>17</v>
      </c>
      <c r="H2815" s="1" t="str">
        <f t="shared" si="1655"/>
        <v>69</v>
      </c>
      <c r="I2815" s="1" t="str">
        <f>"154.51"</f>
        <v>154.51</v>
      </c>
      <c r="J2815" s="1" t="str">
        <f t="shared" si="1646"/>
        <v>0</v>
      </c>
      <c r="K2815" s="1" t="str">
        <f t="shared" si="1647"/>
        <v>103</v>
      </c>
      <c r="L2815" s="1" t="str">
        <f t="shared" si="1648"/>
        <v>47</v>
      </c>
      <c r="M2815" s="1" t="str">
        <f t="shared" si="1641"/>
        <v>0</v>
      </c>
      <c r="N2815" s="1" t="str">
        <f t="shared" si="1642"/>
        <v>0</v>
      </c>
      <c r="O2815" s="1" t="str">
        <f>"4.51"</f>
        <v>4.51</v>
      </c>
    </row>
    <row r="2816" s="1" customFormat="1" spans="1:15">
      <c r="A2816" s="1" t="str">
        <f t="shared" si="1643"/>
        <v>202406</v>
      </c>
      <c r="B2816" s="1" t="str">
        <f t="shared" si="1644"/>
        <v>150525100</v>
      </c>
      <c r="C2816" s="1" t="str">
        <f>"1040833177"</f>
        <v>1040833177</v>
      </c>
      <c r="D2816" s="1" t="str">
        <f>"152326195205113314"</f>
        <v>152326195205113314</v>
      </c>
      <c r="E2816" s="1" t="s">
        <v>2888</v>
      </c>
      <c r="F2816" s="1" t="s">
        <v>25</v>
      </c>
      <c r="G2816" s="1" t="s">
        <v>17</v>
      </c>
      <c r="H2816" s="1" t="str">
        <f>"72"</f>
        <v>72</v>
      </c>
      <c r="I2816" s="1" t="str">
        <f>"161.51"</f>
        <v>161.51</v>
      </c>
      <c r="J2816" s="1" t="str">
        <f t="shared" si="1646"/>
        <v>0</v>
      </c>
      <c r="K2816" s="1" t="str">
        <f t="shared" si="1647"/>
        <v>103</v>
      </c>
      <c r="L2816" s="1" t="str">
        <f t="shared" si="1648"/>
        <v>47</v>
      </c>
      <c r="M2816" s="1" t="str">
        <f t="shared" si="1641"/>
        <v>0</v>
      </c>
      <c r="N2816" s="1" t="str">
        <f t="shared" si="1642"/>
        <v>0</v>
      </c>
      <c r="O2816" s="1" t="str">
        <f>"1.51"</f>
        <v>1.51</v>
      </c>
    </row>
    <row r="2817" s="1" customFormat="1" spans="1:15">
      <c r="A2817" s="1" t="str">
        <f t="shared" si="1643"/>
        <v>202406</v>
      </c>
      <c r="B2817" s="1" t="str">
        <f t="shared" si="1644"/>
        <v>150525100</v>
      </c>
      <c r="C2817" s="1" t="str">
        <f>"1040833196"</f>
        <v>1040833196</v>
      </c>
      <c r="D2817" s="1" t="str">
        <f>"152326195502170411"</f>
        <v>152326195502170411</v>
      </c>
      <c r="E2817" s="1" t="s">
        <v>2889</v>
      </c>
      <c r="F2817" s="1" t="s">
        <v>25</v>
      </c>
      <c r="G2817" s="1" t="s">
        <v>17</v>
      </c>
      <c r="H2817" s="1" t="str">
        <f>"69"</f>
        <v>69</v>
      </c>
      <c r="I2817" s="1" t="str">
        <f>"154.28"</f>
        <v>154.28</v>
      </c>
      <c r="J2817" s="1" t="str">
        <f t="shared" si="1646"/>
        <v>0</v>
      </c>
      <c r="K2817" s="1" t="str">
        <f t="shared" si="1647"/>
        <v>103</v>
      </c>
      <c r="L2817" s="1" t="str">
        <f t="shared" si="1648"/>
        <v>47</v>
      </c>
      <c r="M2817" s="1" t="str">
        <f t="shared" ref="M2817:M2880" si="1656">"0"</f>
        <v>0</v>
      </c>
      <c r="N2817" s="1" t="str">
        <f t="shared" ref="N2817:N2880" si="1657">"0"</f>
        <v>0</v>
      </c>
      <c r="O2817" s="1" t="str">
        <f>"4.28"</f>
        <v>4.28</v>
      </c>
    </row>
    <row r="2818" s="1" customFormat="1" spans="1:15">
      <c r="A2818" s="1" t="str">
        <f t="shared" ref="A2818:A2881" si="1658">"202406"</f>
        <v>202406</v>
      </c>
      <c r="B2818" s="1" t="str">
        <f t="shared" ref="B2818:B2881" si="1659">"150525100"</f>
        <v>150525100</v>
      </c>
      <c r="C2818" s="1" t="str">
        <f>"1014562988"</f>
        <v>1014562988</v>
      </c>
      <c r="D2818" s="1" t="str">
        <f>"152326195509030411"</f>
        <v>152326195509030411</v>
      </c>
      <c r="E2818" s="1" t="s">
        <v>2890</v>
      </c>
      <c r="F2818" s="1" t="s">
        <v>25</v>
      </c>
      <c r="G2818" s="1" t="s">
        <v>17</v>
      </c>
      <c r="H2818" s="1" t="str">
        <f>"69"</f>
        <v>69</v>
      </c>
      <c r="I2818" s="1" t="str">
        <f>"155.12"</f>
        <v>155.12</v>
      </c>
      <c r="J2818" s="1" t="str">
        <f t="shared" si="1646"/>
        <v>0</v>
      </c>
      <c r="K2818" s="1" t="str">
        <f t="shared" si="1647"/>
        <v>103</v>
      </c>
      <c r="L2818" s="1" t="str">
        <f t="shared" si="1648"/>
        <v>47</v>
      </c>
      <c r="M2818" s="1" t="str">
        <f t="shared" si="1656"/>
        <v>0</v>
      </c>
      <c r="N2818" s="1" t="str">
        <f t="shared" si="1657"/>
        <v>0</v>
      </c>
      <c r="O2818" s="1" t="str">
        <f>"5.12"</f>
        <v>5.12</v>
      </c>
    </row>
    <row r="2819" s="1" customFormat="1" spans="1:15">
      <c r="A2819" s="1" t="str">
        <f t="shared" si="1658"/>
        <v>202406</v>
      </c>
      <c r="B2819" s="1" t="str">
        <f t="shared" si="1659"/>
        <v>150525100</v>
      </c>
      <c r="C2819" s="1" t="str">
        <f>"1014563349"</f>
        <v>1014563349</v>
      </c>
      <c r="D2819" s="1" t="str">
        <f>"152326195306090414"</f>
        <v>152326195306090414</v>
      </c>
      <c r="E2819" s="1" t="s">
        <v>2891</v>
      </c>
      <c r="F2819" s="1" t="s">
        <v>25</v>
      </c>
      <c r="G2819" s="1" t="s">
        <v>17</v>
      </c>
      <c r="H2819" s="1" t="str">
        <f>"71"</f>
        <v>71</v>
      </c>
      <c r="I2819" s="1" t="str">
        <f>"163.18"</f>
        <v>163.18</v>
      </c>
      <c r="J2819" s="1" t="str">
        <f t="shared" si="1646"/>
        <v>0</v>
      </c>
      <c r="K2819" s="1" t="str">
        <f t="shared" si="1647"/>
        <v>103</v>
      </c>
      <c r="L2819" s="1" t="str">
        <f t="shared" si="1648"/>
        <v>47</v>
      </c>
      <c r="M2819" s="1" t="str">
        <f t="shared" si="1656"/>
        <v>0</v>
      </c>
      <c r="N2819" s="1" t="str">
        <f t="shared" si="1657"/>
        <v>0</v>
      </c>
      <c r="O2819" s="1" t="str">
        <f>"3.18"</f>
        <v>3.18</v>
      </c>
    </row>
    <row r="2820" s="1" customFormat="1" spans="1:15">
      <c r="A2820" s="1" t="str">
        <f t="shared" si="1658"/>
        <v>202406</v>
      </c>
      <c r="B2820" s="1" t="str">
        <f t="shared" si="1659"/>
        <v>150525100</v>
      </c>
      <c r="C2820" s="1" t="str">
        <f>"1014563357"</f>
        <v>1014563357</v>
      </c>
      <c r="D2820" s="1" t="str">
        <f>"152326196212040410"</f>
        <v>152326196212040410</v>
      </c>
      <c r="E2820" s="1" t="s">
        <v>2892</v>
      </c>
      <c r="F2820" s="1" t="s">
        <v>25</v>
      </c>
      <c r="G2820" s="1" t="s">
        <v>17</v>
      </c>
      <c r="H2820" s="1" t="str">
        <f>"62"</f>
        <v>62</v>
      </c>
      <c r="I2820" s="1" t="str">
        <f>"163.22"</f>
        <v>163.22</v>
      </c>
      <c r="J2820" s="1" t="str">
        <f t="shared" si="1646"/>
        <v>0</v>
      </c>
      <c r="K2820" s="1" t="str">
        <f t="shared" si="1647"/>
        <v>103</v>
      </c>
      <c r="L2820" s="1" t="str">
        <f t="shared" si="1648"/>
        <v>47</v>
      </c>
      <c r="M2820" s="1" t="str">
        <f t="shared" si="1656"/>
        <v>0</v>
      </c>
      <c r="N2820" s="1" t="str">
        <f t="shared" si="1657"/>
        <v>0</v>
      </c>
      <c r="O2820" s="1" t="str">
        <f>"13.22"</f>
        <v>13.22</v>
      </c>
    </row>
    <row r="2821" s="1" customFormat="1" spans="1:15">
      <c r="A2821" s="1" t="str">
        <f t="shared" si="1658"/>
        <v>202406</v>
      </c>
      <c r="B2821" s="1" t="str">
        <f t="shared" si="1659"/>
        <v>150525100</v>
      </c>
      <c r="C2821" s="1" t="str">
        <f>"1014569765"</f>
        <v>1014569765</v>
      </c>
      <c r="D2821" s="1" t="str">
        <f>"152326195805180414"</f>
        <v>152326195805180414</v>
      </c>
      <c r="E2821" s="1" t="s">
        <v>2893</v>
      </c>
      <c r="F2821" s="1" t="s">
        <v>25</v>
      </c>
      <c r="G2821" s="1" t="s">
        <v>17</v>
      </c>
      <c r="H2821" s="1" t="str">
        <f>"66"</f>
        <v>66</v>
      </c>
      <c r="I2821" s="1" t="str">
        <f>"157.1"</f>
        <v>157.1</v>
      </c>
      <c r="J2821" s="1" t="str">
        <f t="shared" si="1646"/>
        <v>0</v>
      </c>
      <c r="K2821" s="1" t="str">
        <f t="shared" si="1647"/>
        <v>103</v>
      </c>
      <c r="L2821" s="1" t="str">
        <f t="shared" si="1648"/>
        <v>47</v>
      </c>
      <c r="M2821" s="1" t="str">
        <f t="shared" si="1656"/>
        <v>0</v>
      </c>
      <c r="N2821" s="1" t="str">
        <f t="shared" si="1657"/>
        <v>0</v>
      </c>
      <c r="O2821" s="1" t="str">
        <f>"7.1"</f>
        <v>7.1</v>
      </c>
    </row>
    <row r="2822" s="1" customFormat="1" spans="1:15">
      <c r="A2822" s="1" t="str">
        <f t="shared" si="1658"/>
        <v>202406</v>
      </c>
      <c r="B2822" s="1" t="str">
        <f t="shared" si="1659"/>
        <v>150525100</v>
      </c>
      <c r="C2822" s="1" t="str">
        <f>"1014569771"</f>
        <v>1014569771</v>
      </c>
      <c r="D2822" s="1" t="str">
        <f>"152326195901020429"</f>
        <v>152326195901020429</v>
      </c>
      <c r="E2822" s="1" t="s">
        <v>2894</v>
      </c>
      <c r="F2822" s="1" t="s">
        <v>16</v>
      </c>
      <c r="G2822" s="1" t="s">
        <v>17</v>
      </c>
      <c r="H2822" s="1" t="str">
        <f>"66"</f>
        <v>66</v>
      </c>
      <c r="I2822" s="1" t="str">
        <f>"158.1"</f>
        <v>158.1</v>
      </c>
      <c r="J2822" s="1" t="str">
        <f t="shared" si="1646"/>
        <v>0</v>
      </c>
      <c r="K2822" s="1" t="str">
        <f t="shared" si="1647"/>
        <v>103</v>
      </c>
      <c r="L2822" s="1" t="str">
        <f t="shared" si="1648"/>
        <v>47</v>
      </c>
      <c r="M2822" s="1" t="str">
        <f t="shared" si="1656"/>
        <v>0</v>
      </c>
      <c r="N2822" s="1" t="str">
        <f t="shared" si="1657"/>
        <v>0</v>
      </c>
      <c r="O2822" s="1" t="str">
        <f>"8.1"</f>
        <v>8.1</v>
      </c>
    </row>
    <row r="2823" s="1" customFormat="1" spans="1:15">
      <c r="A2823" s="1" t="str">
        <f t="shared" si="1658"/>
        <v>202406</v>
      </c>
      <c r="B2823" s="1" t="str">
        <f t="shared" si="1659"/>
        <v>150525100</v>
      </c>
      <c r="C2823" s="1" t="str">
        <f>"1014550053"</f>
        <v>1014550053</v>
      </c>
      <c r="D2823" s="1" t="str">
        <f>"152326195603060668"</f>
        <v>152326195603060668</v>
      </c>
      <c r="E2823" s="1" t="s">
        <v>2895</v>
      </c>
      <c r="F2823" s="1" t="s">
        <v>16</v>
      </c>
      <c r="G2823" s="1" t="s">
        <v>17</v>
      </c>
      <c r="H2823" s="1" t="str">
        <f t="shared" ref="H2823:H2826" si="1660">"68"</f>
        <v>68</v>
      </c>
      <c r="I2823" s="1" t="str">
        <f t="shared" ref="I2823:I2826" si="1661">"156.02"</f>
        <v>156.02</v>
      </c>
      <c r="J2823" s="1" t="str">
        <f t="shared" si="1646"/>
        <v>0</v>
      </c>
      <c r="K2823" s="1" t="str">
        <f t="shared" si="1647"/>
        <v>103</v>
      </c>
      <c r="L2823" s="1" t="str">
        <f t="shared" si="1648"/>
        <v>47</v>
      </c>
      <c r="M2823" s="1" t="str">
        <f t="shared" si="1656"/>
        <v>0</v>
      </c>
      <c r="N2823" s="1" t="str">
        <f t="shared" si="1657"/>
        <v>0</v>
      </c>
      <c r="O2823" s="1" t="str">
        <f t="shared" ref="O2823:O2826" si="1662">"6.02"</f>
        <v>6.02</v>
      </c>
    </row>
    <row r="2824" s="1" customFormat="1" spans="1:15">
      <c r="A2824" s="1" t="str">
        <f t="shared" si="1658"/>
        <v>202406</v>
      </c>
      <c r="B2824" s="1" t="str">
        <f t="shared" si="1659"/>
        <v>150525100</v>
      </c>
      <c r="C2824" s="1" t="str">
        <f>"1014550057"</f>
        <v>1014550057</v>
      </c>
      <c r="D2824" s="1" t="str">
        <f>"152326195604013329"</f>
        <v>152326195604013329</v>
      </c>
      <c r="E2824" s="1" t="s">
        <v>2896</v>
      </c>
      <c r="F2824" s="1" t="s">
        <v>16</v>
      </c>
      <c r="G2824" s="1" t="s">
        <v>19</v>
      </c>
      <c r="H2824" s="1" t="str">
        <f t="shared" si="1660"/>
        <v>68</v>
      </c>
      <c r="I2824" s="1" t="str">
        <f t="shared" si="1661"/>
        <v>156.02</v>
      </c>
      <c r="J2824" s="1" t="str">
        <f t="shared" si="1646"/>
        <v>0</v>
      </c>
      <c r="K2824" s="1" t="str">
        <f t="shared" si="1647"/>
        <v>103</v>
      </c>
      <c r="L2824" s="1" t="str">
        <f t="shared" si="1648"/>
        <v>47</v>
      </c>
      <c r="M2824" s="1" t="str">
        <f t="shared" si="1656"/>
        <v>0</v>
      </c>
      <c r="N2824" s="1" t="str">
        <f t="shared" si="1657"/>
        <v>0</v>
      </c>
      <c r="O2824" s="1" t="str">
        <f t="shared" si="1662"/>
        <v>6.02</v>
      </c>
    </row>
    <row r="2825" s="1" customFormat="1" spans="1:15">
      <c r="A2825" s="1" t="str">
        <f t="shared" si="1658"/>
        <v>202406</v>
      </c>
      <c r="B2825" s="1" t="str">
        <f t="shared" si="1659"/>
        <v>150525100</v>
      </c>
      <c r="C2825" s="1" t="str">
        <f>"1014550066"</f>
        <v>1014550066</v>
      </c>
      <c r="D2825" s="1" t="str">
        <f>"152326195606070685"</f>
        <v>152326195606070685</v>
      </c>
      <c r="E2825" s="1" t="s">
        <v>377</v>
      </c>
      <c r="F2825" s="1" t="s">
        <v>16</v>
      </c>
      <c r="G2825" s="1" t="s">
        <v>17</v>
      </c>
      <c r="H2825" s="1" t="str">
        <f t="shared" si="1660"/>
        <v>68</v>
      </c>
      <c r="I2825" s="1" t="str">
        <f t="shared" si="1661"/>
        <v>156.02</v>
      </c>
      <c r="J2825" s="1" t="str">
        <f t="shared" si="1646"/>
        <v>0</v>
      </c>
      <c r="K2825" s="1" t="str">
        <f t="shared" si="1647"/>
        <v>103</v>
      </c>
      <c r="L2825" s="1" t="str">
        <f t="shared" si="1648"/>
        <v>47</v>
      </c>
      <c r="M2825" s="1" t="str">
        <f t="shared" si="1656"/>
        <v>0</v>
      </c>
      <c r="N2825" s="1" t="str">
        <f t="shared" si="1657"/>
        <v>0</v>
      </c>
      <c r="O2825" s="1" t="str">
        <f t="shared" si="1662"/>
        <v>6.02</v>
      </c>
    </row>
    <row r="2826" s="1" customFormat="1" spans="1:15">
      <c r="A2826" s="1" t="str">
        <f t="shared" si="1658"/>
        <v>202406</v>
      </c>
      <c r="B2826" s="1" t="str">
        <f t="shared" si="1659"/>
        <v>150525100</v>
      </c>
      <c r="C2826" s="1" t="str">
        <f>"1014550073"</f>
        <v>1014550073</v>
      </c>
      <c r="D2826" s="1" t="str">
        <f>"152326195608170663"</f>
        <v>152326195608170663</v>
      </c>
      <c r="E2826" s="1" t="s">
        <v>2897</v>
      </c>
      <c r="F2826" s="1" t="s">
        <v>16</v>
      </c>
      <c r="G2826" s="1" t="s">
        <v>19</v>
      </c>
      <c r="H2826" s="1" t="str">
        <f t="shared" si="1660"/>
        <v>68</v>
      </c>
      <c r="I2826" s="1" t="str">
        <f t="shared" si="1661"/>
        <v>156.02</v>
      </c>
      <c r="J2826" s="1" t="str">
        <f t="shared" si="1646"/>
        <v>0</v>
      </c>
      <c r="K2826" s="1" t="str">
        <f t="shared" si="1647"/>
        <v>103</v>
      </c>
      <c r="L2826" s="1" t="str">
        <f t="shared" si="1648"/>
        <v>47</v>
      </c>
      <c r="M2826" s="1" t="str">
        <f t="shared" si="1656"/>
        <v>0</v>
      </c>
      <c r="N2826" s="1" t="str">
        <f t="shared" si="1657"/>
        <v>0</v>
      </c>
      <c r="O2826" s="1" t="str">
        <f t="shared" si="1662"/>
        <v>6.02</v>
      </c>
    </row>
    <row r="2827" s="1" customFormat="1" spans="1:15">
      <c r="A2827" s="1" t="str">
        <f t="shared" si="1658"/>
        <v>202406</v>
      </c>
      <c r="B2827" s="1" t="str">
        <f t="shared" si="1659"/>
        <v>150525100</v>
      </c>
      <c r="C2827" s="1" t="str">
        <f>"1014561234"</f>
        <v>1014561234</v>
      </c>
      <c r="D2827" s="1" t="str">
        <f>"152326195911220416"</f>
        <v>152326195911220416</v>
      </c>
      <c r="E2827" s="1" t="s">
        <v>2898</v>
      </c>
      <c r="F2827" s="1" t="s">
        <v>25</v>
      </c>
      <c r="G2827" s="1" t="s">
        <v>17</v>
      </c>
      <c r="H2827" s="1" t="str">
        <f t="shared" ref="H2827:H2832" si="1663">"65"</f>
        <v>65</v>
      </c>
      <c r="I2827" s="1" t="str">
        <f>"157.39"</f>
        <v>157.39</v>
      </c>
      <c r="J2827" s="1" t="str">
        <f t="shared" si="1646"/>
        <v>0</v>
      </c>
      <c r="K2827" s="1" t="str">
        <f t="shared" si="1647"/>
        <v>103</v>
      </c>
      <c r="L2827" s="1" t="str">
        <f t="shared" si="1648"/>
        <v>47</v>
      </c>
      <c r="M2827" s="1" t="str">
        <f t="shared" si="1656"/>
        <v>0</v>
      </c>
      <c r="N2827" s="1" t="str">
        <f t="shared" si="1657"/>
        <v>0</v>
      </c>
      <c r="O2827" s="1" t="str">
        <f>"7.39"</f>
        <v>7.39</v>
      </c>
    </row>
    <row r="2828" s="1" customFormat="1" spans="1:15">
      <c r="A2828" s="1" t="str">
        <f t="shared" si="1658"/>
        <v>202406</v>
      </c>
      <c r="B2828" s="1" t="str">
        <f t="shared" si="1659"/>
        <v>150525100</v>
      </c>
      <c r="C2828" s="1" t="str">
        <f>"1014561242"</f>
        <v>1014561242</v>
      </c>
      <c r="D2828" s="1" t="str">
        <f>"152326195309150419"</f>
        <v>152326195309150419</v>
      </c>
      <c r="E2828" s="1" t="s">
        <v>2899</v>
      </c>
      <c r="F2828" s="1" t="s">
        <v>25</v>
      </c>
      <c r="G2828" s="1" t="s">
        <v>17</v>
      </c>
      <c r="H2828" s="1" t="str">
        <f>"71"</f>
        <v>71</v>
      </c>
      <c r="I2828" s="1" t="str">
        <f>"163.16"</f>
        <v>163.16</v>
      </c>
      <c r="J2828" s="1" t="str">
        <f t="shared" si="1646"/>
        <v>0</v>
      </c>
      <c r="K2828" s="1" t="str">
        <f t="shared" si="1647"/>
        <v>103</v>
      </c>
      <c r="L2828" s="1" t="str">
        <f t="shared" si="1648"/>
        <v>47</v>
      </c>
      <c r="M2828" s="1" t="str">
        <f t="shared" si="1656"/>
        <v>0</v>
      </c>
      <c r="N2828" s="1" t="str">
        <f t="shared" si="1657"/>
        <v>0</v>
      </c>
      <c r="O2828" s="1" t="str">
        <f>"3.16"</f>
        <v>3.16</v>
      </c>
    </row>
    <row r="2829" s="1" customFormat="1" spans="1:15">
      <c r="A2829" s="1" t="str">
        <f t="shared" si="1658"/>
        <v>202406</v>
      </c>
      <c r="B2829" s="1" t="str">
        <f t="shared" si="1659"/>
        <v>150525100</v>
      </c>
      <c r="C2829" s="1" t="str">
        <f>"1014561251"</f>
        <v>1014561251</v>
      </c>
      <c r="D2829" s="1" t="str">
        <f>"152326195912060418"</f>
        <v>152326195912060418</v>
      </c>
      <c r="E2829" s="1" t="s">
        <v>2900</v>
      </c>
      <c r="F2829" s="1" t="s">
        <v>25</v>
      </c>
      <c r="G2829" s="1" t="s">
        <v>17</v>
      </c>
      <c r="H2829" s="1" t="str">
        <f t="shared" si="1663"/>
        <v>65</v>
      </c>
      <c r="I2829" s="1" t="str">
        <f>"159.17"</f>
        <v>159.17</v>
      </c>
      <c r="J2829" s="1" t="str">
        <f t="shared" si="1646"/>
        <v>0</v>
      </c>
      <c r="K2829" s="1" t="str">
        <f t="shared" si="1647"/>
        <v>103</v>
      </c>
      <c r="L2829" s="1" t="str">
        <f t="shared" si="1648"/>
        <v>47</v>
      </c>
      <c r="M2829" s="1" t="str">
        <f t="shared" si="1656"/>
        <v>0</v>
      </c>
      <c r="N2829" s="1" t="str">
        <f t="shared" si="1657"/>
        <v>0</v>
      </c>
      <c r="O2829" s="1" t="str">
        <f>"9.17"</f>
        <v>9.17</v>
      </c>
    </row>
    <row r="2830" s="1" customFormat="1" spans="1:15">
      <c r="A2830" s="1" t="str">
        <f t="shared" si="1658"/>
        <v>202406</v>
      </c>
      <c r="B2830" s="1" t="str">
        <f t="shared" si="1659"/>
        <v>150525100</v>
      </c>
      <c r="C2830" s="1" t="str">
        <f>"1014562492"</f>
        <v>1014562492</v>
      </c>
      <c r="D2830" s="1" t="str">
        <f>"152326195602040446"</f>
        <v>152326195602040446</v>
      </c>
      <c r="E2830" s="1" t="s">
        <v>2663</v>
      </c>
      <c r="F2830" s="1" t="s">
        <v>16</v>
      </c>
      <c r="G2830" s="1" t="s">
        <v>17</v>
      </c>
      <c r="H2830" s="1" t="str">
        <f>"68"</f>
        <v>68</v>
      </c>
      <c r="I2830" s="1" t="str">
        <f>"156.02"</f>
        <v>156.02</v>
      </c>
      <c r="J2830" s="1" t="str">
        <f t="shared" si="1646"/>
        <v>0</v>
      </c>
      <c r="K2830" s="1" t="str">
        <f t="shared" si="1647"/>
        <v>103</v>
      </c>
      <c r="L2830" s="1" t="str">
        <f t="shared" si="1648"/>
        <v>47</v>
      </c>
      <c r="M2830" s="1" t="str">
        <f t="shared" si="1656"/>
        <v>0</v>
      </c>
      <c r="N2830" s="1" t="str">
        <f t="shared" si="1657"/>
        <v>0</v>
      </c>
      <c r="O2830" s="1" t="str">
        <f>"6.02"</f>
        <v>6.02</v>
      </c>
    </row>
    <row r="2831" s="1" customFormat="1" spans="1:15">
      <c r="A2831" s="1" t="str">
        <f t="shared" si="1658"/>
        <v>202406</v>
      </c>
      <c r="B2831" s="1" t="str">
        <f t="shared" si="1659"/>
        <v>150525100</v>
      </c>
      <c r="C2831" s="1" t="str">
        <f>"1014562993"</f>
        <v>1014562993</v>
      </c>
      <c r="D2831" s="1" t="str">
        <f>"152326195608160422"</f>
        <v>152326195608160422</v>
      </c>
      <c r="E2831" s="1" t="s">
        <v>158</v>
      </c>
      <c r="F2831" s="1" t="s">
        <v>16</v>
      </c>
      <c r="G2831" s="1" t="s">
        <v>17</v>
      </c>
      <c r="H2831" s="1" t="str">
        <f>"68"</f>
        <v>68</v>
      </c>
      <c r="I2831" s="1" t="str">
        <f>"156.02"</f>
        <v>156.02</v>
      </c>
      <c r="J2831" s="1" t="str">
        <f t="shared" si="1646"/>
        <v>0</v>
      </c>
      <c r="K2831" s="1" t="str">
        <f t="shared" si="1647"/>
        <v>103</v>
      </c>
      <c r="L2831" s="1" t="str">
        <f t="shared" si="1648"/>
        <v>47</v>
      </c>
      <c r="M2831" s="1" t="str">
        <f t="shared" si="1656"/>
        <v>0</v>
      </c>
      <c r="N2831" s="1" t="str">
        <f t="shared" si="1657"/>
        <v>0</v>
      </c>
      <c r="O2831" s="1" t="str">
        <f>"6.02"</f>
        <v>6.02</v>
      </c>
    </row>
    <row r="2832" s="1" customFormat="1" spans="1:15">
      <c r="A2832" s="1" t="str">
        <f t="shared" si="1658"/>
        <v>202406</v>
      </c>
      <c r="B2832" s="1" t="str">
        <f t="shared" si="1659"/>
        <v>150525100</v>
      </c>
      <c r="C2832" s="1" t="str">
        <f>"1014563002"</f>
        <v>1014563002</v>
      </c>
      <c r="D2832" s="1" t="str">
        <f>"152326195911090412"</f>
        <v>152326195911090412</v>
      </c>
      <c r="E2832" s="1" t="s">
        <v>2901</v>
      </c>
      <c r="F2832" s="1" t="s">
        <v>25</v>
      </c>
      <c r="G2832" s="1" t="s">
        <v>17</v>
      </c>
      <c r="H2832" s="1" t="str">
        <f t="shared" si="1663"/>
        <v>65</v>
      </c>
      <c r="I2832" s="1" t="str">
        <f>"158.23"</f>
        <v>158.23</v>
      </c>
      <c r="J2832" s="1" t="str">
        <f t="shared" si="1646"/>
        <v>0</v>
      </c>
      <c r="K2832" s="1" t="str">
        <f t="shared" si="1647"/>
        <v>103</v>
      </c>
      <c r="L2832" s="1" t="str">
        <f t="shared" si="1648"/>
        <v>47</v>
      </c>
      <c r="M2832" s="1" t="str">
        <f t="shared" si="1656"/>
        <v>0</v>
      </c>
      <c r="N2832" s="1" t="str">
        <f t="shared" si="1657"/>
        <v>0</v>
      </c>
      <c r="O2832" s="1" t="str">
        <f>"8.23"</f>
        <v>8.23</v>
      </c>
    </row>
    <row r="2833" s="1" customFormat="1" spans="1:15">
      <c r="A2833" s="1" t="str">
        <f t="shared" si="1658"/>
        <v>202406</v>
      </c>
      <c r="B2833" s="1" t="str">
        <f t="shared" si="1659"/>
        <v>150525100</v>
      </c>
      <c r="C2833" s="1" t="str">
        <f>"1014563365"</f>
        <v>1014563365</v>
      </c>
      <c r="D2833" s="1" t="str">
        <f>"152326196301050426"</f>
        <v>152326196301050426</v>
      </c>
      <c r="E2833" s="1" t="s">
        <v>2902</v>
      </c>
      <c r="F2833" s="1" t="s">
        <v>16</v>
      </c>
      <c r="G2833" s="1" t="s">
        <v>19</v>
      </c>
      <c r="H2833" s="1" t="str">
        <f>"62"</f>
        <v>62</v>
      </c>
      <c r="I2833" s="1" t="str">
        <f>"164.93"</f>
        <v>164.93</v>
      </c>
      <c r="J2833" s="1" t="str">
        <f t="shared" si="1646"/>
        <v>0</v>
      </c>
      <c r="K2833" s="1" t="str">
        <f t="shared" si="1647"/>
        <v>103</v>
      </c>
      <c r="L2833" s="1" t="str">
        <f t="shared" si="1648"/>
        <v>47</v>
      </c>
      <c r="M2833" s="1" t="str">
        <f t="shared" si="1656"/>
        <v>0</v>
      </c>
      <c r="N2833" s="1" t="str">
        <f t="shared" si="1657"/>
        <v>0</v>
      </c>
      <c r="O2833" s="1" t="str">
        <f>"14.93"</f>
        <v>14.93</v>
      </c>
    </row>
    <row r="2834" s="1" customFormat="1" spans="1:15">
      <c r="A2834" s="1" t="str">
        <f t="shared" si="1658"/>
        <v>202406</v>
      </c>
      <c r="B2834" s="1" t="str">
        <f t="shared" si="1659"/>
        <v>150525100</v>
      </c>
      <c r="C2834" s="1" t="str">
        <f>"1014563376"</f>
        <v>1014563376</v>
      </c>
      <c r="D2834" s="1" t="str">
        <f>"152326195903020422"</f>
        <v>152326195903020422</v>
      </c>
      <c r="E2834" s="1" t="s">
        <v>2903</v>
      </c>
      <c r="F2834" s="1" t="s">
        <v>16</v>
      </c>
      <c r="G2834" s="1" t="s">
        <v>19</v>
      </c>
      <c r="H2834" s="1" t="str">
        <f>"65"</f>
        <v>65</v>
      </c>
      <c r="I2834" s="1" t="str">
        <f>"158.15"</f>
        <v>158.15</v>
      </c>
      <c r="J2834" s="1" t="str">
        <f t="shared" si="1646"/>
        <v>0</v>
      </c>
      <c r="K2834" s="1" t="str">
        <f t="shared" si="1647"/>
        <v>103</v>
      </c>
      <c r="L2834" s="1" t="str">
        <f t="shared" si="1648"/>
        <v>47</v>
      </c>
      <c r="M2834" s="1" t="str">
        <f t="shared" si="1656"/>
        <v>0</v>
      </c>
      <c r="N2834" s="1" t="str">
        <f t="shared" si="1657"/>
        <v>0</v>
      </c>
      <c r="O2834" s="1" t="str">
        <f>"8.15"</f>
        <v>8.15</v>
      </c>
    </row>
    <row r="2835" s="1" customFormat="1" spans="1:15">
      <c r="A2835" s="1" t="str">
        <f t="shared" si="1658"/>
        <v>202406</v>
      </c>
      <c r="B2835" s="1" t="str">
        <f t="shared" si="1659"/>
        <v>150525100</v>
      </c>
      <c r="C2835" s="1" t="str">
        <f>"1014549582"</f>
        <v>1014549582</v>
      </c>
      <c r="D2835" s="1" t="str">
        <f>"152326195802023827"</f>
        <v>152326195802023827</v>
      </c>
      <c r="E2835" s="1" t="s">
        <v>2904</v>
      </c>
      <c r="F2835" s="1" t="s">
        <v>16</v>
      </c>
      <c r="G2835" s="1" t="s">
        <v>19</v>
      </c>
      <c r="H2835" s="1" t="str">
        <f>"66"</f>
        <v>66</v>
      </c>
      <c r="I2835" s="1" t="str">
        <f>"157.84"</f>
        <v>157.84</v>
      </c>
      <c r="J2835" s="1" t="str">
        <f t="shared" si="1646"/>
        <v>0</v>
      </c>
      <c r="K2835" s="1" t="str">
        <f t="shared" si="1647"/>
        <v>103</v>
      </c>
      <c r="L2835" s="1" t="str">
        <f t="shared" si="1648"/>
        <v>47</v>
      </c>
      <c r="M2835" s="1" t="str">
        <f t="shared" si="1656"/>
        <v>0</v>
      </c>
      <c r="N2835" s="1" t="str">
        <f t="shared" si="1657"/>
        <v>0</v>
      </c>
      <c r="O2835" s="1" t="str">
        <f>"7.84"</f>
        <v>7.84</v>
      </c>
    </row>
    <row r="2836" s="1" customFormat="1" spans="1:15">
      <c r="A2836" s="1" t="str">
        <f t="shared" si="1658"/>
        <v>202406</v>
      </c>
      <c r="B2836" s="1" t="str">
        <f t="shared" si="1659"/>
        <v>150525100</v>
      </c>
      <c r="C2836" s="1" t="str">
        <f>"1014550080"</f>
        <v>1014550080</v>
      </c>
      <c r="D2836" s="1" t="str">
        <f>"152326195610153811"</f>
        <v>152326195610153811</v>
      </c>
      <c r="E2836" s="1" t="s">
        <v>2905</v>
      </c>
      <c r="F2836" s="1" t="s">
        <v>25</v>
      </c>
      <c r="G2836" s="1" t="s">
        <v>19</v>
      </c>
      <c r="H2836" s="1" t="str">
        <f t="shared" ref="H2836:H2838" si="1664">"68"</f>
        <v>68</v>
      </c>
      <c r="I2836" s="1" t="str">
        <f t="shared" ref="I2836:I2838" si="1665">"156.02"</f>
        <v>156.02</v>
      </c>
      <c r="J2836" s="1" t="str">
        <f t="shared" ref="J2836:J2852" si="1666">"0"</f>
        <v>0</v>
      </c>
      <c r="K2836" s="1" t="str">
        <f t="shared" ref="K2836:K2849" si="1667">"103"</f>
        <v>103</v>
      </c>
      <c r="L2836" s="1" t="str">
        <f t="shared" ref="L2836:L2849" si="1668">"47"</f>
        <v>47</v>
      </c>
      <c r="M2836" s="1" t="str">
        <f t="shared" si="1656"/>
        <v>0</v>
      </c>
      <c r="N2836" s="1" t="str">
        <f t="shared" si="1657"/>
        <v>0</v>
      </c>
      <c r="O2836" s="1" t="str">
        <f t="shared" ref="O2836:O2838" si="1669">"6.02"</f>
        <v>6.02</v>
      </c>
    </row>
    <row r="2837" s="1" customFormat="1" spans="1:15">
      <c r="A2837" s="1" t="str">
        <f t="shared" si="1658"/>
        <v>202406</v>
      </c>
      <c r="B2837" s="1" t="str">
        <f t="shared" si="1659"/>
        <v>150525100</v>
      </c>
      <c r="C2837" s="1" t="str">
        <f>"1014550081"</f>
        <v>1014550081</v>
      </c>
      <c r="D2837" s="1" t="str">
        <f>"152326195610160667"</f>
        <v>152326195610160667</v>
      </c>
      <c r="E2837" s="1" t="s">
        <v>2343</v>
      </c>
      <c r="F2837" s="1" t="s">
        <v>16</v>
      </c>
      <c r="G2837" s="1" t="s">
        <v>17</v>
      </c>
      <c r="H2837" s="1" t="str">
        <f t="shared" si="1664"/>
        <v>68</v>
      </c>
      <c r="I2837" s="1" t="str">
        <f t="shared" si="1665"/>
        <v>156.02</v>
      </c>
      <c r="J2837" s="1" t="str">
        <f t="shared" si="1666"/>
        <v>0</v>
      </c>
      <c r="K2837" s="1" t="str">
        <f t="shared" si="1667"/>
        <v>103</v>
      </c>
      <c r="L2837" s="1" t="str">
        <f t="shared" si="1668"/>
        <v>47</v>
      </c>
      <c r="M2837" s="1" t="str">
        <f t="shared" si="1656"/>
        <v>0</v>
      </c>
      <c r="N2837" s="1" t="str">
        <f t="shared" si="1657"/>
        <v>0</v>
      </c>
      <c r="O2837" s="1" t="str">
        <f t="shared" si="1669"/>
        <v>6.02</v>
      </c>
    </row>
    <row r="2838" s="1" customFormat="1" spans="1:15">
      <c r="A2838" s="1" t="str">
        <f t="shared" si="1658"/>
        <v>202406</v>
      </c>
      <c r="B2838" s="1" t="str">
        <f t="shared" si="1659"/>
        <v>150525100</v>
      </c>
      <c r="C2838" s="1" t="str">
        <f>"1014550083"</f>
        <v>1014550083</v>
      </c>
      <c r="D2838" s="1" t="str">
        <f>"152326195611010687"</f>
        <v>152326195611010687</v>
      </c>
      <c r="E2838" s="1" t="s">
        <v>2906</v>
      </c>
      <c r="F2838" s="1" t="s">
        <v>16</v>
      </c>
      <c r="G2838" s="1" t="s">
        <v>17</v>
      </c>
      <c r="H2838" s="1" t="str">
        <f t="shared" si="1664"/>
        <v>68</v>
      </c>
      <c r="I2838" s="1" t="str">
        <f t="shared" si="1665"/>
        <v>156.02</v>
      </c>
      <c r="J2838" s="1" t="str">
        <f t="shared" si="1666"/>
        <v>0</v>
      </c>
      <c r="K2838" s="1" t="str">
        <f t="shared" si="1667"/>
        <v>103</v>
      </c>
      <c r="L2838" s="1" t="str">
        <f t="shared" si="1668"/>
        <v>47</v>
      </c>
      <c r="M2838" s="1" t="str">
        <f t="shared" si="1656"/>
        <v>0</v>
      </c>
      <c r="N2838" s="1" t="str">
        <f t="shared" si="1657"/>
        <v>0</v>
      </c>
      <c r="O2838" s="1" t="str">
        <f t="shared" si="1669"/>
        <v>6.02</v>
      </c>
    </row>
    <row r="2839" s="1" customFormat="1" spans="1:15">
      <c r="A2839" s="1" t="str">
        <f t="shared" si="1658"/>
        <v>202406</v>
      </c>
      <c r="B2839" s="1" t="str">
        <f t="shared" si="1659"/>
        <v>150525100</v>
      </c>
      <c r="C2839" s="1" t="str">
        <f>"1014550568"</f>
        <v>1014550568</v>
      </c>
      <c r="D2839" s="1" t="str">
        <f>"152326195208070663"</f>
        <v>152326195208070663</v>
      </c>
      <c r="E2839" s="1" t="s">
        <v>2907</v>
      </c>
      <c r="F2839" s="1" t="s">
        <v>16</v>
      </c>
      <c r="G2839" s="1" t="s">
        <v>17</v>
      </c>
      <c r="H2839" s="1" t="str">
        <f t="shared" ref="H2839:H2843" si="1670">"72"</f>
        <v>72</v>
      </c>
      <c r="I2839" s="1" t="str">
        <f t="shared" ref="I2839:I2843" si="1671">"162.15"</f>
        <v>162.15</v>
      </c>
      <c r="J2839" s="1" t="str">
        <f t="shared" si="1666"/>
        <v>0</v>
      </c>
      <c r="K2839" s="1" t="str">
        <f t="shared" si="1667"/>
        <v>103</v>
      </c>
      <c r="L2839" s="1" t="str">
        <f t="shared" si="1668"/>
        <v>47</v>
      </c>
      <c r="M2839" s="1" t="str">
        <f t="shared" si="1656"/>
        <v>0</v>
      </c>
      <c r="N2839" s="1" t="str">
        <f t="shared" si="1657"/>
        <v>0</v>
      </c>
      <c r="O2839" s="1" t="str">
        <f t="shared" ref="O2839:O2843" si="1672">"2.15"</f>
        <v>2.15</v>
      </c>
    </row>
    <row r="2840" s="1" customFormat="1" spans="1:15">
      <c r="A2840" s="1" t="str">
        <f t="shared" si="1658"/>
        <v>202406</v>
      </c>
      <c r="B2840" s="1" t="str">
        <f t="shared" si="1659"/>
        <v>150525100</v>
      </c>
      <c r="C2840" s="1" t="str">
        <f>"1014550569"</f>
        <v>1014550569</v>
      </c>
      <c r="D2840" s="1" t="str">
        <f>"152326195208140676"</f>
        <v>152326195208140676</v>
      </c>
      <c r="E2840" s="1" t="s">
        <v>2908</v>
      </c>
      <c r="F2840" s="1" t="s">
        <v>25</v>
      </c>
      <c r="G2840" s="1" t="s">
        <v>17</v>
      </c>
      <c r="H2840" s="1" t="str">
        <f t="shared" si="1670"/>
        <v>72</v>
      </c>
      <c r="I2840" s="1" t="str">
        <f t="shared" si="1671"/>
        <v>162.15</v>
      </c>
      <c r="J2840" s="1" t="str">
        <f t="shared" si="1666"/>
        <v>0</v>
      </c>
      <c r="K2840" s="1" t="str">
        <f t="shared" si="1667"/>
        <v>103</v>
      </c>
      <c r="L2840" s="1" t="str">
        <f t="shared" si="1668"/>
        <v>47</v>
      </c>
      <c r="M2840" s="1" t="str">
        <f t="shared" si="1656"/>
        <v>0</v>
      </c>
      <c r="N2840" s="1" t="str">
        <f t="shared" si="1657"/>
        <v>0</v>
      </c>
      <c r="O2840" s="1" t="str">
        <f t="shared" si="1672"/>
        <v>2.15</v>
      </c>
    </row>
    <row r="2841" s="1" customFormat="1" spans="1:15">
      <c r="A2841" s="1" t="str">
        <f t="shared" si="1658"/>
        <v>202406</v>
      </c>
      <c r="B2841" s="1" t="str">
        <f t="shared" si="1659"/>
        <v>150525100</v>
      </c>
      <c r="C2841" s="1" t="str">
        <f>"1014550577"</f>
        <v>1014550577</v>
      </c>
      <c r="D2841" s="1" t="str">
        <f>"152326195209290676"</f>
        <v>152326195209290676</v>
      </c>
      <c r="E2841" s="1" t="s">
        <v>2909</v>
      </c>
      <c r="F2841" s="1" t="s">
        <v>25</v>
      </c>
      <c r="G2841" s="1" t="s">
        <v>17</v>
      </c>
      <c r="H2841" s="1" t="str">
        <f t="shared" si="1670"/>
        <v>72</v>
      </c>
      <c r="I2841" s="1" t="str">
        <f t="shared" si="1671"/>
        <v>162.15</v>
      </c>
      <c r="J2841" s="1" t="str">
        <f t="shared" si="1666"/>
        <v>0</v>
      </c>
      <c r="K2841" s="1" t="str">
        <f t="shared" si="1667"/>
        <v>103</v>
      </c>
      <c r="L2841" s="1" t="str">
        <f t="shared" si="1668"/>
        <v>47</v>
      </c>
      <c r="M2841" s="1" t="str">
        <f t="shared" si="1656"/>
        <v>0</v>
      </c>
      <c r="N2841" s="1" t="str">
        <f t="shared" si="1657"/>
        <v>0</v>
      </c>
      <c r="O2841" s="1" t="str">
        <f t="shared" si="1672"/>
        <v>2.15</v>
      </c>
    </row>
    <row r="2842" s="1" customFormat="1" spans="1:15">
      <c r="A2842" s="1" t="str">
        <f t="shared" si="1658"/>
        <v>202406</v>
      </c>
      <c r="B2842" s="1" t="str">
        <f t="shared" si="1659"/>
        <v>150525100</v>
      </c>
      <c r="C2842" s="1" t="str">
        <f>"1014550582"</f>
        <v>1014550582</v>
      </c>
      <c r="D2842" s="1" t="str">
        <f>"152326195210130661"</f>
        <v>152326195210130661</v>
      </c>
      <c r="E2842" s="1" t="s">
        <v>2910</v>
      </c>
      <c r="F2842" s="1" t="s">
        <v>16</v>
      </c>
      <c r="G2842" s="1" t="s">
        <v>17</v>
      </c>
      <c r="H2842" s="1" t="str">
        <f t="shared" si="1670"/>
        <v>72</v>
      </c>
      <c r="I2842" s="1" t="str">
        <f t="shared" si="1671"/>
        <v>162.15</v>
      </c>
      <c r="J2842" s="1" t="str">
        <f t="shared" si="1666"/>
        <v>0</v>
      </c>
      <c r="K2842" s="1" t="str">
        <f t="shared" si="1667"/>
        <v>103</v>
      </c>
      <c r="L2842" s="1" t="str">
        <f t="shared" si="1668"/>
        <v>47</v>
      </c>
      <c r="M2842" s="1" t="str">
        <f t="shared" si="1656"/>
        <v>0</v>
      </c>
      <c r="N2842" s="1" t="str">
        <f t="shared" si="1657"/>
        <v>0</v>
      </c>
      <c r="O2842" s="1" t="str">
        <f t="shared" si="1672"/>
        <v>2.15</v>
      </c>
    </row>
    <row r="2843" s="1" customFormat="1" spans="1:15">
      <c r="A2843" s="1" t="str">
        <f t="shared" si="1658"/>
        <v>202406</v>
      </c>
      <c r="B2843" s="1" t="str">
        <f t="shared" si="1659"/>
        <v>150525100</v>
      </c>
      <c r="C2843" s="1" t="str">
        <f>"1014550583"</f>
        <v>1014550583</v>
      </c>
      <c r="D2843" s="1" t="str">
        <f>"152326195210240668"</f>
        <v>152326195210240668</v>
      </c>
      <c r="E2843" s="1" t="s">
        <v>2911</v>
      </c>
      <c r="F2843" s="1" t="s">
        <v>16</v>
      </c>
      <c r="G2843" s="1" t="s">
        <v>17</v>
      </c>
      <c r="H2843" s="1" t="str">
        <f t="shared" si="1670"/>
        <v>72</v>
      </c>
      <c r="I2843" s="1" t="str">
        <f t="shared" si="1671"/>
        <v>162.15</v>
      </c>
      <c r="J2843" s="1" t="str">
        <f t="shared" si="1666"/>
        <v>0</v>
      </c>
      <c r="K2843" s="1" t="str">
        <f t="shared" si="1667"/>
        <v>103</v>
      </c>
      <c r="L2843" s="1" t="str">
        <f t="shared" si="1668"/>
        <v>47</v>
      </c>
      <c r="M2843" s="1" t="str">
        <f t="shared" si="1656"/>
        <v>0</v>
      </c>
      <c r="N2843" s="1" t="str">
        <f t="shared" si="1657"/>
        <v>0</v>
      </c>
      <c r="O2843" s="1" t="str">
        <f t="shared" si="1672"/>
        <v>2.15</v>
      </c>
    </row>
    <row r="2844" s="1" customFormat="1" spans="1:15">
      <c r="A2844" s="1" t="str">
        <f t="shared" si="1658"/>
        <v>202406</v>
      </c>
      <c r="B2844" s="1" t="str">
        <f t="shared" si="1659"/>
        <v>150525100</v>
      </c>
      <c r="C2844" s="1" t="str">
        <f>"1014585138"</f>
        <v>1014585138</v>
      </c>
      <c r="D2844" s="1" t="str">
        <f>"152326195901260414"</f>
        <v>152326195901260414</v>
      </c>
      <c r="E2844" s="1" t="s">
        <v>2912</v>
      </c>
      <c r="F2844" s="1" t="s">
        <v>25</v>
      </c>
      <c r="G2844" s="1" t="s">
        <v>17</v>
      </c>
      <c r="H2844" s="1" t="str">
        <f>"65"</f>
        <v>65</v>
      </c>
      <c r="I2844" s="1" t="str">
        <f>"160.72"</f>
        <v>160.72</v>
      </c>
      <c r="J2844" s="1" t="str">
        <f t="shared" si="1666"/>
        <v>0</v>
      </c>
      <c r="K2844" s="1" t="str">
        <f t="shared" si="1667"/>
        <v>103</v>
      </c>
      <c r="L2844" s="1" t="str">
        <f t="shared" si="1668"/>
        <v>47</v>
      </c>
      <c r="M2844" s="1" t="str">
        <f t="shared" si="1656"/>
        <v>0</v>
      </c>
      <c r="N2844" s="1" t="str">
        <f t="shared" si="1657"/>
        <v>0</v>
      </c>
      <c r="O2844" s="1" t="str">
        <f>"10.72"</f>
        <v>10.72</v>
      </c>
    </row>
    <row r="2845" s="1" customFormat="1" spans="1:15">
      <c r="A2845" s="1" t="str">
        <f t="shared" si="1658"/>
        <v>202406</v>
      </c>
      <c r="B2845" s="1" t="str">
        <f t="shared" si="1659"/>
        <v>150525100</v>
      </c>
      <c r="C2845" s="1" t="str">
        <f>"1014561285"</f>
        <v>1014561285</v>
      </c>
      <c r="D2845" s="1" t="str">
        <f>"152326196112060414"</f>
        <v>152326196112060414</v>
      </c>
      <c r="E2845" s="1" t="s">
        <v>2913</v>
      </c>
      <c r="F2845" s="1" t="s">
        <v>25</v>
      </c>
      <c r="G2845" s="1" t="s">
        <v>17</v>
      </c>
      <c r="H2845" s="1" t="str">
        <f>"63"</f>
        <v>63</v>
      </c>
      <c r="I2845" s="1" t="str">
        <f>"161.16"</f>
        <v>161.16</v>
      </c>
      <c r="J2845" s="1" t="str">
        <f t="shared" si="1666"/>
        <v>0</v>
      </c>
      <c r="K2845" s="1" t="str">
        <f t="shared" si="1667"/>
        <v>103</v>
      </c>
      <c r="L2845" s="1" t="str">
        <f t="shared" si="1668"/>
        <v>47</v>
      </c>
      <c r="M2845" s="1" t="str">
        <f t="shared" si="1656"/>
        <v>0</v>
      </c>
      <c r="N2845" s="1" t="str">
        <f t="shared" si="1657"/>
        <v>0</v>
      </c>
      <c r="O2845" s="1" t="str">
        <f>"11.16"</f>
        <v>11.16</v>
      </c>
    </row>
    <row r="2846" s="1" customFormat="1" spans="1:15">
      <c r="A2846" s="1" t="str">
        <f t="shared" si="1658"/>
        <v>202406</v>
      </c>
      <c r="B2846" s="1" t="str">
        <f t="shared" si="1659"/>
        <v>150525100</v>
      </c>
      <c r="C2846" s="1" t="str">
        <f>"1014562511"</f>
        <v>1014562511</v>
      </c>
      <c r="D2846" s="1" t="str">
        <f>"152326195705260417"</f>
        <v>152326195705260417</v>
      </c>
      <c r="E2846" s="1" t="s">
        <v>2914</v>
      </c>
      <c r="F2846" s="1" t="s">
        <v>25</v>
      </c>
      <c r="G2846" s="1" t="s">
        <v>17</v>
      </c>
      <c r="H2846" s="1" t="str">
        <f>"67"</f>
        <v>67</v>
      </c>
      <c r="I2846" s="1" t="str">
        <f>"156.08"</f>
        <v>156.08</v>
      </c>
      <c r="J2846" s="1" t="str">
        <f t="shared" si="1666"/>
        <v>0</v>
      </c>
      <c r="K2846" s="1" t="str">
        <f t="shared" si="1667"/>
        <v>103</v>
      </c>
      <c r="L2846" s="1" t="str">
        <f t="shared" si="1668"/>
        <v>47</v>
      </c>
      <c r="M2846" s="1" t="str">
        <f t="shared" si="1656"/>
        <v>0</v>
      </c>
      <c r="N2846" s="1" t="str">
        <f t="shared" si="1657"/>
        <v>0</v>
      </c>
      <c r="O2846" s="1" t="str">
        <f>"6.08"</f>
        <v>6.08</v>
      </c>
    </row>
    <row r="2847" s="1" customFormat="1" spans="1:15">
      <c r="A2847" s="1" t="str">
        <f t="shared" si="1658"/>
        <v>202406</v>
      </c>
      <c r="B2847" s="1" t="str">
        <f t="shared" si="1659"/>
        <v>150525100</v>
      </c>
      <c r="C2847" s="1" t="str">
        <f>"1014562522"</f>
        <v>1014562522</v>
      </c>
      <c r="D2847" s="1" t="str">
        <f>"152326196206020413"</f>
        <v>152326196206020413</v>
      </c>
      <c r="E2847" s="1" t="s">
        <v>2915</v>
      </c>
      <c r="F2847" s="1" t="s">
        <v>25</v>
      </c>
      <c r="G2847" s="1" t="s">
        <v>17</v>
      </c>
      <c r="H2847" s="1" t="str">
        <f>"62"</f>
        <v>62</v>
      </c>
      <c r="I2847" s="1" t="str">
        <f>"163.06"</f>
        <v>163.06</v>
      </c>
      <c r="J2847" s="1" t="str">
        <f t="shared" si="1666"/>
        <v>0</v>
      </c>
      <c r="K2847" s="1" t="str">
        <f t="shared" si="1667"/>
        <v>103</v>
      </c>
      <c r="L2847" s="1" t="str">
        <f t="shared" si="1668"/>
        <v>47</v>
      </c>
      <c r="M2847" s="1" t="str">
        <f t="shared" si="1656"/>
        <v>0</v>
      </c>
      <c r="N2847" s="1" t="str">
        <f t="shared" si="1657"/>
        <v>0</v>
      </c>
      <c r="O2847" s="1" t="str">
        <f>"13.06"</f>
        <v>13.06</v>
      </c>
    </row>
    <row r="2848" s="1" customFormat="1" spans="1:15">
      <c r="A2848" s="1" t="str">
        <f t="shared" si="1658"/>
        <v>202406</v>
      </c>
      <c r="B2848" s="1" t="str">
        <f t="shared" si="1659"/>
        <v>150525100</v>
      </c>
      <c r="C2848" s="1" t="str">
        <f>"1014562529"</f>
        <v>1014562529</v>
      </c>
      <c r="D2848" s="1" t="str">
        <f>"152326195906020436"</f>
        <v>152326195906020436</v>
      </c>
      <c r="E2848" s="1" t="s">
        <v>251</v>
      </c>
      <c r="F2848" s="1" t="s">
        <v>25</v>
      </c>
      <c r="G2848" s="1" t="s">
        <v>17</v>
      </c>
      <c r="H2848" s="1" t="str">
        <f>"65"</f>
        <v>65</v>
      </c>
      <c r="I2848" s="1" t="str">
        <f>"158.18"</f>
        <v>158.18</v>
      </c>
      <c r="J2848" s="1" t="str">
        <f t="shared" si="1666"/>
        <v>0</v>
      </c>
      <c r="K2848" s="1" t="str">
        <f t="shared" si="1667"/>
        <v>103</v>
      </c>
      <c r="L2848" s="1" t="str">
        <f t="shared" si="1668"/>
        <v>47</v>
      </c>
      <c r="M2848" s="1" t="str">
        <f t="shared" si="1656"/>
        <v>0</v>
      </c>
      <c r="N2848" s="1" t="str">
        <f t="shared" si="1657"/>
        <v>0</v>
      </c>
      <c r="O2848" s="1" t="str">
        <f>"8.18"</f>
        <v>8.18</v>
      </c>
    </row>
    <row r="2849" s="1" customFormat="1" spans="1:15">
      <c r="A2849" s="1" t="str">
        <f t="shared" si="1658"/>
        <v>202406</v>
      </c>
      <c r="B2849" s="1" t="str">
        <f t="shared" si="1659"/>
        <v>150525100</v>
      </c>
      <c r="C2849" s="1" t="str">
        <f>"1014563419"</f>
        <v>1014563419</v>
      </c>
      <c r="D2849" s="1" t="str">
        <f>"152326196210020475"</f>
        <v>152326196210020475</v>
      </c>
      <c r="E2849" s="1" t="s">
        <v>2916</v>
      </c>
      <c r="F2849" s="1" t="s">
        <v>25</v>
      </c>
      <c r="G2849" s="1" t="s">
        <v>17</v>
      </c>
      <c r="H2849" s="1" t="str">
        <f>"62"</f>
        <v>62</v>
      </c>
      <c r="I2849" s="1" t="str">
        <f>"165.41"</f>
        <v>165.41</v>
      </c>
      <c r="J2849" s="1" t="str">
        <f t="shared" si="1666"/>
        <v>0</v>
      </c>
      <c r="K2849" s="1" t="str">
        <f t="shared" si="1667"/>
        <v>103</v>
      </c>
      <c r="L2849" s="1" t="str">
        <f t="shared" si="1668"/>
        <v>47</v>
      </c>
      <c r="M2849" s="1" t="str">
        <f t="shared" si="1656"/>
        <v>0</v>
      </c>
      <c r="N2849" s="1" t="str">
        <f t="shared" si="1657"/>
        <v>0</v>
      </c>
      <c r="O2849" s="1" t="str">
        <f>"15.41"</f>
        <v>15.41</v>
      </c>
    </row>
    <row r="2850" s="1" customFormat="1" spans="1:15">
      <c r="A2850" s="1" t="str">
        <f t="shared" si="1658"/>
        <v>202406</v>
      </c>
      <c r="B2850" s="1" t="str">
        <f t="shared" si="1659"/>
        <v>150525100</v>
      </c>
      <c r="C2850" s="1" t="str">
        <f>"1014563424"</f>
        <v>1014563424</v>
      </c>
      <c r="D2850" s="1" t="str">
        <f>"152326195809260411"</f>
        <v>152326195809260411</v>
      </c>
      <c r="E2850" s="1" t="s">
        <v>2917</v>
      </c>
      <c r="F2850" s="1" t="s">
        <v>25</v>
      </c>
      <c r="G2850" s="1" t="s">
        <v>17</v>
      </c>
      <c r="H2850" s="1" t="str">
        <f>"66"</f>
        <v>66</v>
      </c>
      <c r="I2850" s="1" t="str">
        <f>"2382.41"</f>
        <v>2382.41</v>
      </c>
      <c r="J2850" s="1" t="str">
        <f t="shared" si="1666"/>
        <v>0</v>
      </c>
      <c r="K2850" s="1" t="str">
        <f t="shared" ref="K2850:O2850" si="1673">"0"</f>
        <v>0</v>
      </c>
      <c r="L2850" s="1" t="str">
        <f t="shared" si="1673"/>
        <v>0</v>
      </c>
      <c r="M2850" s="1" t="str">
        <f t="shared" si="1656"/>
        <v>0</v>
      </c>
      <c r="N2850" s="1" t="str">
        <f t="shared" si="1657"/>
        <v>0</v>
      </c>
      <c r="O2850" s="1" t="str">
        <f t="shared" si="1673"/>
        <v>0</v>
      </c>
    </row>
    <row r="2851" s="1" customFormat="1" spans="1:15">
      <c r="A2851" s="1" t="str">
        <f t="shared" si="1658"/>
        <v>202406</v>
      </c>
      <c r="B2851" s="1" t="str">
        <f t="shared" si="1659"/>
        <v>150525100</v>
      </c>
      <c r="C2851" s="1" t="str">
        <f>"1014549589"</f>
        <v>1014549589</v>
      </c>
      <c r="D2851" s="1" t="str">
        <f>"152326196005213825"</f>
        <v>152326196005213825</v>
      </c>
      <c r="E2851" s="1" t="s">
        <v>2918</v>
      </c>
      <c r="F2851" s="1" t="s">
        <v>16</v>
      </c>
      <c r="G2851" s="1" t="s">
        <v>19</v>
      </c>
      <c r="H2851" s="1" t="str">
        <f>"64"</f>
        <v>64</v>
      </c>
      <c r="I2851" s="1" t="str">
        <f>"160.33"</f>
        <v>160.33</v>
      </c>
      <c r="J2851" s="1" t="str">
        <f t="shared" si="1666"/>
        <v>0</v>
      </c>
      <c r="K2851" s="1" t="str">
        <f t="shared" ref="K2851:K2854" si="1674">"103"</f>
        <v>103</v>
      </c>
      <c r="L2851" s="1" t="str">
        <f t="shared" ref="L2851:L2854" si="1675">"47"</f>
        <v>47</v>
      </c>
      <c r="M2851" s="1" t="str">
        <f t="shared" si="1656"/>
        <v>0</v>
      </c>
      <c r="N2851" s="1" t="str">
        <f t="shared" si="1657"/>
        <v>0</v>
      </c>
      <c r="O2851" s="1" t="str">
        <f>"10.33"</f>
        <v>10.33</v>
      </c>
    </row>
    <row r="2852" s="1" customFormat="1" spans="1:15">
      <c r="A2852" s="1" t="str">
        <f t="shared" si="1658"/>
        <v>202406</v>
      </c>
      <c r="B2852" s="1" t="str">
        <f t="shared" si="1659"/>
        <v>150525100</v>
      </c>
      <c r="C2852" s="1" t="str">
        <f>"1014550599"</f>
        <v>1014550599</v>
      </c>
      <c r="D2852" s="1" t="str">
        <f>"152326195301030674"</f>
        <v>152326195301030674</v>
      </c>
      <c r="E2852" s="1" t="s">
        <v>2919</v>
      </c>
      <c r="F2852" s="1" t="s">
        <v>25</v>
      </c>
      <c r="G2852" s="1" t="s">
        <v>17</v>
      </c>
      <c r="H2852" s="1" t="str">
        <f>"72"</f>
        <v>72</v>
      </c>
      <c r="I2852" s="1" t="str">
        <f>"163.16"</f>
        <v>163.16</v>
      </c>
      <c r="J2852" s="1" t="str">
        <f t="shared" si="1666"/>
        <v>0</v>
      </c>
      <c r="K2852" s="1" t="str">
        <f t="shared" si="1674"/>
        <v>103</v>
      </c>
      <c r="L2852" s="1" t="str">
        <f t="shared" si="1675"/>
        <v>47</v>
      </c>
      <c r="M2852" s="1" t="str">
        <f t="shared" si="1656"/>
        <v>0</v>
      </c>
      <c r="N2852" s="1" t="str">
        <f t="shared" si="1657"/>
        <v>0</v>
      </c>
      <c r="O2852" s="1" t="str">
        <f>"3.16"</f>
        <v>3.16</v>
      </c>
    </row>
    <row r="2853" s="1" customFormat="1" spans="1:15">
      <c r="A2853" s="1" t="str">
        <f t="shared" si="1658"/>
        <v>202406</v>
      </c>
      <c r="B2853" s="1" t="str">
        <f t="shared" si="1659"/>
        <v>150525100</v>
      </c>
      <c r="C2853" s="1" t="str">
        <f>"1040832943"</f>
        <v>1040832943</v>
      </c>
      <c r="D2853" s="1" t="str">
        <f>"152326195210110425"</f>
        <v>152326195210110425</v>
      </c>
      <c r="E2853" s="1" t="s">
        <v>728</v>
      </c>
      <c r="F2853" s="1" t="s">
        <v>16</v>
      </c>
      <c r="G2853" s="1" t="s">
        <v>17</v>
      </c>
      <c r="H2853" s="1" t="str">
        <f>"72"</f>
        <v>72</v>
      </c>
      <c r="I2853" s="1" t="str">
        <f>"972.9"</f>
        <v>972.9</v>
      </c>
      <c r="J2853" s="1" t="str">
        <f>"810.75"</f>
        <v>810.75</v>
      </c>
      <c r="K2853" s="1" t="str">
        <f>"618"</f>
        <v>618</v>
      </c>
      <c r="L2853" s="1" t="str">
        <f>"282"</f>
        <v>282</v>
      </c>
      <c r="M2853" s="1" t="str">
        <f t="shared" si="1656"/>
        <v>0</v>
      </c>
      <c r="N2853" s="1" t="str">
        <f t="shared" si="1657"/>
        <v>0</v>
      </c>
      <c r="O2853" s="1" t="str">
        <f>"12.9"</f>
        <v>12.9</v>
      </c>
    </row>
    <row r="2854" s="1" customFormat="1" spans="1:15">
      <c r="A2854" s="1" t="str">
        <f t="shared" si="1658"/>
        <v>202406</v>
      </c>
      <c r="B2854" s="1" t="str">
        <f t="shared" si="1659"/>
        <v>150525100</v>
      </c>
      <c r="C2854" s="1" t="str">
        <f>"1040832945"</f>
        <v>1040832945</v>
      </c>
      <c r="D2854" s="1" t="str">
        <f>"152326195401250025"</f>
        <v>152326195401250025</v>
      </c>
      <c r="E2854" s="1" t="s">
        <v>2920</v>
      </c>
      <c r="F2854" s="1" t="s">
        <v>16</v>
      </c>
      <c r="G2854" s="1" t="s">
        <v>17</v>
      </c>
      <c r="H2854" s="1" t="str">
        <f>"70"</f>
        <v>70</v>
      </c>
      <c r="I2854" s="1" t="str">
        <f>"163.25"</f>
        <v>163.25</v>
      </c>
      <c r="J2854" s="1" t="str">
        <f t="shared" ref="J2854:J2879" si="1676">"0"</f>
        <v>0</v>
      </c>
      <c r="K2854" s="1" t="str">
        <f t="shared" si="1674"/>
        <v>103</v>
      </c>
      <c r="L2854" s="1" t="str">
        <f t="shared" si="1675"/>
        <v>47</v>
      </c>
      <c r="M2854" s="1" t="str">
        <f t="shared" si="1656"/>
        <v>0</v>
      </c>
      <c r="N2854" s="1" t="str">
        <f t="shared" si="1657"/>
        <v>0</v>
      </c>
      <c r="O2854" s="1" t="str">
        <f>"3.25"</f>
        <v>3.25</v>
      </c>
    </row>
    <row r="2855" s="1" customFormat="1" spans="1:15">
      <c r="A2855" s="1" t="str">
        <f t="shared" si="1658"/>
        <v>202406</v>
      </c>
      <c r="B2855" s="1" t="str">
        <f t="shared" si="1659"/>
        <v>150525100</v>
      </c>
      <c r="C2855" s="1" t="str">
        <f>"1040832946"</f>
        <v>1040832946</v>
      </c>
      <c r="D2855" s="1" t="str">
        <f>"152326195412220024"</f>
        <v>152326195412220024</v>
      </c>
      <c r="E2855" s="1" t="s">
        <v>568</v>
      </c>
      <c r="F2855" s="1" t="s">
        <v>16</v>
      </c>
      <c r="G2855" s="1" t="s">
        <v>17</v>
      </c>
      <c r="H2855" s="1" t="str">
        <f>"70"</f>
        <v>70</v>
      </c>
      <c r="I2855" s="1" t="str">
        <f>"1987.25"</f>
        <v>1987.25</v>
      </c>
      <c r="J2855" s="1" t="str">
        <f>"1834"</f>
        <v>1834</v>
      </c>
      <c r="K2855" s="1" t="str">
        <f>"1334"</f>
        <v>1334</v>
      </c>
      <c r="L2855" s="1" t="str">
        <f>"611"</f>
        <v>611</v>
      </c>
      <c r="M2855" s="1" t="str">
        <f t="shared" si="1656"/>
        <v>0</v>
      </c>
      <c r="N2855" s="1" t="str">
        <f t="shared" si="1657"/>
        <v>0</v>
      </c>
      <c r="O2855" s="1" t="str">
        <f>"42.25"</f>
        <v>42.25</v>
      </c>
    </row>
    <row r="2856" s="1" customFormat="1" spans="1:15">
      <c r="A2856" s="1" t="str">
        <f t="shared" si="1658"/>
        <v>202406</v>
      </c>
      <c r="B2856" s="1" t="str">
        <f t="shared" si="1659"/>
        <v>150525100</v>
      </c>
      <c r="C2856" s="1" t="str">
        <f>"1015311299"</f>
        <v>1015311299</v>
      </c>
      <c r="D2856" s="1" t="str">
        <f>"152326195311270428"</f>
        <v>152326195311270428</v>
      </c>
      <c r="E2856" s="1" t="s">
        <v>2921</v>
      </c>
      <c r="F2856" s="1" t="s">
        <v>16</v>
      </c>
      <c r="G2856" s="1" t="s">
        <v>17</v>
      </c>
      <c r="H2856" s="1" t="str">
        <f t="shared" ref="H2856:H2858" si="1677">"71"</f>
        <v>71</v>
      </c>
      <c r="I2856" s="1" t="str">
        <f>"162.57"</f>
        <v>162.57</v>
      </c>
      <c r="J2856" s="1" t="str">
        <f t="shared" si="1676"/>
        <v>0</v>
      </c>
      <c r="K2856" s="1" t="str">
        <f t="shared" ref="K2856:K2879" si="1678">"103"</f>
        <v>103</v>
      </c>
      <c r="L2856" s="1" t="str">
        <f t="shared" ref="L2856:L2879" si="1679">"47"</f>
        <v>47</v>
      </c>
      <c r="M2856" s="1" t="str">
        <f t="shared" si="1656"/>
        <v>0</v>
      </c>
      <c r="N2856" s="1" t="str">
        <f t="shared" si="1657"/>
        <v>0</v>
      </c>
      <c r="O2856" s="1" t="str">
        <f>"2.57"</f>
        <v>2.57</v>
      </c>
    </row>
    <row r="2857" s="1" customFormat="1" spans="1:15">
      <c r="A2857" s="1" t="str">
        <f t="shared" si="1658"/>
        <v>202406</v>
      </c>
      <c r="B2857" s="1" t="str">
        <f t="shared" si="1659"/>
        <v>150525100</v>
      </c>
      <c r="C2857" s="1" t="str">
        <f>"1015311460"</f>
        <v>1015311460</v>
      </c>
      <c r="D2857" s="1" t="s">
        <v>2922</v>
      </c>
      <c r="E2857" s="1" t="s">
        <v>2923</v>
      </c>
      <c r="F2857" s="1" t="s">
        <v>25</v>
      </c>
      <c r="G2857" s="1" t="s">
        <v>17</v>
      </c>
      <c r="H2857" s="1" t="str">
        <f t="shared" si="1677"/>
        <v>71</v>
      </c>
      <c r="I2857" s="1" t="str">
        <f t="shared" ref="I2857:I2862" si="1680">"162.58"</f>
        <v>162.58</v>
      </c>
      <c r="J2857" s="1" t="str">
        <f t="shared" si="1676"/>
        <v>0</v>
      </c>
      <c r="K2857" s="1" t="str">
        <f t="shared" si="1678"/>
        <v>103</v>
      </c>
      <c r="L2857" s="1" t="str">
        <f t="shared" si="1679"/>
        <v>47</v>
      </c>
      <c r="M2857" s="1" t="str">
        <f t="shared" si="1656"/>
        <v>0</v>
      </c>
      <c r="N2857" s="1" t="str">
        <f t="shared" si="1657"/>
        <v>0</v>
      </c>
      <c r="O2857" s="1" t="str">
        <f t="shared" ref="O2857:O2862" si="1681">"2.58"</f>
        <v>2.58</v>
      </c>
    </row>
    <row r="2858" s="1" customFormat="1" spans="1:15">
      <c r="A2858" s="1" t="str">
        <f t="shared" si="1658"/>
        <v>202406</v>
      </c>
      <c r="B2858" s="1" t="str">
        <f t="shared" si="1659"/>
        <v>150525100</v>
      </c>
      <c r="C2858" s="1" t="str">
        <f>"1015311463"</f>
        <v>1015311463</v>
      </c>
      <c r="D2858" s="1" t="str">
        <f>"152326195311186381"</f>
        <v>152326195311186381</v>
      </c>
      <c r="E2858" s="1" t="s">
        <v>2924</v>
      </c>
      <c r="F2858" s="1" t="s">
        <v>16</v>
      </c>
      <c r="G2858" s="1" t="s">
        <v>17</v>
      </c>
      <c r="H2858" s="1" t="str">
        <f t="shared" si="1677"/>
        <v>71</v>
      </c>
      <c r="I2858" s="1" t="str">
        <f>"162.57"</f>
        <v>162.57</v>
      </c>
      <c r="J2858" s="1" t="str">
        <f t="shared" si="1676"/>
        <v>0</v>
      </c>
      <c r="K2858" s="1" t="str">
        <f t="shared" si="1678"/>
        <v>103</v>
      </c>
      <c r="L2858" s="1" t="str">
        <f t="shared" si="1679"/>
        <v>47</v>
      </c>
      <c r="M2858" s="1" t="str">
        <f t="shared" si="1656"/>
        <v>0</v>
      </c>
      <c r="N2858" s="1" t="str">
        <f t="shared" si="1657"/>
        <v>0</v>
      </c>
      <c r="O2858" s="1" t="str">
        <f>"2.57"</f>
        <v>2.57</v>
      </c>
    </row>
    <row r="2859" s="1" customFormat="1" spans="1:15">
      <c r="A2859" s="1" t="str">
        <f t="shared" si="1658"/>
        <v>202406</v>
      </c>
      <c r="B2859" s="1" t="str">
        <f t="shared" si="1659"/>
        <v>150525100</v>
      </c>
      <c r="C2859" s="1" t="str">
        <f>"1015311470"</f>
        <v>1015311470</v>
      </c>
      <c r="D2859" s="1" t="str">
        <f>"152326195205266388"</f>
        <v>152326195205266388</v>
      </c>
      <c r="E2859" s="1" t="s">
        <v>1630</v>
      </c>
      <c r="F2859" s="1" t="s">
        <v>16</v>
      </c>
      <c r="G2859" s="1" t="s">
        <v>17</v>
      </c>
      <c r="H2859" s="1" t="str">
        <f>"72"</f>
        <v>72</v>
      </c>
      <c r="I2859" s="1" t="str">
        <f>"161.56"</f>
        <v>161.56</v>
      </c>
      <c r="J2859" s="1" t="str">
        <f t="shared" si="1676"/>
        <v>0</v>
      </c>
      <c r="K2859" s="1" t="str">
        <f t="shared" si="1678"/>
        <v>103</v>
      </c>
      <c r="L2859" s="1" t="str">
        <f t="shared" si="1679"/>
        <v>47</v>
      </c>
      <c r="M2859" s="1" t="str">
        <f t="shared" si="1656"/>
        <v>0</v>
      </c>
      <c r="N2859" s="1" t="str">
        <f t="shared" si="1657"/>
        <v>0</v>
      </c>
      <c r="O2859" s="1" t="str">
        <f>"1.56"</f>
        <v>1.56</v>
      </c>
    </row>
    <row r="2860" s="1" customFormat="1" spans="1:15">
      <c r="A2860" s="1" t="str">
        <f t="shared" si="1658"/>
        <v>202406</v>
      </c>
      <c r="B2860" s="1" t="str">
        <f t="shared" si="1659"/>
        <v>150525100</v>
      </c>
      <c r="C2860" s="1" t="str">
        <f>"1015311481"</f>
        <v>1015311481</v>
      </c>
      <c r="D2860" s="1" t="str">
        <f>"152326195308143321"</f>
        <v>152326195308143321</v>
      </c>
      <c r="E2860" s="1" t="s">
        <v>2925</v>
      </c>
      <c r="F2860" s="1" t="s">
        <v>16</v>
      </c>
      <c r="G2860" s="1" t="s">
        <v>19</v>
      </c>
      <c r="H2860" s="1" t="str">
        <f t="shared" ref="H2860:H2865" si="1682">"71"</f>
        <v>71</v>
      </c>
      <c r="I2860" s="1" t="str">
        <f t="shared" si="1680"/>
        <v>162.58</v>
      </c>
      <c r="J2860" s="1" t="str">
        <f t="shared" si="1676"/>
        <v>0</v>
      </c>
      <c r="K2860" s="1" t="str">
        <f t="shared" si="1678"/>
        <v>103</v>
      </c>
      <c r="L2860" s="1" t="str">
        <f t="shared" si="1679"/>
        <v>47</v>
      </c>
      <c r="M2860" s="1" t="str">
        <f t="shared" si="1656"/>
        <v>0</v>
      </c>
      <c r="N2860" s="1" t="str">
        <f t="shared" si="1657"/>
        <v>0</v>
      </c>
      <c r="O2860" s="1" t="str">
        <f t="shared" si="1681"/>
        <v>2.58</v>
      </c>
    </row>
    <row r="2861" s="1" customFormat="1" spans="1:15">
      <c r="A2861" s="1" t="str">
        <f t="shared" si="1658"/>
        <v>202406</v>
      </c>
      <c r="B2861" s="1" t="str">
        <f t="shared" si="1659"/>
        <v>150525100</v>
      </c>
      <c r="C2861" s="1" t="str">
        <f>"1015311483"</f>
        <v>1015311483</v>
      </c>
      <c r="D2861" s="1" t="str">
        <f>"152326195310193328"</f>
        <v>152326195310193328</v>
      </c>
      <c r="E2861" s="1" t="s">
        <v>2926</v>
      </c>
      <c r="F2861" s="1" t="s">
        <v>16</v>
      </c>
      <c r="G2861" s="1" t="s">
        <v>19</v>
      </c>
      <c r="H2861" s="1" t="str">
        <f t="shared" si="1682"/>
        <v>71</v>
      </c>
      <c r="I2861" s="1" t="str">
        <f t="shared" si="1680"/>
        <v>162.58</v>
      </c>
      <c r="J2861" s="1" t="str">
        <f t="shared" si="1676"/>
        <v>0</v>
      </c>
      <c r="K2861" s="1" t="str">
        <f t="shared" si="1678"/>
        <v>103</v>
      </c>
      <c r="L2861" s="1" t="str">
        <f t="shared" si="1679"/>
        <v>47</v>
      </c>
      <c r="M2861" s="1" t="str">
        <f t="shared" si="1656"/>
        <v>0</v>
      </c>
      <c r="N2861" s="1" t="str">
        <f t="shared" si="1657"/>
        <v>0</v>
      </c>
      <c r="O2861" s="1" t="str">
        <f t="shared" si="1681"/>
        <v>2.58</v>
      </c>
    </row>
    <row r="2862" s="1" customFormat="1" spans="1:15">
      <c r="A2862" s="1" t="str">
        <f t="shared" si="1658"/>
        <v>202406</v>
      </c>
      <c r="B2862" s="1" t="str">
        <f t="shared" si="1659"/>
        <v>150525100</v>
      </c>
      <c r="C2862" s="1" t="str">
        <f>"1015311484"</f>
        <v>1015311484</v>
      </c>
      <c r="D2862" s="1" t="str">
        <f>"152326195310213325"</f>
        <v>152326195310213325</v>
      </c>
      <c r="E2862" s="1" t="s">
        <v>2927</v>
      </c>
      <c r="F2862" s="1" t="s">
        <v>16</v>
      </c>
      <c r="G2862" s="1" t="s">
        <v>19</v>
      </c>
      <c r="H2862" s="1" t="str">
        <f t="shared" si="1682"/>
        <v>71</v>
      </c>
      <c r="I2862" s="1" t="str">
        <f t="shared" si="1680"/>
        <v>162.58</v>
      </c>
      <c r="J2862" s="1" t="str">
        <f t="shared" si="1676"/>
        <v>0</v>
      </c>
      <c r="K2862" s="1" t="str">
        <f t="shared" si="1678"/>
        <v>103</v>
      </c>
      <c r="L2862" s="1" t="str">
        <f t="shared" si="1679"/>
        <v>47</v>
      </c>
      <c r="M2862" s="1" t="str">
        <f t="shared" si="1656"/>
        <v>0</v>
      </c>
      <c r="N2862" s="1" t="str">
        <f t="shared" si="1657"/>
        <v>0</v>
      </c>
      <c r="O2862" s="1" t="str">
        <f t="shared" si="1681"/>
        <v>2.58</v>
      </c>
    </row>
    <row r="2863" s="1" customFormat="1" spans="1:15">
      <c r="A2863" s="1" t="str">
        <f t="shared" si="1658"/>
        <v>202406</v>
      </c>
      <c r="B2863" s="1" t="str">
        <f t="shared" si="1659"/>
        <v>150525100</v>
      </c>
      <c r="C2863" s="1" t="str">
        <f>"1015311327"</f>
        <v>1015311327</v>
      </c>
      <c r="D2863" s="1" t="str">
        <f>"152326195301293829"</f>
        <v>152326195301293829</v>
      </c>
      <c r="E2863" s="1" t="s">
        <v>2928</v>
      </c>
      <c r="F2863" s="1" t="s">
        <v>16</v>
      </c>
      <c r="G2863" s="1" t="s">
        <v>19</v>
      </c>
      <c r="H2863" s="1" t="str">
        <f t="shared" si="1682"/>
        <v>71</v>
      </c>
      <c r="I2863" s="1" t="str">
        <f>"162.57"</f>
        <v>162.57</v>
      </c>
      <c r="J2863" s="1" t="str">
        <f t="shared" si="1676"/>
        <v>0</v>
      </c>
      <c r="K2863" s="1" t="str">
        <f t="shared" si="1678"/>
        <v>103</v>
      </c>
      <c r="L2863" s="1" t="str">
        <f t="shared" si="1679"/>
        <v>47</v>
      </c>
      <c r="M2863" s="1" t="str">
        <f t="shared" si="1656"/>
        <v>0</v>
      </c>
      <c r="N2863" s="1" t="str">
        <f t="shared" si="1657"/>
        <v>0</v>
      </c>
      <c r="O2863" s="1" t="str">
        <f>"2.57"</f>
        <v>2.57</v>
      </c>
    </row>
    <row r="2864" s="1" customFormat="1" spans="1:15">
      <c r="A2864" s="1" t="str">
        <f t="shared" si="1658"/>
        <v>202406</v>
      </c>
      <c r="B2864" s="1" t="str">
        <f t="shared" si="1659"/>
        <v>150525100</v>
      </c>
      <c r="C2864" s="1" t="str">
        <f>"1015311490"</f>
        <v>1015311490</v>
      </c>
      <c r="D2864" s="1" t="str">
        <f>"152326195312050419"</f>
        <v>152326195312050419</v>
      </c>
      <c r="E2864" s="1" t="s">
        <v>2929</v>
      </c>
      <c r="F2864" s="1" t="s">
        <v>25</v>
      </c>
      <c r="G2864" s="1" t="s">
        <v>17</v>
      </c>
      <c r="H2864" s="1" t="str">
        <f t="shared" si="1682"/>
        <v>71</v>
      </c>
      <c r="I2864" s="1" t="str">
        <f t="shared" ref="I2864:I2868" si="1683">"162.58"</f>
        <v>162.58</v>
      </c>
      <c r="J2864" s="1" t="str">
        <f t="shared" si="1676"/>
        <v>0</v>
      </c>
      <c r="K2864" s="1" t="str">
        <f t="shared" si="1678"/>
        <v>103</v>
      </c>
      <c r="L2864" s="1" t="str">
        <f t="shared" si="1679"/>
        <v>47</v>
      </c>
      <c r="M2864" s="1" t="str">
        <f t="shared" si="1656"/>
        <v>0</v>
      </c>
      <c r="N2864" s="1" t="str">
        <f t="shared" si="1657"/>
        <v>0</v>
      </c>
      <c r="O2864" s="1" t="str">
        <f t="shared" ref="O2864:O2868" si="1684">"2.58"</f>
        <v>2.58</v>
      </c>
    </row>
    <row r="2865" s="1" customFormat="1" spans="1:15">
      <c r="A2865" s="1" t="str">
        <f t="shared" si="1658"/>
        <v>202406</v>
      </c>
      <c r="B2865" s="1" t="str">
        <f t="shared" si="1659"/>
        <v>150525100</v>
      </c>
      <c r="C2865" s="1" t="str">
        <f>"1015311494"</f>
        <v>1015311494</v>
      </c>
      <c r="D2865" s="1" t="str">
        <f>"152326195312170445"</f>
        <v>152326195312170445</v>
      </c>
      <c r="E2865" s="1" t="s">
        <v>2930</v>
      </c>
      <c r="F2865" s="1" t="s">
        <v>16</v>
      </c>
      <c r="G2865" s="1" t="s">
        <v>17</v>
      </c>
      <c r="H2865" s="1" t="str">
        <f t="shared" si="1682"/>
        <v>71</v>
      </c>
      <c r="I2865" s="1" t="str">
        <f t="shared" si="1683"/>
        <v>162.58</v>
      </c>
      <c r="J2865" s="1" t="str">
        <f t="shared" si="1676"/>
        <v>0</v>
      </c>
      <c r="K2865" s="1" t="str">
        <f t="shared" si="1678"/>
        <v>103</v>
      </c>
      <c r="L2865" s="1" t="str">
        <f t="shared" si="1679"/>
        <v>47</v>
      </c>
      <c r="M2865" s="1" t="str">
        <f t="shared" si="1656"/>
        <v>0</v>
      </c>
      <c r="N2865" s="1" t="str">
        <f t="shared" si="1657"/>
        <v>0</v>
      </c>
      <c r="O2865" s="1" t="str">
        <f t="shared" si="1684"/>
        <v>2.58</v>
      </c>
    </row>
    <row r="2866" s="1" customFormat="1" spans="1:15">
      <c r="A2866" s="1" t="str">
        <f t="shared" si="1658"/>
        <v>202406</v>
      </c>
      <c r="B2866" s="1" t="str">
        <f t="shared" si="1659"/>
        <v>150525100</v>
      </c>
      <c r="C2866" s="1" t="str">
        <f>"1040833134"</f>
        <v>1040833134</v>
      </c>
      <c r="D2866" s="1" t="str">
        <f>"152326195408170044"</f>
        <v>152326195408170044</v>
      </c>
      <c r="E2866" s="1" t="s">
        <v>2931</v>
      </c>
      <c r="F2866" s="1" t="s">
        <v>16</v>
      </c>
      <c r="G2866" s="1" t="s">
        <v>17</v>
      </c>
      <c r="H2866" s="1" t="str">
        <f>"70"</f>
        <v>70</v>
      </c>
      <c r="I2866" s="1" t="str">
        <f>"153.55"</f>
        <v>153.55</v>
      </c>
      <c r="J2866" s="1" t="str">
        <f t="shared" si="1676"/>
        <v>0</v>
      </c>
      <c r="K2866" s="1" t="str">
        <f t="shared" si="1678"/>
        <v>103</v>
      </c>
      <c r="L2866" s="1" t="str">
        <f t="shared" si="1679"/>
        <v>47</v>
      </c>
      <c r="M2866" s="1" t="str">
        <f t="shared" si="1656"/>
        <v>0</v>
      </c>
      <c r="N2866" s="1" t="str">
        <f t="shared" si="1657"/>
        <v>0</v>
      </c>
      <c r="O2866" s="1" t="str">
        <f>"3.55"</f>
        <v>3.55</v>
      </c>
    </row>
    <row r="2867" s="1" customFormat="1" spans="1:15">
      <c r="A2867" s="1" t="str">
        <f t="shared" si="1658"/>
        <v>202406</v>
      </c>
      <c r="B2867" s="1" t="str">
        <f t="shared" si="1659"/>
        <v>150525100</v>
      </c>
      <c r="C2867" s="1" t="str">
        <f>"1015311708"</f>
        <v>1015311708</v>
      </c>
      <c r="D2867" s="1" t="str">
        <f>"152326195307293088"</f>
        <v>152326195307293088</v>
      </c>
      <c r="E2867" s="1" t="s">
        <v>2932</v>
      </c>
      <c r="F2867" s="1" t="s">
        <v>16</v>
      </c>
      <c r="G2867" s="1" t="s">
        <v>17</v>
      </c>
      <c r="H2867" s="1" t="str">
        <f t="shared" ref="H2867:H2873" si="1685">"71"</f>
        <v>71</v>
      </c>
      <c r="I2867" s="1" t="str">
        <f>"162.57"</f>
        <v>162.57</v>
      </c>
      <c r="J2867" s="1" t="str">
        <f t="shared" si="1676"/>
        <v>0</v>
      </c>
      <c r="K2867" s="1" t="str">
        <f t="shared" si="1678"/>
        <v>103</v>
      </c>
      <c r="L2867" s="1" t="str">
        <f t="shared" si="1679"/>
        <v>47</v>
      </c>
      <c r="M2867" s="1" t="str">
        <f t="shared" si="1656"/>
        <v>0</v>
      </c>
      <c r="N2867" s="1" t="str">
        <f t="shared" si="1657"/>
        <v>0</v>
      </c>
      <c r="O2867" s="1" t="str">
        <f>"2.57"</f>
        <v>2.57</v>
      </c>
    </row>
    <row r="2868" s="1" customFormat="1" spans="1:15">
      <c r="A2868" s="1" t="str">
        <f t="shared" si="1658"/>
        <v>202406</v>
      </c>
      <c r="B2868" s="1" t="str">
        <f t="shared" si="1659"/>
        <v>150525100</v>
      </c>
      <c r="C2868" s="1" t="str">
        <f>"1015311818"</f>
        <v>1015311818</v>
      </c>
      <c r="D2868" s="1" t="str">
        <f>"152326195312133310"</f>
        <v>152326195312133310</v>
      </c>
      <c r="E2868" s="1" t="s">
        <v>2933</v>
      </c>
      <c r="F2868" s="1" t="s">
        <v>25</v>
      </c>
      <c r="G2868" s="1" t="s">
        <v>19</v>
      </c>
      <c r="H2868" s="1" t="str">
        <f t="shared" si="1685"/>
        <v>71</v>
      </c>
      <c r="I2868" s="1" t="str">
        <f t="shared" si="1683"/>
        <v>162.58</v>
      </c>
      <c r="J2868" s="1" t="str">
        <f t="shared" si="1676"/>
        <v>0</v>
      </c>
      <c r="K2868" s="1" t="str">
        <f t="shared" si="1678"/>
        <v>103</v>
      </c>
      <c r="L2868" s="1" t="str">
        <f t="shared" si="1679"/>
        <v>47</v>
      </c>
      <c r="M2868" s="1" t="str">
        <f t="shared" si="1656"/>
        <v>0</v>
      </c>
      <c r="N2868" s="1" t="str">
        <f t="shared" si="1657"/>
        <v>0</v>
      </c>
      <c r="O2868" s="1" t="str">
        <f t="shared" si="1684"/>
        <v>2.58</v>
      </c>
    </row>
    <row r="2869" s="1" customFormat="1" spans="1:15">
      <c r="A2869" s="1" t="str">
        <f t="shared" si="1658"/>
        <v>202406</v>
      </c>
      <c r="B2869" s="1" t="str">
        <f t="shared" si="1659"/>
        <v>150525100</v>
      </c>
      <c r="C2869" s="1" t="str">
        <f>"1015311358"</f>
        <v>1015311358</v>
      </c>
      <c r="D2869" s="1" t="str">
        <f>"152326195203223827"</f>
        <v>152326195203223827</v>
      </c>
      <c r="E2869" s="1" t="s">
        <v>2934</v>
      </c>
      <c r="F2869" s="1" t="s">
        <v>16</v>
      </c>
      <c r="G2869" s="1" t="s">
        <v>19</v>
      </c>
      <c r="H2869" s="1" t="str">
        <f t="shared" ref="H2869:H2871" si="1686">"72"</f>
        <v>72</v>
      </c>
      <c r="I2869" s="1" t="str">
        <f>"161.53"</f>
        <v>161.53</v>
      </c>
      <c r="J2869" s="1" t="str">
        <f t="shared" si="1676"/>
        <v>0</v>
      </c>
      <c r="K2869" s="1" t="str">
        <f t="shared" si="1678"/>
        <v>103</v>
      </c>
      <c r="L2869" s="1" t="str">
        <f t="shared" si="1679"/>
        <v>47</v>
      </c>
      <c r="M2869" s="1" t="str">
        <f t="shared" si="1656"/>
        <v>0</v>
      </c>
      <c r="N2869" s="1" t="str">
        <f t="shared" si="1657"/>
        <v>0</v>
      </c>
      <c r="O2869" s="1" t="str">
        <f>"1.53"</f>
        <v>1.53</v>
      </c>
    </row>
    <row r="2870" s="1" customFormat="1" spans="1:15">
      <c r="A2870" s="1" t="str">
        <f t="shared" si="1658"/>
        <v>202406</v>
      </c>
      <c r="B2870" s="1" t="str">
        <f t="shared" si="1659"/>
        <v>150525100</v>
      </c>
      <c r="C2870" s="1" t="str">
        <f>"1015311361"</f>
        <v>1015311361</v>
      </c>
      <c r="D2870" s="1" t="str">
        <f>"152326195203093823"</f>
        <v>152326195203093823</v>
      </c>
      <c r="E2870" s="1" t="s">
        <v>2935</v>
      </c>
      <c r="F2870" s="1" t="s">
        <v>16</v>
      </c>
      <c r="G2870" s="1" t="s">
        <v>17</v>
      </c>
      <c r="H2870" s="1" t="str">
        <f t="shared" si="1686"/>
        <v>72</v>
      </c>
      <c r="I2870" s="1" t="str">
        <f>"161.53"</f>
        <v>161.53</v>
      </c>
      <c r="J2870" s="1" t="str">
        <f t="shared" si="1676"/>
        <v>0</v>
      </c>
      <c r="K2870" s="1" t="str">
        <f t="shared" si="1678"/>
        <v>103</v>
      </c>
      <c r="L2870" s="1" t="str">
        <f t="shared" si="1679"/>
        <v>47</v>
      </c>
      <c r="M2870" s="1" t="str">
        <f t="shared" si="1656"/>
        <v>0</v>
      </c>
      <c r="N2870" s="1" t="str">
        <f t="shared" si="1657"/>
        <v>0</v>
      </c>
      <c r="O2870" s="1" t="str">
        <f>"1.53"</f>
        <v>1.53</v>
      </c>
    </row>
    <row r="2871" s="1" customFormat="1" spans="1:15">
      <c r="A2871" s="1" t="str">
        <f t="shared" si="1658"/>
        <v>202406</v>
      </c>
      <c r="B2871" s="1" t="str">
        <f t="shared" si="1659"/>
        <v>150525100</v>
      </c>
      <c r="C2871" s="1" t="str">
        <f>"1015311368"</f>
        <v>1015311368</v>
      </c>
      <c r="D2871" s="1" t="s">
        <v>2936</v>
      </c>
      <c r="E2871" s="1" t="s">
        <v>2937</v>
      </c>
      <c r="F2871" s="1" t="s">
        <v>25</v>
      </c>
      <c r="G2871" s="1" t="s">
        <v>19</v>
      </c>
      <c r="H2871" s="1" t="str">
        <f t="shared" si="1686"/>
        <v>72</v>
      </c>
      <c r="I2871" s="1" t="str">
        <f t="shared" ref="I2871:I2875" si="1687">"161.56"</f>
        <v>161.56</v>
      </c>
      <c r="J2871" s="1" t="str">
        <f t="shared" si="1676"/>
        <v>0</v>
      </c>
      <c r="K2871" s="1" t="str">
        <f t="shared" si="1678"/>
        <v>103</v>
      </c>
      <c r="L2871" s="1" t="str">
        <f t="shared" si="1679"/>
        <v>47</v>
      </c>
      <c r="M2871" s="1" t="str">
        <f t="shared" si="1656"/>
        <v>0</v>
      </c>
      <c r="N2871" s="1" t="str">
        <f t="shared" si="1657"/>
        <v>0</v>
      </c>
      <c r="O2871" s="1" t="str">
        <f t="shared" ref="O2871:O2875" si="1688">"1.56"</f>
        <v>1.56</v>
      </c>
    </row>
    <row r="2872" s="1" customFormat="1" spans="1:15">
      <c r="A2872" s="1" t="str">
        <f t="shared" si="1658"/>
        <v>202406</v>
      </c>
      <c r="B2872" s="1" t="str">
        <f t="shared" si="1659"/>
        <v>150525100</v>
      </c>
      <c r="C2872" s="1" t="str">
        <f>"1015311375"</f>
        <v>1015311375</v>
      </c>
      <c r="D2872" s="1" t="str">
        <f>"152326195312203315"</f>
        <v>152326195312203315</v>
      </c>
      <c r="E2872" s="1" t="s">
        <v>2938</v>
      </c>
      <c r="F2872" s="1" t="s">
        <v>25</v>
      </c>
      <c r="G2872" s="1" t="s">
        <v>17</v>
      </c>
      <c r="H2872" s="1" t="str">
        <f t="shared" si="1685"/>
        <v>71</v>
      </c>
      <c r="I2872" s="1" t="str">
        <f>"162.31"</f>
        <v>162.31</v>
      </c>
      <c r="J2872" s="1" t="str">
        <f t="shared" si="1676"/>
        <v>0</v>
      </c>
      <c r="K2872" s="1" t="str">
        <f t="shared" si="1678"/>
        <v>103</v>
      </c>
      <c r="L2872" s="1" t="str">
        <f t="shared" si="1679"/>
        <v>47</v>
      </c>
      <c r="M2872" s="1" t="str">
        <f t="shared" si="1656"/>
        <v>0</v>
      </c>
      <c r="N2872" s="1" t="str">
        <f t="shared" si="1657"/>
        <v>0</v>
      </c>
      <c r="O2872" s="1" t="str">
        <f>"2.31"</f>
        <v>2.31</v>
      </c>
    </row>
    <row r="2873" s="1" customFormat="1" spans="1:15">
      <c r="A2873" s="1" t="str">
        <f t="shared" si="1658"/>
        <v>202406</v>
      </c>
      <c r="B2873" s="1" t="str">
        <f t="shared" si="1659"/>
        <v>150525100</v>
      </c>
      <c r="C2873" s="1" t="str">
        <f>"1015311524"</f>
        <v>1015311524</v>
      </c>
      <c r="D2873" s="1" t="str">
        <f>"152326195310043098"</f>
        <v>152326195310043098</v>
      </c>
      <c r="E2873" s="1" t="s">
        <v>2939</v>
      </c>
      <c r="F2873" s="1" t="s">
        <v>25</v>
      </c>
      <c r="G2873" s="1" t="s">
        <v>17</v>
      </c>
      <c r="H2873" s="1" t="str">
        <f t="shared" si="1685"/>
        <v>71</v>
      </c>
      <c r="I2873" s="1" t="str">
        <f>"162.3"</f>
        <v>162.3</v>
      </c>
      <c r="J2873" s="1" t="str">
        <f t="shared" si="1676"/>
        <v>0</v>
      </c>
      <c r="K2873" s="1" t="str">
        <f t="shared" si="1678"/>
        <v>103</v>
      </c>
      <c r="L2873" s="1" t="str">
        <f t="shared" si="1679"/>
        <v>47</v>
      </c>
      <c r="M2873" s="1" t="str">
        <f t="shared" si="1656"/>
        <v>0</v>
      </c>
      <c r="N2873" s="1" t="str">
        <f t="shared" si="1657"/>
        <v>0</v>
      </c>
      <c r="O2873" s="1" t="str">
        <f>"2.3"</f>
        <v>2.3</v>
      </c>
    </row>
    <row r="2874" s="1" customFormat="1" spans="1:15">
      <c r="A2874" s="1" t="str">
        <f t="shared" si="1658"/>
        <v>202406</v>
      </c>
      <c r="B2874" s="1" t="str">
        <f t="shared" si="1659"/>
        <v>150525100</v>
      </c>
      <c r="C2874" s="1" t="str">
        <f>"1015311821"</f>
        <v>1015311821</v>
      </c>
      <c r="D2874" s="1" t="str">
        <f>"152326195209093314"</f>
        <v>152326195209093314</v>
      </c>
      <c r="E2874" s="1" t="s">
        <v>2940</v>
      </c>
      <c r="F2874" s="1" t="s">
        <v>25</v>
      </c>
      <c r="G2874" s="1" t="s">
        <v>17</v>
      </c>
      <c r="H2874" s="1" t="str">
        <f t="shared" ref="H2874:H2878" si="1689">"72"</f>
        <v>72</v>
      </c>
      <c r="I2874" s="1" t="str">
        <f t="shared" si="1687"/>
        <v>161.56</v>
      </c>
      <c r="J2874" s="1" t="str">
        <f t="shared" si="1676"/>
        <v>0</v>
      </c>
      <c r="K2874" s="1" t="str">
        <f t="shared" si="1678"/>
        <v>103</v>
      </c>
      <c r="L2874" s="1" t="str">
        <f t="shared" si="1679"/>
        <v>47</v>
      </c>
      <c r="M2874" s="1" t="str">
        <f t="shared" si="1656"/>
        <v>0</v>
      </c>
      <c r="N2874" s="1" t="str">
        <f t="shared" si="1657"/>
        <v>0</v>
      </c>
      <c r="O2874" s="1" t="str">
        <f t="shared" si="1688"/>
        <v>1.56</v>
      </c>
    </row>
    <row r="2875" s="1" customFormat="1" spans="1:15">
      <c r="A2875" s="1" t="str">
        <f t="shared" si="1658"/>
        <v>202406</v>
      </c>
      <c r="B2875" s="1" t="str">
        <f t="shared" si="1659"/>
        <v>150525100</v>
      </c>
      <c r="C2875" s="1" t="str">
        <f>"1015311394"</f>
        <v>1015311394</v>
      </c>
      <c r="D2875" s="1" t="str">
        <f>"152326195206133843"</f>
        <v>152326195206133843</v>
      </c>
      <c r="E2875" s="1" t="s">
        <v>2941</v>
      </c>
      <c r="F2875" s="1" t="s">
        <v>16</v>
      </c>
      <c r="G2875" s="1" t="s">
        <v>17</v>
      </c>
      <c r="H2875" s="1" t="str">
        <f t="shared" si="1689"/>
        <v>72</v>
      </c>
      <c r="I2875" s="1" t="str">
        <f t="shared" si="1687"/>
        <v>161.56</v>
      </c>
      <c r="J2875" s="1" t="str">
        <f t="shared" si="1676"/>
        <v>0</v>
      </c>
      <c r="K2875" s="1" t="str">
        <f t="shared" si="1678"/>
        <v>103</v>
      </c>
      <c r="L2875" s="1" t="str">
        <f t="shared" si="1679"/>
        <v>47</v>
      </c>
      <c r="M2875" s="1" t="str">
        <f t="shared" si="1656"/>
        <v>0</v>
      </c>
      <c r="N2875" s="1" t="str">
        <f t="shared" si="1657"/>
        <v>0</v>
      </c>
      <c r="O2875" s="1" t="str">
        <f t="shared" si="1688"/>
        <v>1.56</v>
      </c>
    </row>
    <row r="2876" s="1" customFormat="1" spans="1:15">
      <c r="A2876" s="1" t="str">
        <f t="shared" si="1658"/>
        <v>202406</v>
      </c>
      <c r="B2876" s="1" t="str">
        <f t="shared" si="1659"/>
        <v>150525100</v>
      </c>
      <c r="C2876" s="1" t="str">
        <f>"1015311406"</f>
        <v>1015311406</v>
      </c>
      <c r="D2876" s="1" t="str">
        <f>"152326195304060668"</f>
        <v>152326195304060668</v>
      </c>
      <c r="E2876" s="1" t="s">
        <v>2942</v>
      </c>
      <c r="F2876" s="1" t="s">
        <v>16</v>
      </c>
      <c r="G2876" s="1" t="s">
        <v>17</v>
      </c>
      <c r="H2876" s="1" t="str">
        <f t="shared" ref="H2876:H2881" si="1690">"71"</f>
        <v>71</v>
      </c>
      <c r="I2876" s="1" t="str">
        <f t="shared" ref="I2876:I2881" si="1691">"162.57"</f>
        <v>162.57</v>
      </c>
      <c r="J2876" s="1" t="str">
        <f t="shared" si="1676"/>
        <v>0</v>
      </c>
      <c r="K2876" s="1" t="str">
        <f t="shared" si="1678"/>
        <v>103</v>
      </c>
      <c r="L2876" s="1" t="str">
        <f t="shared" si="1679"/>
        <v>47</v>
      </c>
      <c r="M2876" s="1" t="str">
        <f t="shared" si="1656"/>
        <v>0</v>
      </c>
      <c r="N2876" s="1" t="str">
        <f t="shared" si="1657"/>
        <v>0</v>
      </c>
      <c r="O2876" s="1" t="str">
        <f t="shared" ref="O2876:O2881" si="1692">"2.57"</f>
        <v>2.57</v>
      </c>
    </row>
    <row r="2877" s="1" customFormat="1" spans="1:15">
      <c r="A2877" s="1" t="str">
        <f t="shared" si="1658"/>
        <v>202406</v>
      </c>
      <c r="B2877" s="1" t="str">
        <f t="shared" si="1659"/>
        <v>150525100</v>
      </c>
      <c r="C2877" s="1" t="str">
        <f>"1015311565"</f>
        <v>1015311565</v>
      </c>
      <c r="D2877" s="1" t="str">
        <f>"152326195207110678"</f>
        <v>152326195207110678</v>
      </c>
      <c r="E2877" s="1" t="s">
        <v>2943</v>
      </c>
      <c r="F2877" s="1" t="s">
        <v>25</v>
      </c>
      <c r="G2877" s="1" t="s">
        <v>19</v>
      </c>
      <c r="H2877" s="1" t="str">
        <f t="shared" si="1689"/>
        <v>72</v>
      </c>
      <c r="I2877" s="1" t="str">
        <f>"161.56"</f>
        <v>161.56</v>
      </c>
      <c r="J2877" s="1" t="str">
        <f t="shared" si="1676"/>
        <v>0</v>
      </c>
      <c r="K2877" s="1" t="str">
        <f t="shared" si="1678"/>
        <v>103</v>
      </c>
      <c r="L2877" s="1" t="str">
        <f t="shared" si="1679"/>
        <v>47</v>
      </c>
      <c r="M2877" s="1" t="str">
        <f t="shared" si="1656"/>
        <v>0</v>
      </c>
      <c r="N2877" s="1" t="str">
        <f t="shared" si="1657"/>
        <v>0</v>
      </c>
      <c r="O2877" s="1" t="str">
        <f>"1.56"</f>
        <v>1.56</v>
      </c>
    </row>
    <row r="2878" s="1" customFormat="1" spans="1:15">
      <c r="A2878" s="1" t="str">
        <f t="shared" si="1658"/>
        <v>202406</v>
      </c>
      <c r="B2878" s="1" t="str">
        <f t="shared" si="1659"/>
        <v>150525100</v>
      </c>
      <c r="C2878" s="1" t="str">
        <f>"1015311604"</f>
        <v>1015311604</v>
      </c>
      <c r="D2878" s="1" t="str">
        <f>"152326195203290413"</f>
        <v>152326195203290413</v>
      </c>
      <c r="E2878" s="1" t="s">
        <v>2944</v>
      </c>
      <c r="F2878" s="1" t="s">
        <v>25</v>
      </c>
      <c r="G2878" s="1" t="s">
        <v>17</v>
      </c>
      <c r="H2878" s="1" t="str">
        <f t="shared" si="1689"/>
        <v>72</v>
      </c>
      <c r="I2878" s="1" t="str">
        <f>"162.34"</f>
        <v>162.34</v>
      </c>
      <c r="J2878" s="1" t="str">
        <f t="shared" si="1676"/>
        <v>0</v>
      </c>
      <c r="K2878" s="1" t="str">
        <f t="shared" si="1678"/>
        <v>103</v>
      </c>
      <c r="L2878" s="1" t="str">
        <f t="shared" si="1679"/>
        <v>47</v>
      </c>
      <c r="M2878" s="1" t="str">
        <f t="shared" si="1656"/>
        <v>0</v>
      </c>
      <c r="N2878" s="1" t="str">
        <f t="shared" si="1657"/>
        <v>0</v>
      </c>
      <c r="O2878" s="1" t="str">
        <f>"2.34"</f>
        <v>2.34</v>
      </c>
    </row>
    <row r="2879" s="1" customFormat="1" spans="1:15">
      <c r="A2879" s="1" t="str">
        <f t="shared" si="1658"/>
        <v>202406</v>
      </c>
      <c r="B2879" s="1" t="str">
        <f t="shared" si="1659"/>
        <v>150525100</v>
      </c>
      <c r="C2879" s="1" t="str">
        <f>"1015311607"</f>
        <v>1015311607</v>
      </c>
      <c r="D2879" s="1" t="str">
        <f>"152326195308120429"</f>
        <v>152326195308120429</v>
      </c>
      <c r="E2879" s="1" t="s">
        <v>2945</v>
      </c>
      <c r="F2879" s="1" t="s">
        <v>16</v>
      </c>
      <c r="G2879" s="1" t="s">
        <v>17</v>
      </c>
      <c r="H2879" s="1" t="str">
        <f t="shared" si="1690"/>
        <v>71</v>
      </c>
      <c r="I2879" s="1" t="str">
        <f t="shared" si="1691"/>
        <v>162.57</v>
      </c>
      <c r="J2879" s="1" t="str">
        <f t="shared" si="1676"/>
        <v>0</v>
      </c>
      <c r="K2879" s="1" t="str">
        <f t="shared" si="1678"/>
        <v>103</v>
      </c>
      <c r="L2879" s="1" t="str">
        <f t="shared" si="1679"/>
        <v>47</v>
      </c>
      <c r="M2879" s="1" t="str">
        <f t="shared" si="1656"/>
        <v>0</v>
      </c>
      <c r="N2879" s="1" t="str">
        <f t="shared" si="1657"/>
        <v>0</v>
      </c>
      <c r="O2879" s="1" t="str">
        <f t="shared" si="1692"/>
        <v>2.57</v>
      </c>
    </row>
    <row r="2880" s="1" customFormat="1" spans="1:15">
      <c r="A2880" s="1" t="str">
        <f t="shared" si="1658"/>
        <v>202406</v>
      </c>
      <c r="B2880" s="1" t="str">
        <f t="shared" si="1659"/>
        <v>150525100</v>
      </c>
      <c r="C2880" s="1" t="str">
        <f>"1015311611"</f>
        <v>1015311611</v>
      </c>
      <c r="D2880" s="1" t="str">
        <f>"152326195308160674"</f>
        <v>152326195308160674</v>
      </c>
      <c r="E2880" s="1" t="s">
        <v>2946</v>
      </c>
      <c r="F2880" s="1" t="s">
        <v>25</v>
      </c>
      <c r="G2880" s="1" t="s">
        <v>17</v>
      </c>
      <c r="H2880" s="1" t="str">
        <f t="shared" si="1690"/>
        <v>71</v>
      </c>
      <c r="I2880" s="1" t="str">
        <f>"1625.7"</f>
        <v>1625.7</v>
      </c>
      <c r="J2880" s="1" t="str">
        <f>"1463.13"</f>
        <v>1463.13</v>
      </c>
      <c r="K2880" s="1" t="str">
        <f>"1030"</f>
        <v>1030</v>
      </c>
      <c r="L2880" s="1" t="str">
        <f>"470"</f>
        <v>470</v>
      </c>
      <c r="M2880" s="1" t="str">
        <f t="shared" si="1656"/>
        <v>0</v>
      </c>
      <c r="N2880" s="1" t="str">
        <f t="shared" si="1657"/>
        <v>0</v>
      </c>
      <c r="O2880" s="1" t="str">
        <f>"25.7"</f>
        <v>25.7</v>
      </c>
    </row>
    <row r="2881" s="1" customFormat="1" spans="1:15">
      <c r="A2881" s="1" t="str">
        <f t="shared" si="1658"/>
        <v>202406</v>
      </c>
      <c r="B2881" s="1" t="str">
        <f t="shared" si="1659"/>
        <v>150525100</v>
      </c>
      <c r="C2881" s="1" t="str">
        <f>"1015311798"</f>
        <v>1015311798</v>
      </c>
      <c r="D2881" s="1" t="str">
        <f>"152326195303170662"</f>
        <v>152326195303170662</v>
      </c>
      <c r="E2881" s="1" t="s">
        <v>2947</v>
      </c>
      <c r="F2881" s="1" t="s">
        <v>16</v>
      </c>
      <c r="G2881" s="1" t="s">
        <v>19</v>
      </c>
      <c r="H2881" s="1" t="str">
        <f t="shared" si="1690"/>
        <v>71</v>
      </c>
      <c r="I2881" s="1" t="str">
        <f t="shared" si="1691"/>
        <v>162.57</v>
      </c>
      <c r="J2881" s="1" t="str">
        <f t="shared" ref="J2881:N2881" si="1693">"0"</f>
        <v>0</v>
      </c>
      <c r="K2881" s="1" t="str">
        <f t="shared" ref="K2881:K2893" si="1694">"103"</f>
        <v>103</v>
      </c>
      <c r="L2881" s="1" t="str">
        <f t="shared" ref="L2881:L2893" si="1695">"47"</f>
        <v>47</v>
      </c>
      <c r="M2881" s="1" t="str">
        <f t="shared" si="1693"/>
        <v>0</v>
      </c>
      <c r="N2881" s="1" t="str">
        <f t="shared" si="1693"/>
        <v>0</v>
      </c>
      <c r="O2881" s="1" t="str">
        <f t="shared" si="1692"/>
        <v>2.57</v>
      </c>
    </row>
    <row r="2882" s="1" customFormat="1" spans="1:15">
      <c r="A2882" s="1" t="str">
        <f t="shared" ref="A2882:A2945" si="1696">"202406"</f>
        <v>202406</v>
      </c>
      <c r="B2882" s="1" t="str">
        <f t="shared" ref="B2882:B2945" si="1697">"150525100"</f>
        <v>150525100</v>
      </c>
      <c r="C2882" s="1" t="str">
        <f>"1015311804"</f>
        <v>1015311804</v>
      </c>
      <c r="D2882" s="1" t="str">
        <f>"152326195211170665"</f>
        <v>152326195211170665</v>
      </c>
      <c r="E2882" s="1" t="s">
        <v>2948</v>
      </c>
      <c r="F2882" s="1" t="s">
        <v>16</v>
      </c>
      <c r="G2882" s="1" t="s">
        <v>17</v>
      </c>
      <c r="H2882" s="1" t="str">
        <f>"72"</f>
        <v>72</v>
      </c>
      <c r="I2882" s="1" t="str">
        <f>"161.56"</f>
        <v>161.56</v>
      </c>
      <c r="J2882" s="1" t="str">
        <f t="shared" ref="J2882:N2882" si="1698">"0"</f>
        <v>0</v>
      </c>
      <c r="K2882" s="1" t="str">
        <f t="shared" si="1694"/>
        <v>103</v>
      </c>
      <c r="L2882" s="1" t="str">
        <f t="shared" si="1695"/>
        <v>47</v>
      </c>
      <c r="M2882" s="1" t="str">
        <f t="shared" si="1698"/>
        <v>0</v>
      </c>
      <c r="N2882" s="1" t="str">
        <f t="shared" si="1698"/>
        <v>0</v>
      </c>
      <c r="O2882" s="1" t="str">
        <f>"1.56"</f>
        <v>1.56</v>
      </c>
    </row>
    <row r="2883" s="1" customFormat="1" spans="1:15">
      <c r="A2883" s="1" t="str">
        <f t="shared" si="1696"/>
        <v>202406</v>
      </c>
      <c r="B2883" s="1" t="str">
        <f t="shared" si="1697"/>
        <v>150525100</v>
      </c>
      <c r="C2883" s="1" t="str">
        <f>"1041055194"</f>
        <v>1041055194</v>
      </c>
      <c r="D2883" s="1" t="str">
        <f>"152326195705073080"</f>
        <v>152326195705073080</v>
      </c>
      <c r="E2883" s="1" t="s">
        <v>2949</v>
      </c>
      <c r="F2883" s="1" t="s">
        <v>16</v>
      </c>
      <c r="G2883" s="1" t="s">
        <v>17</v>
      </c>
      <c r="H2883" s="1" t="str">
        <f>"67"</f>
        <v>67</v>
      </c>
      <c r="I2883" s="1" t="str">
        <f>"155.26"</f>
        <v>155.26</v>
      </c>
      <c r="J2883" s="1" t="str">
        <f t="shared" ref="J2883:N2883" si="1699">"0"</f>
        <v>0</v>
      </c>
      <c r="K2883" s="1" t="str">
        <f t="shared" si="1694"/>
        <v>103</v>
      </c>
      <c r="L2883" s="1" t="str">
        <f t="shared" si="1695"/>
        <v>47</v>
      </c>
      <c r="M2883" s="1" t="str">
        <f t="shared" si="1699"/>
        <v>0</v>
      </c>
      <c r="N2883" s="1" t="str">
        <f t="shared" si="1699"/>
        <v>0</v>
      </c>
      <c r="O2883" s="1" t="str">
        <f>"5.26"</f>
        <v>5.26</v>
      </c>
    </row>
    <row r="2884" s="1" customFormat="1" spans="1:15">
      <c r="A2884" s="1" t="str">
        <f t="shared" si="1696"/>
        <v>202406</v>
      </c>
      <c r="B2884" s="1" t="str">
        <f t="shared" si="1697"/>
        <v>150525100</v>
      </c>
      <c r="C2884" s="1" t="str">
        <f>"1041098947"</f>
        <v>1041098947</v>
      </c>
      <c r="D2884" s="1" t="str">
        <f>"152326195706090667"</f>
        <v>152326195706090667</v>
      </c>
      <c r="E2884" s="1" t="s">
        <v>2950</v>
      </c>
      <c r="F2884" s="1" t="s">
        <v>16</v>
      </c>
      <c r="G2884" s="1" t="s">
        <v>17</v>
      </c>
      <c r="H2884" s="1" t="str">
        <f>"67"</f>
        <v>67</v>
      </c>
      <c r="I2884" s="1" t="str">
        <f>"155.48"</f>
        <v>155.48</v>
      </c>
      <c r="J2884" s="1" t="str">
        <f t="shared" ref="J2884:N2884" si="1700">"0"</f>
        <v>0</v>
      </c>
      <c r="K2884" s="1" t="str">
        <f t="shared" si="1694"/>
        <v>103</v>
      </c>
      <c r="L2884" s="1" t="str">
        <f t="shared" si="1695"/>
        <v>47</v>
      </c>
      <c r="M2884" s="1" t="str">
        <f t="shared" si="1700"/>
        <v>0</v>
      </c>
      <c r="N2884" s="1" t="str">
        <f t="shared" si="1700"/>
        <v>0</v>
      </c>
      <c r="O2884" s="1" t="str">
        <f>"5.48"</f>
        <v>5.48</v>
      </c>
    </row>
    <row r="2885" s="1" customFormat="1" spans="1:15">
      <c r="A2885" s="1" t="str">
        <f t="shared" si="1696"/>
        <v>202406</v>
      </c>
      <c r="B2885" s="1" t="str">
        <f t="shared" si="1697"/>
        <v>150525100</v>
      </c>
      <c r="C2885" s="1" t="str">
        <f>"1040729050"</f>
        <v>1040729050</v>
      </c>
      <c r="D2885" s="1" t="str">
        <f>"152326195906240666"</f>
        <v>152326195906240666</v>
      </c>
      <c r="E2885" s="1" t="s">
        <v>2951</v>
      </c>
      <c r="F2885" s="1" t="s">
        <v>16</v>
      </c>
      <c r="G2885" s="1" t="s">
        <v>17</v>
      </c>
      <c r="H2885" s="1" t="str">
        <f>"65"</f>
        <v>65</v>
      </c>
      <c r="I2885" s="1" t="str">
        <f>"156.61"</f>
        <v>156.61</v>
      </c>
      <c r="J2885" s="1" t="str">
        <f t="shared" ref="J2885:N2885" si="1701">"0"</f>
        <v>0</v>
      </c>
      <c r="K2885" s="1" t="str">
        <f t="shared" si="1694"/>
        <v>103</v>
      </c>
      <c r="L2885" s="1" t="str">
        <f t="shared" si="1695"/>
        <v>47</v>
      </c>
      <c r="M2885" s="1" t="str">
        <f t="shared" si="1701"/>
        <v>0</v>
      </c>
      <c r="N2885" s="1" t="str">
        <f t="shared" si="1701"/>
        <v>0</v>
      </c>
      <c r="O2885" s="1" t="str">
        <f>"6.61"</f>
        <v>6.61</v>
      </c>
    </row>
    <row r="2886" s="1" customFormat="1" spans="1:15">
      <c r="A2886" s="1" t="str">
        <f t="shared" si="1696"/>
        <v>202406</v>
      </c>
      <c r="B2886" s="1" t="str">
        <f t="shared" si="1697"/>
        <v>150525100</v>
      </c>
      <c r="C2886" s="1" t="str">
        <f>"1040685994"</f>
        <v>1040685994</v>
      </c>
      <c r="D2886" s="1" t="str">
        <f>"152326196004193076"</f>
        <v>152326196004193076</v>
      </c>
      <c r="E2886" s="1" t="s">
        <v>2952</v>
      </c>
      <c r="F2886" s="1" t="s">
        <v>25</v>
      </c>
      <c r="G2886" s="1" t="s">
        <v>96</v>
      </c>
      <c r="H2886" s="1" t="str">
        <f>"64"</f>
        <v>64</v>
      </c>
      <c r="I2886" s="1" t="str">
        <f>"157.66"</f>
        <v>157.66</v>
      </c>
      <c r="J2886" s="1" t="str">
        <f t="shared" ref="J2886:N2886" si="1702">"0"</f>
        <v>0</v>
      </c>
      <c r="K2886" s="1" t="str">
        <f t="shared" si="1694"/>
        <v>103</v>
      </c>
      <c r="L2886" s="1" t="str">
        <f t="shared" si="1695"/>
        <v>47</v>
      </c>
      <c r="M2886" s="1" t="str">
        <f t="shared" si="1702"/>
        <v>0</v>
      </c>
      <c r="N2886" s="1" t="str">
        <f t="shared" si="1702"/>
        <v>0</v>
      </c>
      <c r="O2886" s="1" t="str">
        <f>"7.66"</f>
        <v>7.66</v>
      </c>
    </row>
    <row r="2887" s="1" customFormat="1" spans="1:15">
      <c r="A2887" s="1" t="str">
        <f t="shared" si="1696"/>
        <v>202406</v>
      </c>
      <c r="B2887" s="1" t="str">
        <f t="shared" si="1697"/>
        <v>150525100</v>
      </c>
      <c r="C2887" s="1" t="str">
        <f>"1040675174"</f>
        <v>1040675174</v>
      </c>
      <c r="D2887" s="1" t="str">
        <f>"152326196101290417"</f>
        <v>152326196101290417</v>
      </c>
      <c r="E2887" s="1" t="s">
        <v>2953</v>
      </c>
      <c r="F2887" s="1" t="s">
        <v>25</v>
      </c>
      <c r="G2887" s="1" t="s">
        <v>17</v>
      </c>
      <c r="H2887" s="1" t="str">
        <f>"63"</f>
        <v>63</v>
      </c>
      <c r="I2887" s="1" t="str">
        <f>"161.21"</f>
        <v>161.21</v>
      </c>
      <c r="J2887" s="1" t="str">
        <f t="shared" ref="J2887:N2887" si="1703">"0"</f>
        <v>0</v>
      </c>
      <c r="K2887" s="1" t="str">
        <f t="shared" si="1694"/>
        <v>103</v>
      </c>
      <c r="L2887" s="1" t="str">
        <f t="shared" si="1695"/>
        <v>47</v>
      </c>
      <c r="M2887" s="1" t="str">
        <f t="shared" si="1703"/>
        <v>0</v>
      </c>
      <c r="N2887" s="1" t="str">
        <f t="shared" si="1703"/>
        <v>0</v>
      </c>
      <c r="O2887" s="1" t="str">
        <f>"11.21"</f>
        <v>11.21</v>
      </c>
    </row>
    <row r="2888" s="1" customFormat="1" spans="1:15">
      <c r="A2888" s="1" t="str">
        <f t="shared" si="1696"/>
        <v>202406</v>
      </c>
      <c r="B2888" s="1" t="str">
        <f t="shared" si="1697"/>
        <v>150525100</v>
      </c>
      <c r="C2888" s="1" t="str">
        <f>"1040643328"</f>
        <v>1040643328</v>
      </c>
      <c r="D2888" s="1" t="str">
        <f>"152326195601036429"</f>
        <v>152326195601036429</v>
      </c>
      <c r="E2888" s="1" t="s">
        <v>2954</v>
      </c>
      <c r="F2888" s="1" t="s">
        <v>16</v>
      </c>
      <c r="G2888" s="1" t="s">
        <v>17</v>
      </c>
      <c r="H2888" s="1" t="str">
        <f t="shared" ref="H2888:H2891" si="1704">"69"</f>
        <v>69</v>
      </c>
      <c r="I2888" s="1" t="str">
        <f>"154.54"</f>
        <v>154.54</v>
      </c>
      <c r="J2888" s="1" t="str">
        <f t="shared" ref="J2888:N2888" si="1705">"0"</f>
        <v>0</v>
      </c>
      <c r="K2888" s="1" t="str">
        <f t="shared" si="1694"/>
        <v>103</v>
      </c>
      <c r="L2888" s="1" t="str">
        <f t="shared" si="1695"/>
        <v>47</v>
      </c>
      <c r="M2888" s="1" t="str">
        <f t="shared" si="1705"/>
        <v>0</v>
      </c>
      <c r="N2888" s="1" t="str">
        <f t="shared" si="1705"/>
        <v>0</v>
      </c>
      <c r="O2888" s="1" t="str">
        <f>"4.54"</f>
        <v>4.54</v>
      </c>
    </row>
    <row r="2889" s="1" customFormat="1" spans="1:15">
      <c r="A2889" s="1" t="str">
        <f t="shared" si="1696"/>
        <v>202406</v>
      </c>
      <c r="B2889" s="1" t="str">
        <f t="shared" si="1697"/>
        <v>150525100</v>
      </c>
      <c r="C2889" s="1" t="str">
        <f>"1040653644"</f>
        <v>1040653644</v>
      </c>
      <c r="D2889" s="1" t="s">
        <v>2955</v>
      </c>
      <c r="E2889" s="1" t="s">
        <v>2956</v>
      </c>
      <c r="F2889" s="1" t="s">
        <v>16</v>
      </c>
      <c r="G2889" s="1" t="s">
        <v>19</v>
      </c>
      <c r="H2889" s="1" t="str">
        <f t="shared" si="1704"/>
        <v>69</v>
      </c>
      <c r="I2889" s="1" t="str">
        <f>"154.51"</f>
        <v>154.51</v>
      </c>
      <c r="J2889" s="1" t="str">
        <f t="shared" ref="J2889:N2889" si="1706">"0"</f>
        <v>0</v>
      </c>
      <c r="K2889" s="1" t="str">
        <f t="shared" si="1694"/>
        <v>103</v>
      </c>
      <c r="L2889" s="1" t="str">
        <f t="shared" si="1695"/>
        <v>47</v>
      </c>
      <c r="M2889" s="1" t="str">
        <f t="shared" si="1706"/>
        <v>0</v>
      </c>
      <c r="N2889" s="1" t="str">
        <f t="shared" si="1706"/>
        <v>0</v>
      </c>
      <c r="O2889" s="1" t="str">
        <f>"4.51"</f>
        <v>4.51</v>
      </c>
    </row>
    <row r="2890" s="1" customFormat="1" spans="1:15">
      <c r="A2890" s="1" t="str">
        <f t="shared" si="1696"/>
        <v>202406</v>
      </c>
      <c r="B2890" s="1" t="str">
        <f t="shared" si="1697"/>
        <v>150525100</v>
      </c>
      <c r="C2890" s="1" t="str">
        <f>"1040653647"</f>
        <v>1040653647</v>
      </c>
      <c r="D2890" s="1" t="str">
        <f>"152326196404290916"</f>
        <v>152326196404290916</v>
      </c>
      <c r="E2890" s="1" t="s">
        <v>2957</v>
      </c>
      <c r="F2890" s="1" t="s">
        <v>25</v>
      </c>
      <c r="G2890" s="1" t="s">
        <v>19</v>
      </c>
      <c r="H2890" s="1" t="str">
        <f>"60"</f>
        <v>60</v>
      </c>
      <c r="I2890" s="1" t="str">
        <f>"166.15"</f>
        <v>166.15</v>
      </c>
      <c r="J2890" s="1" t="str">
        <f t="shared" ref="J2890:N2890" si="1707">"0"</f>
        <v>0</v>
      </c>
      <c r="K2890" s="1" t="str">
        <f t="shared" si="1694"/>
        <v>103</v>
      </c>
      <c r="L2890" s="1" t="str">
        <f t="shared" si="1695"/>
        <v>47</v>
      </c>
      <c r="M2890" s="1" t="str">
        <f t="shared" si="1707"/>
        <v>0</v>
      </c>
      <c r="N2890" s="1" t="str">
        <f t="shared" si="1707"/>
        <v>0</v>
      </c>
      <c r="O2890" s="1" t="str">
        <f>"16.15"</f>
        <v>16.15</v>
      </c>
    </row>
    <row r="2891" s="1" customFormat="1" spans="1:15">
      <c r="A2891" s="1" t="str">
        <f t="shared" si="1696"/>
        <v>202406</v>
      </c>
      <c r="B2891" s="1" t="str">
        <f t="shared" si="1697"/>
        <v>150525100</v>
      </c>
      <c r="C2891" s="1" t="str">
        <f>"1040653651"</f>
        <v>1040653651</v>
      </c>
      <c r="D2891" s="1" t="s">
        <v>2958</v>
      </c>
      <c r="E2891" s="1" t="s">
        <v>2959</v>
      </c>
      <c r="F2891" s="1" t="s">
        <v>16</v>
      </c>
      <c r="G2891" s="1" t="s">
        <v>19</v>
      </c>
      <c r="H2891" s="1" t="str">
        <f t="shared" si="1704"/>
        <v>69</v>
      </c>
      <c r="I2891" s="1" t="str">
        <f>"154.51"</f>
        <v>154.51</v>
      </c>
      <c r="J2891" s="1" t="str">
        <f t="shared" ref="J2891:N2891" si="1708">"0"</f>
        <v>0</v>
      </c>
      <c r="K2891" s="1" t="str">
        <f t="shared" si="1694"/>
        <v>103</v>
      </c>
      <c r="L2891" s="1" t="str">
        <f t="shared" si="1695"/>
        <v>47</v>
      </c>
      <c r="M2891" s="1" t="str">
        <f t="shared" si="1708"/>
        <v>0</v>
      </c>
      <c r="N2891" s="1" t="str">
        <f t="shared" si="1708"/>
        <v>0</v>
      </c>
      <c r="O2891" s="1" t="str">
        <f>"4.51"</f>
        <v>4.51</v>
      </c>
    </row>
    <row r="2892" s="1" customFormat="1" spans="1:15">
      <c r="A2892" s="1" t="str">
        <f t="shared" si="1696"/>
        <v>202406</v>
      </c>
      <c r="B2892" s="1" t="str">
        <f t="shared" si="1697"/>
        <v>150525100</v>
      </c>
      <c r="C2892" s="1" t="str">
        <f>"1040653654"</f>
        <v>1040653654</v>
      </c>
      <c r="D2892" s="1" t="str">
        <f>"152326196101020919"</f>
        <v>152326196101020919</v>
      </c>
      <c r="E2892" s="1" t="s">
        <v>2960</v>
      </c>
      <c r="F2892" s="1" t="s">
        <v>25</v>
      </c>
      <c r="G2892" s="1" t="s">
        <v>19</v>
      </c>
      <c r="H2892" s="1" t="str">
        <f>"64"</f>
        <v>64</v>
      </c>
      <c r="I2892" s="1" t="str">
        <f>"160.38"</f>
        <v>160.38</v>
      </c>
      <c r="J2892" s="1" t="str">
        <f t="shared" ref="J2892:N2892" si="1709">"0"</f>
        <v>0</v>
      </c>
      <c r="K2892" s="1" t="str">
        <f t="shared" si="1694"/>
        <v>103</v>
      </c>
      <c r="L2892" s="1" t="str">
        <f t="shared" si="1695"/>
        <v>47</v>
      </c>
      <c r="M2892" s="1" t="str">
        <f t="shared" si="1709"/>
        <v>0</v>
      </c>
      <c r="N2892" s="1" t="str">
        <f t="shared" si="1709"/>
        <v>0</v>
      </c>
      <c r="O2892" s="1" t="str">
        <f>"10.38"</f>
        <v>10.38</v>
      </c>
    </row>
    <row r="2893" s="1" customFormat="1" spans="1:15">
      <c r="A2893" s="1" t="str">
        <f t="shared" si="1696"/>
        <v>202406</v>
      </c>
      <c r="B2893" s="1" t="str">
        <f t="shared" si="1697"/>
        <v>150525100</v>
      </c>
      <c r="C2893" s="1" t="str">
        <f>"1040647708"</f>
        <v>1040647708</v>
      </c>
      <c r="D2893" s="1" t="str">
        <f>"152326195801140415"</f>
        <v>152326195801140415</v>
      </c>
      <c r="E2893" s="1" t="s">
        <v>2961</v>
      </c>
      <c r="F2893" s="1" t="s">
        <v>25</v>
      </c>
      <c r="G2893" s="1" t="s">
        <v>17</v>
      </c>
      <c r="H2893" s="1" t="str">
        <f>"66"</f>
        <v>66</v>
      </c>
      <c r="I2893" s="1" t="str">
        <f>"156.47"</f>
        <v>156.47</v>
      </c>
      <c r="J2893" s="1" t="str">
        <f t="shared" ref="J2893:N2893" si="1710">"0"</f>
        <v>0</v>
      </c>
      <c r="K2893" s="1" t="str">
        <f t="shared" si="1694"/>
        <v>103</v>
      </c>
      <c r="L2893" s="1" t="str">
        <f t="shared" si="1695"/>
        <v>47</v>
      </c>
      <c r="M2893" s="1" t="str">
        <f t="shared" si="1710"/>
        <v>0</v>
      </c>
      <c r="N2893" s="1" t="str">
        <f t="shared" si="1710"/>
        <v>0</v>
      </c>
      <c r="O2893" s="1" t="str">
        <f>"6.47"</f>
        <v>6.47</v>
      </c>
    </row>
    <row r="2894" s="1" customFormat="1" spans="1:15">
      <c r="A2894" s="1" t="str">
        <f t="shared" si="1696"/>
        <v>202406</v>
      </c>
      <c r="B2894" s="1" t="str">
        <f t="shared" si="1697"/>
        <v>150525100</v>
      </c>
      <c r="C2894" s="1" t="str">
        <f>"1040647709"</f>
        <v>1040647709</v>
      </c>
      <c r="D2894" s="1" t="str">
        <f>"152326196208040418"</f>
        <v>152326196208040418</v>
      </c>
      <c r="E2894" s="1" t="s">
        <v>2962</v>
      </c>
      <c r="F2894" s="1" t="s">
        <v>25</v>
      </c>
      <c r="G2894" s="1" t="s">
        <v>17</v>
      </c>
      <c r="H2894" s="1" t="str">
        <f>"62"</f>
        <v>62</v>
      </c>
      <c r="I2894" s="1" t="str">
        <f>"1137.29"</f>
        <v>1137.29</v>
      </c>
      <c r="J2894" s="1" t="str">
        <f>"974.82"</f>
        <v>974.82</v>
      </c>
      <c r="K2894" s="1" t="str">
        <f>"721"</f>
        <v>721</v>
      </c>
      <c r="L2894" s="1" t="str">
        <f>"329"</f>
        <v>329</v>
      </c>
      <c r="M2894" s="1" t="str">
        <f>"0"</f>
        <v>0</v>
      </c>
      <c r="N2894" s="1" t="str">
        <f>"0"</f>
        <v>0</v>
      </c>
      <c r="O2894" s="1" t="str">
        <f>"87.29"</f>
        <v>87.29</v>
      </c>
    </row>
    <row r="2895" s="1" customFormat="1" spans="1:15">
      <c r="A2895" s="1" t="str">
        <f t="shared" si="1696"/>
        <v>202406</v>
      </c>
      <c r="B2895" s="1" t="str">
        <f t="shared" si="1697"/>
        <v>150525100</v>
      </c>
      <c r="C2895" s="1" t="str">
        <f>"1040646015"</f>
        <v>1040646015</v>
      </c>
      <c r="D2895" s="1" t="str">
        <f>"152326195404120672"</f>
        <v>152326195404120672</v>
      </c>
      <c r="E2895" s="1" t="s">
        <v>2963</v>
      </c>
      <c r="F2895" s="1" t="s">
        <v>25</v>
      </c>
      <c r="G2895" s="1" t="s">
        <v>17</v>
      </c>
      <c r="H2895" s="1" t="str">
        <f>"70"</f>
        <v>70</v>
      </c>
      <c r="I2895" s="1" t="str">
        <f>"163.56"</f>
        <v>163.56</v>
      </c>
      <c r="J2895" s="1" t="str">
        <f t="shared" ref="J2895:N2895" si="1711">"0"</f>
        <v>0</v>
      </c>
      <c r="K2895" s="1" t="str">
        <f t="shared" ref="K2895:K2935" si="1712">"103"</f>
        <v>103</v>
      </c>
      <c r="L2895" s="1" t="str">
        <f t="shared" ref="L2895:L2935" si="1713">"47"</f>
        <v>47</v>
      </c>
      <c r="M2895" s="1" t="str">
        <f t="shared" si="1711"/>
        <v>0</v>
      </c>
      <c r="N2895" s="1" t="str">
        <f t="shared" si="1711"/>
        <v>0</v>
      </c>
      <c r="O2895" s="1" t="str">
        <f>"3.56"</f>
        <v>3.56</v>
      </c>
    </row>
    <row r="2896" s="1" customFormat="1" spans="1:15">
      <c r="A2896" s="1" t="str">
        <f t="shared" si="1696"/>
        <v>202406</v>
      </c>
      <c r="B2896" s="1" t="str">
        <f t="shared" si="1697"/>
        <v>150525100</v>
      </c>
      <c r="C2896" s="1" t="str">
        <f>"1040646030"</f>
        <v>1040646030</v>
      </c>
      <c r="D2896" s="1" t="str">
        <f>"152326195707130675"</f>
        <v>152326195707130675</v>
      </c>
      <c r="E2896" s="1" t="s">
        <v>2964</v>
      </c>
      <c r="F2896" s="1" t="s">
        <v>25</v>
      </c>
      <c r="G2896" s="1" t="s">
        <v>17</v>
      </c>
      <c r="H2896" s="1" t="str">
        <f t="shared" ref="H2896:H2899" si="1714">"67"</f>
        <v>67</v>
      </c>
      <c r="I2896" s="1" t="str">
        <f>"155.49"</f>
        <v>155.49</v>
      </c>
      <c r="J2896" s="1" t="str">
        <f t="shared" ref="J2896:N2896" si="1715">"0"</f>
        <v>0</v>
      </c>
      <c r="K2896" s="1" t="str">
        <f t="shared" si="1712"/>
        <v>103</v>
      </c>
      <c r="L2896" s="1" t="str">
        <f t="shared" si="1713"/>
        <v>47</v>
      </c>
      <c r="M2896" s="1" t="str">
        <f t="shared" si="1715"/>
        <v>0</v>
      </c>
      <c r="N2896" s="1" t="str">
        <f t="shared" si="1715"/>
        <v>0</v>
      </c>
      <c r="O2896" s="1" t="str">
        <f>"5.49"</f>
        <v>5.49</v>
      </c>
    </row>
    <row r="2897" s="1" customFormat="1" spans="1:15">
      <c r="A2897" s="1" t="str">
        <f t="shared" si="1696"/>
        <v>202406</v>
      </c>
      <c r="B2897" s="1" t="str">
        <f t="shared" si="1697"/>
        <v>150525100</v>
      </c>
      <c r="C2897" s="1" t="str">
        <f>"1040646033"</f>
        <v>1040646033</v>
      </c>
      <c r="D2897" s="1" t="str">
        <f>"152326195711070660"</f>
        <v>152326195711070660</v>
      </c>
      <c r="E2897" s="1" t="s">
        <v>2965</v>
      </c>
      <c r="F2897" s="1" t="s">
        <v>16</v>
      </c>
      <c r="G2897" s="1" t="s">
        <v>17</v>
      </c>
      <c r="H2897" s="1" t="str">
        <f t="shared" si="1714"/>
        <v>67</v>
      </c>
      <c r="I2897" s="1" t="str">
        <f>"155.52"</f>
        <v>155.52</v>
      </c>
      <c r="J2897" s="1" t="str">
        <f t="shared" ref="J2897:N2897" si="1716">"0"</f>
        <v>0</v>
      </c>
      <c r="K2897" s="1" t="str">
        <f t="shared" si="1712"/>
        <v>103</v>
      </c>
      <c r="L2897" s="1" t="str">
        <f t="shared" si="1713"/>
        <v>47</v>
      </c>
      <c r="M2897" s="1" t="str">
        <f t="shared" si="1716"/>
        <v>0</v>
      </c>
      <c r="N2897" s="1" t="str">
        <f t="shared" si="1716"/>
        <v>0</v>
      </c>
      <c r="O2897" s="1" t="str">
        <f>"5.52"</f>
        <v>5.52</v>
      </c>
    </row>
    <row r="2898" s="1" customFormat="1" spans="1:15">
      <c r="A2898" s="1" t="str">
        <f t="shared" si="1696"/>
        <v>202406</v>
      </c>
      <c r="B2898" s="1" t="str">
        <f t="shared" si="1697"/>
        <v>150525100</v>
      </c>
      <c r="C2898" s="1" t="str">
        <f>"1040646035"</f>
        <v>1040646035</v>
      </c>
      <c r="D2898" s="1" t="str">
        <f>"152326195802020669"</f>
        <v>152326195802020669</v>
      </c>
      <c r="E2898" s="1" t="s">
        <v>2966</v>
      </c>
      <c r="F2898" s="1" t="s">
        <v>16</v>
      </c>
      <c r="G2898" s="1" t="s">
        <v>17</v>
      </c>
      <c r="H2898" s="1" t="str">
        <f>"66"</f>
        <v>66</v>
      </c>
      <c r="I2898" s="1" t="str">
        <f>"156.48"</f>
        <v>156.48</v>
      </c>
      <c r="J2898" s="1" t="str">
        <f t="shared" ref="J2898:N2898" si="1717">"0"</f>
        <v>0</v>
      </c>
      <c r="K2898" s="1" t="str">
        <f t="shared" si="1712"/>
        <v>103</v>
      </c>
      <c r="L2898" s="1" t="str">
        <f t="shared" si="1713"/>
        <v>47</v>
      </c>
      <c r="M2898" s="1" t="str">
        <f t="shared" si="1717"/>
        <v>0</v>
      </c>
      <c r="N2898" s="1" t="str">
        <f t="shared" si="1717"/>
        <v>0</v>
      </c>
      <c r="O2898" s="1" t="str">
        <f>"6.48"</f>
        <v>6.48</v>
      </c>
    </row>
    <row r="2899" s="1" customFormat="1" spans="1:15">
      <c r="A2899" s="1" t="str">
        <f t="shared" si="1696"/>
        <v>202406</v>
      </c>
      <c r="B2899" s="1" t="str">
        <f t="shared" si="1697"/>
        <v>150525100</v>
      </c>
      <c r="C2899" s="1" t="str">
        <f>"1040739495"</f>
        <v>1040739495</v>
      </c>
      <c r="D2899" s="1" t="s">
        <v>2967</v>
      </c>
      <c r="E2899" s="1" t="s">
        <v>2968</v>
      </c>
      <c r="F2899" s="1" t="s">
        <v>25</v>
      </c>
      <c r="G2899" s="1" t="s">
        <v>17</v>
      </c>
      <c r="H2899" s="1" t="str">
        <f t="shared" si="1714"/>
        <v>67</v>
      </c>
      <c r="I2899" s="1" t="str">
        <f>"154.61"</f>
        <v>154.61</v>
      </c>
      <c r="J2899" s="1" t="str">
        <f t="shared" ref="J2899:N2899" si="1718">"0"</f>
        <v>0</v>
      </c>
      <c r="K2899" s="1" t="str">
        <f t="shared" si="1712"/>
        <v>103</v>
      </c>
      <c r="L2899" s="1" t="str">
        <f t="shared" si="1713"/>
        <v>47</v>
      </c>
      <c r="M2899" s="1" t="str">
        <f t="shared" si="1718"/>
        <v>0</v>
      </c>
      <c r="N2899" s="1" t="str">
        <f t="shared" si="1718"/>
        <v>0</v>
      </c>
      <c r="O2899" s="1" t="str">
        <f>"4.61"</f>
        <v>4.61</v>
      </c>
    </row>
    <row r="2900" s="1" customFormat="1" spans="1:15">
      <c r="A2900" s="1" t="str">
        <f t="shared" si="1696"/>
        <v>202406</v>
      </c>
      <c r="B2900" s="1" t="str">
        <f t="shared" si="1697"/>
        <v>150525100</v>
      </c>
      <c r="C2900" s="1" t="str">
        <f>"1040693102"</f>
        <v>1040693102</v>
      </c>
      <c r="D2900" s="1" t="str">
        <f>"152326195607263083"</f>
        <v>152326195607263083</v>
      </c>
      <c r="E2900" s="1" t="s">
        <v>2969</v>
      </c>
      <c r="F2900" s="1" t="s">
        <v>16</v>
      </c>
      <c r="G2900" s="1" t="s">
        <v>17</v>
      </c>
      <c r="H2900" s="1" t="str">
        <f t="shared" ref="H2900:H2902" si="1719">"68"</f>
        <v>68</v>
      </c>
      <c r="I2900" s="1" t="str">
        <f t="shared" ref="I2900:I2902" si="1720">"154.54"</f>
        <v>154.54</v>
      </c>
      <c r="J2900" s="1" t="str">
        <f t="shared" ref="J2900:N2900" si="1721">"0"</f>
        <v>0</v>
      </c>
      <c r="K2900" s="1" t="str">
        <f t="shared" si="1712"/>
        <v>103</v>
      </c>
      <c r="L2900" s="1" t="str">
        <f t="shared" si="1713"/>
        <v>47</v>
      </c>
      <c r="M2900" s="1" t="str">
        <f t="shared" si="1721"/>
        <v>0</v>
      </c>
      <c r="N2900" s="1" t="str">
        <f t="shared" si="1721"/>
        <v>0</v>
      </c>
      <c r="O2900" s="1" t="str">
        <f t="shared" ref="O2900:O2902" si="1722">"4.54"</f>
        <v>4.54</v>
      </c>
    </row>
    <row r="2901" s="1" customFormat="1" spans="1:15">
      <c r="A2901" s="1" t="str">
        <f t="shared" si="1696"/>
        <v>202406</v>
      </c>
      <c r="B2901" s="1" t="str">
        <f t="shared" si="1697"/>
        <v>150525100</v>
      </c>
      <c r="C2901" s="1" t="str">
        <f>"1040691130"</f>
        <v>1040691130</v>
      </c>
      <c r="D2901" s="1" t="str">
        <f>"152326195603063826"</f>
        <v>152326195603063826</v>
      </c>
      <c r="E2901" s="1" t="s">
        <v>2970</v>
      </c>
      <c r="F2901" s="1" t="s">
        <v>16</v>
      </c>
      <c r="G2901" s="1" t="s">
        <v>17</v>
      </c>
      <c r="H2901" s="1" t="str">
        <f t="shared" si="1719"/>
        <v>68</v>
      </c>
      <c r="I2901" s="1" t="str">
        <f t="shared" si="1720"/>
        <v>154.54</v>
      </c>
      <c r="J2901" s="1" t="str">
        <f t="shared" ref="J2901:N2901" si="1723">"0"</f>
        <v>0</v>
      </c>
      <c r="K2901" s="1" t="str">
        <f t="shared" si="1712"/>
        <v>103</v>
      </c>
      <c r="L2901" s="1" t="str">
        <f t="shared" si="1713"/>
        <v>47</v>
      </c>
      <c r="M2901" s="1" t="str">
        <f t="shared" si="1723"/>
        <v>0</v>
      </c>
      <c r="N2901" s="1" t="str">
        <f t="shared" si="1723"/>
        <v>0</v>
      </c>
      <c r="O2901" s="1" t="str">
        <f t="shared" si="1722"/>
        <v>4.54</v>
      </c>
    </row>
    <row r="2902" s="1" customFormat="1" spans="1:15">
      <c r="A2902" s="1" t="str">
        <f t="shared" si="1696"/>
        <v>202406</v>
      </c>
      <c r="B2902" s="1" t="str">
        <f t="shared" si="1697"/>
        <v>150525100</v>
      </c>
      <c r="C2902" s="1" t="str">
        <f>"1040676047"</f>
        <v>1040676047</v>
      </c>
      <c r="D2902" s="1" t="str">
        <f>"152326195609153814"</f>
        <v>152326195609153814</v>
      </c>
      <c r="E2902" s="1" t="s">
        <v>2971</v>
      </c>
      <c r="F2902" s="1" t="s">
        <v>25</v>
      </c>
      <c r="G2902" s="1" t="s">
        <v>19</v>
      </c>
      <c r="H2902" s="1" t="str">
        <f t="shared" si="1719"/>
        <v>68</v>
      </c>
      <c r="I2902" s="1" t="str">
        <f t="shared" si="1720"/>
        <v>154.54</v>
      </c>
      <c r="J2902" s="1" t="str">
        <f t="shared" ref="J2902:N2902" si="1724">"0"</f>
        <v>0</v>
      </c>
      <c r="K2902" s="1" t="str">
        <f t="shared" si="1712"/>
        <v>103</v>
      </c>
      <c r="L2902" s="1" t="str">
        <f t="shared" si="1713"/>
        <v>47</v>
      </c>
      <c r="M2902" s="1" t="str">
        <f t="shared" si="1724"/>
        <v>0</v>
      </c>
      <c r="N2902" s="1" t="str">
        <f t="shared" si="1724"/>
        <v>0</v>
      </c>
      <c r="O2902" s="1" t="str">
        <f t="shared" si="1722"/>
        <v>4.54</v>
      </c>
    </row>
    <row r="2903" s="1" customFormat="1" spans="1:15">
      <c r="A2903" s="1" t="str">
        <f t="shared" si="1696"/>
        <v>202406</v>
      </c>
      <c r="B2903" s="1" t="str">
        <f t="shared" si="1697"/>
        <v>150525100</v>
      </c>
      <c r="C2903" s="1" t="str">
        <f>"1040699478"</f>
        <v>1040699478</v>
      </c>
      <c r="D2903" s="1" t="str">
        <f>"152326195808160662"</f>
        <v>152326195808160662</v>
      </c>
      <c r="E2903" s="1" t="s">
        <v>2972</v>
      </c>
      <c r="F2903" s="1" t="s">
        <v>16</v>
      </c>
      <c r="G2903" s="1" t="s">
        <v>17</v>
      </c>
      <c r="H2903" s="1" t="str">
        <f>"66"</f>
        <v>66</v>
      </c>
      <c r="I2903" s="1" t="str">
        <f>"155.61"</f>
        <v>155.61</v>
      </c>
      <c r="J2903" s="1" t="str">
        <f t="shared" ref="J2903:N2903" si="1725">"0"</f>
        <v>0</v>
      </c>
      <c r="K2903" s="1" t="str">
        <f t="shared" si="1712"/>
        <v>103</v>
      </c>
      <c r="L2903" s="1" t="str">
        <f t="shared" si="1713"/>
        <v>47</v>
      </c>
      <c r="M2903" s="1" t="str">
        <f t="shared" si="1725"/>
        <v>0</v>
      </c>
      <c r="N2903" s="1" t="str">
        <f t="shared" si="1725"/>
        <v>0</v>
      </c>
      <c r="O2903" s="1" t="str">
        <f>"5.61"</f>
        <v>5.61</v>
      </c>
    </row>
    <row r="2904" s="1" customFormat="1" spans="1:15">
      <c r="A2904" s="1" t="str">
        <f t="shared" si="1696"/>
        <v>202406</v>
      </c>
      <c r="B2904" s="1" t="str">
        <f t="shared" si="1697"/>
        <v>150525100</v>
      </c>
      <c r="C2904" s="1" t="str">
        <f>"1040656917"</f>
        <v>1040656917</v>
      </c>
      <c r="D2904" s="1" t="s">
        <v>2973</v>
      </c>
      <c r="E2904" s="1" t="s">
        <v>2974</v>
      </c>
      <c r="F2904" s="1" t="s">
        <v>16</v>
      </c>
      <c r="G2904" s="1" t="s">
        <v>17</v>
      </c>
      <c r="H2904" s="1" t="str">
        <f>"65"</f>
        <v>65</v>
      </c>
      <c r="I2904" s="1" t="str">
        <f>"157.57"</f>
        <v>157.57</v>
      </c>
      <c r="J2904" s="1" t="str">
        <f t="shared" ref="J2904:N2904" si="1726">"0"</f>
        <v>0</v>
      </c>
      <c r="K2904" s="1" t="str">
        <f t="shared" si="1712"/>
        <v>103</v>
      </c>
      <c r="L2904" s="1" t="str">
        <f t="shared" si="1713"/>
        <v>47</v>
      </c>
      <c r="M2904" s="1" t="str">
        <f t="shared" si="1726"/>
        <v>0</v>
      </c>
      <c r="N2904" s="1" t="str">
        <f t="shared" si="1726"/>
        <v>0</v>
      </c>
      <c r="O2904" s="1" t="str">
        <f>"7.57"</f>
        <v>7.57</v>
      </c>
    </row>
    <row r="2905" s="1" customFormat="1" spans="1:15">
      <c r="A2905" s="1" t="str">
        <f t="shared" si="1696"/>
        <v>202406</v>
      </c>
      <c r="B2905" s="1" t="str">
        <f t="shared" si="1697"/>
        <v>150525100</v>
      </c>
      <c r="C2905" s="1" t="str">
        <f>"1040685973"</f>
        <v>1040685973</v>
      </c>
      <c r="D2905" s="1" t="s">
        <v>2975</v>
      </c>
      <c r="E2905" s="1" t="s">
        <v>2976</v>
      </c>
      <c r="F2905" s="1" t="s">
        <v>25</v>
      </c>
      <c r="G2905" s="1" t="s">
        <v>19</v>
      </c>
      <c r="H2905" s="1" t="str">
        <f t="shared" ref="H2905:H2908" si="1727">"68"</f>
        <v>68</v>
      </c>
      <c r="I2905" s="1" t="str">
        <f>"154.54"</f>
        <v>154.54</v>
      </c>
      <c r="J2905" s="1" t="str">
        <f t="shared" ref="J2905:N2905" si="1728">"0"</f>
        <v>0</v>
      </c>
      <c r="K2905" s="1" t="str">
        <f t="shared" si="1712"/>
        <v>103</v>
      </c>
      <c r="L2905" s="1" t="str">
        <f t="shared" si="1713"/>
        <v>47</v>
      </c>
      <c r="M2905" s="1" t="str">
        <f t="shared" si="1728"/>
        <v>0</v>
      </c>
      <c r="N2905" s="1" t="str">
        <f t="shared" si="1728"/>
        <v>0</v>
      </c>
      <c r="O2905" s="1" t="str">
        <f>"4.54"</f>
        <v>4.54</v>
      </c>
    </row>
    <row r="2906" s="1" customFormat="1" spans="1:15">
      <c r="A2906" s="1" t="str">
        <f t="shared" si="1696"/>
        <v>202406</v>
      </c>
      <c r="B2906" s="1" t="str">
        <f t="shared" si="1697"/>
        <v>150525100</v>
      </c>
      <c r="C2906" s="1" t="str">
        <f>"1040752552"</f>
        <v>1040752552</v>
      </c>
      <c r="D2906" s="1" t="str">
        <f>"152326195605123810"</f>
        <v>152326195605123810</v>
      </c>
      <c r="E2906" s="1" t="s">
        <v>2977</v>
      </c>
      <c r="F2906" s="1" t="s">
        <v>25</v>
      </c>
      <c r="G2906" s="1" t="s">
        <v>19</v>
      </c>
      <c r="H2906" s="1" t="str">
        <f t="shared" si="1727"/>
        <v>68</v>
      </c>
      <c r="I2906" s="1" t="str">
        <f>"154.54"</f>
        <v>154.54</v>
      </c>
      <c r="J2906" s="1" t="str">
        <f t="shared" ref="J2906:N2906" si="1729">"0"</f>
        <v>0</v>
      </c>
      <c r="K2906" s="1" t="str">
        <f t="shared" si="1712"/>
        <v>103</v>
      </c>
      <c r="L2906" s="1" t="str">
        <f t="shared" si="1713"/>
        <v>47</v>
      </c>
      <c r="M2906" s="1" t="str">
        <f t="shared" si="1729"/>
        <v>0</v>
      </c>
      <c r="N2906" s="1" t="str">
        <f t="shared" si="1729"/>
        <v>0</v>
      </c>
      <c r="O2906" s="1" t="str">
        <f>"4.54"</f>
        <v>4.54</v>
      </c>
    </row>
    <row r="2907" s="1" customFormat="1" spans="1:15">
      <c r="A2907" s="1" t="str">
        <f t="shared" si="1696"/>
        <v>202406</v>
      </c>
      <c r="B2907" s="1" t="str">
        <f t="shared" si="1697"/>
        <v>150525100</v>
      </c>
      <c r="C2907" s="1" t="str">
        <f>"1040767652"</f>
        <v>1040767652</v>
      </c>
      <c r="D2907" s="1" t="str">
        <f>"152326196210030446"</f>
        <v>152326196210030446</v>
      </c>
      <c r="E2907" s="1" t="s">
        <v>2978</v>
      </c>
      <c r="F2907" s="1" t="s">
        <v>16</v>
      </c>
      <c r="G2907" s="1" t="s">
        <v>17</v>
      </c>
      <c r="H2907" s="1" t="str">
        <f t="shared" ref="H2907:H2913" si="1730">"62"</f>
        <v>62</v>
      </c>
      <c r="I2907" s="1" t="str">
        <f>"195.65"</f>
        <v>195.65</v>
      </c>
      <c r="J2907" s="1" t="str">
        <f t="shared" ref="J2907:N2907" si="1731">"0"</f>
        <v>0</v>
      </c>
      <c r="K2907" s="1" t="str">
        <f t="shared" si="1712"/>
        <v>103</v>
      </c>
      <c r="L2907" s="1" t="str">
        <f t="shared" si="1713"/>
        <v>47</v>
      </c>
      <c r="M2907" s="1" t="str">
        <f t="shared" si="1731"/>
        <v>0</v>
      </c>
      <c r="N2907" s="1" t="str">
        <f t="shared" si="1731"/>
        <v>0</v>
      </c>
      <c r="O2907" s="1" t="str">
        <f>"45.65"</f>
        <v>45.65</v>
      </c>
    </row>
    <row r="2908" s="1" customFormat="1" spans="1:15">
      <c r="A2908" s="1" t="str">
        <f t="shared" si="1696"/>
        <v>202406</v>
      </c>
      <c r="B2908" s="1" t="str">
        <f t="shared" si="1697"/>
        <v>150525100</v>
      </c>
      <c r="C2908" s="1" t="str">
        <f>"1040647217"</f>
        <v>1040647217</v>
      </c>
      <c r="D2908" s="1" t="str">
        <f>"152326195605120425"</f>
        <v>152326195605120425</v>
      </c>
      <c r="E2908" s="1" t="s">
        <v>2979</v>
      </c>
      <c r="F2908" s="1" t="s">
        <v>16</v>
      </c>
      <c r="G2908" s="1" t="s">
        <v>19</v>
      </c>
      <c r="H2908" s="1" t="str">
        <f t="shared" si="1727"/>
        <v>68</v>
      </c>
      <c r="I2908" s="1" t="str">
        <f>"155.43"</f>
        <v>155.43</v>
      </c>
      <c r="J2908" s="1" t="str">
        <f t="shared" ref="J2908:N2908" si="1732">"0"</f>
        <v>0</v>
      </c>
      <c r="K2908" s="1" t="str">
        <f t="shared" si="1712"/>
        <v>103</v>
      </c>
      <c r="L2908" s="1" t="str">
        <f t="shared" si="1713"/>
        <v>47</v>
      </c>
      <c r="M2908" s="1" t="str">
        <f t="shared" si="1732"/>
        <v>0</v>
      </c>
      <c r="N2908" s="1" t="str">
        <f t="shared" si="1732"/>
        <v>0</v>
      </c>
      <c r="O2908" s="1" t="str">
        <f>"5.43"</f>
        <v>5.43</v>
      </c>
    </row>
    <row r="2909" s="1" customFormat="1" spans="1:15">
      <c r="A2909" s="1" t="str">
        <f t="shared" si="1696"/>
        <v>202406</v>
      </c>
      <c r="B2909" s="1" t="str">
        <f t="shared" si="1697"/>
        <v>150525100</v>
      </c>
      <c r="C2909" s="1" t="str">
        <f>"1040705322"</f>
        <v>1040705322</v>
      </c>
      <c r="D2909" s="1" t="str">
        <f>"152326195901240667"</f>
        <v>152326195901240667</v>
      </c>
      <c r="E2909" s="1" t="s">
        <v>2980</v>
      </c>
      <c r="F2909" s="1" t="s">
        <v>16</v>
      </c>
      <c r="G2909" s="1" t="s">
        <v>17</v>
      </c>
      <c r="H2909" s="1" t="str">
        <f>"65"</f>
        <v>65</v>
      </c>
      <c r="I2909" s="1" t="str">
        <f>"156.58"</f>
        <v>156.58</v>
      </c>
      <c r="J2909" s="1" t="str">
        <f t="shared" ref="J2909:N2909" si="1733">"0"</f>
        <v>0</v>
      </c>
      <c r="K2909" s="1" t="str">
        <f t="shared" si="1712"/>
        <v>103</v>
      </c>
      <c r="L2909" s="1" t="str">
        <f t="shared" si="1713"/>
        <v>47</v>
      </c>
      <c r="M2909" s="1" t="str">
        <f t="shared" si="1733"/>
        <v>0</v>
      </c>
      <c r="N2909" s="1" t="str">
        <f t="shared" si="1733"/>
        <v>0</v>
      </c>
      <c r="O2909" s="1" t="str">
        <f>"6.58"</f>
        <v>6.58</v>
      </c>
    </row>
    <row r="2910" s="1" customFormat="1" spans="1:15">
      <c r="A2910" s="1" t="str">
        <f t="shared" si="1696"/>
        <v>202406</v>
      </c>
      <c r="B2910" s="1" t="str">
        <f t="shared" si="1697"/>
        <v>150525100</v>
      </c>
      <c r="C2910" s="1" t="str">
        <f>"1040655163"</f>
        <v>1040655163</v>
      </c>
      <c r="D2910" s="1" t="s">
        <v>2981</v>
      </c>
      <c r="E2910" s="1" t="s">
        <v>510</v>
      </c>
      <c r="F2910" s="1" t="s">
        <v>16</v>
      </c>
      <c r="G2910" s="1" t="s">
        <v>19</v>
      </c>
      <c r="H2910" s="1" t="str">
        <f>"68"</f>
        <v>68</v>
      </c>
      <c r="I2910" s="1" t="str">
        <f>"154.32"</f>
        <v>154.32</v>
      </c>
      <c r="J2910" s="1" t="str">
        <f t="shared" ref="J2910:N2910" si="1734">"0"</f>
        <v>0</v>
      </c>
      <c r="K2910" s="1" t="str">
        <f t="shared" si="1712"/>
        <v>103</v>
      </c>
      <c r="L2910" s="1" t="str">
        <f t="shared" si="1713"/>
        <v>47</v>
      </c>
      <c r="M2910" s="1" t="str">
        <f t="shared" si="1734"/>
        <v>0</v>
      </c>
      <c r="N2910" s="1" t="str">
        <f t="shared" si="1734"/>
        <v>0</v>
      </c>
      <c r="O2910" s="1" t="str">
        <f>"4.32"</f>
        <v>4.32</v>
      </c>
    </row>
    <row r="2911" s="1" customFormat="1" spans="1:15">
      <c r="A2911" s="1" t="str">
        <f t="shared" si="1696"/>
        <v>202406</v>
      </c>
      <c r="B2911" s="1" t="str">
        <f t="shared" si="1697"/>
        <v>150525100</v>
      </c>
      <c r="C2911" s="1" t="str">
        <f>"1040735414"</f>
        <v>1040735414</v>
      </c>
      <c r="D2911" s="1" t="str">
        <f>"152326196208150019"</f>
        <v>152326196208150019</v>
      </c>
      <c r="E2911" s="1" t="s">
        <v>2982</v>
      </c>
      <c r="F2911" s="1" t="s">
        <v>25</v>
      </c>
      <c r="G2911" s="1" t="s">
        <v>19</v>
      </c>
      <c r="H2911" s="1" t="str">
        <f t="shared" si="1730"/>
        <v>62</v>
      </c>
      <c r="I2911" s="1" t="str">
        <f>"161.46"</f>
        <v>161.46</v>
      </c>
      <c r="J2911" s="1" t="str">
        <f t="shared" ref="J2911:N2911" si="1735">"0"</f>
        <v>0</v>
      </c>
      <c r="K2911" s="1" t="str">
        <f t="shared" si="1712"/>
        <v>103</v>
      </c>
      <c r="L2911" s="1" t="str">
        <f t="shared" si="1713"/>
        <v>47</v>
      </c>
      <c r="M2911" s="1" t="str">
        <f t="shared" si="1735"/>
        <v>0</v>
      </c>
      <c r="N2911" s="1" t="str">
        <f t="shared" si="1735"/>
        <v>0</v>
      </c>
      <c r="O2911" s="1" t="str">
        <f>"11.46"</f>
        <v>11.46</v>
      </c>
    </row>
    <row r="2912" s="1" customFormat="1" spans="1:15">
      <c r="A2912" s="1" t="str">
        <f t="shared" si="1696"/>
        <v>202406</v>
      </c>
      <c r="B2912" s="1" t="str">
        <f t="shared" si="1697"/>
        <v>150525100</v>
      </c>
      <c r="C2912" s="1" t="str">
        <f>"1040644286"</f>
        <v>1040644286</v>
      </c>
      <c r="D2912" s="1" t="str">
        <f>"152326196203076120"</f>
        <v>152326196203076120</v>
      </c>
      <c r="E2912" s="1" t="s">
        <v>2983</v>
      </c>
      <c r="F2912" s="1" t="s">
        <v>16</v>
      </c>
      <c r="G2912" s="1" t="s">
        <v>17</v>
      </c>
      <c r="H2912" s="1" t="str">
        <f t="shared" si="1730"/>
        <v>62</v>
      </c>
      <c r="I2912" s="1" t="str">
        <f>"161.33"</f>
        <v>161.33</v>
      </c>
      <c r="J2912" s="1" t="str">
        <f t="shared" ref="J2912:N2912" si="1736">"0"</f>
        <v>0</v>
      </c>
      <c r="K2912" s="1" t="str">
        <f t="shared" si="1712"/>
        <v>103</v>
      </c>
      <c r="L2912" s="1" t="str">
        <f t="shared" si="1713"/>
        <v>47</v>
      </c>
      <c r="M2912" s="1" t="str">
        <f t="shared" si="1736"/>
        <v>0</v>
      </c>
      <c r="N2912" s="1" t="str">
        <f t="shared" si="1736"/>
        <v>0</v>
      </c>
      <c r="O2912" s="1" t="str">
        <f>"11.33"</f>
        <v>11.33</v>
      </c>
    </row>
    <row r="2913" s="1" customFormat="1" spans="1:15">
      <c r="A2913" s="1" t="str">
        <f t="shared" si="1696"/>
        <v>202406</v>
      </c>
      <c r="B2913" s="1" t="str">
        <f t="shared" si="1697"/>
        <v>150525100</v>
      </c>
      <c r="C2913" s="1" t="str">
        <f>"1040647238"</f>
        <v>1040647238</v>
      </c>
      <c r="D2913" s="1" t="str">
        <f>"152326196211160410"</f>
        <v>152326196211160410</v>
      </c>
      <c r="E2913" s="1" t="s">
        <v>2984</v>
      </c>
      <c r="F2913" s="1" t="s">
        <v>25</v>
      </c>
      <c r="G2913" s="1" t="s">
        <v>17</v>
      </c>
      <c r="H2913" s="1" t="str">
        <f t="shared" si="1730"/>
        <v>62</v>
      </c>
      <c r="I2913" s="1" t="str">
        <f>"162.53"</f>
        <v>162.53</v>
      </c>
      <c r="J2913" s="1" t="str">
        <f t="shared" ref="J2913:N2913" si="1737">"0"</f>
        <v>0</v>
      </c>
      <c r="K2913" s="1" t="str">
        <f t="shared" si="1712"/>
        <v>103</v>
      </c>
      <c r="L2913" s="1" t="str">
        <f t="shared" si="1713"/>
        <v>47</v>
      </c>
      <c r="M2913" s="1" t="str">
        <f t="shared" si="1737"/>
        <v>0</v>
      </c>
      <c r="N2913" s="1" t="str">
        <f t="shared" si="1737"/>
        <v>0</v>
      </c>
      <c r="O2913" s="1" t="str">
        <f>"12.53"</f>
        <v>12.53</v>
      </c>
    </row>
    <row r="2914" s="1" customFormat="1" spans="1:15">
      <c r="A2914" s="1" t="str">
        <f t="shared" si="1696"/>
        <v>202406</v>
      </c>
      <c r="B2914" s="1" t="str">
        <f t="shared" si="1697"/>
        <v>150525100</v>
      </c>
      <c r="C2914" s="1" t="str">
        <f>"1040647264"</f>
        <v>1040647264</v>
      </c>
      <c r="D2914" s="1" t="str">
        <f>"152326195903220424"</f>
        <v>152326195903220424</v>
      </c>
      <c r="E2914" s="1" t="s">
        <v>2985</v>
      </c>
      <c r="F2914" s="1" t="s">
        <v>16</v>
      </c>
      <c r="G2914" s="1" t="s">
        <v>17</v>
      </c>
      <c r="H2914" s="1" t="str">
        <f>"65"</f>
        <v>65</v>
      </c>
      <c r="I2914" s="1" t="str">
        <f>"157.52"</f>
        <v>157.52</v>
      </c>
      <c r="J2914" s="1" t="str">
        <f t="shared" ref="J2914:N2914" si="1738">"0"</f>
        <v>0</v>
      </c>
      <c r="K2914" s="1" t="str">
        <f t="shared" si="1712"/>
        <v>103</v>
      </c>
      <c r="L2914" s="1" t="str">
        <f t="shared" si="1713"/>
        <v>47</v>
      </c>
      <c r="M2914" s="1" t="str">
        <f t="shared" si="1738"/>
        <v>0</v>
      </c>
      <c r="N2914" s="1" t="str">
        <f t="shared" si="1738"/>
        <v>0</v>
      </c>
      <c r="O2914" s="1" t="str">
        <f>"7.52"</f>
        <v>7.52</v>
      </c>
    </row>
    <row r="2915" s="1" customFormat="1" spans="1:15">
      <c r="A2915" s="1" t="str">
        <f t="shared" si="1696"/>
        <v>202406</v>
      </c>
      <c r="B2915" s="1" t="str">
        <f t="shared" si="1697"/>
        <v>150525100</v>
      </c>
      <c r="C2915" s="1" t="str">
        <f>"1040647349"</f>
        <v>1040647349</v>
      </c>
      <c r="D2915" s="1" t="str">
        <f>"152326196111210660"</f>
        <v>152326196111210660</v>
      </c>
      <c r="E2915" s="1" t="s">
        <v>2986</v>
      </c>
      <c r="F2915" s="1" t="s">
        <v>16</v>
      </c>
      <c r="G2915" s="1" t="s">
        <v>19</v>
      </c>
      <c r="H2915" s="1" t="str">
        <f>"63"</f>
        <v>63</v>
      </c>
      <c r="I2915" s="1" t="str">
        <f>"161.95"</f>
        <v>161.95</v>
      </c>
      <c r="J2915" s="1" t="str">
        <f t="shared" ref="J2915:N2915" si="1739">"0"</f>
        <v>0</v>
      </c>
      <c r="K2915" s="1" t="str">
        <f t="shared" si="1712"/>
        <v>103</v>
      </c>
      <c r="L2915" s="1" t="str">
        <f t="shared" si="1713"/>
        <v>47</v>
      </c>
      <c r="M2915" s="1" t="str">
        <f t="shared" si="1739"/>
        <v>0</v>
      </c>
      <c r="N2915" s="1" t="str">
        <f t="shared" si="1739"/>
        <v>0</v>
      </c>
      <c r="O2915" s="1" t="str">
        <f>"11.95"</f>
        <v>11.95</v>
      </c>
    </row>
    <row r="2916" s="1" customFormat="1" spans="1:15">
      <c r="A2916" s="1" t="str">
        <f t="shared" si="1696"/>
        <v>202406</v>
      </c>
      <c r="B2916" s="1" t="str">
        <f t="shared" si="1697"/>
        <v>150525100</v>
      </c>
      <c r="C2916" s="1" t="str">
        <f>"1040647354"</f>
        <v>1040647354</v>
      </c>
      <c r="D2916" s="1" t="str">
        <f>"152326195704020665"</f>
        <v>152326195704020665</v>
      </c>
      <c r="E2916" s="1" t="s">
        <v>2987</v>
      </c>
      <c r="F2916" s="1" t="s">
        <v>16</v>
      </c>
      <c r="G2916" s="1" t="s">
        <v>19</v>
      </c>
      <c r="H2916" s="1" t="str">
        <f>"67"</f>
        <v>67</v>
      </c>
      <c r="I2916" s="1" t="str">
        <f>"155.23"</f>
        <v>155.23</v>
      </c>
      <c r="J2916" s="1" t="str">
        <f t="shared" ref="J2916:N2916" si="1740">"0"</f>
        <v>0</v>
      </c>
      <c r="K2916" s="1" t="str">
        <f t="shared" si="1712"/>
        <v>103</v>
      </c>
      <c r="L2916" s="1" t="str">
        <f t="shared" si="1713"/>
        <v>47</v>
      </c>
      <c r="M2916" s="1" t="str">
        <f t="shared" si="1740"/>
        <v>0</v>
      </c>
      <c r="N2916" s="1" t="str">
        <f t="shared" si="1740"/>
        <v>0</v>
      </c>
      <c r="O2916" s="1" t="str">
        <f>"5.23"</f>
        <v>5.23</v>
      </c>
    </row>
    <row r="2917" s="1" customFormat="1" spans="1:15">
      <c r="A2917" s="1" t="str">
        <f t="shared" si="1696"/>
        <v>202406</v>
      </c>
      <c r="B2917" s="1" t="str">
        <f t="shared" si="1697"/>
        <v>150525100</v>
      </c>
      <c r="C2917" s="1" t="str">
        <f>"1040692115"</f>
        <v>1040692115</v>
      </c>
      <c r="D2917" s="1" t="str">
        <f>"152326195701253084"</f>
        <v>152326195701253084</v>
      </c>
      <c r="E2917" s="1" t="s">
        <v>2988</v>
      </c>
      <c r="F2917" s="1" t="s">
        <v>16</v>
      </c>
      <c r="G2917" s="1" t="s">
        <v>17</v>
      </c>
      <c r="H2917" s="1" t="str">
        <f>"67"</f>
        <v>67</v>
      </c>
      <c r="I2917" s="1" t="str">
        <f>"154.55"</f>
        <v>154.55</v>
      </c>
      <c r="J2917" s="1" t="str">
        <f t="shared" ref="J2917:N2917" si="1741">"0"</f>
        <v>0</v>
      </c>
      <c r="K2917" s="1" t="str">
        <f t="shared" si="1712"/>
        <v>103</v>
      </c>
      <c r="L2917" s="1" t="str">
        <f t="shared" si="1713"/>
        <v>47</v>
      </c>
      <c r="M2917" s="1" t="str">
        <f t="shared" si="1741"/>
        <v>0</v>
      </c>
      <c r="N2917" s="1" t="str">
        <f t="shared" si="1741"/>
        <v>0</v>
      </c>
      <c r="O2917" s="1" t="str">
        <f>"4.55"</f>
        <v>4.55</v>
      </c>
    </row>
    <row r="2918" s="1" customFormat="1" spans="1:15">
      <c r="A2918" s="1" t="str">
        <f t="shared" si="1696"/>
        <v>202406</v>
      </c>
      <c r="B2918" s="1" t="str">
        <f t="shared" si="1697"/>
        <v>150525100</v>
      </c>
      <c r="C2918" s="1" t="str">
        <f>"1040685981"</f>
        <v>1040685981</v>
      </c>
      <c r="D2918" s="1" t="str">
        <f>"152326195608013078"</f>
        <v>152326195608013078</v>
      </c>
      <c r="E2918" s="1" t="s">
        <v>2989</v>
      </c>
      <c r="F2918" s="1" t="s">
        <v>25</v>
      </c>
      <c r="G2918" s="1" t="s">
        <v>17</v>
      </c>
      <c r="H2918" s="1" t="str">
        <f>"68"</f>
        <v>68</v>
      </c>
      <c r="I2918" s="1" t="str">
        <f>"154.54"</f>
        <v>154.54</v>
      </c>
      <c r="J2918" s="1" t="str">
        <f t="shared" ref="J2918:N2918" si="1742">"0"</f>
        <v>0</v>
      </c>
      <c r="K2918" s="1" t="str">
        <f t="shared" si="1712"/>
        <v>103</v>
      </c>
      <c r="L2918" s="1" t="str">
        <f t="shared" si="1713"/>
        <v>47</v>
      </c>
      <c r="M2918" s="1" t="str">
        <f t="shared" si="1742"/>
        <v>0</v>
      </c>
      <c r="N2918" s="1" t="str">
        <f t="shared" si="1742"/>
        <v>0</v>
      </c>
      <c r="O2918" s="1" t="str">
        <f>"4.54"</f>
        <v>4.54</v>
      </c>
    </row>
    <row r="2919" s="1" customFormat="1" spans="1:15">
      <c r="A2919" s="1" t="str">
        <f t="shared" si="1696"/>
        <v>202406</v>
      </c>
      <c r="B2919" s="1" t="str">
        <f t="shared" si="1697"/>
        <v>150525100</v>
      </c>
      <c r="C2919" s="1" t="str">
        <f>"1040645522"</f>
        <v>1040645522</v>
      </c>
      <c r="D2919" s="1" t="str">
        <f>"152326196001067621"</f>
        <v>152326196001067621</v>
      </c>
      <c r="E2919" s="1" t="s">
        <v>2990</v>
      </c>
      <c r="F2919" s="1" t="s">
        <v>16</v>
      </c>
      <c r="G2919" s="1" t="s">
        <v>17</v>
      </c>
      <c r="H2919" s="1" t="str">
        <f>"65"</f>
        <v>65</v>
      </c>
      <c r="I2919" s="1" t="str">
        <f>"157.63"</f>
        <v>157.63</v>
      </c>
      <c r="J2919" s="1" t="str">
        <f t="shared" ref="J2919:N2919" si="1743">"0"</f>
        <v>0</v>
      </c>
      <c r="K2919" s="1" t="str">
        <f t="shared" si="1712"/>
        <v>103</v>
      </c>
      <c r="L2919" s="1" t="str">
        <f t="shared" si="1713"/>
        <v>47</v>
      </c>
      <c r="M2919" s="1" t="str">
        <f t="shared" si="1743"/>
        <v>0</v>
      </c>
      <c r="N2919" s="1" t="str">
        <f t="shared" si="1743"/>
        <v>0</v>
      </c>
      <c r="O2919" s="1" t="str">
        <f>"7.63"</f>
        <v>7.63</v>
      </c>
    </row>
    <row r="2920" s="1" customFormat="1" spans="1:15">
      <c r="A2920" s="1" t="str">
        <f t="shared" si="1696"/>
        <v>202406</v>
      </c>
      <c r="B2920" s="1" t="str">
        <f t="shared" si="1697"/>
        <v>150525100</v>
      </c>
      <c r="C2920" s="1" t="str">
        <f>"1040685972"</f>
        <v>1040685972</v>
      </c>
      <c r="D2920" s="1" t="str">
        <f>"152326196301083084"</f>
        <v>152326196301083084</v>
      </c>
      <c r="E2920" s="1" t="s">
        <v>2991</v>
      </c>
      <c r="F2920" s="1" t="s">
        <v>16</v>
      </c>
      <c r="G2920" s="1" t="s">
        <v>19</v>
      </c>
      <c r="H2920" s="1" t="str">
        <f>"61"</f>
        <v>61</v>
      </c>
      <c r="I2920" s="1" t="str">
        <f>"163.29"</f>
        <v>163.29</v>
      </c>
      <c r="J2920" s="1" t="str">
        <f t="shared" ref="J2920:N2920" si="1744">"0"</f>
        <v>0</v>
      </c>
      <c r="K2920" s="1" t="str">
        <f t="shared" si="1712"/>
        <v>103</v>
      </c>
      <c r="L2920" s="1" t="str">
        <f t="shared" si="1713"/>
        <v>47</v>
      </c>
      <c r="M2920" s="1" t="str">
        <f t="shared" si="1744"/>
        <v>0</v>
      </c>
      <c r="N2920" s="1" t="str">
        <f t="shared" si="1744"/>
        <v>0</v>
      </c>
      <c r="O2920" s="1" t="str">
        <f>"13.29"</f>
        <v>13.29</v>
      </c>
    </row>
    <row r="2921" s="1" customFormat="1" spans="1:15">
      <c r="A2921" s="1" t="str">
        <f t="shared" si="1696"/>
        <v>202406</v>
      </c>
      <c r="B2921" s="1" t="str">
        <f t="shared" si="1697"/>
        <v>150525100</v>
      </c>
      <c r="C2921" s="1" t="str">
        <f>"1040647731"</f>
        <v>1040647731</v>
      </c>
      <c r="D2921" s="1" t="str">
        <f>"152326195403070415"</f>
        <v>152326195403070415</v>
      </c>
      <c r="E2921" s="1" t="s">
        <v>2992</v>
      </c>
      <c r="F2921" s="1" t="s">
        <v>25</v>
      </c>
      <c r="G2921" s="1" t="s">
        <v>17</v>
      </c>
      <c r="H2921" s="1" t="str">
        <f>"70"</f>
        <v>70</v>
      </c>
      <c r="I2921" s="1" t="str">
        <f>"163.56"</f>
        <v>163.56</v>
      </c>
      <c r="J2921" s="1" t="str">
        <f t="shared" ref="J2921:N2921" si="1745">"0"</f>
        <v>0</v>
      </c>
      <c r="K2921" s="1" t="str">
        <f t="shared" si="1712"/>
        <v>103</v>
      </c>
      <c r="L2921" s="1" t="str">
        <f t="shared" si="1713"/>
        <v>47</v>
      </c>
      <c r="M2921" s="1" t="str">
        <f t="shared" si="1745"/>
        <v>0</v>
      </c>
      <c r="N2921" s="1" t="str">
        <f t="shared" si="1745"/>
        <v>0</v>
      </c>
      <c r="O2921" s="1" t="str">
        <f>"3.56"</f>
        <v>3.56</v>
      </c>
    </row>
    <row r="2922" s="1" customFormat="1" spans="1:15">
      <c r="A2922" s="1" t="str">
        <f t="shared" si="1696"/>
        <v>202406</v>
      </c>
      <c r="B2922" s="1" t="str">
        <f t="shared" si="1697"/>
        <v>150525100</v>
      </c>
      <c r="C2922" s="1" t="str">
        <f>"1040647868"</f>
        <v>1040647868</v>
      </c>
      <c r="D2922" s="1" t="str">
        <f>"152326196205090671"</f>
        <v>152326196205090671</v>
      </c>
      <c r="E2922" s="1" t="s">
        <v>2993</v>
      </c>
      <c r="F2922" s="1" t="s">
        <v>25</v>
      </c>
      <c r="G2922" s="1" t="s">
        <v>19</v>
      </c>
      <c r="H2922" s="1" t="str">
        <f>"62"</f>
        <v>62</v>
      </c>
      <c r="I2922" s="1" t="str">
        <f>"162.88"</f>
        <v>162.88</v>
      </c>
      <c r="J2922" s="1" t="str">
        <f t="shared" ref="J2922:N2922" si="1746">"0"</f>
        <v>0</v>
      </c>
      <c r="K2922" s="1" t="str">
        <f t="shared" si="1712"/>
        <v>103</v>
      </c>
      <c r="L2922" s="1" t="str">
        <f t="shared" si="1713"/>
        <v>47</v>
      </c>
      <c r="M2922" s="1" t="str">
        <f t="shared" si="1746"/>
        <v>0</v>
      </c>
      <c r="N2922" s="1" t="str">
        <f t="shared" si="1746"/>
        <v>0</v>
      </c>
      <c r="O2922" s="1" t="str">
        <f>"12.88"</f>
        <v>12.88</v>
      </c>
    </row>
    <row r="2923" s="1" customFormat="1" spans="1:15">
      <c r="A2923" s="1" t="str">
        <f t="shared" si="1696"/>
        <v>202406</v>
      </c>
      <c r="B2923" s="1" t="str">
        <f t="shared" si="1697"/>
        <v>150525100</v>
      </c>
      <c r="C2923" s="1" t="str">
        <f>"1040735408"</f>
        <v>1040735408</v>
      </c>
      <c r="D2923" s="1" t="s">
        <v>2994</v>
      </c>
      <c r="E2923" s="1" t="s">
        <v>2995</v>
      </c>
      <c r="F2923" s="1" t="s">
        <v>16</v>
      </c>
      <c r="G2923" s="1" t="s">
        <v>17</v>
      </c>
      <c r="H2923" s="1" t="str">
        <f>"61"</f>
        <v>61</v>
      </c>
      <c r="I2923" s="1" t="str">
        <f>"168.12"</f>
        <v>168.12</v>
      </c>
      <c r="J2923" s="1" t="str">
        <f t="shared" ref="J2923:N2923" si="1747">"0"</f>
        <v>0</v>
      </c>
      <c r="K2923" s="1" t="str">
        <f t="shared" si="1712"/>
        <v>103</v>
      </c>
      <c r="L2923" s="1" t="str">
        <f t="shared" si="1713"/>
        <v>47</v>
      </c>
      <c r="M2923" s="1" t="str">
        <f t="shared" si="1747"/>
        <v>0</v>
      </c>
      <c r="N2923" s="1" t="str">
        <f t="shared" si="1747"/>
        <v>0</v>
      </c>
      <c r="O2923" s="1" t="str">
        <f>"18.12"</f>
        <v>18.12</v>
      </c>
    </row>
    <row r="2924" s="1" customFormat="1" spans="1:15">
      <c r="A2924" s="1" t="str">
        <f t="shared" si="1696"/>
        <v>202406</v>
      </c>
      <c r="B2924" s="1" t="str">
        <f t="shared" si="1697"/>
        <v>150525100</v>
      </c>
      <c r="C2924" s="1" t="str">
        <f>"1040654740"</f>
        <v>1040654740</v>
      </c>
      <c r="D2924" s="1" t="str">
        <f>"152326196003223333"</f>
        <v>152326196003223333</v>
      </c>
      <c r="E2924" s="1" t="s">
        <v>2996</v>
      </c>
      <c r="F2924" s="1" t="s">
        <v>25</v>
      </c>
      <c r="G2924" s="1" t="s">
        <v>17</v>
      </c>
      <c r="H2924" s="1" t="str">
        <f t="shared" ref="H2924:H2928" si="1748">"64"</f>
        <v>64</v>
      </c>
      <c r="I2924" s="1" t="str">
        <f>"157.65"</f>
        <v>157.65</v>
      </c>
      <c r="J2924" s="1" t="str">
        <f t="shared" ref="J2924:N2924" si="1749">"0"</f>
        <v>0</v>
      </c>
      <c r="K2924" s="1" t="str">
        <f t="shared" si="1712"/>
        <v>103</v>
      </c>
      <c r="L2924" s="1" t="str">
        <f t="shared" si="1713"/>
        <v>47</v>
      </c>
      <c r="M2924" s="1" t="str">
        <f t="shared" si="1749"/>
        <v>0</v>
      </c>
      <c r="N2924" s="1" t="str">
        <f t="shared" si="1749"/>
        <v>0</v>
      </c>
      <c r="O2924" s="1" t="str">
        <f>"7.65"</f>
        <v>7.65</v>
      </c>
    </row>
    <row r="2925" s="1" customFormat="1" spans="1:15">
      <c r="A2925" s="1" t="str">
        <f t="shared" si="1696"/>
        <v>202406</v>
      </c>
      <c r="B2925" s="1" t="str">
        <f t="shared" si="1697"/>
        <v>150525100</v>
      </c>
      <c r="C2925" s="1" t="str">
        <f>"1040752230"</f>
        <v>1040752230</v>
      </c>
      <c r="D2925" s="1" t="str">
        <f>"152326195811170423"</f>
        <v>152326195811170423</v>
      </c>
      <c r="E2925" s="1" t="s">
        <v>2997</v>
      </c>
      <c r="F2925" s="1" t="s">
        <v>16</v>
      </c>
      <c r="G2925" s="1" t="s">
        <v>19</v>
      </c>
      <c r="H2925" s="1" t="str">
        <f>"66"</f>
        <v>66</v>
      </c>
      <c r="I2925" s="1" t="str">
        <f>"155.64"</f>
        <v>155.64</v>
      </c>
      <c r="J2925" s="1" t="str">
        <f t="shared" ref="J2925:N2925" si="1750">"0"</f>
        <v>0</v>
      </c>
      <c r="K2925" s="1" t="str">
        <f t="shared" si="1712"/>
        <v>103</v>
      </c>
      <c r="L2925" s="1" t="str">
        <f t="shared" si="1713"/>
        <v>47</v>
      </c>
      <c r="M2925" s="1" t="str">
        <f t="shared" si="1750"/>
        <v>0</v>
      </c>
      <c r="N2925" s="1" t="str">
        <f t="shared" si="1750"/>
        <v>0</v>
      </c>
      <c r="O2925" s="1" t="str">
        <f>"5.64"</f>
        <v>5.64</v>
      </c>
    </row>
    <row r="2926" s="1" customFormat="1" spans="1:15">
      <c r="A2926" s="1" t="str">
        <f t="shared" si="1696"/>
        <v>202406</v>
      </c>
      <c r="B2926" s="1" t="str">
        <f t="shared" si="1697"/>
        <v>150525100</v>
      </c>
      <c r="C2926" s="1" t="str">
        <f>"1040688383"</f>
        <v>1040688383</v>
      </c>
      <c r="D2926" s="1" t="str">
        <f>"152326195409050423"</f>
        <v>152326195409050423</v>
      </c>
      <c r="E2926" s="1" t="s">
        <v>2998</v>
      </c>
      <c r="F2926" s="1" t="s">
        <v>16</v>
      </c>
      <c r="G2926" s="1" t="s">
        <v>17</v>
      </c>
      <c r="H2926" s="1" t="str">
        <f>"70"</f>
        <v>70</v>
      </c>
      <c r="I2926" s="1" t="str">
        <f>"153"</f>
        <v>153</v>
      </c>
      <c r="J2926" s="1" t="str">
        <f t="shared" ref="J2926:N2926" si="1751">"0"</f>
        <v>0</v>
      </c>
      <c r="K2926" s="1" t="str">
        <f t="shared" si="1712"/>
        <v>103</v>
      </c>
      <c r="L2926" s="1" t="str">
        <f t="shared" si="1713"/>
        <v>47</v>
      </c>
      <c r="M2926" s="1" t="str">
        <f t="shared" si="1751"/>
        <v>0</v>
      </c>
      <c r="N2926" s="1" t="str">
        <f t="shared" si="1751"/>
        <v>0</v>
      </c>
      <c r="O2926" s="1" t="str">
        <f>"3"</f>
        <v>3</v>
      </c>
    </row>
    <row r="2927" s="1" customFormat="1" spans="1:15">
      <c r="A2927" s="1" t="str">
        <f t="shared" si="1696"/>
        <v>202406</v>
      </c>
      <c r="B2927" s="1" t="str">
        <f t="shared" si="1697"/>
        <v>150525100</v>
      </c>
      <c r="C2927" s="1" t="str">
        <f>"1040648025"</f>
        <v>1040648025</v>
      </c>
      <c r="D2927" s="1" t="str">
        <f>"152326196003240416"</f>
        <v>152326196003240416</v>
      </c>
      <c r="E2927" s="1" t="s">
        <v>2999</v>
      </c>
      <c r="F2927" s="1" t="s">
        <v>25</v>
      </c>
      <c r="G2927" s="1" t="s">
        <v>17</v>
      </c>
      <c r="H2927" s="1" t="str">
        <f t="shared" si="1748"/>
        <v>64</v>
      </c>
      <c r="I2927" s="1" t="str">
        <f>"158.58"</f>
        <v>158.58</v>
      </c>
      <c r="J2927" s="1" t="str">
        <f t="shared" ref="J2927:N2927" si="1752">"0"</f>
        <v>0</v>
      </c>
      <c r="K2927" s="1" t="str">
        <f t="shared" si="1712"/>
        <v>103</v>
      </c>
      <c r="L2927" s="1" t="str">
        <f t="shared" si="1713"/>
        <v>47</v>
      </c>
      <c r="M2927" s="1" t="str">
        <f t="shared" si="1752"/>
        <v>0</v>
      </c>
      <c r="N2927" s="1" t="str">
        <f t="shared" si="1752"/>
        <v>0</v>
      </c>
      <c r="O2927" s="1" t="str">
        <f>"8.58"</f>
        <v>8.58</v>
      </c>
    </row>
    <row r="2928" s="1" customFormat="1" spans="1:15">
      <c r="A2928" s="1" t="str">
        <f t="shared" si="1696"/>
        <v>202406</v>
      </c>
      <c r="B2928" s="1" t="str">
        <f t="shared" si="1697"/>
        <v>150525100</v>
      </c>
      <c r="C2928" s="1" t="str">
        <f>"1040648045"</f>
        <v>1040648045</v>
      </c>
      <c r="D2928" s="1" t="str">
        <f>"152326196010200447"</f>
        <v>152326196010200447</v>
      </c>
      <c r="E2928" s="1" t="s">
        <v>3000</v>
      </c>
      <c r="F2928" s="1" t="s">
        <v>16</v>
      </c>
      <c r="G2928" s="1" t="s">
        <v>19</v>
      </c>
      <c r="H2928" s="1" t="str">
        <f t="shared" si="1748"/>
        <v>64</v>
      </c>
      <c r="I2928" s="1" t="str">
        <f>"166.21"</f>
        <v>166.21</v>
      </c>
      <c r="J2928" s="1" t="str">
        <f t="shared" ref="J2928:N2928" si="1753">"0"</f>
        <v>0</v>
      </c>
      <c r="K2928" s="1" t="str">
        <f t="shared" si="1712"/>
        <v>103</v>
      </c>
      <c r="L2928" s="1" t="str">
        <f t="shared" si="1713"/>
        <v>47</v>
      </c>
      <c r="M2928" s="1" t="str">
        <f t="shared" si="1753"/>
        <v>0</v>
      </c>
      <c r="N2928" s="1" t="str">
        <f t="shared" si="1753"/>
        <v>0</v>
      </c>
      <c r="O2928" s="1" t="str">
        <f>"16.21"</f>
        <v>16.21</v>
      </c>
    </row>
    <row r="2929" s="1" customFormat="1" spans="1:15">
      <c r="A2929" s="1" t="str">
        <f t="shared" si="1696"/>
        <v>202406</v>
      </c>
      <c r="B2929" s="1" t="str">
        <f t="shared" si="1697"/>
        <v>150525100</v>
      </c>
      <c r="C2929" s="1" t="str">
        <f>"1040641909"</f>
        <v>1040641909</v>
      </c>
      <c r="D2929" s="1" t="str">
        <f>"152326195711073319"</f>
        <v>152326195711073319</v>
      </c>
      <c r="E2929" s="1" t="s">
        <v>3001</v>
      </c>
      <c r="F2929" s="1" t="s">
        <v>25</v>
      </c>
      <c r="G2929" s="1" t="s">
        <v>17</v>
      </c>
      <c r="H2929" s="1" t="str">
        <f>"67"</f>
        <v>67</v>
      </c>
      <c r="I2929" s="1" t="str">
        <f>"155.54"</f>
        <v>155.54</v>
      </c>
      <c r="J2929" s="1" t="str">
        <f t="shared" ref="J2929:N2929" si="1754">"0"</f>
        <v>0</v>
      </c>
      <c r="K2929" s="1" t="str">
        <f t="shared" si="1712"/>
        <v>103</v>
      </c>
      <c r="L2929" s="1" t="str">
        <f t="shared" si="1713"/>
        <v>47</v>
      </c>
      <c r="M2929" s="1" t="str">
        <f t="shared" si="1754"/>
        <v>0</v>
      </c>
      <c r="N2929" s="1" t="str">
        <f t="shared" si="1754"/>
        <v>0</v>
      </c>
      <c r="O2929" s="1" t="str">
        <f>"5.54"</f>
        <v>5.54</v>
      </c>
    </row>
    <row r="2930" s="1" customFormat="1" spans="1:15">
      <c r="A2930" s="1" t="str">
        <f t="shared" si="1696"/>
        <v>202406</v>
      </c>
      <c r="B2930" s="1" t="str">
        <f t="shared" si="1697"/>
        <v>150525100</v>
      </c>
      <c r="C2930" s="1" t="str">
        <f>"1040653004"</f>
        <v>1040653004</v>
      </c>
      <c r="D2930" s="1" t="str">
        <f>"152326195812073086"</f>
        <v>152326195812073086</v>
      </c>
      <c r="E2930" s="1" t="s">
        <v>3002</v>
      </c>
      <c r="F2930" s="1" t="s">
        <v>16</v>
      </c>
      <c r="G2930" s="1" t="s">
        <v>17</v>
      </c>
      <c r="H2930" s="1" t="str">
        <f>"66"</f>
        <v>66</v>
      </c>
      <c r="I2930" s="1" t="str">
        <f>"156.56"</f>
        <v>156.56</v>
      </c>
      <c r="J2930" s="1" t="str">
        <f t="shared" ref="J2930:N2930" si="1755">"0"</f>
        <v>0</v>
      </c>
      <c r="K2930" s="1" t="str">
        <f t="shared" si="1712"/>
        <v>103</v>
      </c>
      <c r="L2930" s="1" t="str">
        <f t="shared" si="1713"/>
        <v>47</v>
      </c>
      <c r="M2930" s="1" t="str">
        <f t="shared" si="1755"/>
        <v>0</v>
      </c>
      <c r="N2930" s="1" t="str">
        <f t="shared" si="1755"/>
        <v>0</v>
      </c>
      <c r="O2930" s="1" t="str">
        <f>"6.56"</f>
        <v>6.56</v>
      </c>
    </row>
    <row r="2931" s="1" customFormat="1" spans="1:15">
      <c r="A2931" s="1" t="str">
        <f t="shared" si="1696"/>
        <v>202406</v>
      </c>
      <c r="B2931" s="1" t="str">
        <f t="shared" si="1697"/>
        <v>150525100</v>
      </c>
      <c r="C2931" s="1" t="str">
        <f>"1040688413"</f>
        <v>1040688413</v>
      </c>
      <c r="D2931" s="1" t="str">
        <f>"152326195408203811"</f>
        <v>152326195408203811</v>
      </c>
      <c r="E2931" s="1" t="s">
        <v>3003</v>
      </c>
      <c r="F2931" s="1" t="s">
        <v>25</v>
      </c>
      <c r="G2931" s="1" t="s">
        <v>96</v>
      </c>
      <c r="H2931" s="1" t="str">
        <f>"70"</f>
        <v>70</v>
      </c>
      <c r="I2931" s="1" t="str">
        <f>"153"</f>
        <v>153</v>
      </c>
      <c r="J2931" s="1" t="str">
        <f t="shared" ref="J2931:N2931" si="1756">"0"</f>
        <v>0</v>
      </c>
      <c r="K2931" s="1" t="str">
        <f t="shared" si="1712"/>
        <v>103</v>
      </c>
      <c r="L2931" s="1" t="str">
        <f t="shared" si="1713"/>
        <v>47</v>
      </c>
      <c r="M2931" s="1" t="str">
        <f t="shared" si="1756"/>
        <v>0</v>
      </c>
      <c r="N2931" s="1" t="str">
        <f t="shared" si="1756"/>
        <v>0</v>
      </c>
      <c r="O2931" s="1" t="str">
        <f>"3"</f>
        <v>3</v>
      </c>
    </row>
    <row r="2932" s="1" customFormat="1" spans="1:15">
      <c r="A2932" s="1" t="str">
        <f t="shared" si="1696"/>
        <v>202406</v>
      </c>
      <c r="B2932" s="1" t="str">
        <f t="shared" si="1697"/>
        <v>150525100</v>
      </c>
      <c r="C2932" s="1" t="str">
        <f>"1040688472"</f>
        <v>1040688472</v>
      </c>
      <c r="D2932" s="1" t="str">
        <f>"152326195309280416"</f>
        <v>152326195309280416</v>
      </c>
      <c r="E2932" s="1" t="s">
        <v>3004</v>
      </c>
      <c r="F2932" s="1" t="s">
        <v>25</v>
      </c>
      <c r="G2932" s="1" t="s">
        <v>17</v>
      </c>
      <c r="H2932" s="1" t="str">
        <f>"71"</f>
        <v>71</v>
      </c>
      <c r="I2932" s="1" t="str">
        <f>"162.25"</f>
        <v>162.25</v>
      </c>
      <c r="J2932" s="1" t="str">
        <f t="shared" ref="J2932:N2932" si="1757">"0"</f>
        <v>0</v>
      </c>
      <c r="K2932" s="1" t="str">
        <f t="shared" si="1712"/>
        <v>103</v>
      </c>
      <c r="L2932" s="1" t="str">
        <f t="shared" si="1713"/>
        <v>47</v>
      </c>
      <c r="M2932" s="1" t="str">
        <f t="shared" si="1757"/>
        <v>0</v>
      </c>
      <c r="N2932" s="1" t="str">
        <f t="shared" si="1757"/>
        <v>0</v>
      </c>
      <c r="O2932" s="1" t="str">
        <f>"2.25"</f>
        <v>2.25</v>
      </c>
    </row>
    <row r="2933" s="1" customFormat="1" spans="1:15">
      <c r="A2933" s="1" t="str">
        <f t="shared" si="1696"/>
        <v>202406</v>
      </c>
      <c r="B2933" s="1" t="str">
        <f t="shared" si="1697"/>
        <v>150525100</v>
      </c>
      <c r="C2933" s="1" t="str">
        <f>"1040688474"</f>
        <v>1040688474</v>
      </c>
      <c r="D2933" s="1" t="str">
        <f>"152326195203250411"</f>
        <v>152326195203250411</v>
      </c>
      <c r="E2933" s="1" t="s">
        <v>3005</v>
      </c>
      <c r="F2933" s="1" t="s">
        <v>25</v>
      </c>
      <c r="G2933" s="1" t="s">
        <v>17</v>
      </c>
      <c r="H2933" s="1" t="str">
        <f>"72"</f>
        <v>72</v>
      </c>
      <c r="I2933" s="1" t="str">
        <f>"161.5"</f>
        <v>161.5</v>
      </c>
      <c r="J2933" s="1" t="str">
        <f t="shared" ref="J2933:N2933" si="1758">"0"</f>
        <v>0</v>
      </c>
      <c r="K2933" s="1" t="str">
        <f t="shared" si="1712"/>
        <v>103</v>
      </c>
      <c r="L2933" s="1" t="str">
        <f t="shared" si="1713"/>
        <v>47</v>
      </c>
      <c r="M2933" s="1" t="str">
        <f t="shared" si="1758"/>
        <v>0</v>
      </c>
      <c r="N2933" s="1" t="str">
        <f t="shared" si="1758"/>
        <v>0</v>
      </c>
      <c r="O2933" s="1" t="str">
        <f>"1.5"</f>
        <v>1.5</v>
      </c>
    </row>
    <row r="2934" s="1" customFormat="1" spans="1:15">
      <c r="A2934" s="1" t="str">
        <f t="shared" si="1696"/>
        <v>202406</v>
      </c>
      <c r="B2934" s="1" t="str">
        <f t="shared" si="1697"/>
        <v>150525100</v>
      </c>
      <c r="C2934" s="1" t="str">
        <f>"1040688476"</f>
        <v>1040688476</v>
      </c>
      <c r="D2934" s="1" t="str">
        <f>"152326195706190422"</f>
        <v>152326195706190422</v>
      </c>
      <c r="E2934" s="1" t="s">
        <v>1731</v>
      </c>
      <c r="F2934" s="1" t="s">
        <v>16</v>
      </c>
      <c r="G2934" s="1" t="s">
        <v>17</v>
      </c>
      <c r="H2934" s="1" t="str">
        <f>"67"</f>
        <v>67</v>
      </c>
      <c r="I2934" s="1" t="str">
        <f>"154.92"</f>
        <v>154.92</v>
      </c>
      <c r="J2934" s="1" t="str">
        <f t="shared" ref="J2934:N2934" si="1759">"0"</f>
        <v>0</v>
      </c>
      <c r="K2934" s="1" t="str">
        <f t="shared" si="1712"/>
        <v>103</v>
      </c>
      <c r="L2934" s="1" t="str">
        <f t="shared" si="1713"/>
        <v>47</v>
      </c>
      <c r="M2934" s="1" t="str">
        <f t="shared" si="1759"/>
        <v>0</v>
      </c>
      <c r="N2934" s="1" t="str">
        <f t="shared" si="1759"/>
        <v>0</v>
      </c>
      <c r="O2934" s="1" t="str">
        <f>"4.92"</f>
        <v>4.92</v>
      </c>
    </row>
    <row r="2935" s="1" customFormat="1" spans="1:15">
      <c r="A2935" s="1" t="str">
        <f t="shared" si="1696"/>
        <v>202406</v>
      </c>
      <c r="B2935" s="1" t="str">
        <f t="shared" si="1697"/>
        <v>150525100</v>
      </c>
      <c r="C2935" s="1" t="str">
        <f>"1040688478"</f>
        <v>1040688478</v>
      </c>
      <c r="D2935" s="1" t="str">
        <f>"152326195809110413"</f>
        <v>152326195809110413</v>
      </c>
      <c r="E2935" s="1" t="s">
        <v>753</v>
      </c>
      <c r="F2935" s="1" t="s">
        <v>25</v>
      </c>
      <c r="G2935" s="1" t="s">
        <v>17</v>
      </c>
      <c r="H2935" s="1" t="str">
        <f>"66"</f>
        <v>66</v>
      </c>
      <c r="I2935" s="1" t="str">
        <f>"155.97"</f>
        <v>155.97</v>
      </c>
      <c r="J2935" s="1" t="str">
        <f t="shared" ref="J2935:N2935" si="1760">"0"</f>
        <v>0</v>
      </c>
      <c r="K2935" s="1" t="str">
        <f t="shared" si="1712"/>
        <v>103</v>
      </c>
      <c r="L2935" s="1" t="str">
        <f t="shared" si="1713"/>
        <v>47</v>
      </c>
      <c r="M2935" s="1" t="str">
        <f t="shared" si="1760"/>
        <v>0</v>
      </c>
      <c r="N2935" s="1" t="str">
        <f t="shared" si="1760"/>
        <v>0</v>
      </c>
      <c r="O2935" s="1" t="str">
        <f>"5.97"</f>
        <v>5.97</v>
      </c>
    </row>
    <row r="2936" s="1" customFormat="1" spans="1:15">
      <c r="A2936" s="1" t="str">
        <f t="shared" si="1696"/>
        <v>202406</v>
      </c>
      <c r="B2936" s="1" t="str">
        <f t="shared" si="1697"/>
        <v>150525100</v>
      </c>
      <c r="C2936" s="1" t="str">
        <f>"1040688483"</f>
        <v>1040688483</v>
      </c>
      <c r="D2936" s="1" t="str">
        <f>"152326195402010429"</f>
        <v>152326195402010429</v>
      </c>
      <c r="E2936" s="1" t="s">
        <v>3006</v>
      </c>
      <c r="F2936" s="1" t="s">
        <v>16</v>
      </c>
      <c r="G2936" s="1" t="s">
        <v>17</v>
      </c>
      <c r="H2936" s="1" t="str">
        <f>"70"</f>
        <v>70</v>
      </c>
      <c r="I2936" s="1" t="str">
        <f>"2024"</f>
        <v>2024</v>
      </c>
      <c r="J2936" s="1" t="str">
        <f>"1861"</f>
        <v>1861</v>
      </c>
      <c r="K2936" s="1" t="str">
        <f>"1334"</f>
        <v>1334</v>
      </c>
      <c r="L2936" s="1" t="str">
        <f>"611"</f>
        <v>611</v>
      </c>
      <c r="M2936" s="1" t="str">
        <f>"0"</f>
        <v>0</v>
      </c>
      <c r="N2936" s="1" t="str">
        <f>"0"</f>
        <v>0</v>
      </c>
      <c r="O2936" s="1" t="str">
        <f>"39"</f>
        <v>39</v>
      </c>
    </row>
    <row r="2937" s="1" customFormat="1" spans="1:15">
      <c r="A2937" s="1" t="str">
        <f t="shared" si="1696"/>
        <v>202406</v>
      </c>
      <c r="B2937" s="1" t="str">
        <f t="shared" si="1697"/>
        <v>150525100</v>
      </c>
      <c r="C2937" s="1" t="str">
        <f>"1040687572"</f>
        <v>1040687572</v>
      </c>
      <c r="D2937" s="1" t="str">
        <f>"152326196003200027"</f>
        <v>152326196003200027</v>
      </c>
      <c r="E2937" s="1" t="s">
        <v>3007</v>
      </c>
      <c r="F2937" s="1" t="s">
        <v>16</v>
      </c>
      <c r="G2937" s="1" t="s">
        <v>96</v>
      </c>
      <c r="H2937" s="1" t="str">
        <f>"64"</f>
        <v>64</v>
      </c>
      <c r="I2937" s="1" t="str">
        <f>"158.57"</f>
        <v>158.57</v>
      </c>
      <c r="J2937" s="1" t="str">
        <f t="shared" ref="J2937:N2937" si="1761">"0"</f>
        <v>0</v>
      </c>
      <c r="K2937" s="1" t="str">
        <f t="shared" ref="K2937:K2972" si="1762">"103"</f>
        <v>103</v>
      </c>
      <c r="L2937" s="1" t="str">
        <f t="shared" ref="L2937:L2972" si="1763">"47"</f>
        <v>47</v>
      </c>
      <c r="M2937" s="1" t="str">
        <f t="shared" si="1761"/>
        <v>0</v>
      </c>
      <c r="N2937" s="1" t="str">
        <f t="shared" si="1761"/>
        <v>0</v>
      </c>
      <c r="O2937" s="1" t="str">
        <f>"8.57"</f>
        <v>8.57</v>
      </c>
    </row>
    <row r="2938" s="1" customFormat="1" spans="1:15">
      <c r="A2938" s="1" t="str">
        <f t="shared" si="1696"/>
        <v>202406</v>
      </c>
      <c r="B2938" s="1" t="str">
        <f t="shared" si="1697"/>
        <v>150525100</v>
      </c>
      <c r="C2938" s="1" t="str">
        <f>"1040735021"</f>
        <v>1040735021</v>
      </c>
      <c r="D2938" s="1" t="str">
        <f>"152326195812060699"</f>
        <v>152326195812060699</v>
      </c>
      <c r="E2938" s="1" t="s">
        <v>3008</v>
      </c>
      <c r="F2938" s="1" t="s">
        <v>25</v>
      </c>
      <c r="G2938" s="1" t="s">
        <v>17</v>
      </c>
      <c r="H2938" s="1" t="str">
        <f>"66"</f>
        <v>66</v>
      </c>
      <c r="I2938" s="1" t="str">
        <f>"155.63"</f>
        <v>155.63</v>
      </c>
      <c r="J2938" s="1" t="str">
        <f t="shared" ref="J2938:N2938" si="1764">"0"</f>
        <v>0</v>
      </c>
      <c r="K2938" s="1" t="str">
        <f t="shared" si="1762"/>
        <v>103</v>
      </c>
      <c r="L2938" s="1" t="str">
        <f t="shared" si="1763"/>
        <v>47</v>
      </c>
      <c r="M2938" s="1" t="str">
        <f t="shared" si="1764"/>
        <v>0</v>
      </c>
      <c r="N2938" s="1" t="str">
        <f t="shared" si="1764"/>
        <v>0</v>
      </c>
      <c r="O2938" s="1" t="str">
        <f>"5.63"</f>
        <v>5.63</v>
      </c>
    </row>
    <row r="2939" s="1" customFormat="1" spans="1:15">
      <c r="A2939" s="1" t="str">
        <f t="shared" si="1696"/>
        <v>202406</v>
      </c>
      <c r="B2939" s="1" t="str">
        <f t="shared" si="1697"/>
        <v>150525100</v>
      </c>
      <c r="C2939" s="1" t="str">
        <f>"1040735124"</f>
        <v>1040735124</v>
      </c>
      <c r="D2939" s="1" t="str">
        <f>"152326196202280680"</f>
        <v>152326196202280680</v>
      </c>
      <c r="E2939" s="1" t="s">
        <v>1894</v>
      </c>
      <c r="F2939" s="1" t="s">
        <v>16</v>
      </c>
      <c r="G2939" s="1" t="s">
        <v>17</v>
      </c>
      <c r="H2939" s="1" t="str">
        <f>"62"</f>
        <v>62</v>
      </c>
      <c r="I2939" s="1" t="str">
        <f>"187.21"</f>
        <v>187.21</v>
      </c>
      <c r="J2939" s="1" t="str">
        <f t="shared" ref="J2939:N2939" si="1765">"0"</f>
        <v>0</v>
      </c>
      <c r="K2939" s="1" t="str">
        <f t="shared" si="1762"/>
        <v>103</v>
      </c>
      <c r="L2939" s="1" t="str">
        <f t="shared" si="1763"/>
        <v>47</v>
      </c>
      <c r="M2939" s="1" t="str">
        <f t="shared" si="1765"/>
        <v>0</v>
      </c>
      <c r="N2939" s="1" t="str">
        <f t="shared" si="1765"/>
        <v>0</v>
      </c>
      <c r="O2939" s="1" t="str">
        <f>"37.21"</f>
        <v>37.21</v>
      </c>
    </row>
    <row r="2940" s="1" customFormat="1" spans="1:15">
      <c r="A2940" s="1" t="str">
        <f t="shared" si="1696"/>
        <v>202406</v>
      </c>
      <c r="B2940" s="1" t="str">
        <f t="shared" si="1697"/>
        <v>150525100</v>
      </c>
      <c r="C2940" s="1" t="str">
        <f>"1040688536"</f>
        <v>1040688536</v>
      </c>
      <c r="D2940" s="1" t="str">
        <f>"152326195407250915"</f>
        <v>152326195407250915</v>
      </c>
      <c r="E2940" s="1" t="s">
        <v>3009</v>
      </c>
      <c r="F2940" s="1" t="s">
        <v>25</v>
      </c>
      <c r="G2940" s="1" t="s">
        <v>19</v>
      </c>
      <c r="H2940" s="1" t="str">
        <f>"70"</f>
        <v>70</v>
      </c>
      <c r="I2940" s="1" t="str">
        <f>"153.01"</f>
        <v>153.01</v>
      </c>
      <c r="J2940" s="1" t="str">
        <f t="shared" ref="J2940:N2940" si="1766">"0"</f>
        <v>0</v>
      </c>
      <c r="K2940" s="1" t="str">
        <f t="shared" si="1762"/>
        <v>103</v>
      </c>
      <c r="L2940" s="1" t="str">
        <f t="shared" si="1763"/>
        <v>47</v>
      </c>
      <c r="M2940" s="1" t="str">
        <f t="shared" si="1766"/>
        <v>0</v>
      </c>
      <c r="N2940" s="1" t="str">
        <f t="shared" si="1766"/>
        <v>0</v>
      </c>
      <c r="O2940" s="1" t="str">
        <f>"3.01"</f>
        <v>3.01</v>
      </c>
    </row>
    <row r="2941" s="1" customFormat="1" spans="1:15">
      <c r="A2941" s="1" t="str">
        <f t="shared" si="1696"/>
        <v>202406</v>
      </c>
      <c r="B2941" s="1" t="str">
        <f t="shared" si="1697"/>
        <v>150525100</v>
      </c>
      <c r="C2941" s="1" t="str">
        <f>"1040646842"</f>
        <v>1040646842</v>
      </c>
      <c r="D2941" s="1" t="str">
        <f>"152326196311140417"</f>
        <v>152326196311140417</v>
      </c>
      <c r="E2941" s="1" t="s">
        <v>3010</v>
      </c>
      <c r="F2941" s="1" t="s">
        <v>25</v>
      </c>
      <c r="G2941" s="1" t="s">
        <v>17</v>
      </c>
      <c r="H2941" s="1" t="str">
        <f>"61"</f>
        <v>61</v>
      </c>
      <c r="I2941" s="1" t="str">
        <f>"164.46"</f>
        <v>164.46</v>
      </c>
      <c r="J2941" s="1" t="str">
        <f t="shared" ref="J2941:N2941" si="1767">"0"</f>
        <v>0</v>
      </c>
      <c r="K2941" s="1" t="str">
        <f t="shared" si="1762"/>
        <v>103</v>
      </c>
      <c r="L2941" s="1" t="str">
        <f t="shared" si="1763"/>
        <v>47</v>
      </c>
      <c r="M2941" s="1" t="str">
        <f t="shared" si="1767"/>
        <v>0</v>
      </c>
      <c r="N2941" s="1" t="str">
        <f t="shared" si="1767"/>
        <v>0</v>
      </c>
      <c r="O2941" s="1" t="str">
        <f>"14.46"</f>
        <v>14.46</v>
      </c>
    </row>
    <row r="2942" s="1" customFormat="1" spans="1:15">
      <c r="A2942" s="1" t="str">
        <f t="shared" si="1696"/>
        <v>202406</v>
      </c>
      <c r="B2942" s="1" t="str">
        <f t="shared" si="1697"/>
        <v>150525100</v>
      </c>
      <c r="C2942" s="1" t="str">
        <f>"1040653205"</f>
        <v>1040653205</v>
      </c>
      <c r="D2942" s="1" t="str">
        <f>"152326196307143324"</f>
        <v>152326196307143324</v>
      </c>
      <c r="E2942" s="1" t="s">
        <v>406</v>
      </c>
      <c r="F2942" s="1" t="s">
        <v>16</v>
      </c>
      <c r="G2942" s="1" t="s">
        <v>17</v>
      </c>
      <c r="H2942" s="1" t="str">
        <f>"61"</f>
        <v>61</v>
      </c>
      <c r="I2942" s="1" t="str">
        <f>"165.92"</f>
        <v>165.92</v>
      </c>
      <c r="J2942" s="1" t="str">
        <f t="shared" ref="J2942:N2942" si="1768">"0"</f>
        <v>0</v>
      </c>
      <c r="K2942" s="1" t="str">
        <f t="shared" si="1762"/>
        <v>103</v>
      </c>
      <c r="L2942" s="1" t="str">
        <f t="shared" si="1763"/>
        <v>47</v>
      </c>
      <c r="M2942" s="1" t="str">
        <f t="shared" si="1768"/>
        <v>0</v>
      </c>
      <c r="N2942" s="1" t="str">
        <f t="shared" si="1768"/>
        <v>0</v>
      </c>
      <c r="O2942" s="1" t="str">
        <f>"15.92"</f>
        <v>15.92</v>
      </c>
    </row>
    <row r="2943" s="1" customFormat="1" spans="1:15">
      <c r="A2943" s="1" t="str">
        <f t="shared" si="1696"/>
        <v>202406</v>
      </c>
      <c r="B2943" s="1" t="str">
        <f t="shared" si="1697"/>
        <v>150525100</v>
      </c>
      <c r="C2943" s="1" t="str">
        <f>"1040653274"</f>
        <v>1040653274</v>
      </c>
      <c r="D2943" s="1" t="s">
        <v>3011</v>
      </c>
      <c r="E2943" s="1" t="s">
        <v>3012</v>
      </c>
      <c r="F2943" s="1" t="s">
        <v>16</v>
      </c>
      <c r="G2943" s="1" t="s">
        <v>17</v>
      </c>
      <c r="H2943" s="1" t="str">
        <f>"69"</f>
        <v>69</v>
      </c>
      <c r="I2943" s="1" t="str">
        <f>"154.52"</f>
        <v>154.52</v>
      </c>
      <c r="J2943" s="1" t="str">
        <f t="shared" ref="J2943:N2943" si="1769">"0"</f>
        <v>0</v>
      </c>
      <c r="K2943" s="1" t="str">
        <f t="shared" si="1762"/>
        <v>103</v>
      </c>
      <c r="L2943" s="1" t="str">
        <f t="shared" si="1763"/>
        <v>47</v>
      </c>
      <c r="M2943" s="1" t="str">
        <f t="shared" si="1769"/>
        <v>0</v>
      </c>
      <c r="N2943" s="1" t="str">
        <f t="shared" si="1769"/>
        <v>0</v>
      </c>
      <c r="O2943" s="1" t="str">
        <f>"4.52"</f>
        <v>4.52</v>
      </c>
    </row>
    <row r="2944" s="1" customFormat="1" spans="1:15">
      <c r="A2944" s="1" t="str">
        <f t="shared" si="1696"/>
        <v>202406</v>
      </c>
      <c r="B2944" s="1" t="str">
        <f t="shared" si="1697"/>
        <v>150525100</v>
      </c>
      <c r="C2944" s="1" t="str">
        <f>"1040653304"</f>
        <v>1040653304</v>
      </c>
      <c r="D2944" s="1" t="str">
        <f>"152326195409053317"</f>
        <v>152326195409053317</v>
      </c>
      <c r="E2944" s="1" t="s">
        <v>3013</v>
      </c>
      <c r="F2944" s="1" t="s">
        <v>25</v>
      </c>
      <c r="G2944" s="1" t="s">
        <v>19</v>
      </c>
      <c r="H2944" s="1" t="str">
        <f t="shared" ref="H2944:H2949" si="1770">"70"</f>
        <v>70</v>
      </c>
      <c r="I2944" s="1" t="str">
        <f t="shared" ref="I2944:I2949" si="1771">"153.56"</f>
        <v>153.56</v>
      </c>
      <c r="J2944" s="1" t="str">
        <f t="shared" ref="J2944:N2944" si="1772">"0"</f>
        <v>0</v>
      </c>
      <c r="K2944" s="1" t="str">
        <f t="shared" si="1762"/>
        <v>103</v>
      </c>
      <c r="L2944" s="1" t="str">
        <f t="shared" si="1763"/>
        <v>47</v>
      </c>
      <c r="M2944" s="1" t="str">
        <f t="shared" si="1772"/>
        <v>0</v>
      </c>
      <c r="N2944" s="1" t="str">
        <f t="shared" si="1772"/>
        <v>0</v>
      </c>
      <c r="O2944" s="1" t="str">
        <f t="shared" ref="O2944:O2949" si="1773">"3.56"</f>
        <v>3.56</v>
      </c>
    </row>
    <row r="2945" s="1" customFormat="1" spans="1:15">
      <c r="A2945" s="1" t="str">
        <f t="shared" si="1696"/>
        <v>202406</v>
      </c>
      <c r="B2945" s="1" t="str">
        <f t="shared" si="1697"/>
        <v>150525100</v>
      </c>
      <c r="C2945" s="1" t="str">
        <f>"1040653313"</f>
        <v>1040653313</v>
      </c>
      <c r="D2945" s="1" t="str">
        <f>"152326195810273324"</f>
        <v>152326195810273324</v>
      </c>
      <c r="E2945" s="1" t="s">
        <v>3014</v>
      </c>
      <c r="F2945" s="1" t="s">
        <v>16</v>
      </c>
      <c r="G2945" s="1" t="s">
        <v>19</v>
      </c>
      <c r="H2945" s="1" t="str">
        <f>"66"</f>
        <v>66</v>
      </c>
      <c r="I2945" s="1" t="str">
        <f>"157.49"</f>
        <v>157.49</v>
      </c>
      <c r="J2945" s="1" t="str">
        <f t="shared" ref="J2945:N2945" si="1774">"0"</f>
        <v>0</v>
      </c>
      <c r="K2945" s="1" t="str">
        <f t="shared" si="1762"/>
        <v>103</v>
      </c>
      <c r="L2945" s="1" t="str">
        <f t="shared" si="1763"/>
        <v>47</v>
      </c>
      <c r="M2945" s="1" t="str">
        <f t="shared" si="1774"/>
        <v>0</v>
      </c>
      <c r="N2945" s="1" t="str">
        <f t="shared" si="1774"/>
        <v>0</v>
      </c>
      <c r="O2945" s="1" t="str">
        <f>"7.49"</f>
        <v>7.49</v>
      </c>
    </row>
    <row r="2946" s="1" customFormat="1" spans="1:15">
      <c r="A2946" s="1" t="str">
        <f t="shared" ref="A2946:A3009" si="1775">"202406"</f>
        <v>202406</v>
      </c>
      <c r="B2946" s="1" t="str">
        <f t="shared" ref="B2946:B3009" si="1776">"150525100"</f>
        <v>150525100</v>
      </c>
      <c r="C2946" s="1" t="str">
        <f>"1040653347"</f>
        <v>1040653347</v>
      </c>
      <c r="D2946" s="1" t="str">
        <f>"152326195412263331"</f>
        <v>152326195412263331</v>
      </c>
      <c r="E2946" s="1" t="s">
        <v>3015</v>
      </c>
      <c r="F2946" s="1" t="s">
        <v>25</v>
      </c>
      <c r="G2946" s="1" t="s">
        <v>17</v>
      </c>
      <c r="H2946" s="1" t="str">
        <f t="shared" si="1770"/>
        <v>70</v>
      </c>
      <c r="I2946" s="1" t="str">
        <f t="shared" si="1771"/>
        <v>153.56</v>
      </c>
      <c r="J2946" s="1" t="str">
        <f t="shared" ref="J2946:N2946" si="1777">"0"</f>
        <v>0</v>
      </c>
      <c r="K2946" s="1" t="str">
        <f t="shared" si="1762"/>
        <v>103</v>
      </c>
      <c r="L2946" s="1" t="str">
        <f t="shared" si="1763"/>
        <v>47</v>
      </c>
      <c r="M2946" s="1" t="str">
        <f t="shared" si="1777"/>
        <v>0</v>
      </c>
      <c r="N2946" s="1" t="str">
        <f t="shared" si="1777"/>
        <v>0</v>
      </c>
      <c r="O2946" s="1" t="str">
        <f t="shared" si="1773"/>
        <v>3.56</v>
      </c>
    </row>
    <row r="2947" s="1" customFormat="1" spans="1:15">
      <c r="A2947" s="1" t="str">
        <f t="shared" si="1775"/>
        <v>202406</v>
      </c>
      <c r="B2947" s="1" t="str">
        <f t="shared" si="1776"/>
        <v>150525100</v>
      </c>
      <c r="C2947" s="1" t="str">
        <f>"1040653406"</f>
        <v>1040653406</v>
      </c>
      <c r="D2947" s="1" t="str">
        <f>"152326195702033315"</f>
        <v>152326195702033315</v>
      </c>
      <c r="E2947" s="1" t="s">
        <v>3016</v>
      </c>
      <c r="F2947" s="1" t="s">
        <v>25</v>
      </c>
      <c r="G2947" s="1" t="s">
        <v>19</v>
      </c>
      <c r="H2947" s="1" t="str">
        <f t="shared" ref="H2947:H2950" si="1778">"67"</f>
        <v>67</v>
      </c>
      <c r="I2947" s="1" t="str">
        <f>"155.46"</f>
        <v>155.46</v>
      </c>
      <c r="J2947" s="1" t="str">
        <f t="shared" ref="J2947:N2947" si="1779">"0"</f>
        <v>0</v>
      </c>
      <c r="K2947" s="1" t="str">
        <f t="shared" si="1762"/>
        <v>103</v>
      </c>
      <c r="L2947" s="1" t="str">
        <f t="shared" si="1763"/>
        <v>47</v>
      </c>
      <c r="M2947" s="1" t="str">
        <f t="shared" si="1779"/>
        <v>0</v>
      </c>
      <c r="N2947" s="1" t="str">
        <f t="shared" si="1779"/>
        <v>0</v>
      </c>
      <c r="O2947" s="1" t="str">
        <f>"5.46"</f>
        <v>5.46</v>
      </c>
    </row>
    <row r="2948" s="1" customFormat="1" spans="1:15">
      <c r="A2948" s="1" t="str">
        <f t="shared" si="1775"/>
        <v>202406</v>
      </c>
      <c r="B2948" s="1" t="str">
        <f t="shared" si="1776"/>
        <v>150525100</v>
      </c>
      <c r="C2948" s="1" t="str">
        <f>"1040653425"</f>
        <v>1040653425</v>
      </c>
      <c r="D2948" s="1" t="str">
        <f>"152326195712243324"</f>
        <v>152326195712243324</v>
      </c>
      <c r="E2948" s="1" t="s">
        <v>676</v>
      </c>
      <c r="F2948" s="1" t="s">
        <v>16</v>
      </c>
      <c r="G2948" s="1" t="s">
        <v>19</v>
      </c>
      <c r="H2948" s="1" t="str">
        <f t="shared" si="1778"/>
        <v>67</v>
      </c>
      <c r="I2948" s="1" t="str">
        <f>"155.53"</f>
        <v>155.53</v>
      </c>
      <c r="J2948" s="1" t="str">
        <f t="shared" ref="J2948:N2948" si="1780">"0"</f>
        <v>0</v>
      </c>
      <c r="K2948" s="1" t="str">
        <f t="shared" si="1762"/>
        <v>103</v>
      </c>
      <c r="L2948" s="1" t="str">
        <f t="shared" si="1763"/>
        <v>47</v>
      </c>
      <c r="M2948" s="1" t="str">
        <f t="shared" si="1780"/>
        <v>0</v>
      </c>
      <c r="N2948" s="1" t="str">
        <f t="shared" si="1780"/>
        <v>0</v>
      </c>
      <c r="O2948" s="1" t="str">
        <f>"5.53"</f>
        <v>5.53</v>
      </c>
    </row>
    <row r="2949" s="1" customFormat="1" spans="1:15">
      <c r="A2949" s="1" t="str">
        <f t="shared" si="1775"/>
        <v>202406</v>
      </c>
      <c r="B2949" s="1" t="str">
        <f t="shared" si="1776"/>
        <v>150525100</v>
      </c>
      <c r="C2949" s="1" t="str">
        <f>"1040653468"</f>
        <v>1040653468</v>
      </c>
      <c r="D2949" s="1" t="str">
        <f>"152326195411173326"</f>
        <v>152326195411173326</v>
      </c>
      <c r="E2949" s="1" t="s">
        <v>3017</v>
      </c>
      <c r="F2949" s="1" t="s">
        <v>16</v>
      </c>
      <c r="G2949" s="1" t="s">
        <v>19</v>
      </c>
      <c r="H2949" s="1" t="str">
        <f t="shared" si="1770"/>
        <v>70</v>
      </c>
      <c r="I2949" s="1" t="str">
        <f t="shared" si="1771"/>
        <v>153.56</v>
      </c>
      <c r="J2949" s="1" t="str">
        <f t="shared" ref="J2949:N2949" si="1781">"0"</f>
        <v>0</v>
      </c>
      <c r="K2949" s="1" t="str">
        <f t="shared" si="1762"/>
        <v>103</v>
      </c>
      <c r="L2949" s="1" t="str">
        <f t="shared" si="1763"/>
        <v>47</v>
      </c>
      <c r="M2949" s="1" t="str">
        <f t="shared" si="1781"/>
        <v>0</v>
      </c>
      <c r="N2949" s="1" t="str">
        <f t="shared" si="1781"/>
        <v>0</v>
      </c>
      <c r="O2949" s="1" t="str">
        <f t="shared" si="1773"/>
        <v>3.56</v>
      </c>
    </row>
    <row r="2950" s="1" customFormat="1" spans="1:15">
      <c r="A2950" s="1" t="str">
        <f t="shared" si="1775"/>
        <v>202406</v>
      </c>
      <c r="B2950" s="1" t="str">
        <f t="shared" si="1776"/>
        <v>150525100</v>
      </c>
      <c r="C2950" s="1" t="str">
        <f>"1040653471"</f>
        <v>1040653471</v>
      </c>
      <c r="D2950" s="1" t="str">
        <f>"152326195704034573"</f>
        <v>152326195704034573</v>
      </c>
      <c r="E2950" s="1" t="s">
        <v>3018</v>
      </c>
      <c r="F2950" s="1" t="s">
        <v>25</v>
      </c>
      <c r="G2950" s="1" t="s">
        <v>17</v>
      </c>
      <c r="H2950" s="1" t="str">
        <f t="shared" si="1778"/>
        <v>67</v>
      </c>
      <c r="I2950" s="1" t="str">
        <f>"155.48"</f>
        <v>155.48</v>
      </c>
      <c r="J2950" s="1" t="str">
        <f t="shared" ref="J2950:N2950" si="1782">"0"</f>
        <v>0</v>
      </c>
      <c r="K2950" s="1" t="str">
        <f t="shared" si="1762"/>
        <v>103</v>
      </c>
      <c r="L2950" s="1" t="str">
        <f t="shared" si="1763"/>
        <v>47</v>
      </c>
      <c r="M2950" s="1" t="str">
        <f t="shared" si="1782"/>
        <v>0</v>
      </c>
      <c r="N2950" s="1" t="str">
        <f t="shared" si="1782"/>
        <v>0</v>
      </c>
      <c r="O2950" s="1" t="str">
        <f>"5.48"</f>
        <v>5.48</v>
      </c>
    </row>
    <row r="2951" s="1" customFormat="1" spans="1:15">
      <c r="A2951" s="1" t="str">
        <f t="shared" si="1775"/>
        <v>202406</v>
      </c>
      <c r="B2951" s="1" t="str">
        <f t="shared" si="1776"/>
        <v>150525100</v>
      </c>
      <c r="C2951" s="1" t="str">
        <f>"1040653530"</f>
        <v>1040653530</v>
      </c>
      <c r="D2951" s="1" t="str">
        <f>"152326195501043322"</f>
        <v>152326195501043322</v>
      </c>
      <c r="E2951" s="1" t="s">
        <v>3019</v>
      </c>
      <c r="F2951" s="1" t="s">
        <v>16</v>
      </c>
      <c r="G2951" s="1" t="s">
        <v>19</v>
      </c>
      <c r="H2951" s="1" t="str">
        <f>"70"</f>
        <v>70</v>
      </c>
      <c r="I2951" s="1" t="str">
        <f>"154.52"</f>
        <v>154.52</v>
      </c>
      <c r="J2951" s="1" t="str">
        <f t="shared" ref="J2951:N2951" si="1783">"0"</f>
        <v>0</v>
      </c>
      <c r="K2951" s="1" t="str">
        <f t="shared" si="1762"/>
        <v>103</v>
      </c>
      <c r="L2951" s="1" t="str">
        <f t="shared" si="1763"/>
        <v>47</v>
      </c>
      <c r="M2951" s="1" t="str">
        <f t="shared" si="1783"/>
        <v>0</v>
      </c>
      <c r="N2951" s="1" t="str">
        <f t="shared" si="1783"/>
        <v>0</v>
      </c>
      <c r="O2951" s="1" t="str">
        <f>"4.52"</f>
        <v>4.52</v>
      </c>
    </row>
    <row r="2952" s="1" customFormat="1" spans="1:15">
      <c r="A2952" s="1" t="str">
        <f t="shared" si="1775"/>
        <v>202406</v>
      </c>
      <c r="B2952" s="1" t="str">
        <f t="shared" si="1776"/>
        <v>150525100</v>
      </c>
      <c r="C2952" s="1" t="str">
        <f>"1040695137"</f>
        <v>1040695137</v>
      </c>
      <c r="D2952" s="1" t="str">
        <f>"152326195904263370"</f>
        <v>152326195904263370</v>
      </c>
      <c r="E2952" s="1" t="s">
        <v>3020</v>
      </c>
      <c r="F2952" s="1" t="s">
        <v>25</v>
      </c>
      <c r="G2952" s="1" t="s">
        <v>19</v>
      </c>
      <c r="H2952" s="1" t="str">
        <f>"65"</f>
        <v>65</v>
      </c>
      <c r="I2952" s="1" t="str">
        <f>"156.6"</f>
        <v>156.6</v>
      </c>
      <c r="J2952" s="1" t="str">
        <f t="shared" ref="J2952:N2952" si="1784">"0"</f>
        <v>0</v>
      </c>
      <c r="K2952" s="1" t="str">
        <f t="shared" si="1762"/>
        <v>103</v>
      </c>
      <c r="L2952" s="1" t="str">
        <f t="shared" si="1763"/>
        <v>47</v>
      </c>
      <c r="M2952" s="1" t="str">
        <f t="shared" si="1784"/>
        <v>0</v>
      </c>
      <c r="N2952" s="1" t="str">
        <f t="shared" si="1784"/>
        <v>0</v>
      </c>
      <c r="O2952" s="1" t="str">
        <f>"6.6"</f>
        <v>6.6</v>
      </c>
    </row>
    <row r="2953" s="1" customFormat="1" spans="1:15">
      <c r="A2953" s="1" t="str">
        <f t="shared" si="1775"/>
        <v>202406</v>
      </c>
      <c r="B2953" s="1" t="str">
        <f t="shared" si="1776"/>
        <v>150525100</v>
      </c>
      <c r="C2953" s="1" t="str">
        <f>"1040748472"</f>
        <v>1040748472</v>
      </c>
      <c r="D2953" s="1" t="str">
        <f>"152326195607213844"</f>
        <v>152326195607213844</v>
      </c>
      <c r="E2953" s="1" t="s">
        <v>3021</v>
      </c>
      <c r="F2953" s="1" t="s">
        <v>16</v>
      </c>
      <c r="G2953" s="1" t="s">
        <v>17</v>
      </c>
      <c r="H2953" s="1" t="str">
        <f>"68"</f>
        <v>68</v>
      </c>
      <c r="I2953" s="1" t="str">
        <f>"154.54"</f>
        <v>154.54</v>
      </c>
      <c r="J2953" s="1" t="str">
        <f t="shared" ref="J2953:N2953" si="1785">"0"</f>
        <v>0</v>
      </c>
      <c r="K2953" s="1" t="str">
        <f t="shared" si="1762"/>
        <v>103</v>
      </c>
      <c r="L2953" s="1" t="str">
        <f t="shared" si="1763"/>
        <v>47</v>
      </c>
      <c r="M2953" s="1" t="str">
        <f t="shared" si="1785"/>
        <v>0</v>
      </c>
      <c r="N2953" s="1" t="str">
        <f t="shared" si="1785"/>
        <v>0</v>
      </c>
      <c r="O2953" s="1" t="str">
        <f>"4.54"</f>
        <v>4.54</v>
      </c>
    </row>
    <row r="2954" s="1" customFormat="1" spans="1:15">
      <c r="A2954" s="1" t="str">
        <f t="shared" si="1775"/>
        <v>202406</v>
      </c>
      <c r="B2954" s="1" t="str">
        <f t="shared" si="1776"/>
        <v>150525100</v>
      </c>
      <c r="C2954" s="1" t="str">
        <f>"1040652855"</f>
        <v>1040652855</v>
      </c>
      <c r="D2954" s="1" t="str">
        <f>"152326196102030422"</f>
        <v>152326196102030422</v>
      </c>
      <c r="E2954" s="1" t="s">
        <v>3022</v>
      </c>
      <c r="F2954" s="1" t="s">
        <v>16</v>
      </c>
      <c r="G2954" s="1" t="s">
        <v>19</v>
      </c>
      <c r="H2954" s="1" t="str">
        <f t="shared" ref="H2954:H2956" si="1786">"63"</f>
        <v>63</v>
      </c>
      <c r="I2954" s="1" t="str">
        <f>"159.44"</f>
        <v>159.44</v>
      </c>
      <c r="J2954" s="1" t="str">
        <f t="shared" ref="J2954:N2954" si="1787">"0"</f>
        <v>0</v>
      </c>
      <c r="K2954" s="1" t="str">
        <f t="shared" si="1762"/>
        <v>103</v>
      </c>
      <c r="L2954" s="1" t="str">
        <f t="shared" si="1763"/>
        <v>47</v>
      </c>
      <c r="M2954" s="1" t="str">
        <f t="shared" si="1787"/>
        <v>0</v>
      </c>
      <c r="N2954" s="1" t="str">
        <f t="shared" si="1787"/>
        <v>0</v>
      </c>
      <c r="O2954" s="1" t="str">
        <f>"9.44"</f>
        <v>9.44</v>
      </c>
    </row>
    <row r="2955" s="1" customFormat="1" spans="1:15">
      <c r="A2955" s="1" t="str">
        <f t="shared" si="1775"/>
        <v>202406</v>
      </c>
      <c r="B2955" s="1" t="str">
        <f t="shared" si="1776"/>
        <v>150525100</v>
      </c>
      <c r="C2955" s="1" t="str">
        <f>"1040695139"</f>
        <v>1040695139</v>
      </c>
      <c r="D2955" s="1" t="str">
        <f>"152326196109233070"</f>
        <v>152326196109233070</v>
      </c>
      <c r="E2955" s="1" t="s">
        <v>3023</v>
      </c>
      <c r="F2955" s="1" t="s">
        <v>25</v>
      </c>
      <c r="G2955" s="1" t="s">
        <v>17</v>
      </c>
      <c r="H2955" s="1" t="str">
        <f t="shared" si="1786"/>
        <v>63</v>
      </c>
      <c r="I2955" s="1" t="str">
        <f>"158.76"</f>
        <v>158.76</v>
      </c>
      <c r="J2955" s="1" t="str">
        <f t="shared" ref="J2955:N2955" si="1788">"0"</f>
        <v>0</v>
      </c>
      <c r="K2955" s="1" t="str">
        <f t="shared" si="1762"/>
        <v>103</v>
      </c>
      <c r="L2955" s="1" t="str">
        <f t="shared" si="1763"/>
        <v>47</v>
      </c>
      <c r="M2955" s="1" t="str">
        <f t="shared" si="1788"/>
        <v>0</v>
      </c>
      <c r="N2955" s="1" t="str">
        <f t="shared" si="1788"/>
        <v>0</v>
      </c>
      <c r="O2955" s="1" t="str">
        <f>"8.76"</f>
        <v>8.76</v>
      </c>
    </row>
    <row r="2956" s="1" customFormat="1" spans="1:15">
      <c r="A2956" s="1" t="str">
        <f t="shared" si="1775"/>
        <v>202406</v>
      </c>
      <c r="B2956" s="1" t="str">
        <f t="shared" si="1776"/>
        <v>150525100</v>
      </c>
      <c r="C2956" s="1" t="str">
        <f>"1040728965"</f>
        <v>1040728965</v>
      </c>
      <c r="D2956" s="1" t="str">
        <f>"152326196110120663"</f>
        <v>152326196110120663</v>
      </c>
      <c r="E2956" s="1" t="s">
        <v>3024</v>
      </c>
      <c r="F2956" s="1" t="s">
        <v>16</v>
      </c>
      <c r="G2956" s="1" t="s">
        <v>17</v>
      </c>
      <c r="H2956" s="1" t="str">
        <f t="shared" si="1786"/>
        <v>63</v>
      </c>
      <c r="I2956" s="1" t="str">
        <f>"159.56"</f>
        <v>159.56</v>
      </c>
      <c r="J2956" s="1" t="str">
        <f t="shared" ref="J2956:N2956" si="1789">"0"</f>
        <v>0</v>
      </c>
      <c r="K2956" s="1" t="str">
        <f t="shared" si="1762"/>
        <v>103</v>
      </c>
      <c r="L2956" s="1" t="str">
        <f t="shared" si="1763"/>
        <v>47</v>
      </c>
      <c r="M2956" s="1" t="str">
        <f t="shared" si="1789"/>
        <v>0</v>
      </c>
      <c r="N2956" s="1" t="str">
        <f t="shared" si="1789"/>
        <v>0</v>
      </c>
      <c r="O2956" s="1" t="str">
        <f>"9.56"</f>
        <v>9.56</v>
      </c>
    </row>
    <row r="2957" s="1" customFormat="1" spans="1:15">
      <c r="A2957" s="1" t="str">
        <f t="shared" si="1775"/>
        <v>202406</v>
      </c>
      <c r="B2957" s="1" t="str">
        <f t="shared" si="1776"/>
        <v>150525100</v>
      </c>
      <c r="C2957" s="1" t="str">
        <f>"1040760418"</f>
        <v>1040760418</v>
      </c>
      <c r="D2957" s="1" t="str">
        <f>"152326195409260690"</f>
        <v>152326195409260690</v>
      </c>
      <c r="E2957" s="1" t="s">
        <v>3025</v>
      </c>
      <c r="F2957" s="1" t="s">
        <v>25</v>
      </c>
      <c r="G2957" s="1" t="s">
        <v>19</v>
      </c>
      <c r="H2957" s="1" t="str">
        <f>"70"</f>
        <v>70</v>
      </c>
      <c r="I2957" s="1" t="str">
        <f>"152.88"</f>
        <v>152.88</v>
      </c>
      <c r="J2957" s="1" t="str">
        <f t="shared" ref="J2957:N2957" si="1790">"0"</f>
        <v>0</v>
      </c>
      <c r="K2957" s="1" t="str">
        <f t="shared" si="1762"/>
        <v>103</v>
      </c>
      <c r="L2957" s="1" t="str">
        <f t="shared" si="1763"/>
        <v>47</v>
      </c>
      <c r="M2957" s="1" t="str">
        <f t="shared" si="1790"/>
        <v>0</v>
      </c>
      <c r="N2957" s="1" t="str">
        <f t="shared" si="1790"/>
        <v>0</v>
      </c>
      <c r="O2957" s="1" t="str">
        <f>"2.88"</f>
        <v>2.88</v>
      </c>
    </row>
    <row r="2958" s="1" customFormat="1" spans="1:15">
      <c r="A2958" s="1" t="str">
        <f t="shared" si="1775"/>
        <v>202406</v>
      </c>
      <c r="B2958" s="1" t="str">
        <f t="shared" si="1776"/>
        <v>150525100</v>
      </c>
      <c r="C2958" s="1" t="str">
        <f>"1040647046"</f>
        <v>1040647046</v>
      </c>
      <c r="D2958" s="1" t="str">
        <f>"152326195704263827"</f>
        <v>152326195704263827</v>
      </c>
      <c r="E2958" s="1" t="s">
        <v>3026</v>
      </c>
      <c r="F2958" s="1" t="s">
        <v>16</v>
      </c>
      <c r="G2958" s="1" t="s">
        <v>17</v>
      </c>
      <c r="H2958" s="1" t="str">
        <f>"67"</f>
        <v>67</v>
      </c>
      <c r="I2958" s="1" t="str">
        <f>"155.46"</f>
        <v>155.46</v>
      </c>
      <c r="J2958" s="1" t="str">
        <f t="shared" ref="J2958:N2958" si="1791">"0"</f>
        <v>0</v>
      </c>
      <c r="K2958" s="1" t="str">
        <f t="shared" si="1762"/>
        <v>103</v>
      </c>
      <c r="L2958" s="1" t="str">
        <f t="shared" si="1763"/>
        <v>47</v>
      </c>
      <c r="M2958" s="1" t="str">
        <f t="shared" si="1791"/>
        <v>0</v>
      </c>
      <c r="N2958" s="1" t="str">
        <f t="shared" si="1791"/>
        <v>0</v>
      </c>
      <c r="O2958" s="1" t="str">
        <f>"5.46"</f>
        <v>5.46</v>
      </c>
    </row>
    <row r="2959" s="1" customFormat="1" spans="1:15">
      <c r="A2959" s="1" t="str">
        <f t="shared" si="1775"/>
        <v>202406</v>
      </c>
      <c r="B2959" s="1" t="str">
        <f t="shared" si="1776"/>
        <v>150525100</v>
      </c>
      <c r="C2959" s="1" t="str">
        <f>"1040647067"</f>
        <v>1040647067</v>
      </c>
      <c r="D2959" s="1" t="str">
        <f>"152326196104053820"</f>
        <v>152326196104053820</v>
      </c>
      <c r="E2959" s="1" t="s">
        <v>3027</v>
      </c>
      <c r="F2959" s="1" t="s">
        <v>16</v>
      </c>
      <c r="G2959" s="1" t="s">
        <v>17</v>
      </c>
      <c r="H2959" s="1" t="str">
        <f>"63"</f>
        <v>63</v>
      </c>
      <c r="I2959" s="1" t="str">
        <f>"160.42"</f>
        <v>160.42</v>
      </c>
      <c r="J2959" s="1" t="str">
        <f t="shared" ref="J2959:N2959" si="1792">"0"</f>
        <v>0</v>
      </c>
      <c r="K2959" s="1" t="str">
        <f t="shared" si="1762"/>
        <v>103</v>
      </c>
      <c r="L2959" s="1" t="str">
        <f t="shared" si="1763"/>
        <v>47</v>
      </c>
      <c r="M2959" s="1" t="str">
        <f t="shared" si="1792"/>
        <v>0</v>
      </c>
      <c r="N2959" s="1" t="str">
        <f t="shared" si="1792"/>
        <v>0</v>
      </c>
      <c r="O2959" s="1" t="str">
        <f>"10.42"</f>
        <v>10.42</v>
      </c>
    </row>
    <row r="2960" s="1" customFormat="1" spans="1:15">
      <c r="A2960" s="1" t="str">
        <f t="shared" si="1775"/>
        <v>202406</v>
      </c>
      <c r="B2960" s="1" t="str">
        <f t="shared" si="1776"/>
        <v>150525100</v>
      </c>
      <c r="C2960" s="1" t="str">
        <f>"1040653602"</f>
        <v>1040653602</v>
      </c>
      <c r="D2960" s="1" t="str">
        <f>"152326196206263327"</f>
        <v>152326196206263327</v>
      </c>
      <c r="E2960" s="1" t="s">
        <v>1337</v>
      </c>
      <c r="F2960" s="1" t="s">
        <v>16</v>
      </c>
      <c r="G2960" s="1" t="s">
        <v>17</v>
      </c>
      <c r="H2960" s="1" t="str">
        <f>"62"</f>
        <v>62</v>
      </c>
      <c r="I2960" s="1" t="str">
        <f>"166.82"</f>
        <v>166.82</v>
      </c>
      <c r="J2960" s="1" t="str">
        <f t="shared" ref="J2960:N2960" si="1793">"0"</f>
        <v>0</v>
      </c>
      <c r="K2960" s="1" t="str">
        <f t="shared" si="1762"/>
        <v>103</v>
      </c>
      <c r="L2960" s="1" t="str">
        <f t="shared" si="1763"/>
        <v>47</v>
      </c>
      <c r="M2960" s="1" t="str">
        <f t="shared" si="1793"/>
        <v>0</v>
      </c>
      <c r="N2960" s="1" t="str">
        <f t="shared" si="1793"/>
        <v>0</v>
      </c>
      <c r="O2960" s="1" t="str">
        <f>"16.82"</f>
        <v>16.82</v>
      </c>
    </row>
    <row r="2961" s="1" customFormat="1" spans="1:15">
      <c r="A2961" s="1" t="str">
        <f t="shared" si="1775"/>
        <v>202406</v>
      </c>
      <c r="B2961" s="1" t="str">
        <f t="shared" si="1776"/>
        <v>150525100</v>
      </c>
      <c r="C2961" s="1" t="str">
        <f>"1040647277"</f>
        <v>1040647277</v>
      </c>
      <c r="D2961" s="1" t="str">
        <f>"152326195602020912"</f>
        <v>152326195602020912</v>
      </c>
      <c r="E2961" s="1" t="s">
        <v>3028</v>
      </c>
      <c r="F2961" s="1" t="s">
        <v>25</v>
      </c>
      <c r="G2961" s="1" t="s">
        <v>19</v>
      </c>
      <c r="H2961" s="1" t="str">
        <f>"68"</f>
        <v>68</v>
      </c>
      <c r="I2961" s="1" t="str">
        <f>"174.16"</f>
        <v>174.16</v>
      </c>
      <c r="J2961" s="1" t="str">
        <f t="shared" ref="J2961:N2961" si="1794">"0"</f>
        <v>0</v>
      </c>
      <c r="K2961" s="1" t="str">
        <f t="shared" si="1762"/>
        <v>103</v>
      </c>
      <c r="L2961" s="1" t="str">
        <f t="shared" si="1763"/>
        <v>47</v>
      </c>
      <c r="M2961" s="1" t="str">
        <f t="shared" si="1794"/>
        <v>0</v>
      </c>
      <c r="N2961" s="1" t="str">
        <f t="shared" si="1794"/>
        <v>0</v>
      </c>
      <c r="O2961" s="1" t="str">
        <f>"24.16"</f>
        <v>24.16</v>
      </c>
    </row>
    <row r="2962" s="1" customFormat="1" spans="1:15">
      <c r="A2962" s="1" t="str">
        <f t="shared" si="1775"/>
        <v>202406</v>
      </c>
      <c r="B2962" s="1" t="str">
        <f t="shared" si="1776"/>
        <v>150525100</v>
      </c>
      <c r="C2962" s="1" t="str">
        <f>"1040647289"</f>
        <v>1040647289</v>
      </c>
      <c r="D2962" s="1" t="str">
        <f>"152326195410180911"</f>
        <v>152326195410180911</v>
      </c>
      <c r="E2962" s="1" t="s">
        <v>3029</v>
      </c>
      <c r="F2962" s="1" t="s">
        <v>25</v>
      </c>
      <c r="G2962" s="1" t="s">
        <v>19</v>
      </c>
      <c r="H2962" s="1" t="str">
        <f>"70"</f>
        <v>70</v>
      </c>
      <c r="I2962" s="1" t="str">
        <f>"153.52"</f>
        <v>153.52</v>
      </c>
      <c r="J2962" s="1" t="str">
        <f t="shared" ref="J2962:N2962" si="1795">"0"</f>
        <v>0</v>
      </c>
      <c r="K2962" s="1" t="str">
        <f t="shared" si="1762"/>
        <v>103</v>
      </c>
      <c r="L2962" s="1" t="str">
        <f t="shared" si="1763"/>
        <v>47</v>
      </c>
      <c r="M2962" s="1" t="str">
        <f t="shared" si="1795"/>
        <v>0</v>
      </c>
      <c r="N2962" s="1" t="str">
        <f t="shared" si="1795"/>
        <v>0</v>
      </c>
      <c r="O2962" s="1" t="str">
        <f>"3.52"</f>
        <v>3.52</v>
      </c>
    </row>
    <row r="2963" s="1" customFormat="1" spans="1:15">
      <c r="A2963" s="1" t="str">
        <f t="shared" si="1775"/>
        <v>202406</v>
      </c>
      <c r="B2963" s="1" t="str">
        <f t="shared" si="1776"/>
        <v>150525100</v>
      </c>
      <c r="C2963" s="1" t="str">
        <f>"1040647298"</f>
        <v>1040647298</v>
      </c>
      <c r="D2963" s="1" t="str">
        <f>"152326195504150916"</f>
        <v>152326195504150916</v>
      </c>
      <c r="E2963" s="1" t="s">
        <v>3030</v>
      </c>
      <c r="F2963" s="1" t="s">
        <v>25</v>
      </c>
      <c r="G2963" s="1" t="s">
        <v>19</v>
      </c>
      <c r="H2963" s="1" t="str">
        <f t="shared" ref="H2963:H2968" si="1796">"69"</f>
        <v>69</v>
      </c>
      <c r="I2963" s="1" t="str">
        <f>"154.48"</f>
        <v>154.48</v>
      </c>
      <c r="J2963" s="1" t="str">
        <f t="shared" ref="J2963:N2963" si="1797">"0"</f>
        <v>0</v>
      </c>
      <c r="K2963" s="1" t="str">
        <f t="shared" si="1762"/>
        <v>103</v>
      </c>
      <c r="L2963" s="1" t="str">
        <f t="shared" si="1763"/>
        <v>47</v>
      </c>
      <c r="M2963" s="1" t="str">
        <f t="shared" si="1797"/>
        <v>0</v>
      </c>
      <c r="N2963" s="1" t="str">
        <f t="shared" si="1797"/>
        <v>0</v>
      </c>
      <c r="O2963" s="1" t="str">
        <f>"4.48"</f>
        <v>4.48</v>
      </c>
    </row>
    <row r="2964" s="1" customFormat="1" spans="1:15">
      <c r="A2964" s="1" t="str">
        <f t="shared" si="1775"/>
        <v>202406</v>
      </c>
      <c r="B2964" s="1" t="str">
        <f t="shared" si="1776"/>
        <v>150525100</v>
      </c>
      <c r="C2964" s="1" t="str">
        <f>"1040647300"</f>
        <v>1040647300</v>
      </c>
      <c r="D2964" s="1" t="str">
        <f>"152326195705100966"</f>
        <v>152326195705100966</v>
      </c>
      <c r="E2964" s="1" t="s">
        <v>3031</v>
      </c>
      <c r="F2964" s="1" t="s">
        <v>16</v>
      </c>
      <c r="G2964" s="1" t="s">
        <v>19</v>
      </c>
      <c r="H2964" s="1" t="str">
        <f>"67"</f>
        <v>67</v>
      </c>
      <c r="I2964" s="1" t="str">
        <f>"158.59"</f>
        <v>158.59</v>
      </c>
      <c r="J2964" s="1" t="str">
        <f t="shared" ref="J2964:N2964" si="1798">"0"</f>
        <v>0</v>
      </c>
      <c r="K2964" s="1" t="str">
        <f t="shared" si="1762"/>
        <v>103</v>
      </c>
      <c r="L2964" s="1" t="str">
        <f t="shared" si="1763"/>
        <v>47</v>
      </c>
      <c r="M2964" s="1" t="str">
        <f t="shared" si="1798"/>
        <v>0</v>
      </c>
      <c r="N2964" s="1" t="str">
        <f t="shared" si="1798"/>
        <v>0</v>
      </c>
      <c r="O2964" s="1" t="str">
        <f>"8.59"</f>
        <v>8.59</v>
      </c>
    </row>
    <row r="2965" s="1" customFormat="1" spans="1:15">
      <c r="A2965" s="1" t="str">
        <f t="shared" si="1775"/>
        <v>202406</v>
      </c>
      <c r="B2965" s="1" t="str">
        <f t="shared" si="1776"/>
        <v>150525100</v>
      </c>
      <c r="C2965" s="1" t="str">
        <f>"1040647372"</f>
        <v>1040647372</v>
      </c>
      <c r="D2965" s="1" t="str">
        <f>"152326195406093823"</f>
        <v>152326195406093823</v>
      </c>
      <c r="E2965" s="1" t="s">
        <v>1125</v>
      </c>
      <c r="F2965" s="1" t="s">
        <v>16</v>
      </c>
      <c r="G2965" s="1" t="s">
        <v>17</v>
      </c>
      <c r="H2965" s="1" t="str">
        <f>"70"</f>
        <v>70</v>
      </c>
      <c r="I2965" s="1" t="str">
        <f>"153.55"</f>
        <v>153.55</v>
      </c>
      <c r="J2965" s="1" t="str">
        <f t="shared" ref="J2965:N2965" si="1799">"0"</f>
        <v>0</v>
      </c>
      <c r="K2965" s="1" t="str">
        <f t="shared" si="1762"/>
        <v>103</v>
      </c>
      <c r="L2965" s="1" t="str">
        <f t="shared" si="1763"/>
        <v>47</v>
      </c>
      <c r="M2965" s="1" t="str">
        <f t="shared" si="1799"/>
        <v>0</v>
      </c>
      <c r="N2965" s="1" t="str">
        <f t="shared" si="1799"/>
        <v>0</v>
      </c>
      <c r="O2965" s="1" t="str">
        <f>"3.55"</f>
        <v>3.55</v>
      </c>
    </row>
    <row r="2966" s="1" customFormat="1" spans="1:15">
      <c r="A2966" s="1" t="str">
        <f t="shared" si="1775"/>
        <v>202406</v>
      </c>
      <c r="B2966" s="1" t="str">
        <f t="shared" si="1776"/>
        <v>150525100</v>
      </c>
      <c r="C2966" s="1" t="str">
        <f>"1040648220"</f>
        <v>1040648220</v>
      </c>
      <c r="D2966" s="1" t="str">
        <f>"152326196006103070"</f>
        <v>152326196006103070</v>
      </c>
      <c r="E2966" s="1" t="s">
        <v>3032</v>
      </c>
      <c r="F2966" s="1" t="s">
        <v>25</v>
      </c>
      <c r="G2966" s="1" t="s">
        <v>19</v>
      </c>
      <c r="H2966" s="1" t="str">
        <f>"64"</f>
        <v>64</v>
      </c>
      <c r="I2966" s="1" t="str">
        <f>"158.6"</f>
        <v>158.6</v>
      </c>
      <c r="J2966" s="1" t="str">
        <f t="shared" ref="J2966:N2966" si="1800">"0"</f>
        <v>0</v>
      </c>
      <c r="K2966" s="1" t="str">
        <f t="shared" si="1762"/>
        <v>103</v>
      </c>
      <c r="L2966" s="1" t="str">
        <f t="shared" si="1763"/>
        <v>47</v>
      </c>
      <c r="M2966" s="1" t="str">
        <f t="shared" si="1800"/>
        <v>0</v>
      </c>
      <c r="N2966" s="1" t="str">
        <f t="shared" si="1800"/>
        <v>0</v>
      </c>
      <c r="O2966" s="1" t="str">
        <f>"8.6"</f>
        <v>8.6</v>
      </c>
    </row>
    <row r="2967" s="1" customFormat="1" spans="1:15">
      <c r="A2967" s="1" t="str">
        <f t="shared" si="1775"/>
        <v>202406</v>
      </c>
      <c r="B2967" s="1" t="str">
        <f t="shared" si="1776"/>
        <v>150525100</v>
      </c>
      <c r="C2967" s="1" t="str">
        <f>"1040647384"</f>
        <v>1040647384</v>
      </c>
      <c r="D2967" s="1" t="str">
        <f>"152326195503033822"</f>
        <v>152326195503033822</v>
      </c>
      <c r="E2967" s="1" t="s">
        <v>3033</v>
      </c>
      <c r="F2967" s="1" t="s">
        <v>16</v>
      </c>
      <c r="G2967" s="1" t="s">
        <v>17</v>
      </c>
      <c r="H2967" s="1" t="str">
        <f t="shared" si="1796"/>
        <v>69</v>
      </c>
      <c r="I2967" s="1" t="str">
        <f>"154.51"</f>
        <v>154.51</v>
      </c>
      <c r="J2967" s="1" t="str">
        <f t="shared" ref="J2967:N2967" si="1801">"0"</f>
        <v>0</v>
      </c>
      <c r="K2967" s="1" t="str">
        <f t="shared" si="1762"/>
        <v>103</v>
      </c>
      <c r="L2967" s="1" t="str">
        <f t="shared" si="1763"/>
        <v>47</v>
      </c>
      <c r="M2967" s="1" t="str">
        <f t="shared" si="1801"/>
        <v>0</v>
      </c>
      <c r="N2967" s="1" t="str">
        <f t="shared" si="1801"/>
        <v>0</v>
      </c>
      <c r="O2967" s="1" t="str">
        <f>"4.51"</f>
        <v>4.51</v>
      </c>
    </row>
    <row r="2968" s="1" customFormat="1" spans="1:15">
      <c r="A2968" s="1" t="str">
        <f t="shared" si="1775"/>
        <v>202406</v>
      </c>
      <c r="B2968" s="1" t="str">
        <f t="shared" si="1776"/>
        <v>150525100</v>
      </c>
      <c r="C2968" s="1" t="str">
        <f>"1040647391"</f>
        <v>1040647391</v>
      </c>
      <c r="D2968" s="1" t="str">
        <f>"152326195503123828"</f>
        <v>152326195503123828</v>
      </c>
      <c r="E2968" s="1" t="s">
        <v>3034</v>
      </c>
      <c r="F2968" s="1" t="s">
        <v>16</v>
      </c>
      <c r="G2968" s="1" t="s">
        <v>19</v>
      </c>
      <c r="H2968" s="1" t="str">
        <f t="shared" si="1796"/>
        <v>69</v>
      </c>
      <c r="I2968" s="1" t="str">
        <f>"154.51"</f>
        <v>154.51</v>
      </c>
      <c r="J2968" s="1" t="str">
        <f t="shared" ref="J2968:N2968" si="1802">"0"</f>
        <v>0</v>
      </c>
      <c r="K2968" s="1" t="str">
        <f t="shared" si="1762"/>
        <v>103</v>
      </c>
      <c r="L2968" s="1" t="str">
        <f t="shared" si="1763"/>
        <v>47</v>
      </c>
      <c r="M2968" s="1" t="str">
        <f t="shared" si="1802"/>
        <v>0</v>
      </c>
      <c r="N2968" s="1" t="str">
        <f t="shared" si="1802"/>
        <v>0</v>
      </c>
      <c r="O2968" s="1" t="str">
        <f>"4.51"</f>
        <v>4.51</v>
      </c>
    </row>
    <row r="2969" s="1" customFormat="1" spans="1:15">
      <c r="A2969" s="1" t="str">
        <f t="shared" si="1775"/>
        <v>202406</v>
      </c>
      <c r="B2969" s="1" t="str">
        <f t="shared" si="1776"/>
        <v>150525100</v>
      </c>
      <c r="C2969" s="1" t="str">
        <f>"1040647431"</f>
        <v>1040647431</v>
      </c>
      <c r="D2969" s="1" t="s">
        <v>3035</v>
      </c>
      <c r="E2969" s="1" t="s">
        <v>3036</v>
      </c>
      <c r="F2969" s="1" t="s">
        <v>16</v>
      </c>
      <c r="G2969" s="1" t="s">
        <v>17</v>
      </c>
      <c r="H2969" s="1" t="str">
        <f>"65"</f>
        <v>65</v>
      </c>
      <c r="I2969" s="1" t="str">
        <f>"157.5"</f>
        <v>157.5</v>
      </c>
      <c r="J2969" s="1" t="str">
        <f t="shared" ref="J2969:N2969" si="1803">"0"</f>
        <v>0</v>
      </c>
      <c r="K2969" s="1" t="str">
        <f t="shared" si="1762"/>
        <v>103</v>
      </c>
      <c r="L2969" s="1" t="str">
        <f t="shared" si="1763"/>
        <v>47</v>
      </c>
      <c r="M2969" s="1" t="str">
        <f t="shared" si="1803"/>
        <v>0</v>
      </c>
      <c r="N2969" s="1" t="str">
        <f t="shared" si="1803"/>
        <v>0</v>
      </c>
      <c r="O2969" s="1" t="str">
        <f>"7.5"</f>
        <v>7.5</v>
      </c>
    </row>
    <row r="2970" s="1" customFormat="1" spans="1:15">
      <c r="A2970" s="1" t="str">
        <f t="shared" si="1775"/>
        <v>202406</v>
      </c>
      <c r="B2970" s="1" t="str">
        <f t="shared" si="1776"/>
        <v>150525100</v>
      </c>
      <c r="C2970" s="1" t="str">
        <f>"1040647473"</f>
        <v>1040647473</v>
      </c>
      <c r="D2970" s="1" t="str">
        <f>"152326195602070696"</f>
        <v>152326195602070696</v>
      </c>
      <c r="E2970" s="1" t="s">
        <v>3037</v>
      </c>
      <c r="F2970" s="1" t="s">
        <v>25</v>
      </c>
      <c r="G2970" s="1" t="s">
        <v>19</v>
      </c>
      <c r="H2970" s="1" t="str">
        <f t="shared" ref="H2970:H2972" si="1804">"68"</f>
        <v>68</v>
      </c>
      <c r="I2970" s="1" t="str">
        <f>"160.12"</f>
        <v>160.12</v>
      </c>
      <c r="J2970" s="1" t="str">
        <f t="shared" ref="J2970:N2970" si="1805">"0"</f>
        <v>0</v>
      </c>
      <c r="K2970" s="1" t="str">
        <f t="shared" si="1762"/>
        <v>103</v>
      </c>
      <c r="L2970" s="1" t="str">
        <f t="shared" si="1763"/>
        <v>47</v>
      </c>
      <c r="M2970" s="1" t="str">
        <f t="shared" si="1805"/>
        <v>0</v>
      </c>
      <c r="N2970" s="1" t="str">
        <f t="shared" si="1805"/>
        <v>0</v>
      </c>
      <c r="O2970" s="1" t="str">
        <f>"10.12"</f>
        <v>10.12</v>
      </c>
    </row>
    <row r="2971" s="1" customFormat="1" spans="1:15">
      <c r="A2971" s="1" t="str">
        <f t="shared" si="1775"/>
        <v>202406</v>
      </c>
      <c r="B2971" s="1" t="str">
        <f t="shared" si="1776"/>
        <v>150525100</v>
      </c>
      <c r="C2971" s="1" t="str">
        <f>"1040647586"</f>
        <v>1040647586</v>
      </c>
      <c r="D2971" s="1" t="s">
        <v>3038</v>
      </c>
      <c r="E2971" s="1" t="s">
        <v>3039</v>
      </c>
      <c r="F2971" s="1" t="s">
        <v>16</v>
      </c>
      <c r="G2971" s="1" t="s">
        <v>19</v>
      </c>
      <c r="H2971" s="1" t="str">
        <f t="shared" si="1804"/>
        <v>68</v>
      </c>
      <c r="I2971" s="1" t="str">
        <f>"155.43"</f>
        <v>155.43</v>
      </c>
      <c r="J2971" s="1" t="str">
        <f t="shared" ref="J2971:N2971" si="1806">"0"</f>
        <v>0</v>
      </c>
      <c r="K2971" s="1" t="str">
        <f t="shared" si="1762"/>
        <v>103</v>
      </c>
      <c r="L2971" s="1" t="str">
        <f t="shared" si="1763"/>
        <v>47</v>
      </c>
      <c r="M2971" s="1" t="str">
        <f t="shared" si="1806"/>
        <v>0</v>
      </c>
      <c r="N2971" s="1" t="str">
        <f t="shared" si="1806"/>
        <v>0</v>
      </c>
      <c r="O2971" s="1" t="str">
        <f>"5.43"</f>
        <v>5.43</v>
      </c>
    </row>
    <row r="2972" s="1" customFormat="1" spans="1:15">
      <c r="A2972" s="1" t="str">
        <f t="shared" si="1775"/>
        <v>202406</v>
      </c>
      <c r="B2972" s="1" t="str">
        <f t="shared" si="1776"/>
        <v>150525100</v>
      </c>
      <c r="C2972" s="1" t="str">
        <f>"1040647604"</f>
        <v>1040647604</v>
      </c>
      <c r="D2972" s="1" t="str">
        <f>"152326195605246386"</f>
        <v>152326195605246386</v>
      </c>
      <c r="E2972" s="1" t="s">
        <v>3040</v>
      </c>
      <c r="F2972" s="1" t="s">
        <v>16</v>
      </c>
      <c r="G2972" s="1" t="s">
        <v>17</v>
      </c>
      <c r="H2972" s="1" t="str">
        <f t="shared" si="1804"/>
        <v>68</v>
      </c>
      <c r="I2972" s="1" t="str">
        <f>"155.43"</f>
        <v>155.43</v>
      </c>
      <c r="J2972" s="1" t="str">
        <f t="shared" ref="J2972:N2972" si="1807">"0"</f>
        <v>0</v>
      </c>
      <c r="K2972" s="1" t="str">
        <f t="shared" si="1762"/>
        <v>103</v>
      </c>
      <c r="L2972" s="1" t="str">
        <f t="shared" si="1763"/>
        <v>47</v>
      </c>
      <c r="M2972" s="1" t="str">
        <f t="shared" si="1807"/>
        <v>0</v>
      </c>
      <c r="N2972" s="1" t="str">
        <f t="shared" si="1807"/>
        <v>0</v>
      </c>
      <c r="O2972" s="1" t="str">
        <f>"5.43"</f>
        <v>5.43</v>
      </c>
    </row>
    <row r="2973" s="1" customFormat="1" spans="1:15">
      <c r="A2973" s="1" t="str">
        <f t="shared" si="1775"/>
        <v>202406</v>
      </c>
      <c r="B2973" s="1" t="str">
        <f t="shared" si="1776"/>
        <v>150525100</v>
      </c>
      <c r="C2973" s="1" t="str">
        <f>"1040687594"</f>
        <v>1040687594</v>
      </c>
      <c r="D2973" s="1" t="str">
        <f>"152326196208240663"</f>
        <v>152326196208240663</v>
      </c>
      <c r="E2973" s="1" t="s">
        <v>3041</v>
      </c>
      <c r="F2973" s="1" t="s">
        <v>16</v>
      </c>
      <c r="G2973" s="1" t="s">
        <v>17</v>
      </c>
      <c r="H2973" s="1" t="str">
        <f t="shared" ref="H2973:H2978" si="1808">"62"</f>
        <v>62</v>
      </c>
      <c r="I2973" s="1" t="str">
        <f>"992.16"</f>
        <v>992.16</v>
      </c>
      <c r="J2973" s="1" t="str">
        <f>"826.8"</f>
        <v>826.8</v>
      </c>
      <c r="K2973" s="1" t="str">
        <f>"618"</f>
        <v>618</v>
      </c>
      <c r="L2973" s="1" t="str">
        <f>"282"</f>
        <v>282</v>
      </c>
      <c r="M2973" s="1" t="str">
        <f>"0"</f>
        <v>0</v>
      </c>
      <c r="N2973" s="1" t="str">
        <f>"0"</f>
        <v>0</v>
      </c>
      <c r="O2973" s="1" t="str">
        <f>"92.16"</f>
        <v>92.16</v>
      </c>
    </row>
    <row r="2974" s="1" customFormat="1" spans="1:15">
      <c r="A2974" s="1" t="str">
        <f t="shared" si="1775"/>
        <v>202406</v>
      </c>
      <c r="B2974" s="1" t="str">
        <f t="shared" si="1776"/>
        <v>150525100</v>
      </c>
      <c r="C2974" s="1" t="str">
        <f>"1040687646"</f>
        <v>1040687646</v>
      </c>
      <c r="D2974" s="1" t="str">
        <f>"152326196212090661"</f>
        <v>152326196212090661</v>
      </c>
      <c r="E2974" s="1" t="s">
        <v>3042</v>
      </c>
      <c r="F2974" s="1" t="s">
        <v>16</v>
      </c>
      <c r="G2974" s="1" t="s">
        <v>17</v>
      </c>
      <c r="H2974" s="1" t="str">
        <f t="shared" si="1808"/>
        <v>62</v>
      </c>
      <c r="I2974" s="1" t="str">
        <f>"162.23"</f>
        <v>162.23</v>
      </c>
      <c r="J2974" s="1" t="str">
        <f t="shared" ref="J2974:N2974" si="1809">"0"</f>
        <v>0</v>
      </c>
      <c r="K2974" s="1" t="str">
        <f t="shared" ref="K2974:K3015" si="1810">"103"</f>
        <v>103</v>
      </c>
      <c r="L2974" s="1" t="str">
        <f t="shared" ref="L2974:L3015" si="1811">"47"</f>
        <v>47</v>
      </c>
      <c r="M2974" s="1" t="str">
        <f t="shared" si="1809"/>
        <v>0</v>
      </c>
      <c r="N2974" s="1" t="str">
        <f t="shared" si="1809"/>
        <v>0</v>
      </c>
      <c r="O2974" s="1" t="str">
        <f>"12.23"</f>
        <v>12.23</v>
      </c>
    </row>
    <row r="2975" s="1" customFormat="1" spans="1:15">
      <c r="A2975" s="1" t="str">
        <f t="shared" si="1775"/>
        <v>202406</v>
      </c>
      <c r="B2975" s="1" t="str">
        <f t="shared" si="1776"/>
        <v>150525100</v>
      </c>
      <c r="C2975" s="1" t="str">
        <f>"1040687657"</f>
        <v>1040687657</v>
      </c>
      <c r="D2975" s="1" t="str">
        <f>"152326196310230664"</f>
        <v>152326196310230664</v>
      </c>
      <c r="E2975" s="1" t="s">
        <v>3043</v>
      </c>
      <c r="F2975" s="1" t="s">
        <v>16</v>
      </c>
      <c r="G2975" s="1" t="s">
        <v>17</v>
      </c>
      <c r="H2975" s="1" t="str">
        <f>"61"</f>
        <v>61</v>
      </c>
      <c r="I2975" s="1" t="str">
        <f>"164.16"</f>
        <v>164.16</v>
      </c>
      <c r="J2975" s="1" t="str">
        <f t="shared" ref="J2975:N2975" si="1812">"0"</f>
        <v>0</v>
      </c>
      <c r="K2975" s="1" t="str">
        <f t="shared" si="1810"/>
        <v>103</v>
      </c>
      <c r="L2975" s="1" t="str">
        <f t="shared" si="1811"/>
        <v>47</v>
      </c>
      <c r="M2975" s="1" t="str">
        <f t="shared" si="1812"/>
        <v>0</v>
      </c>
      <c r="N2975" s="1" t="str">
        <f t="shared" si="1812"/>
        <v>0</v>
      </c>
      <c r="O2975" s="1" t="str">
        <f>"14.16"</f>
        <v>14.16</v>
      </c>
    </row>
    <row r="2976" s="1" customFormat="1" spans="1:15">
      <c r="A2976" s="1" t="str">
        <f t="shared" si="1775"/>
        <v>202406</v>
      </c>
      <c r="B2976" s="1" t="str">
        <f t="shared" si="1776"/>
        <v>150525100</v>
      </c>
      <c r="C2976" s="1" t="str">
        <f>"1040647638"</f>
        <v>1040647638</v>
      </c>
      <c r="D2976" s="1" t="str">
        <f>"152326195412266129"</f>
        <v>152326195412266129</v>
      </c>
      <c r="E2976" s="1" t="s">
        <v>980</v>
      </c>
      <c r="F2976" s="1" t="s">
        <v>16</v>
      </c>
      <c r="G2976" s="1" t="s">
        <v>19</v>
      </c>
      <c r="H2976" s="1" t="str">
        <f>"70"</f>
        <v>70</v>
      </c>
      <c r="I2976" s="1" t="str">
        <f>"153.56"</f>
        <v>153.56</v>
      </c>
      <c r="J2976" s="1" t="str">
        <f t="shared" ref="J2976:N2976" si="1813">"0"</f>
        <v>0</v>
      </c>
      <c r="K2976" s="1" t="str">
        <f t="shared" si="1810"/>
        <v>103</v>
      </c>
      <c r="L2976" s="1" t="str">
        <f t="shared" si="1811"/>
        <v>47</v>
      </c>
      <c r="M2976" s="1" t="str">
        <f t="shared" si="1813"/>
        <v>0</v>
      </c>
      <c r="N2976" s="1" t="str">
        <f t="shared" si="1813"/>
        <v>0</v>
      </c>
      <c r="O2976" s="1" t="str">
        <f>"3.56"</f>
        <v>3.56</v>
      </c>
    </row>
    <row r="2977" s="1" customFormat="1" spans="1:15">
      <c r="A2977" s="1" t="str">
        <f t="shared" si="1775"/>
        <v>202406</v>
      </c>
      <c r="B2977" s="1" t="str">
        <f t="shared" si="1776"/>
        <v>150525100</v>
      </c>
      <c r="C2977" s="1" t="str">
        <f>"1040647743"</f>
        <v>1040647743</v>
      </c>
      <c r="D2977" s="1" t="str">
        <f>"152326195410273317"</f>
        <v>152326195410273317</v>
      </c>
      <c r="E2977" s="1" t="s">
        <v>3044</v>
      </c>
      <c r="F2977" s="1" t="s">
        <v>25</v>
      </c>
      <c r="G2977" s="1" t="s">
        <v>19</v>
      </c>
      <c r="H2977" s="1" t="str">
        <f>"70"</f>
        <v>70</v>
      </c>
      <c r="I2977" s="1" t="str">
        <f>"153.56"</f>
        <v>153.56</v>
      </c>
      <c r="J2977" s="1" t="str">
        <f t="shared" ref="J2977:N2977" si="1814">"0"</f>
        <v>0</v>
      </c>
      <c r="K2977" s="1" t="str">
        <f t="shared" si="1810"/>
        <v>103</v>
      </c>
      <c r="L2977" s="1" t="str">
        <f t="shared" si="1811"/>
        <v>47</v>
      </c>
      <c r="M2977" s="1" t="str">
        <f t="shared" si="1814"/>
        <v>0</v>
      </c>
      <c r="N2977" s="1" t="str">
        <f t="shared" si="1814"/>
        <v>0</v>
      </c>
      <c r="O2977" s="1" t="str">
        <f>"3.56"</f>
        <v>3.56</v>
      </c>
    </row>
    <row r="2978" s="1" customFormat="1" spans="1:15">
      <c r="A2978" s="1" t="str">
        <f t="shared" si="1775"/>
        <v>202406</v>
      </c>
      <c r="B2978" s="1" t="str">
        <f t="shared" si="1776"/>
        <v>150525100</v>
      </c>
      <c r="C2978" s="1" t="str">
        <f>"1040687690"</f>
        <v>1040687690</v>
      </c>
      <c r="D2978" s="1" t="str">
        <f>"152326196212140673"</f>
        <v>152326196212140673</v>
      </c>
      <c r="E2978" s="1" t="s">
        <v>3045</v>
      </c>
      <c r="F2978" s="1" t="s">
        <v>25</v>
      </c>
      <c r="G2978" s="1" t="s">
        <v>17</v>
      </c>
      <c r="H2978" s="1" t="str">
        <f t="shared" si="1808"/>
        <v>62</v>
      </c>
      <c r="I2978" s="1" t="str">
        <f>"162.23"</f>
        <v>162.23</v>
      </c>
      <c r="J2978" s="1" t="str">
        <f t="shared" ref="J2978:N2978" si="1815">"0"</f>
        <v>0</v>
      </c>
      <c r="K2978" s="1" t="str">
        <f t="shared" si="1810"/>
        <v>103</v>
      </c>
      <c r="L2978" s="1" t="str">
        <f t="shared" si="1811"/>
        <v>47</v>
      </c>
      <c r="M2978" s="1" t="str">
        <f t="shared" si="1815"/>
        <v>0</v>
      </c>
      <c r="N2978" s="1" t="str">
        <f t="shared" si="1815"/>
        <v>0</v>
      </c>
      <c r="O2978" s="1" t="str">
        <f>"12.23"</f>
        <v>12.23</v>
      </c>
    </row>
    <row r="2979" s="1" customFormat="1" spans="1:15">
      <c r="A2979" s="1" t="str">
        <f t="shared" si="1775"/>
        <v>202406</v>
      </c>
      <c r="B2979" s="1" t="str">
        <f t="shared" si="1776"/>
        <v>150525100</v>
      </c>
      <c r="C2979" s="1" t="str">
        <f>"1040647783"</f>
        <v>1040647783</v>
      </c>
      <c r="D2979" s="1" t="str">
        <f>"152326195502123324"</f>
        <v>152326195502123324</v>
      </c>
      <c r="E2979" s="1" t="s">
        <v>3046</v>
      </c>
      <c r="F2979" s="1" t="s">
        <v>16</v>
      </c>
      <c r="G2979" s="1" t="s">
        <v>19</v>
      </c>
      <c r="H2979" s="1" t="str">
        <f t="shared" ref="H2979:H2983" si="1816">"69"</f>
        <v>69</v>
      </c>
      <c r="I2979" s="1" t="str">
        <f>"154.27"</f>
        <v>154.27</v>
      </c>
      <c r="J2979" s="1" t="str">
        <f t="shared" ref="J2979:N2979" si="1817">"0"</f>
        <v>0</v>
      </c>
      <c r="K2979" s="1" t="str">
        <f t="shared" si="1810"/>
        <v>103</v>
      </c>
      <c r="L2979" s="1" t="str">
        <f t="shared" si="1811"/>
        <v>47</v>
      </c>
      <c r="M2979" s="1" t="str">
        <f t="shared" si="1817"/>
        <v>0</v>
      </c>
      <c r="N2979" s="1" t="str">
        <f t="shared" si="1817"/>
        <v>0</v>
      </c>
      <c r="O2979" s="1" t="str">
        <f>"4.27"</f>
        <v>4.27</v>
      </c>
    </row>
    <row r="2980" s="1" customFormat="1" spans="1:15">
      <c r="A2980" s="1" t="str">
        <f t="shared" si="1775"/>
        <v>202406</v>
      </c>
      <c r="B2980" s="1" t="str">
        <f t="shared" si="1776"/>
        <v>150525100</v>
      </c>
      <c r="C2980" s="1" t="str">
        <f>"1040687778"</f>
        <v>1040687778</v>
      </c>
      <c r="D2980" s="1" t="str">
        <f>"152326195501140069"</f>
        <v>152326195501140069</v>
      </c>
      <c r="E2980" s="1" t="s">
        <v>3047</v>
      </c>
      <c r="F2980" s="1" t="s">
        <v>16</v>
      </c>
      <c r="G2980" s="1" t="s">
        <v>19</v>
      </c>
      <c r="H2980" s="1" t="str">
        <f t="shared" si="1816"/>
        <v>69</v>
      </c>
      <c r="I2980" s="1" t="str">
        <f>"154.2"</f>
        <v>154.2</v>
      </c>
      <c r="J2980" s="1" t="str">
        <f t="shared" ref="J2980:N2980" si="1818">"0"</f>
        <v>0</v>
      </c>
      <c r="K2980" s="1" t="str">
        <f t="shared" si="1810"/>
        <v>103</v>
      </c>
      <c r="L2980" s="1" t="str">
        <f t="shared" si="1811"/>
        <v>47</v>
      </c>
      <c r="M2980" s="1" t="str">
        <f t="shared" si="1818"/>
        <v>0</v>
      </c>
      <c r="N2980" s="1" t="str">
        <f t="shared" si="1818"/>
        <v>0</v>
      </c>
      <c r="O2980" s="1" t="str">
        <f>"4.2"</f>
        <v>4.2</v>
      </c>
    </row>
    <row r="2981" s="1" customFormat="1" spans="1:15">
      <c r="A2981" s="1" t="str">
        <f t="shared" si="1775"/>
        <v>202406</v>
      </c>
      <c r="B2981" s="1" t="str">
        <f t="shared" si="1776"/>
        <v>150525100</v>
      </c>
      <c r="C2981" s="1" t="str">
        <f>"1040687779"</f>
        <v>1040687779</v>
      </c>
      <c r="D2981" s="1" t="str">
        <f>"152326196302180687"</f>
        <v>152326196302180687</v>
      </c>
      <c r="E2981" s="1" t="s">
        <v>501</v>
      </c>
      <c r="F2981" s="1" t="s">
        <v>16</v>
      </c>
      <c r="G2981" s="1" t="s">
        <v>17</v>
      </c>
      <c r="H2981" s="1" t="str">
        <f>"61"</f>
        <v>61</v>
      </c>
      <c r="I2981" s="1" t="str">
        <f>"164.3"</f>
        <v>164.3</v>
      </c>
      <c r="J2981" s="1" t="str">
        <f t="shared" ref="J2981:N2981" si="1819">"0"</f>
        <v>0</v>
      </c>
      <c r="K2981" s="1" t="str">
        <f t="shared" si="1810"/>
        <v>103</v>
      </c>
      <c r="L2981" s="1" t="str">
        <f t="shared" si="1811"/>
        <v>47</v>
      </c>
      <c r="M2981" s="1" t="str">
        <f t="shared" si="1819"/>
        <v>0</v>
      </c>
      <c r="N2981" s="1" t="str">
        <f t="shared" si="1819"/>
        <v>0</v>
      </c>
      <c r="O2981" s="1" t="str">
        <f>"14.3"</f>
        <v>14.3</v>
      </c>
    </row>
    <row r="2982" s="1" customFormat="1" spans="1:15">
      <c r="A2982" s="1" t="str">
        <f t="shared" si="1775"/>
        <v>202406</v>
      </c>
      <c r="B2982" s="1" t="str">
        <f t="shared" si="1776"/>
        <v>150525100</v>
      </c>
      <c r="C2982" s="1" t="str">
        <f>"1040687794"</f>
        <v>1040687794</v>
      </c>
      <c r="D2982" s="1" t="str">
        <f>"152326196208020679"</f>
        <v>152326196208020679</v>
      </c>
      <c r="E2982" s="1" t="s">
        <v>3048</v>
      </c>
      <c r="F2982" s="1" t="s">
        <v>25</v>
      </c>
      <c r="G2982" s="1" t="s">
        <v>17</v>
      </c>
      <c r="H2982" s="1" t="str">
        <f t="shared" ref="H2982:H2986" si="1820">"62"</f>
        <v>62</v>
      </c>
      <c r="I2982" s="1" t="str">
        <f>"162.11"</f>
        <v>162.11</v>
      </c>
      <c r="J2982" s="1" t="str">
        <f t="shared" ref="J2982:N2982" si="1821">"0"</f>
        <v>0</v>
      </c>
      <c r="K2982" s="1" t="str">
        <f t="shared" si="1810"/>
        <v>103</v>
      </c>
      <c r="L2982" s="1" t="str">
        <f t="shared" si="1811"/>
        <v>47</v>
      </c>
      <c r="M2982" s="1" t="str">
        <f t="shared" si="1821"/>
        <v>0</v>
      </c>
      <c r="N2982" s="1" t="str">
        <f t="shared" si="1821"/>
        <v>0</v>
      </c>
      <c r="O2982" s="1" t="str">
        <f>"12.11"</f>
        <v>12.11</v>
      </c>
    </row>
    <row r="2983" s="1" customFormat="1" spans="1:15">
      <c r="A2983" s="1" t="str">
        <f t="shared" si="1775"/>
        <v>202406</v>
      </c>
      <c r="B2983" s="1" t="str">
        <f t="shared" si="1776"/>
        <v>150525100</v>
      </c>
      <c r="C2983" s="1" t="str">
        <f>"1040687809"</f>
        <v>1040687809</v>
      </c>
      <c r="D2983" s="1" t="str">
        <f>"152326195504200661"</f>
        <v>152326195504200661</v>
      </c>
      <c r="E2983" s="1" t="s">
        <v>3049</v>
      </c>
      <c r="F2983" s="1" t="s">
        <v>16</v>
      </c>
      <c r="G2983" s="1" t="s">
        <v>17</v>
      </c>
      <c r="H2983" s="1" t="str">
        <f t="shared" si="1816"/>
        <v>69</v>
      </c>
      <c r="I2983" s="1" t="str">
        <f>"154.2"</f>
        <v>154.2</v>
      </c>
      <c r="J2983" s="1" t="str">
        <f t="shared" ref="J2983:N2983" si="1822">"0"</f>
        <v>0</v>
      </c>
      <c r="K2983" s="1" t="str">
        <f t="shared" si="1810"/>
        <v>103</v>
      </c>
      <c r="L2983" s="1" t="str">
        <f t="shared" si="1811"/>
        <v>47</v>
      </c>
      <c r="M2983" s="1" t="str">
        <f t="shared" si="1822"/>
        <v>0</v>
      </c>
      <c r="N2983" s="1" t="str">
        <f t="shared" si="1822"/>
        <v>0</v>
      </c>
      <c r="O2983" s="1" t="str">
        <f>"4.2"</f>
        <v>4.2</v>
      </c>
    </row>
    <row r="2984" s="1" customFormat="1" spans="1:15">
      <c r="A2984" s="1" t="str">
        <f t="shared" si="1775"/>
        <v>202406</v>
      </c>
      <c r="B2984" s="1" t="str">
        <f t="shared" si="1776"/>
        <v>150525100</v>
      </c>
      <c r="C2984" s="1" t="str">
        <f>"1040687810"</f>
        <v>1040687810</v>
      </c>
      <c r="D2984" s="1" t="str">
        <f>"152326196204060673"</f>
        <v>152326196204060673</v>
      </c>
      <c r="E2984" s="1" t="s">
        <v>3050</v>
      </c>
      <c r="F2984" s="1" t="s">
        <v>25</v>
      </c>
      <c r="G2984" s="1" t="s">
        <v>19</v>
      </c>
      <c r="H2984" s="1" t="str">
        <f t="shared" si="1820"/>
        <v>62</v>
      </c>
      <c r="I2984" s="1" t="str">
        <f>"161.99"</f>
        <v>161.99</v>
      </c>
      <c r="J2984" s="1" t="str">
        <f t="shared" ref="J2984:N2984" si="1823">"0"</f>
        <v>0</v>
      </c>
      <c r="K2984" s="1" t="str">
        <f t="shared" si="1810"/>
        <v>103</v>
      </c>
      <c r="L2984" s="1" t="str">
        <f t="shared" si="1811"/>
        <v>47</v>
      </c>
      <c r="M2984" s="1" t="str">
        <f t="shared" si="1823"/>
        <v>0</v>
      </c>
      <c r="N2984" s="1" t="str">
        <f t="shared" si="1823"/>
        <v>0</v>
      </c>
      <c r="O2984" s="1" t="str">
        <f>"11.99"</f>
        <v>11.99</v>
      </c>
    </row>
    <row r="2985" s="1" customFormat="1" spans="1:15">
      <c r="A2985" s="1" t="str">
        <f t="shared" si="1775"/>
        <v>202406</v>
      </c>
      <c r="B2985" s="1" t="str">
        <f t="shared" si="1776"/>
        <v>150525100</v>
      </c>
      <c r="C2985" s="1" t="str">
        <f>"1040687818"</f>
        <v>1040687818</v>
      </c>
      <c r="D2985" s="1" t="str">
        <f>"152326195710193335"</f>
        <v>152326195710193335</v>
      </c>
      <c r="E2985" s="1" t="s">
        <v>3051</v>
      </c>
      <c r="F2985" s="1" t="s">
        <v>25</v>
      </c>
      <c r="G2985" s="1" t="s">
        <v>17</v>
      </c>
      <c r="H2985" s="1" t="str">
        <f>"67"</f>
        <v>67</v>
      </c>
      <c r="I2985" s="1" t="str">
        <f>"155.2"</f>
        <v>155.2</v>
      </c>
      <c r="J2985" s="1" t="str">
        <f t="shared" ref="J2985:N2985" si="1824">"0"</f>
        <v>0</v>
      </c>
      <c r="K2985" s="1" t="str">
        <f t="shared" si="1810"/>
        <v>103</v>
      </c>
      <c r="L2985" s="1" t="str">
        <f t="shared" si="1811"/>
        <v>47</v>
      </c>
      <c r="M2985" s="1" t="str">
        <f t="shared" si="1824"/>
        <v>0</v>
      </c>
      <c r="N2985" s="1" t="str">
        <f t="shared" si="1824"/>
        <v>0</v>
      </c>
      <c r="O2985" s="1" t="str">
        <f>"5.2"</f>
        <v>5.2</v>
      </c>
    </row>
    <row r="2986" s="1" customFormat="1" spans="1:15">
      <c r="A2986" s="1" t="str">
        <f t="shared" si="1775"/>
        <v>202406</v>
      </c>
      <c r="B2986" s="1" t="str">
        <f t="shared" si="1776"/>
        <v>150525100</v>
      </c>
      <c r="C2986" s="1" t="str">
        <f>"1040687836"</f>
        <v>1040687836</v>
      </c>
      <c r="D2986" s="1" t="str">
        <f>"152326196208153818"</f>
        <v>152326196208153818</v>
      </c>
      <c r="E2986" s="1" t="s">
        <v>3052</v>
      </c>
      <c r="F2986" s="1" t="s">
        <v>25</v>
      </c>
      <c r="G2986" s="1" t="s">
        <v>19</v>
      </c>
      <c r="H2986" s="1" t="str">
        <f t="shared" si="1820"/>
        <v>62</v>
      </c>
      <c r="I2986" s="1" t="str">
        <f>"162.11"</f>
        <v>162.11</v>
      </c>
      <c r="J2986" s="1" t="str">
        <f t="shared" ref="J2986:N2986" si="1825">"0"</f>
        <v>0</v>
      </c>
      <c r="K2986" s="1" t="str">
        <f t="shared" si="1810"/>
        <v>103</v>
      </c>
      <c r="L2986" s="1" t="str">
        <f t="shared" si="1811"/>
        <v>47</v>
      </c>
      <c r="M2986" s="1" t="str">
        <f t="shared" si="1825"/>
        <v>0</v>
      </c>
      <c r="N2986" s="1" t="str">
        <f t="shared" si="1825"/>
        <v>0</v>
      </c>
      <c r="O2986" s="1" t="str">
        <f>"12.11"</f>
        <v>12.11</v>
      </c>
    </row>
    <row r="2987" s="1" customFormat="1" spans="1:15">
      <c r="A2987" s="1" t="str">
        <f t="shared" si="1775"/>
        <v>202406</v>
      </c>
      <c r="B2987" s="1" t="str">
        <f t="shared" si="1776"/>
        <v>150525100</v>
      </c>
      <c r="C2987" s="1" t="str">
        <f>"1040687848"</f>
        <v>1040687848</v>
      </c>
      <c r="D2987" s="1" t="str">
        <f>"152326195212173817"</f>
        <v>152326195212173817</v>
      </c>
      <c r="E2987" s="1" t="s">
        <v>3053</v>
      </c>
      <c r="F2987" s="1" t="s">
        <v>25</v>
      </c>
      <c r="G2987" s="1" t="s">
        <v>17</v>
      </c>
      <c r="H2987" s="1" t="str">
        <f>"72"</f>
        <v>72</v>
      </c>
      <c r="I2987" s="1" t="str">
        <f>"161.51"</f>
        <v>161.51</v>
      </c>
      <c r="J2987" s="1" t="str">
        <f t="shared" ref="J2987:N2987" si="1826">"0"</f>
        <v>0</v>
      </c>
      <c r="K2987" s="1" t="str">
        <f t="shared" si="1810"/>
        <v>103</v>
      </c>
      <c r="L2987" s="1" t="str">
        <f t="shared" si="1811"/>
        <v>47</v>
      </c>
      <c r="M2987" s="1" t="str">
        <f t="shared" si="1826"/>
        <v>0</v>
      </c>
      <c r="N2987" s="1" t="str">
        <f t="shared" si="1826"/>
        <v>0</v>
      </c>
      <c r="O2987" s="1" t="str">
        <f>"1.51"</f>
        <v>1.51</v>
      </c>
    </row>
    <row r="2988" s="1" customFormat="1" spans="1:15">
      <c r="A2988" s="1" t="str">
        <f t="shared" si="1775"/>
        <v>202406</v>
      </c>
      <c r="B2988" s="1" t="str">
        <f t="shared" si="1776"/>
        <v>150525100</v>
      </c>
      <c r="C2988" s="1" t="str">
        <f>"1040687857"</f>
        <v>1040687857</v>
      </c>
      <c r="D2988" s="1" t="str">
        <f>"152326195510120422"</f>
        <v>152326195510120422</v>
      </c>
      <c r="E2988" s="1" t="s">
        <v>3054</v>
      </c>
      <c r="F2988" s="1" t="s">
        <v>16</v>
      </c>
      <c r="G2988" s="1" t="s">
        <v>19</v>
      </c>
      <c r="H2988" s="1" t="str">
        <f>"69"</f>
        <v>69</v>
      </c>
      <c r="I2988" s="1" t="str">
        <f>"154.2"</f>
        <v>154.2</v>
      </c>
      <c r="J2988" s="1" t="str">
        <f t="shared" ref="J2988:N2988" si="1827">"0"</f>
        <v>0</v>
      </c>
      <c r="K2988" s="1" t="str">
        <f t="shared" si="1810"/>
        <v>103</v>
      </c>
      <c r="L2988" s="1" t="str">
        <f t="shared" si="1811"/>
        <v>47</v>
      </c>
      <c r="M2988" s="1" t="str">
        <f t="shared" si="1827"/>
        <v>0</v>
      </c>
      <c r="N2988" s="1" t="str">
        <f t="shared" si="1827"/>
        <v>0</v>
      </c>
      <c r="O2988" s="1" t="str">
        <f>"4.2"</f>
        <v>4.2</v>
      </c>
    </row>
    <row r="2989" s="1" customFormat="1" spans="1:15">
      <c r="A2989" s="1" t="str">
        <f t="shared" si="1775"/>
        <v>202406</v>
      </c>
      <c r="B2989" s="1" t="str">
        <f t="shared" si="1776"/>
        <v>150525100</v>
      </c>
      <c r="C2989" s="1" t="str">
        <f>"1040653691"</f>
        <v>1040653691</v>
      </c>
      <c r="D2989" s="1" t="str">
        <f>"152326196403143076"</f>
        <v>152326196403143076</v>
      </c>
      <c r="E2989" s="1" t="s">
        <v>3055</v>
      </c>
      <c r="F2989" s="1" t="s">
        <v>25</v>
      </c>
      <c r="G2989" s="1" t="s">
        <v>19</v>
      </c>
      <c r="H2989" s="1" t="str">
        <f>"60"</f>
        <v>60</v>
      </c>
      <c r="I2989" s="1" t="str">
        <f>"166.38"</f>
        <v>166.38</v>
      </c>
      <c r="J2989" s="1" t="str">
        <f t="shared" ref="J2989:N2989" si="1828">"0"</f>
        <v>0</v>
      </c>
      <c r="K2989" s="1" t="str">
        <f t="shared" si="1810"/>
        <v>103</v>
      </c>
      <c r="L2989" s="1" t="str">
        <f t="shared" si="1811"/>
        <v>47</v>
      </c>
      <c r="M2989" s="1" t="str">
        <f t="shared" si="1828"/>
        <v>0</v>
      </c>
      <c r="N2989" s="1" t="str">
        <f t="shared" si="1828"/>
        <v>0</v>
      </c>
      <c r="O2989" s="1" t="str">
        <f>"16.38"</f>
        <v>16.38</v>
      </c>
    </row>
    <row r="2990" s="1" customFormat="1" spans="1:15">
      <c r="A2990" s="1" t="str">
        <f t="shared" si="1775"/>
        <v>202406</v>
      </c>
      <c r="B2990" s="1" t="str">
        <f t="shared" si="1776"/>
        <v>150525100</v>
      </c>
      <c r="C2990" s="1" t="str">
        <f>"1040653695"</f>
        <v>1040653695</v>
      </c>
      <c r="D2990" s="1" t="str">
        <f>"152326195902163106"</f>
        <v>152326195902163106</v>
      </c>
      <c r="E2990" s="1" t="s">
        <v>3056</v>
      </c>
      <c r="F2990" s="1" t="s">
        <v>16</v>
      </c>
      <c r="G2990" s="1" t="s">
        <v>19</v>
      </c>
      <c r="H2990" s="1" t="str">
        <f>"65"</f>
        <v>65</v>
      </c>
      <c r="I2990" s="1" t="str">
        <f>"157.75"</f>
        <v>157.75</v>
      </c>
      <c r="J2990" s="1" t="str">
        <f t="shared" ref="J2990:N2990" si="1829">"0"</f>
        <v>0</v>
      </c>
      <c r="K2990" s="1" t="str">
        <f t="shared" si="1810"/>
        <v>103</v>
      </c>
      <c r="L2990" s="1" t="str">
        <f t="shared" si="1811"/>
        <v>47</v>
      </c>
      <c r="M2990" s="1" t="str">
        <f t="shared" si="1829"/>
        <v>0</v>
      </c>
      <c r="N2990" s="1" t="str">
        <f t="shared" si="1829"/>
        <v>0</v>
      </c>
      <c r="O2990" s="1" t="str">
        <f>"7.75"</f>
        <v>7.75</v>
      </c>
    </row>
    <row r="2991" s="1" customFormat="1" spans="1:15">
      <c r="A2991" s="1" t="str">
        <f t="shared" si="1775"/>
        <v>202406</v>
      </c>
      <c r="B2991" s="1" t="str">
        <f t="shared" si="1776"/>
        <v>150525100</v>
      </c>
      <c r="C2991" s="1" t="str">
        <f>"1040688113"</f>
        <v>1040688113</v>
      </c>
      <c r="D2991" s="1" t="str">
        <f>"152326195912200433"</f>
        <v>152326195912200433</v>
      </c>
      <c r="E2991" s="1" t="s">
        <v>558</v>
      </c>
      <c r="F2991" s="1" t="s">
        <v>25</v>
      </c>
      <c r="G2991" s="1" t="s">
        <v>17</v>
      </c>
      <c r="H2991" s="1" t="str">
        <f>"65"</f>
        <v>65</v>
      </c>
      <c r="I2991" s="1" t="str">
        <f>"158.23"</f>
        <v>158.23</v>
      </c>
      <c r="J2991" s="1" t="str">
        <f t="shared" ref="J2991:N2991" si="1830">"0"</f>
        <v>0</v>
      </c>
      <c r="K2991" s="1" t="str">
        <f t="shared" si="1810"/>
        <v>103</v>
      </c>
      <c r="L2991" s="1" t="str">
        <f t="shared" si="1811"/>
        <v>47</v>
      </c>
      <c r="M2991" s="1" t="str">
        <f t="shared" si="1830"/>
        <v>0</v>
      </c>
      <c r="N2991" s="1" t="str">
        <f t="shared" si="1830"/>
        <v>0</v>
      </c>
      <c r="O2991" s="1" t="str">
        <f>"8.23"</f>
        <v>8.23</v>
      </c>
    </row>
    <row r="2992" s="1" customFormat="1" spans="1:15">
      <c r="A2992" s="1" t="str">
        <f t="shared" si="1775"/>
        <v>202406</v>
      </c>
      <c r="B2992" s="1" t="str">
        <f t="shared" si="1776"/>
        <v>150525100</v>
      </c>
      <c r="C2992" s="1" t="str">
        <f>"1040688127"</f>
        <v>1040688127</v>
      </c>
      <c r="D2992" s="1" t="str">
        <f>"152326195510200465"</f>
        <v>152326195510200465</v>
      </c>
      <c r="E2992" s="1" t="s">
        <v>3057</v>
      </c>
      <c r="F2992" s="1" t="s">
        <v>16</v>
      </c>
      <c r="G2992" s="1" t="s">
        <v>17</v>
      </c>
      <c r="H2992" s="1" t="str">
        <f>"69"</f>
        <v>69</v>
      </c>
      <c r="I2992" s="1" t="str">
        <f>"169.58"</f>
        <v>169.58</v>
      </c>
      <c r="J2992" s="1" t="str">
        <f t="shared" ref="J2992:N2992" si="1831">"0"</f>
        <v>0</v>
      </c>
      <c r="K2992" s="1" t="str">
        <f t="shared" si="1810"/>
        <v>103</v>
      </c>
      <c r="L2992" s="1" t="str">
        <f t="shared" si="1811"/>
        <v>47</v>
      </c>
      <c r="M2992" s="1" t="str">
        <f t="shared" si="1831"/>
        <v>0</v>
      </c>
      <c r="N2992" s="1" t="str">
        <f t="shared" si="1831"/>
        <v>0</v>
      </c>
      <c r="O2992" s="1" t="str">
        <f>"19.58"</f>
        <v>19.58</v>
      </c>
    </row>
    <row r="2993" s="1" customFormat="1" spans="1:15">
      <c r="A2993" s="1" t="str">
        <f t="shared" si="1775"/>
        <v>202406</v>
      </c>
      <c r="B2993" s="1" t="str">
        <f t="shared" si="1776"/>
        <v>150525100</v>
      </c>
      <c r="C2993" s="1" t="str">
        <f>"1040688149"</f>
        <v>1040688149</v>
      </c>
      <c r="D2993" s="1" t="str">
        <f>"152326196312120426"</f>
        <v>152326196312120426</v>
      </c>
      <c r="E2993" s="1" t="s">
        <v>3058</v>
      </c>
      <c r="F2993" s="1" t="s">
        <v>16</v>
      </c>
      <c r="G2993" s="1" t="s">
        <v>17</v>
      </c>
      <c r="H2993" s="1" t="str">
        <f>"61"</f>
        <v>61</v>
      </c>
      <c r="I2993" s="1" t="str">
        <f>"164.09"</f>
        <v>164.09</v>
      </c>
      <c r="J2993" s="1" t="str">
        <f t="shared" ref="J2993:N2993" si="1832">"0"</f>
        <v>0</v>
      </c>
      <c r="K2993" s="1" t="str">
        <f t="shared" si="1810"/>
        <v>103</v>
      </c>
      <c r="L2993" s="1" t="str">
        <f t="shared" si="1811"/>
        <v>47</v>
      </c>
      <c r="M2993" s="1" t="str">
        <f t="shared" si="1832"/>
        <v>0</v>
      </c>
      <c r="N2993" s="1" t="str">
        <f t="shared" si="1832"/>
        <v>0</v>
      </c>
      <c r="O2993" s="1" t="str">
        <f>"14.09"</f>
        <v>14.09</v>
      </c>
    </row>
    <row r="2994" s="1" customFormat="1" spans="1:15">
      <c r="A2994" s="1" t="str">
        <f t="shared" si="1775"/>
        <v>202406</v>
      </c>
      <c r="B2994" s="1" t="str">
        <f t="shared" si="1776"/>
        <v>150525100</v>
      </c>
      <c r="C2994" s="1" t="str">
        <f>"1040688150"</f>
        <v>1040688150</v>
      </c>
      <c r="D2994" s="1" t="str">
        <f>"152326196309010445"</f>
        <v>152326196309010445</v>
      </c>
      <c r="E2994" s="1" t="s">
        <v>3059</v>
      </c>
      <c r="F2994" s="1" t="s">
        <v>16</v>
      </c>
      <c r="G2994" s="1" t="s">
        <v>17</v>
      </c>
      <c r="H2994" s="1" t="str">
        <f>"61"</f>
        <v>61</v>
      </c>
      <c r="I2994" s="1" t="str">
        <f>"164.07"</f>
        <v>164.07</v>
      </c>
      <c r="J2994" s="1" t="str">
        <f t="shared" ref="J2994:N2994" si="1833">"0"</f>
        <v>0</v>
      </c>
      <c r="K2994" s="1" t="str">
        <f t="shared" si="1810"/>
        <v>103</v>
      </c>
      <c r="L2994" s="1" t="str">
        <f t="shared" si="1811"/>
        <v>47</v>
      </c>
      <c r="M2994" s="1" t="str">
        <f t="shared" si="1833"/>
        <v>0</v>
      </c>
      <c r="N2994" s="1" t="str">
        <f t="shared" si="1833"/>
        <v>0</v>
      </c>
      <c r="O2994" s="1" t="str">
        <f>"14.07"</f>
        <v>14.07</v>
      </c>
    </row>
    <row r="2995" s="1" customFormat="1" spans="1:15">
      <c r="A2995" s="1" t="str">
        <f t="shared" si="1775"/>
        <v>202406</v>
      </c>
      <c r="B2995" s="1" t="str">
        <f t="shared" si="1776"/>
        <v>150525100</v>
      </c>
      <c r="C2995" s="1" t="str">
        <f>"1040688159"</f>
        <v>1040688159</v>
      </c>
      <c r="D2995" s="1" t="str">
        <f>"152326195806090429"</f>
        <v>152326195806090429</v>
      </c>
      <c r="E2995" s="1" t="s">
        <v>3060</v>
      </c>
      <c r="F2995" s="1" t="s">
        <v>16</v>
      </c>
      <c r="G2995" s="1" t="s">
        <v>17</v>
      </c>
      <c r="H2995" s="1" t="str">
        <f>"66"</f>
        <v>66</v>
      </c>
      <c r="I2995" s="1" t="str">
        <f>"156.19"</f>
        <v>156.19</v>
      </c>
      <c r="J2995" s="1" t="str">
        <f t="shared" ref="J2995:N2995" si="1834">"0"</f>
        <v>0</v>
      </c>
      <c r="K2995" s="1" t="str">
        <f t="shared" si="1810"/>
        <v>103</v>
      </c>
      <c r="L2995" s="1" t="str">
        <f t="shared" si="1811"/>
        <v>47</v>
      </c>
      <c r="M2995" s="1" t="str">
        <f t="shared" si="1834"/>
        <v>0</v>
      </c>
      <c r="N2995" s="1" t="str">
        <f t="shared" si="1834"/>
        <v>0</v>
      </c>
      <c r="O2995" s="1" t="str">
        <f>"6.19"</f>
        <v>6.19</v>
      </c>
    </row>
    <row r="2996" s="1" customFormat="1" spans="1:15">
      <c r="A2996" s="1" t="str">
        <f t="shared" si="1775"/>
        <v>202406</v>
      </c>
      <c r="B2996" s="1" t="str">
        <f t="shared" si="1776"/>
        <v>150525100</v>
      </c>
      <c r="C2996" s="1" t="str">
        <f>"1040688202"</f>
        <v>1040688202</v>
      </c>
      <c r="D2996" s="1" t="str">
        <f>"152326195801160029"</f>
        <v>152326195801160029</v>
      </c>
      <c r="E2996" s="1" t="s">
        <v>3061</v>
      </c>
      <c r="F2996" s="1" t="s">
        <v>16</v>
      </c>
      <c r="G2996" s="1" t="s">
        <v>19</v>
      </c>
      <c r="H2996" s="1" t="str">
        <f>"66"</f>
        <v>66</v>
      </c>
      <c r="I2996" s="1" t="str">
        <f>"156.15"</f>
        <v>156.15</v>
      </c>
      <c r="J2996" s="1" t="str">
        <f t="shared" ref="J2996:N2996" si="1835">"0"</f>
        <v>0</v>
      </c>
      <c r="K2996" s="1" t="str">
        <f t="shared" si="1810"/>
        <v>103</v>
      </c>
      <c r="L2996" s="1" t="str">
        <f t="shared" si="1811"/>
        <v>47</v>
      </c>
      <c r="M2996" s="1" t="str">
        <f t="shared" si="1835"/>
        <v>0</v>
      </c>
      <c r="N2996" s="1" t="str">
        <f t="shared" si="1835"/>
        <v>0</v>
      </c>
      <c r="O2996" s="1" t="str">
        <f>"6.15"</f>
        <v>6.15</v>
      </c>
    </row>
    <row r="2997" s="1" customFormat="1" spans="1:15">
      <c r="A2997" s="1" t="str">
        <f t="shared" si="1775"/>
        <v>202406</v>
      </c>
      <c r="B2997" s="1" t="str">
        <f t="shared" si="1776"/>
        <v>150525100</v>
      </c>
      <c r="C2997" s="1" t="str">
        <f>"1040688204"</f>
        <v>1040688204</v>
      </c>
      <c r="D2997" s="1" t="str">
        <f>"152326195704190023"</f>
        <v>152326195704190023</v>
      </c>
      <c r="E2997" s="1" t="s">
        <v>1927</v>
      </c>
      <c r="F2997" s="1" t="s">
        <v>16</v>
      </c>
      <c r="G2997" s="1" t="s">
        <v>96</v>
      </c>
      <c r="H2997" s="1" t="str">
        <f>"67"</f>
        <v>67</v>
      </c>
      <c r="I2997" s="1" t="str">
        <f>"155.03"</f>
        <v>155.03</v>
      </c>
      <c r="J2997" s="1" t="str">
        <f t="shared" ref="J2997:N2997" si="1836">"0"</f>
        <v>0</v>
      </c>
      <c r="K2997" s="1" t="str">
        <f t="shared" si="1810"/>
        <v>103</v>
      </c>
      <c r="L2997" s="1" t="str">
        <f t="shared" si="1811"/>
        <v>47</v>
      </c>
      <c r="M2997" s="1" t="str">
        <f t="shared" si="1836"/>
        <v>0</v>
      </c>
      <c r="N2997" s="1" t="str">
        <f t="shared" si="1836"/>
        <v>0</v>
      </c>
      <c r="O2997" s="1" t="str">
        <f>"5.03"</f>
        <v>5.03</v>
      </c>
    </row>
    <row r="2998" s="1" customFormat="1" spans="1:15">
      <c r="A2998" s="1" t="str">
        <f t="shared" si="1775"/>
        <v>202406</v>
      </c>
      <c r="B2998" s="1" t="str">
        <f t="shared" si="1776"/>
        <v>150525100</v>
      </c>
      <c r="C2998" s="1" t="str">
        <f>"1040940232"</f>
        <v>1040940232</v>
      </c>
      <c r="D2998" s="1" t="str">
        <f>"152326195606123337"</f>
        <v>152326195606123337</v>
      </c>
      <c r="E2998" s="1" t="s">
        <v>3062</v>
      </c>
      <c r="F2998" s="1" t="s">
        <v>25</v>
      </c>
      <c r="G2998" s="1" t="s">
        <v>17</v>
      </c>
      <c r="H2998" s="1" t="str">
        <f>"68"</f>
        <v>68</v>
      </c>
      <c r="I2998" s="1" t="str">
        <f>"152.98"</f>
        <v>152.98</v>
      </c>
      <c r="J2998" s="1" t="str">
        <f t="shared" ref="J2998:N2998" si="1837">"0"</f>
        <v>0</v>
      </c>
      <c r="K2998" s="1" t="str">
        <f t="shared" si="1810"/>
        <v>103</v>
      </c>
      <c r="L2998" s="1" t="str">
        <f t="shared" si="1811"/>
        <v>47</v>
      </c>
      <c r="M2998" s="1" t="str">
        <f t="shared" si="1837"/>
        <v>0</v>
      </c>
      <c r="N2998" s="1" t="str">
        <f t="shared" si="1837"/>
        <v>0</v>
      </c>
      <c r="O2998" s="1" t="str">
        <f>"2.98"</f>
        <v>2.98</v>
      </c>
    </row>
    <row r="2999" s="1" customFormat="1" spans="1:15">
      <c r="A2999" s="1" t="str">
        <f t="shared" si="1775"/>
        <v>202406</v>
      </c>
      <c r="B2999" s="1" t="str">
        <f t="shared" si="1776"/>
        <v>150525100</v>
      </c>
      <c r="C2999" s="1" t="str">
        <f>"1040935295"</f>
        <v>1040935295</v>
      </c>
      <c r="D2999" s="1" t="str">
        <f>"152326195601090919"</f>
        <v>152326195601090919</v>
      </c>
      <c r="E2999" s="1" t="s">
        <v>3063</v>
      </c>
      <c r="F2999" s="1" t="s">
        <v>25</v>
      </c>
      <c r="G2999" s="1" t="s">
        <v>19</v>
      </c>
      <c r="H2999" s="1" t="str">
        <f>"68"</f>
        <v>68</v>
      </c>
      <c r="I2999" s="1" t="str">
        <f>"155.14"</f>
        <v>155.14</v>
      </c>
      <c r="J2999" s="1" t="str">
        <f t="shared" ref="J2999:N2999" si="1838">"0"</f>
        <v>0</v>
      </c>
      <c r="K2999" s="1" t="str">
        <f t="shared" si="1810"/>
        <v>103</v>
      </c>
      <c r="L2999" s="1" t="str">
        <f t="shared" si="1811"/>
        <v>47</v>
      </c>
      <c r="M2999" s="1" t="str">
        <f t="shared" si="1838"/>
        <v>0</v>
      </c>
      <c r="N2999" s="1" t="str">
        <f t="shared" si="1838"/>
        <v>0</v>
      </c>
      <c r="O2999" s="1" t="str">
        <f>"5.14"</f>
        <v>5.14</v>
      </c>
    </row>
    <row r="3000" s="1" customFormat="1" spans="1:15">
      <c r="A3000" s="1" t="str">
        <f t="shared" si="1775"/>
        <v>202406</v>
      </c>
      <c r="B3000" s="1" t="str">
        <f t="shared" si="1776"/>
        <v>150525100</v>
      </c>
      <c r="C3000" s="1" t="str">
        <f>"1040935349"</f>
        <v>1040935349</v>
      </c>
      <c r="D3000" s="1" t="str">
        <f>"152326195801050663"</f>
        <v>152326195801050663</v>
      </c>
      <c r="E3000" s="1" t="s">
        <v>3064</v>
      </c>
      <c r="F3000" s="1" t="s">
        <v>16</v>
      </c>
      <c r="G3000" s="1" t="s">
        <v>17</v>
      </c>
      <c r="H3000" s="1" t="str">
        <f>"67"</f>
        <v>67</v>
      </c>
      <c r="I3000" s="1" t="str">
        <f>"156.56"</f>
        <v>156.56</v>
      </c>
      <c r="J3000" s="1" t="str">
        <f t="shared" ref="J3000:N3000" si="1839">"0"</f>
        <v>0</v>
      </c>
      <c r="K3000" s="1" t="str">
        <f t="shared" si="1810"/>
        <v>103</v>
      </c>
      <c r="L3000" s="1" t="str">
        <f t="shared" si="1811"/>
        <v>47</v>
      </c>
      <c r="M3000" s="1" t="str">
        <f t="shared" si="1839"/>
        <v>0</v>
      </c>
      <c r="N3000" s="1" t="str">
        <f t="shared" si="1839"/>
        <v>0</v>
      </c>
      <c r="O3000" s="1" t="str">
        <f>"6.56"</f>
        <v>6.56</v>
      </c>
    </row>
    <row r="3001" s="1" customFormat="1" spans="1:15">
      <c r="A3001" s="1" t="str">
        <f t="shared" si="1775"/>
        <v>202406</v>
      </c>
      <c r="B3001" s="1" t="str">
        <f t="shared" si="1776"/>
        <v>150525100</v>
      </c>
      <c r="C3001" s="1" t="str">
        <f>"1040935363"</f>
        <v>1040935363</v>
      </c>
      <c r="D3001" s="1" t="str">
        <f>"152326195806043817"</f>
        <v>152326195806043817</v>
      </c>
      <c r="E3001" s="1" t="s">
        <v>3065</v>
      </c>
      <c r="F3001" s="1" t="s">
        <v>25</v>
      </c>
      <c r="G3001" s="1" t="s">
        <v>19</v>
      </c>
      <c r="H3001" s="1" t="str">
        <f t="shared" ref="H3001:H3005" si="1840">"66"</f>
        <v>66</v>
      </c>
      <c r="I3001" s="1" t="str">
        <f>"156.55"</f>
        <v>156.55</v>
      </c>
      <c r="J3001" s="1" t="str">
        <f t="shared" ref="J3001:N3001" si="1841">"0"</f>
        <v>0</v>
      </c>
      <c r="K3001" s="1" t="str">
        <f t="shared" si="1810"/>
        <v>103</v>
      </c>
      <c r="L3001" s="1" t="str">
        <f t="shared" si="1811"/>
        <v>47</v>
      </c>
      <c r="M3001" s="1" t="str">
        <f t="shared" si="1841"/>
        <v>0</v>
      </c>
      <c r="N3001" s="1" t="str">
        <f t="shared" si="1841"/>
        <v>0</v>
      </c>
      <c r="O3001" s="1" t="str">
        <f>"6.55"</f>
        <v>6.55</v>
      </c>
    </row>
    <row r="3002" s="1" customFormat="1" spans="1:15">
      <c r="A3002" s="1" t="str">
        <f t="shared" si="1775"/>
        <v>202406</v>
      </c>
      <c r="B3002" s="1" t="str">
        <f t="shared" si="1776"/>
        <v>150525100</v>
      </c>
      <c r="C3002" s="1" t="str">
        <f>"1040935379"</f>
        <v>1040935379</v>
      </c>
      <c r="D3002" s="1" t="s">
        <v>3066</v>
      </c>
      <c r="E3002" s="1" t="s">
        <v>3067</v>
      </c>
      <c r="F3002" s="1" t="s">
        <v>16</v>
      </c>
      <c r="G3002" s="1" t="s">
        <v>17</v>
      </c>
      <c r="H3002" s="1" t="str">
        <f>"65"</f>
        <v>65</v>
      </c>
      <c r="I3002" s="1" t="str">
        <f>"158.35"</f>
        <v>158.35</v>
      </c>
      <c r="J3002" s="1" t="str">
        <f t="shared" ref="J3002:N3002" si="1842">"0"</f>
        <v>0</v>
      </c>
      <c r="K3002" s="1" t="str">
        <f t="shared" si="1810"/>
        <v>103</v>
      </c>
      <c r="L3002" s="1" t="str">
        <f t="shared" si="1811"/>
        <v>47</v>
      </c>
      <c r="M3002" s="1" t="str">
        <f t="shared" si="1842"/>
        <v>0</v>
      </c>
      <c r="N3002" s="1" t="str">
        <f t="shared" si="1842"/>
        <v>0</v>
      </c>
      <c r="O3002" s="1" t="str">
        <f>"8.35"</f>
        <v>8.35</v>
      </c>
    </row>
    <row r="3003" s="1" customFormat="1" spans="1:15">
      <c r="A3003" s="1" t="str">
        <f t="shared" si="1775"/>
        <v>202406</v>
      </c>
      <c r="B3003" s="1" t="str">
        <f t="shared" si="1776"/>
        <v>150525100</v>
      </c>
      <c r="C3003" s="1" t="str">
        <f>"1040935391"</f>
        <v>1040935391</v>
      </c>
      <c r="D3003" s="1" t="str">
        <f>"152326195811260672"</f>
        <v>152326195811260672</v>
      </c>
      <c r="E3003" s="1" t="s">
        <v>3068</v>
      </c>
      <c r="F3003" s="1" t="s">
        <v>25</v>
      </c>
      <c r="G3003" s="1" t="s">
        <v>17</v>
      </c>
      <c r="H3003" s="1" t="str">
        <f t="shared" si="1840"/>
        <v>66</v>
      </c>
      <c r="I3003" s="1" t="str">
        <f>"162.13"</f>
        <v>162.13</v>
      </c>
      <c r="J3003" s="1" t="str">
        <f t="shared" ref="J3003:N3003" si="1843">"0"</f>
        <v>0</v>
      </c>
      <c r="K3003" s="1" t="str">
        <f t="shared" si="1810"/>
        <v>103</v>
      </c>
      <c r="L3003" s="1" t="str">
        <f t="shared" si="1811"/>
        <v>47</v>
      </c>
      <c r="M3003" s="1" t="str">
        <f t="shared" si="1843"/>
        <v>0</v>
      </c>
      <c r="N3003" s="1" t="str">
        <f t="shared" si="1843"/>
        <v>0</v>
      </c>
      <c r="O3003" s="1" t="str">
        <f>"12.13"</f>
        <v>12.13</v>
      </c>
    </row>
    <row r="3004" s="1" customFormat="1" spans="1:15">
      <c r="A3004" s="1" t="str">
        <f t="shared" si="1775"/>
        <v>202406</v>
      </c>
      <c r="B3004" s="1" t="str">
        <f t="shared" si="1776"/>
        <v>150525100</v>
      </c>
      <c r="C3004" s="1" t="str">
        <f>"1040935490"</f>
        <v>1040935490</v>
      </c>
      <c r="D3004" s="1" t="str">
        <f>"152326195611223826"</f>
        <v>152326195611223826</v>
      </c>
      <c r="E3004" s="1" t="s">
        <v>2404</v>
      </c>
      <c r="F3004" s="1" t="s">
        <v>16</v>
      </c>
      <c r="G3004" s="1" t="s">
        <v>19</v>
      </c>
      <c r="H3004" s="1" t="str">
        <f>"68"</f>
        <v>68</v>
      </c>
      <c r="I3004" s="1" t="str">
        <f>"154.54"</f>
        <v>154.54</v>
      </c>
      <c r="J3004" s="1" t="str">
        <f t="shared" ref="J3004:N3004" si="1844">"0"</f>
        <v>0</v>
      </c>
      <c r="K3004" s="1" t="str">
        <f t="shared" si="1810"/>
        <v>103</v>
      </c>
      <c r="L3004" s="1" t="str">
        <f t="shared" si="1811"/>
        <v>47</v>
      </c>
      <c r="M3004" s="1" t="str">
        <f t="shared" si="1844"/>
        <v>0</v>
      </c>
      <c r="N3004" s="1" t="str">
        <f t="shared" si="1844"/>
        <v>0</v>
      </c>
      <c r="O3004" s="1" t="str">
        <f>"4.54"</f>
        <v>4.54</v>
      </c>
    </row>
    <row r="3005" s="1" customFormat="1" spans="1:15">
      <c r="A3005" s="1" t="str">
        <f t="shared" si="1775"/>
        <v>202406</v>
      </c>
      <c r="B3005" s="1" t="str">
        <f t="shared" si="1776"/>
        <v>150525100</v>
      </c>
      <c r="C3005" s="1" t="str">
        <f>"1040935502"</f>
        <v>1040935502</v>
      </c>
      <c r="D3005" s="1" t="str">
        <f>"152326195809253326"</f>
        <v>152326195809253326</v>
      </c>
      <c r="E3005" s="1" t="s">
        <v>2713</v>
      </c>
      <c r="F3005" s="1" t="s">
        <v>16</v>
      </c>
      <c r="G3005" s="1" t="s">
        <v>17</v>
      </c>
      <c r="H3005" s="1" t="str">
        <f t="shared" si="1840"/>
        <v>66</v>
      </c>
      <c r="I3005" s="1" t="str">
        <f>"156.57"</f>
        <v>156.57</v>
      </c>
      <c r="J3005" s="1" t="str">
        <f t="shared" ref="J3005:N3005" si="1845">"0"</f>
        <v>0</v>
      </c>
      <c r="K3005" s="1" t="str">
        <f t="shared" si="1810"/>
        <v>103</v>
      </c>
      <c r="L3005" s="1" t="str">
        <f t="shared" si="1811"/>
        <v>47</v>
      </c>
      <c r="M3005" s="1" t="str">
        <f t="shared" si="1845"/>
        <v>0</v>
      </c>
      <c r="N3005" s="1" t="str">
        <f t="shared" si="1845"/>
        <v>0</v>
      </c>
      <c r="O3005" s="1" t="str">
        <f>"6.57"</f>
        <v>6.57</v>
      </c>
    </row>
    <row r="3006" s="1" customFormat="1" spans="1:15">
      <c r="A3006" s="1" t="str">
        <f t="shared" si="1775"/>
        <v>202406</v>
      </c>
      <c r="B3006" s="1" t="str">
        <f t="shared" si="1776"/>
        <v>150525100</v>
      </c>
      <c r="C3006" s="1" t="str">
        <f>"1040935504"</f>
        <v>1040935504</v>
      </c>
      <c r="D3006" s="1" t="str">
        <f>"152326195911213320"</f>
        <v>152326195911213320</v>
      </c>
      <c r="E3006" s="1" t="s">
        <v>3069</v>
      </c>
      <c r="F3006" s="1" t="s">
        <v>16</v>
      </c>
      <c r="G3006" s="1" t="s">
        <v>17</v>
      </c>
      <c r="H3006" s="1" t="str">
        <f>"65"</f>
        <v>65</v>
      </c>
      <c r="I3006" s="1" t="str">
        <f>"156.68"</f>
        <v>156.68</v>
      </c>
      <c r="J3006" s="1" t="str">
        <f t="shared" ref="J3006:N3006" si="1846">"0"</f>
        <v>0</v>
      </c>
      <c r="K3006" s="1" t="str">
        <f t="shared" si="1810"/>
        <v>103</v>
      </c>
      <c r="L3006" s="1" t="str">
        <f t="shared" si="1811"/>
        <v>47</v>
      </c>
      <c r="M3006" s="1" t="str">
        <f t="shared" si="1846"/>
        <v>0</v>
      </c>
      <c r="N3006" s="1" t="str">
        <f t="shared" si="1846"/>
        <v>0</v>
      </c>
      <c r="O3006" s="1" t="str">
        <f>"6.68"</f>
        <v>6.68</v>
      </c>
    </row>
    <row r="3007" s="1" customFormat="1" spans="1:15">
      <c r="A3007" s="1" t="str">
        <f t="shared" si="1775"/>
        <v>202406</v>
      </c>
      <c r="B3007" s="1" t="str">
        <f t="shared" si="1776"/>
        <v>150525100</v>
      </c>
      <c r="C3007" s="1" t="str">
        <f>"1040935525"</f>
        <v>1040935525</v>
      </c>
      <c r="D3007" s="1" t="str">
        <f>"152326195807123317"</f>
        <v>152326195807123317</v>
      </c>
      <c r="E3007" s="1" t="s">
        <v>3070</v>
      </c>
      <c r="F3007" s="1" t="s">
        <v>25</v>
      </c>
      <c r="G3007" s="1" t="s">
        <v>17</v>
      </c>
      <c r="H3007" s="1" t="str">
        <f>"66"</f>
        <v>66</v>
      </c>
      <c r="I3007" s="1" t="str">
        <f>"157.16"</f>
        <v>157.16</v>
      </c>
      <c r="J3007" s="1" t="str">
        <f t="shared" ref="J3007:N3007" si="1847">"0"</f>
        <v>0</v>
      </c>
      <c r="K3007" s="1" t="str">
        <f t="shared" si="1810"/>
        <v>103</v>
      </c>
      <c r="L3007" s="1" t="str">
        <f t="shared" si="1811"/>
        <v>47</v>
      </c>
      <c r="M3007" s="1" t="str">
        <f t="shared" si="1847"/>
        <v>0</v>
      </c>
      <c r="N3007" s="1" t="str">
        <f t="shared" si="1847"/>
        <v>0</v>
      </c>
      <c r="O3007" s="1" t="str">
        <f>"7.16"</f>
        <v>7.16</v>
      </c>
    </row>
    <row r="3008" s="1" customFormat="1" spans="1:15">
      <c r="A3008" s="1" t="str">
        <f t="shared" si="1775"/>
        <v>202406</v>
      </c>
      <c r="B3008" s="1" t="str">
        <f t="shared" si="1776"/>
        <v>150525100</v>
      </c>
      <c r="C3008" s="1" t="str">
        <f>"1040924280"</f>
        <v>1040924280</v>
      </c>
      <c r="D3008" s="1" t="str">
        <f>"152326195901033318"</f>
        <v>152326195901033318</v>
      </c>
      <c r="E3008" s="1" t="s">
        <v>3071</v>
      </c>
      <c r="F3008" s="1" t="s">
        <v>25</v>
      </c>
      <c r="G3008" s="1" t="s">
        <v>19</v>
      </c>
      <c r="H3008" s="1" t="str">
        <f>"66"</f>
        <v>66</v>
      </c>
      <c r="I3008" s="1" t="str">
        <f>"209.84"</f>
        <v>209.84</v>
      </c>
      <c r="J3008" s="1" t="str">
        <f t="shared" ref="J3008:N3008" si="1848">"0"</f>
        <v>0</v>
      </c>
      <c r="K3008" s="1" t="str">
        <f t="shared" si="1810"/>
        <v>103</v>
      </c>
      <c r="L3008" s="1" t="str">
        <f t="shared" si="1811"/>
        <v>47</v>
      </c>
      <c r="M3008" s="1" t="str">
        <f t="shared" si="1848"/>
        <v>0</v>
      </c>
      <c r="N3008" s="1" t="str">
        <f t="shared" si="1848"/>
        <v>0</v>
      </c>
      <c r="O3008" s="1" t="str">
        <f>"59.84"</f>
        <v>59.84</v>
      </c>
    </row>
    <row r="3009" s="1" customFormat="1" spans="1:15">
      <c r="A3009" s="1" t="str">
        <f t="shared" si="1775"/>
        <v>202406</v>
      </c>
      <c r="B3009" s="1" t="str">
        <f t="shared" si="1776"/>
        <v>150525100</v>
      </c>
      <c r="C3009" s="1" t="str">
        <f>"1040924267"</f>
        <v>1040924267</v>
      </c>
      <c r="D3009" s="1" t="s">
        <v>3072</v>
      </c>
      <c r="E3009" s="1" t="s">
        <v>3073</v>
      </c>
      <c r="F3009" s="1" t="s">
        <v>25</v>
      </c>
      <c r="G3009" s="1" t="s">
        <v>19</v>
      </c>
      <c r="H3009" s="1" t="str">
        <f t="shared" ref="H3009:H3012" si="1849">"62"</f>
        <v>62</v>
      </c>
      <c r="I3009" s="1" t="str">
        <f>"162.91"</f>
        <v>162.91</v>
      </c>
      <c r="J3009" s="1" t="str">
        <f t="shared" ref="J3009:N3009" si="1850">"0"</f>
        <v>0</v>
      </c>
      <c r="K3009" s="1" t="str">
        <f t="shared" si="1810"/>
        <v>103</v>
      </c>
      <c r="L3009" s="1" t="str">
        <f t="shared" si="1811"/>
        <v>47</v>
      </c>
      <c r="M3009" s="1" t="str">
        <f t="shared" si="1850"/>
        <v>0</v>
      </c>
      <c r="N3009" s="1" t="str">
        <f t="shared" si="1850"/>
        <v>0</v>
      </c>
      <c r="O3009" s="1" t="str">
        <f>"12.91"</f>
        <v>12.91</v>
      </c>
    </row>
    <row r="3010" s="1" customFormat="1" spans="1:15">
      <c r="A3010" s="1" t="str">
        <f t="shared" ref="A3010:A3073" si="1851">"202406"</f>
        <v>202406</v>
      </c>
      <c r="B3010" s="1" t="str">
        <f t="shared" ref="B3010:B3073" si="1852">"150525100"</f>
        <v>150525100</v>
      </c>
      <c r="C3010" s="1" t="str">
        <f>"1040910906"</f>
        <v>1040910906</v>
      </c>
      <c r="D3010" s="1" t="str">
        <f>"152326196104103314"</f>
        <v>152326196104103314</v>
      </c>
      <c r="E3010" s="1" t="s">
        <v>3074</v>
      </c>
      <c r="F3010" s="1" t="s">
        <v>25</v>
      </c>
      <c r="G3010" s="1" t="s">
        <v>17</v>
      </c>
      <c r="H3010" s="1" t="str">
        <f>"63"</f>
        <v>63</v>
      </c>
      <c r="I3010" s="1" t="str">
        <f>"160.65"</f>
        <v>160.65</v>
      </c>
      <c r="J3010" s="1" t="str">
        <f t="shared" ref="J3010:N3010" si="1853">"0"</f>
        <v>0</v>
      </c>
      <c r="K3010" s="1" t="str">
        <f t="shared" si="1810"/>
        <v>103</v>
      </c>
      <c r="L3010" s="1" t="str">
        <f t="shared" si="1811"/>
        <v>47</v>
      </c>
      <c r="M3010" s="1" t="str">
        <f t="shared" si="1853"/>
        <v>0</v>
      </c>
      <c r="N3010" s="1" t="str">
        <f t="shared" si="1853"/>
        <v>0</v>
      </c>
      <c r="O3010" s="1" t="str">
        <f>"10.65"</f>
        <v>10.65</v>
      </c>
    </row>
    <row r="3011" s="1" customFormat="1" spans="1:15">
      <c r="A3011" s="1" t="str">
        <f t="shared" si="1851"/>
        <v>202406</v>
      </c>
      <c r="B3011" s="1" t="str">
        <f t="shared" si="1852"/>
        <v>150525100</v>
      </c>
      <c r="C3011" s="1" t="str">
        <f>"1040924274"</f>
        <v>1040924274</v>
      </c>
      <c r="D3011" s="1" t="str">
        <f>"152326196205203322"</f>
        <v>152326196205203322</v>
      </c>
      <c r="E3011" s="1" t="s">
        <v>3075</v>
      </c>
      <c r="F3011" s="1" t="s">
        <v>16</v>
      </c>
      <c r="G3011" s="1" t="s">
        <v>19</v>
      </c>
      <c r="H3011" s="1" t="str">
        <f t="shared" si="1849"/>
        <v>62</v>
      </c>
      <c r="I3011" s="1" t="str">
        <f>"161.09"</f>
        <v>161.09</v>
      </c>
      <c r="J3011" s="1" t="str">
        <f t="shared" ref="J3011:N3011" si="1854">"0"</f>
        <v>0</v>
      </c>
      <c r="K3011" s="1" t="str">
        <f t="shared" si="1810"/>
        <v>103</v>
      </c>
      <c r="L3011" s="1" t="str">
        <f t="shared" si="1811"/>
        <v>47</v>
      </c>
      <c r="M3011" s="1" t="str">
        <f t="shared" si="1854"/>
        <v>0</v>
      </c>
      <c r="N3011" s="1" t="str">
        <f t="shared" si="1854"/>
        <v>0</v>
      </c>
      <c r="O3011" s="1" t="str">
        <f>"11.09"</f>
        <v>11.09</v>
      </c>
    </row>
    <row r="3012" s="1" customFormat="1" spans="1:15">
      <c r="A3012" s="1" t="str">
        <f t="shared" si="1851"/>
        <v>202406</v>
      </c>
      <c r="B3012" s="1" t="str">
        <f t="shared" si="1852"/>
        <v>150525100</v>
      </c>
      <c r="C3012" s="1" t="str">
        <f>"1040983998"</f>
        <v>1040983998</v>
      </c>
      <c r="D3012" s="1" t="str">
        <f>"152326196202203087"</f>
        <v>152326196202203087</v>
      </c>
      <c r="E3012" s="1" t="s">
        <v>3076</v>
      </c>
      <c r="F3012" s="1" t="s">
        <v>16</v>
      </c>
      <c r="G3012" s="1" t="s">
        <v>17</v>
      </c>
      <c r="H3012" s="1" t="str">
        <f t="shared" si="1849"/>
        <v>62</v>
      </c>
      <c r="I3012" s="1" t="str">
        <f>"161.02"</f>
        <v>161.02</v>
      </c>
      <c r="J3012" s="1" t="str">
        <f t="shared" ref="J3012:N3012" si="1855">"0"</f>
        <v>0</v>
      </c>
      <c r="K3012" s="1" t="str">
        <f t="shared" si="1810"/>
        <v>103</v>
      </c>
      <c r="L3012" s="1" t="str">
        <f t="shared" si="1811"/>
        <v>47</v>
      </c>
      <c r="M3012" s="1" t="str">
        <f t="shared" si="1855"/>
        <v>0</v>
      </c>
      <c r="N3012" s="1" t="str">
        <f t="shared" si="1855"/>
        <v>0</v>
      </c>
      <c r="O3012" s="1" t="str">
        <f>"11.02"</f>
        <v>11.02</v>
      </c>
    </row>
    <row r="3013" s="1" customFormat="1" spans="1:15">
      <c r="A3013" s="1" t="str">
        <f t="shared" si="1851"/>
        <v>202406</v>
      </c>
      <c r="B3013" s="1" t="str">
        <f t="shared" si="1852"/>
        <v>150525100</v>
      </c>
      <c r="C3013" s="1" t="str">
        <f>"1041077348"</f>
        <v>1041077348</v>
      </c>
      <c r="D3013" s="1" t="str">
        <f>"152326196402143816"</f>
        <v>152326196402143816</v>
      </c>
      <c r="E3013" s="1" t="s">
        <v>3077</v>
      </c>
      <c r="F3013" s="1" t="s">
        <v>25</v>
      </c>
      <c r="G3013" s="1" t="s">
        <v>19</v>
      </c>
      <c r="H3013" s="1" t="str">
        <f>"60"</f>
        <v>60</v>
      </c>
      <c r="I3013" s="1" t="str">
        <f>"164.83"</f>
        <v>164.83</v>
      </c>
      <c r="J3013" s="1" t="str">
        <f t="shared" ref="J3013:N3013" si="1856">"0"</f>
        <v>0</v>
      </c>
      <c r="K3013" s="1" t="str">
        <f t="shared" si="1810"/>
        <v>103</v>
      </c>
      <c r="L3013" s="1" t="str">
        <f t="shared" si="1811"/>
        <v>47</v>
      </c>
      <c r="M3013" s="1" t="str">
        <f t="shared" si="1856"/>
        <v>0</v>
      </c>
      <c r="N3013" s="1" t="str">
        <f t="shared" si="1856"/>
        <v>0</v>
      </c>
      <c r="O3013" s="1" t="str">
        <f>"14.83"</f>
        <v>14.83</v>
      </c>
    </row>
    <row r="3014" s="1" customFormat="1" spans="1:15">
      <c r="A3014" s="1" t="str">
        <f t="shared" si="1851"/>
        <v>202406</v>
      </c>
      <c r="B3014" s="1" t="str">
        <f t="shared" si="1852"/>
        <v>150525100</v>
      </c>
      <c r="C3014" s="1" t="str">
        <f>"1040832511"</f>
        <v>1040832511</v>
      </c>
      <c r="D3014" s="1" t="str">
        <f>"152326194603180681"</f>
        <v>152326194603180681</v>
      </c>
      <c r="E3014" s="1" t="s">
        <v>3078</v>
      </c>
      <c r="F3014" s="1" t="s">
        <v>16</v>
      </c>
      <c r="G3014" s="1" t="s">
        <v>17</v>
      </c>
      <c r="H3014" s="1" t="str">
        <f>"78"</f>
        <v>78</v>
      </c>
      <c r="I3014" s="1" t="str">
        <f>"160"</f>
        <v>160</v>
      </c>
      <c r="J3014" s="1" t="str">
        <f t="shared" ref="J3014:O3014" si="1857">"0"</f>
        <v>0</v>
      </c>
      <c r="K3014" s="1" t="str">
        <f t="shared" si="1810"/>
        <v>103</v>
      </c>
      <c r="L3014" s="1" t="str">
        <f t="shared" si="1811"/>
        <v>47</v>
      </c>
      <c r="M3014" s="1" t="str">
        <f t="shared" si="1857"/>
        <v>0</v>
      </c>
      <c r="N3014" s="1" t="str">
        <f t="shared" si="1857"/>
        <v>0</v>
      </c>
      <c r="O3014" s="1" t="str">
        <f t="shared" si="1857"/>
        <v>0</v>
      </c>
    </row>
    <row r="3015" s="1" customFormat="1" spans="1:15">
      <c r="A3015" s="1" t="str">
        <f t="shared" si="1851"/>
        <v>202406</v>
      </c>
      <c r="B3015" s="1" t="str">
        <f t="shared" si="1852"/>
        <v>150525100</v>
      </c>
      <c r="C3015" s="1" t="str">
        <f>"1040832534"</f>
        <v>1040832534</v>
      </c>
      <c r="D3015" s="1" t="str">
        <f>"152326194204163825"</f>
        <v>152326194204163825</v>
      </c>
      <c r="E3015" s="1" t="s">
        <v>3079</v>
      </c>
      <c r="F3015" s="1" t="s">
        <v>16</v>
      </c>
      <c r="G3015" s="1" t="s">
        <v>19</v>
      </c>
      <c r="H3015" s="1" t="str">
        <f>"82"</f>
        <v>82</v>
      </c>
      <c r="I3015" s="1" t="str">
        <f t="shared" ref="I3015:I3023" si="1858">"170"</f>
        <v>170</v>
      </c>
      <c r="J3015" s="1" t="str">
        <f t="shared" ref="J3015:O3015" si="1859">"0"</f>
        <v>0</v>
      </c>
      <c r="K3015" s="1" t="str">
        <f t="shared" si="1810"/>
        <v>103</v>
      </c>
      <c r="L3015" s="1" t="str">
        <f t="shared" si="1811"/>
        <v>47</v>
      </c>
      <c r="M3015" s="1" t="str">
        <f t="shared" si="1859"/>
        <v>0</v>
      </c>
      <c r="N3015" s="1" t="str">
        <f t="shared" si="1859"/>
        <v>0</v>
      </c>
      <c r="O3015" s="1" t="str">
        <f t="shared" si="1859"/>
        <v>0</v>
      </c>
    </row>
    <row r="3016" s="1" customFormat="1" spans="1:15">
      <c r="A3016" s="1" t="str">
        <f t="shared" si="1851"/>
        <v>202406</v>
      </c>
      <c r="B3016" s="1" t="str">
        <f t="shared" si="1852"/>
        <v>150525100</v>
      </c>
      <c r="C3016" s="1" t="str">
        <f>"1040832550"</f>
        <v>1040832550</v>
      </c>
      <c r="D3016" s="1" t="str">
        <f>"152326193301310028"</f>
        <v>152326193301310028</v>
      </c>
      <c r="E3016" s="1" t="s">
        <v>3080</v>
      </c>
      <c r="F3016" s="1" t="s">
        <v>16</v>
      </c>
      <c r="G3016" s="1" t="s">
        <v>17</v>
      </c>
      <c r="H3016" s="1" t="str">
        <f>"91"</f>
        <v>91</v>
      </c>
      <c r="I3016" s="1" t="str">
        <f>"1020"</f>
        <v>1020</v>
      </c>
      <c r="J3016" s="1" t="str">
        <f>"850"</f>
        <v>850</v>
      </c>
      <c r="K3016" s="1" t="str">
        <f>"618"</f>
        <v>618</v>
      </c>
      <c r="L3016" s="1" t="str">
        <f>"282"</f>
        <v>282</v>
      </c>
      <c r="M3016" s="1" t="str">
        <f t="shared" ref="M3016:O3016" si="1860">"0"</f>
        <v>0</v>
      </c>
      <c r="N3016" s="1" t="str">
        <f t="shared" si="1860"/>
        <v>0</v>
      </c>
      <c r="O3016" s="1" t="str">
        <f t="shared" si="1860"/>
        <v>0</v>
      </c>
    </row>
    <row r="3017" s="1" customFormat="1" spans="1:15">
      <c r="A3017" s="1" t="str">
        <f t="shared" si="1851"/>
        <v>202406</v>
      </c>
      <c r="B3017" s="1" t="str">
        <f t="shared" si="1852"/>
        <v>150525100</v>
      </c>
      <c r="C3017" s="1" t="str">
        <f>"1040832553"</f>
        <v>1040832553</v>
      </c>
      <c r="D3017" s="1" t="str">
        <f>"152326194206124846"</f>
        <v>152326194206124846</v>
      </c>
      <c r="E3017" s="1" t="s">
        <v>3081</v>
      </c>
      <c r="F3017" s="1" t="s">
        <v>16</v>
      </c>
      <c r="G3017" s="1" t="s">
        <v>19</v>
      </c>
      <c r="H3017" s="1" t="str">
        <f>"82"</f>
        <v>82</v>
      </c>
      <c r="I3017" s="1" t="str">
        <f t="shared" si="1858"/>
        <v>170</v>
      </c>
      <c r="J3017" s="1" t="str">
        <f t="shared" ref="J3017:O3017" si="1861">"0"</f>
        <v>0</v>
      </c>
      <c r="K3017" s="1" t="str">
        <f t="shared" ref="K3017:K3032" si="1862">"103"</f>
        <v>103</v>
      </c>
      <c r="L3017" s="1" t="str">
        <f t="shared" ref="L3017:L3032" si="1863">"47"</f>
        <v>47</v>
      </c>
      <c r="M3017" s="1" t="str">
        <f t="shared" si="1861"/>
        <v>0</v>
      </c>
      <c r="N3017" s="1" t="str">
        <f t="shared" si="1861"/>
        <v>0</v>
      </c>
      <c r="O3017" s="1" t="str">
        <f t="shared" si="1861"/>
        <v>0</v>
      </c>
    </row>
    <row r="3018" s="1" customFormat="1" spans="1:15">
      <c r="A3018" s="1" t="str">
        <f t="shared" si="1851"/>
        <v>202406</v>
      </c>
      <c r="B3018" s="1" t="str">
        <f t="shared" si="1852"/>
        <v>150525100</v>
      </c>
      <c r="C3018" s="1" t="str">
        <f>"1040978797"</f>
        <v>1040978797</v>
      </c>
      <c r="D3018" s="1" t="s">
        <v>3082</v>
      </c>
      <c r="E3018" s="1" t="s">
        <v>3083</v>
      </c>
      <c r="F3018" s="1" t="s">
        <v>25</v>
      </c>
      <c r="G3018" s="1" t="s">
        <v>19</v>
      </c>
      <c r="H3018" s="1" t="str">
        <f>"66"</f>
        <v>66</v>
      </c>
      <c r="I3018" s="1" t="str">
        <f>"155.31"</f>
        <v>155.31</v>
      </c>
      <c r="J3018" s="1" t="str">
        <f t="shared" ref="J3018:N3018" si="1864">"0"</f>
        <v>0</v>
      </c>
      <c r="K3018" s="1" t="str">
        <f t="shared" si="1862"/>
        <v>103</v>
      </c>
      <c r="L3018" s="1" t="str">
        <f t="shared" si="1863"/>
        <v>47</v>
      </c>
      <c r="M3018" s="1" t="str">
        <f t="shared" si="1864"/>
        <v>0</v>
      </c>
      <c r="N3018" s="1" t="str">
        <f t="shared" si="1864"/>
        <v>0</v>
      </c>
      <c r="O3018" s="1" t="str">
        <f>"5.31"</f>
        <v>5.31</v>
      </c>
    </row>
    <row r="3019" s="1" customFormat="1" spans="1:15">
      <c r="A3019" s="1" t="str">
        <f t="shared" si="1851"/>
        <v>202406</v>
      </c>
      <c r="B3019" s="1" t="str">
        <f t="shared" si="1852"/>
        <v>150525100</v>
      </c>
      <c r="C3019" s="1" t="str">
        <f>"1040832564"</f>
        <v>1040832564</v>
      </c>
      <c r="D3019" s="1" t="s">
        <v>3084</v>
      </c>
      <c r="E3019" s="1" t="s">
        <v>3085</v>
      </c>
      <c r="F3019" s="1" t="s">
        <v>16</v>
      </c>
      <c r="G3019" s="1" t="s">
        <v>17</v>
      </c>
      <c r="H3019" s="1" t="str">
        <f>"77"</f>
        <v>77</v>
      </c>
      <c r="I3019" s="1" t="str">
        <f>"160"</f>
        <v>160</v>
      </c>
      <c r="J3019" s="1" t="str">
        <f t="shared" ref="J3019:O3019" si="1865">"0"</f>
        <v>0</v>
      </c>
      <c r="K3019" s="1" t="str">
        <f t="shared" si="1862"/>
        <v>103</v>
      </c>
      <c r="L3019" s="1" t="str">
        <f t="shared" si="1863"/>
        <v>47</v>
      </c>
      <c r="M3019" s="1" t="str">
        <f t="shared" si="1865"/>
        <v>0</v>
      </c>
      <c r="N3019" s="1" t="str">
        <f t="shared" si="1865"/>
        <v>0</v>
      </c>
      <c r="O3019" s="1" t="str">
        <f t="shared" si="1865"/>
        <v>0</v>
      </c>
    </row>
    <row r="3020" s="1" customFormat="1" spans="1:15">
      <c r="A3020" s="1" t="str">
        <f t="shared" si="1851"/>
        <v>202406</v>
      </c>
      <c r="B3020" s="1" t="str">
        <f t="shared" si="1852"/>
        <v>150525100</v>
      </c>
      <c r="C3020" s="1" t="str">
        <f>"1040832578"</f>
        <v>1040832578</v>
      </c>
      <c r="D3020" s="1" t="s">
        <v>3086</v>
      </c>
      <c r="E3020" s="1" t="s">
        <v>3087</v>
      </c>
      <c r="F3020" s="1" t="s">
        <v>16</v>
      </c>
      <c r="G3020" s="1" t="s">
        <v>17</v>
      </c>
      <c r="H3020" s="1" t="str">
        <f>"93"</f>
        <v>93</v>
      </c>
      <c r="I3020" s="1" t="str">
        <f t="shared" si="1858"/>
        <v>170</v>
      </c>
      <c r="J3020" s="1" t="str">
        <f t="shared" ref="J3020:O3020" si="1866">"0"</f>
        <v>0</v>
      </c>
      <c r="K3020" s="1" t="str">
        <f t="shared" si="1862"/>
        <v>103</v>
      </c>
      <c r="L3020" s="1" t="str">
        <f t="shared" si="1863"/>
        <v>47</v>
      </c>
      <c r="M3020" s="1" t="str">
        <f t="shared" si="1866"/>
        <v>0</v>
      </c>
      <c r="N3020" s="1" t="str">
        <f t="shared" si="1866"/>
        <v>0</v>
      </c>
      <c r="O3020" s="1" t="str">
        <f t="shared" si="1866"/>
        <v>0</v>
      </c>
    </row>
    <row r="3021" s="1" customFormat="1" spans="1:15">
      <c r="A3021" s="1" t="str">
        <f t="shared" si="1851"/>
        <v>202406</v>
      </c>
      <c r="B3021" s="1" t="str">
        <f t="shared" si="1852"/>
        <v>150525100</v>
      </c>
      <c r="C3021" s="1" t="str">
        <f>"1040832580"</f>
        <v>1040832580</v>
      </c>
      <c r="D3021" s="1" t="s">
        <v>3088</v>
      </c>
      <c r="E3021" s="1" t="s">
        <v>3089</v>
      </c>
      <c r="F3021" s="1" t="s">
        <v>16</v>
      </c>
      <c r="G3021" s="1" t="s">
        <v>17</v>
      </c>
      <c r="H3021" s="1" t="str">
        <f>"92"</f>
        <v>92</v>
      </c>
      <c r="I3021" s="1" t="str">
        <f t="shared" si="1858"/>
        <v>170</v>
      </c>
      <c r="J3021" s="1" t="str">
        <f t="shared" ref="J3021:O3021" si="1867">"0"</f>
        <v>0</v>
      </c>
      <c r="K3021" s="1" t="str">
        <f t="shared" si="1862"/>
        <v>103</v>
      </c>
      <c r="L3021" s="1" t="str">
        <f t="shared" si="1863"/>
        <v>47</v>
      </c>
      <c r="M3021" s="1" t="str">
        <f t="shared" si="1867"/>
        <v>0</v>
      </c>
      <c r="N3021" s="1" t="str">
        <f t="shared" si="1867"/>
        <v>0</v>
      </c>
      <c r="O3021" s="1" t="str">
        <f t="shared" si="1867"/>
        <v>0</v>
      </c>
    </row>
    <row r="3022" s="1" customFormat="1" spans="1:15">
      <c r="A3022" s="1" t="str">
        <f t="shared" si="1851"/>
        <v>202406</v>
      </c>
      <c r="B3022" s="1" t="str">
        <f t="shared" si="1852"/>
        <v>150525100</v>
      </c>
      <c r="C3022" s="1" t="str">
        <f>"1040832585"</f>
        <v>1040832585</v>
      </c>
      <c r="D3022" s="1" t="s">
        <v>3090</v>
      </c>
      <c r="E3022" s="1" t="s">
        <v>3091</v>
      </c>
      <c r="F3022" s="1" t="s">
        <v>16</v>
      </c>
      <c r="G3022" s="1" t="s">
        <v>17</v>
      </c>
      <c r="H3022" s="1" t="str">
        <f>"92"</f>
        <v>92</v>
      </c>
      <c r="I3022" s="1" t="str">
        <f t="shared" si="1858"/>
        <v>170</v>
      </c>
      <c r="J3022" s="1" t="str">
        <f t="shared" ref="J3022:O3022" si="1868">"0"</f>
        <v>0</v>
      </c>
      <c r="K3022" s="1" t="str">
        <f t="shared" si="1862"/>
        <v>103</v>
      </c>
      <c r="L3022" s="1" t="str">
        <f t="shared" si="1863"/>
        <v>47</v>
      </c>
      <c r="M3022" s="1" t="str">
        <f t="shared" si="1868"/>
        <v>0</v>
      </c>
      <c r="N3022" s="1" t="str">
        <f t="shared" si="1868"/>
        <v>0</v>
      </c>
      <c r="O3022" s="1" t="str">
        <f t="shared" si="1868"/>
        <v>0</v>
      </c>
    </row>
    <row r="3023" s="1" customFormat="1" spans="1:15">
      <c r="A3023" s="1" t="str">
        <f t="shared" si="1851"/>
        <v>202406</v>
      </c>
      <c r="B3023" s="1" t="str">
        <f t="shared" si="1852"/>
        <v>150525100</v>
      </c>
      <c r="C3023" s="1" t="str">
        <f>"1040832624"</f>
        <v>1040832624</v>
      </c>
      <c r="D3023" s="1" t="str">
        <f>"152326193806300044"</f>
        <v>152326193806300044</v>
      </c>
      <c r="E3023" s="1" t="s">
        <v>3092</v>
      </c>
      <c r="F3023" s="1" t="s">
        <v>16</v>
      </c>
      <c r="G3023" s="1" t="s">
        <v>17</v>
      </c>
      <c r="H3023" s="1" t="str">
        <f>"86"</f>
        <v>86</v>
      </c>
      <c r="I3023" s="1" t="str">
        <f t="shared" si="1858"/>
        <v>170</v>
      </c>
      <c r="J3023" s="1" t="str">
        <f t="shared" ref="J3023:O3023" si="1869">"0"</f>
        <v>0</v>
      </c>
      <c r="K3023" s="1" t="str">
        <f t="shared" si="1862"/>
        <v>103</v>
      </c>
      <c r="L3023" s="1" t="str">
        <f t="shared" si="1863"/>
        <v>47</v>
      </c>
      <c r="M3023" s="1" t="str">
        <f t="shared" si="1869"/>
        <v>0</v>
      </c>
      <c r="N3023" s="1" t="str">
        <f t="shared" si="1869"/>
        <v>0</v>
      </c>
      <c r="O3023" s="1" t="str">
        <f t="shared" si="1869"/>
        <v>0</v>
      </c>
    </row>
    <row r="3024" s="1" customFormat="1" spans="1:15">
      <c r="A3024" s="1" t="str">
        <f t="shared" si="1851"/>
        <v>202406</v>
      </c>
      <c r="B3024" s="1" t="str">
        <f t="shared" si="1852"/>
        <v>150525100</v>
      </c>
      <c r="C3024" s="1" t="str">
        <f>"1040948650"</f>
        <v>1040948650</v>
      </c>
      <c r="D3024" s="1" t="str">
        <f>"152326195502053311"</f>
        <v>152326195502053311</v>
      </c>
      <c r="E3024" s="1" t="s">
        <v>3093</v>
      </c>
      <c r="F3024" s="1" t="s">
        <v>25</v>
      </c>
      <c r="G3024" s="1" t="s">
        <v>19</v>
      </c>
      <c r="H3024" s="1" t="str">
        <f>"69"</f>
        <v>69</v>
      </c>
      <c r="I3024" s="1" t="str">
        <f>"153.6"</f>
        <v>153.6</v>
      </c>
      <c r="J3024" s="1" t="str">
        <f t="shared" ref="J3024:N3024" si="1870">"0"</f>
        <v>0</v>
      </c>
      <c r="K3024" s="1" t="str">
        <f t="shared" si="1862"/>
        <v>103</v>
      </c>
      <c r="L3024" s="1" t="str">
        <f t="shared" si="1863"/>
        <v>47</v>
      </c>
      <c r="M3024" s="1" t="str">
        <f t="shared" si="1870"/>
        <v>0</v>
      </c>
      <c r="N3024" s="1" t="str">
        <f t="shared" si="1870"/>
        <v>0</v>
      </c>
      <c r="O3024" s="1" t="str">
        <f>"3.6"</f>
        <v>3.6</v>
      </c>
    </row>
    <row r="3025" s="1" customFormat="1" spans="1:15">
      <c r="A3025" s="1" t="str">
        <f t="shared" si="1851"/>
        <v>202406</v>
      </c>
      <c r="B3025" s="1" t="str">
        <f t="shared" si="1852"/>
        <v>150525100</v>
      </c>
      <c r="C3025" s="1" t="str">
        <f>"1040832668"</f>
        <v>1040832668</v>
      </c>
      <c r="D3025" s="1" t="str">
        <f>"152326194409290027"</f>
        <v>152326194409290027</v>
      </c>
      <c r="E3025" s="1" t="s">
        <v>3094</v>
      </c>
      <c r="F3025" s="1" t="s">
        <v>16</v>
      </c>
      <c r="G3025" s="1" t="s">
        <v>17</v>
      </c>
      <c r="H3025" s="1" t="str">
        <f>"80"</f>
        <v>80</v>
      </c>
      <c r="I3025" s="1" t="str">
        <f t="shared" ref="I3025:I3032" si="1871">"160"</f>
        <v>160</v>
      </c>
      <c r="J3025" s="1" t="str">
        <f t="shared" ref="J3025:O3025" si="1872">"0"</f>
        <v>0</v>
      </c>
      <c r="K3025" s="1" t="str">
        <f t="shared" si="1862"/>
        <v>103</v>
      </c>
      <c r="L3025" s="1" t="str">
        <f t="shared" si="1863"/>
        <v>47</v>
      </c>
      <c r="M3025" s="1" t="str">
        <f t="shared" si="1872"/>
        <v>0</v>
      </c>
      <c r="N3025" s="1" t="str">
        <f t="shared" si="1872"/>
        <v>0</v>
      </c>
      <c r="O3025" s="1" t="str">
        <f t="shared" si="1872"/>
        <v>0</v>
      </c>
    </row>
    <row r="3026" s="1" customFormat="1" spans="1:15">
      <c r="A3026" s="1" t="str">
        <f t="shared" si="1851"/>
        <v>202406</v>
      </c>
      <c r="B3026" s="1" t="str">
        <f t="shared" si="1852"/>
        <v>150525100</v>
      </c>
      <c r="C3026" s="1" t="str">
        <f>"1040832706"</f>
        <v>1040832706</v>
      </c>
      <c r="D3026" s="1" t="str">
        <f>"152326194810115321"</f>
        <v>152326194810115321</v>
      </c>
      <c r="E3026" s="1" t="s">
        <v>2335</v>
      </c>
      <c r="F3026" s="1" t="s">
        <v>16</v>
      </c>
      <c r="G3026" s="1" t="s">
        <v>17</v>
      </c>
      <c r="H3026" s="1" t="str">
        <f>"76"</f>
        <v>76</v>
      </c>
      <c r="I3026" s="1" t="str">
        <f t="shared" si="1871"/>
        <v>160</v>
      </c>
      <c r="J3026" s="1" t="str">
        <f t="shared" ref="J3026:O3026" si="1873">"0"</f>
        <v>0</v>
      </c>
      <c r="K3026" s="1" t="str">
        <f t="shared" si="1862"/>
        <v>103</v>
      </c>
      <c r="L3026" s="1" t="str">
        <f t="shared" si="1863"/>
        <v>47</v>
      </c>
      <c r="M3026" s="1" t="str">
        <f t="shared" si="1873"/>
        <v>0</v>
      </c>
      <c r="N3026" s="1" t="str">
        <f t="shared" si="1873"/>
        <v>0</v>
      </c>
      <c r="O3026" s="1" t="str">
        <f t="shared" si="1873"/>
        <v>0</v>
      </c>
    </row>
    <row r="3027" s="1" customFormat="1" spans="1:15">
      <c r="A3027" s="1" t="str">
        <f t="shared" si="1851"/>
        <v>202406</v>
      </c>
      <c r="B3027" s="1" t="str">
        <f t="shared" si="1852"/>
        <v>150525100</v>
      </c>
      <c r="C3027" s="1" t="str">
        <f>"1040965500"</f>
        <v>1040965500</v>
      </c>
      <c r="D3027" s="1" t="str">
        <f>"152326196105260426"</f>
        <v>152326196105260426</v>
      </c>
      <c r="E3027" s="1" t="s">
        <v>3095</v>
      </c>
      <c r="F3027" s="1" t="s">
        <v>16</v>
      </c>
      <c r="G3027" s="1" t="s">
        <v>19</v>
      </c>
      <c r="H3027" s="1" t="str">
        <f>"63"</f>
        <v>63</v>
      </c>
      <c r="I3027" s="1" t="str">
        <f>"159.19"</f>
        <v>159.19</v>
      </c>
      <c r="J3027" s="1" t="str">
        <f t="shared" ref="J3027:N3027" si="1874">"0"</f>
        <v>0</v>
      </c>
      <c r="K3027" s="1" t="str">
        <f t="shared" si="1862"/>
        <v>103</v>
      </c>
      <c r="L3027" s="1" t="str">
        <f t="shared" si="1863"/>
        <v>47</v>
      </c>
      <c r="M3027" s="1" t="str">
        <f t="shared" si="1874"/>
        <v>0</v>
      </c>
      <c r="N3027" s="1" t="str">
        <f t="shared" si="1874"/>
        <v>0</v>
      </c>
      <c r="O3027" s="1" t="str">
        <f>"9.19"</f>
        <v>9.19</v>
      </c>
    </row>
    <row r="3028" s="1" customFormat="1" spans="1:15">
      <c r="A3028" s="1" t="str">
        <f t="shared" si="1851"/>
        <v>202406</v>
      </c>
      <c r="B3028" s="1" t="str">
        <f t="shared" si="1852"/>
        <v>150525100</v>
      </c>
      <c r="C3028" s="1" t="str">
        <f>"1040832716"</f>
        <v>1040832716</v>
      </c>
      <c r="D3028" s="1" t="str">
        <f>"152326194903290022"</f>
        <v>152326194903290022</v>
      </c>
      <c r="E3028" s="1" t="s">
        <v>3096</v>
      </c>
      <c r="F3028" s="1" t="s">
        <v>16</v>
      </c>
      <c r="G3028" s="1" t="s">
        <v>17</v>
      </c>
      <c r="H3028" s="1" t="str">
        <f t="shared" ref="H3028:H3030" si="1875">"75"</f>
        <v>75</v>
      </c>
      <c r="I3028" s="1" t="str">
        <f t="shared" si="1871"/>
        <v>160</v>
      </c>
      <c r="J3028" s="1" t="str">
        <f t="shared" ref="J3028:O3028" si="1876">"0"</f>
        <v>0</v>
      </c>
      <c r="K3028" s="1" t="str">
        <f t="shared" si="1862"/>
        <v>103</v>
      </c>
      <c r="L3028" s="1" t="str">
        <f t="shared" si="1863"/>
        <v>47</v>
      </c>
      <c r="M3028" s="1" t="str">
        <f t="shared" si="1876"/>
        <v>0</v>
      </c>
      <c r="N3028" s="1" t="str">
        <f t="shared" si="1876"/>
        <v>0</v>
      </c>
      <c r="O3028" s="1" t="str">
        <f t="shared" si="1876"/>
        <v>0</v>
      </c>
    </row>
    <row r="3029" s="1" customFormat="1" spans="1:15">
      <c r="A3029" s="1" t="str">
        <f t="shared" si="1851"/>
        <v>202406</v>
      </c>
      <c r="B3029" s="1" t="str">
        <f t="shared" si="1852"/>
        <v>150525100</v>
      </c>
      <c r="C3029" s="1" t="str">
        <f>"1040832728"</f>
        <v>1040832728</v>
      </c>
      <c r="D3029" s="1" t="str">
        <f>"152326194910200689"</f>
        <v>152326194910200689</v>
      </c>
      <c r="E3029" s="1" t="s">
        <v>3097</v>
      </c>
      <c r="F3029" s="1" t="s">
        <v>16</v>
      </c>
      <c r="G3029" s="1" t="s">
        <v>17</v>
      </c>
      <c r="H3029" s="1" t="str">
        <f t="shared" si="1875"/>
        <v>75</v>
      </c>
      <c r="I3029" s="1" t="str">
        <f t="shared" si="1871"/>
        <v>160</v>
      </c>
      <c r="J3029" s="1" t="str">
        <f t="shared" ref="J3029:O3029" si="1877">"0"</f>
        <v>0</v>
      </c>
      <c r="K3029" s="1" t="str">
        <f t="shared" si="1862"/>
        <v>103</v>
      </c>
      <c r="L3029" s="1" t="str">
        <f t="shared" si="1863"/>
        <v>47</v>
      </c>
      <c r="M3029" s="1" t="str">
        <f t="shared" si="1877"/>
        <v>0</v>
      </c>
      <c r="N3029" s="1" t="str">
        <f t="shared" si="1877"/>
        <v>0</v>
      </c>
      <c r="O3029" s="1" t="str">
        <f t="shared" si="1877"/>
        <v>0</v>
      </c>
    </row>
    <row r="3030" s="1" customFormat="1" spans="1:15">
      <c r="A3030" s="1" t="str">
        <f t="shared" si="1851"/>
        <v>202406</v>
      </c>
      <c r="B3030" s="1" t="str">
        <f t="shared" si="1852"/>
        <v>150525100</v>
      </c>
      <c r="C3030" s="1" t="str">
        <f>"1040832731"</f>
        <v>1040832731</v>
      </c>
      <c r="D3030" s="1" t="str">
        <f>"152326194912100024"</f>
        <v>152326194912100024</v>
      </c>
      <c r="E3030" s="1" t="s">
        <v>3098</v>
      </c>
      <c r="F3030" s="1" t="s">
        <v>16</v>
      </c>
      <c r="G3030" s="1" t="s">
        <v>17</v>
      </c>
      <c r="H3030" s="1" t="str">
        <f t="shared" si="1875"/>
        <v>75</v>
      </c>
      <c r="I3030" s="1" t="str">
        <f t="shared" si="1871"/>
        <v>160</v>
      </c>
      <c r="J3030" s="1" t="str">
        <f t="shared" ref="J3030:O3030" si="1878">"0"</f>
        <v>0</v>
      </c>
      <c r="K3030" s="1" t="str">
        <f t="shared" si="1862"/>
        <v>103</v>
      </c>
      <c r="L3030" s="1" t="str">
        <f t="shared" si="1863"/>
        <v>47</v>
      </c>
      <c r="M3030" s="1" t="str">
        <f t="shared" si="1878"/>
        <v>0</v>
      </c>
      <c r="N3030" s="1" t="str">
        <f t="shared" si="1878"/>
        <v>0</v>
      </c>
      <c r="O3030" s="1" t="str">
        <f t="shared" si="1878"/>
        <v>0</v>
      </c>
    </row>
    <row r="3031" s="1" customFormat="1" spans="1:15">
      <c r="A3031" s="1" t="str">
        <f t="shared" si="1851"/>
        <v>202406</v>
      </c>
      <c r="B3031" s="1" t="str">
        <f t="shared" si="1852"/>
        <v>150525100</v>
      </c>
      <c r="C3031" s="1" t="str">
        <f>"1040832740"</f>
        <v>1040832740</v>
      </c>
      <c r="D3031" s="1" t="str">
        <f>"152326195010035889"</f>
        <v>152326195010035889</v>
      </c>
      <c r="E3031" s="1" t="s">
        <v>3099</v>
      </c>
      <c r="F3031" s="1" t="s">
        <v>16</v>
      </c>
      <c r="G3031" s="1" t="s">
        <v>17</v>
      </c>
      <c r="H3031" s="1" t="str">
        <f>"74"</f>
        <v>74</v>
      </c>
      <c r="I3031" s="1" t="str">
        <f t="shared" si="1871"/>
        <v>160</v>
      </c>
      <c r="J3031" s="1" t="str">
        <f t="shared" ref="J3031:O3031" si="1879">"0"</f>
        <v>0</v>
      </c>
      <c r="K3031" s="1" t="str">
        <f t="shared" si="1862"/>
        <v>103</v>
      </c>
      <c r="L3031" s="1" t="str">
        <f t="shared" si="1863"/>
        <v>47</v>
      </c>
      <c r="M3031" s="1" t="str">
        <f t="shared" si="1879"/>
        <v>0</v>
      </c>
      <c r="N3031" s="1" t="str">
        <f t="shared" si="1879"/>
        <v>0</v>
      </c>
      <c r="O3031" s="1" t="str">
        <f t="shared" si="1879"/>
        <v>0</v>
      </c>
    </row>
    <row r="3032" s="1" customFormat="1" spans="1:15">
      <c r="A3032" s="1" t="str">
        <f t="shared" si="1851"/>
        <v>202406</v>
      </c>
      <c r="B3032" s="1" t="str">
        <f t="shared" si="1852"/>
        <v>150525100</v>
      </c>
      <c r="C3032" s="1" t="str">
        <f>"1040832758"</f>
        <v>1040832758</v>
      </c>
      <c r="D3032" s="1" t="str">
        <f>"152326195112294822"</f>
        <v>152326195112294822</v>
      </c>
      <c r="E3032" s="1" t="s">
        <v>3100</v>
      </c>
      <c r="F3032" s="1" t="s">
        <v>16</v>
      </c>
      <c r="G3032" s="1" t="s">
        <v>17</v>
      </c>
      <c r="H3032" s="1" t="str">
        <f>"73"</f>
        <v>73</v>
      </c>
      <c r="I3032" s="1" t="str">
        <f t="shared" si="1871"/>
        <v>160</v>
      </c>
      <c r="J3032" s="1" t="str">
        <f t="shared" ref="J3032:O3032" si="1880">"0"</f>
        <v>0</v>
      </c>
      <c r="K3032" s="1" t="str">
        <f t="shared" si="1862"/>
        <v>103</v>
      </c>
      <c r="L3032" s="1" t="str">
        <f t="shared" si="1863"/>
        <v>47</v>
      </c>
      <c r="M3032" s="1" t="str">
        <f t="shared" si="1880"/>
        <v>0</v>
      </c>
      <c r="N3032" s="1" t="str">
        <f t="shared" si="1880"/>
        <v>0</v>
      </c>
      <c r="O3032" s="1" t="str">
        <f t="shared" si="1880"/>
        <v>0</v>
      </c>
    </row>
    <row r="3033" s="1" customFormat="1" spans="1:15">
      <c r="A3033" s="1" t="str">
        <f t="shared" si="1851"/>
        <v>202406</v>
      </c>
      <c r="B3033" s="1" t="str">
        <f t="shared" si="1852"/>
        <v>150525100</v>
      </c>
      <c r="C3033" s="1" t="str">
        <f>"1040832763"</f>
        <v>1040832763</v>
      </c>
      <c r="D3033" s="1" t="s">
        <v>3101</v>
      </c>
      <c r="E3033" s="1" t="s">
        <v>3102</v>
      </c>
      <c r="F3033" s="1" t="s">
        <v>16</v>
      </c>
      <c r="G3033" s="1" t="s">
        <v>17</v>
      </c>
      <c r="H3033" s="1" t="str">
        <f>"86"</f>
        <v>86</v>
      </c>
      <c r="I3033" s="1" t="str">
        <f>"680"</f>
        <v>680</v>
      </c>
      <c r="J3033" s="1" t="str">
        <f>"510"</f>
        <v>510</v>
      </c>
      <c r="K3033" s="1" t="str">
        <f>"412"</f>
        <v>412</v>
      </c>
      <c r="L3033" s="1" t="str">
        <f>"188"</f>
        <v>188</v>
      </c>
      <c r="M3033" s="1" t="str">
        <f t="shared" ref="M3033:O3033" si="1881">"0"</f>
        <v>0</v>
      </c>
      <c r="N3033" s="1" t="str">
        <f t="shared" si="1881"/>
        <v>0</v>
      </c>
      <c r="O3033" s="1" t="str">
        <f t="shared" si="1881"/>
        <v>0</v>
      </c>
    </row>
    <row r="3034" s="1" customFormat="1" spans="1:15">
      <c r="A3034" s="1" t="str">
        <f t="shared" si="1851"/>
        <v>202406</v>
      </c>
      <c r="B3034" s="1" t="str">
        <f t="shared" si="1852"/>
        <v>150525100</v>
      </c>
      <c r="C3034" s="1" t="str">
        <f>"1041153451"</f>
        <v>1041153451</v>
      </c>
      <c r="D3034" s="1" t="str">
        <f>"152326196403190032"</f>
        <v>152326196403190032</v>
      </c>
      <c r="E3034" s="1" t="s">
        <v>3103</v>
      </c>
      <c r="F3034" s="1" t="s">
        <v>25</v>
      </c>
      <c r="G3034" s="1" t="s">
        <v>17</v>
      </c>
      <c r="H3034" s="1" t="str">
        <f>"60"</f>
        <v>60</v>
      </c>
      <c r="I3034" s="1" t="str">
        <f>"207.17"</f>
        <v>207.17</v>
      </c>
      <c r="J3034" s="1" t="str">
        <f t="shared" ref="J3034:N3034" si="1882">"0"</f>
        <v>0</v>
      </c>
      <c r="K3034" s="1" t="str">
        <f t="shared" ref="K3034:K3078" si="1883">"103"</f>
        <v>103</v>
      </c>
      <c r="L3034" s="1" t="str">
        <f t="shared" ref="L3034:L3078" si="1884">"47"</f>
        <v>47</v>
      </c>
      <c r="M3034" s="1" t="str">
        <f t="shared" si="1882"/>
        <v>0</v>
      </c>
      <c r="N3034" s="1" t="str">
        <f t="shared" si="1882"/>
        <v>0</v>
      </c>
      <c r="O3034" s="1" t="str">
        <f>"57.17"</f>
        <v>57.17</v>
      </c>
    </row>
    <row r="3035" s="1" customFormat="1" spans="1:15">
      <c r="A3035" s="1" t="str">
        <f t="shared" si="1851"/>
        <v>202406</v>
      </c>
      <c r="B3035" s="1" t="str">
        <f t="shared" si="1852"/>
        <v>150525100</v>
      </c>
      <c r="C3035" s="1" t="str">
        <f>"1041153459"</f>
        <v>1041153459</v>
      </c>
      <c r="D3035" s="1" t="str">
        <f>"152326196207130024"</f>
        <v>152326196207130024</v>
      </c>
      <c r="E3035" s="1" t="s">
        <v>3104</v>
      </c>
      <c r="F3035" s="1" t="s">
        <v>16</v>
      </c>
      <c r="G3035" s="1" t="s">
        <v>17</v>
      </c>
      <c r="H3035" s="1" t="str">
        <f>"62"</f>
        <v>62</v>
      </c>
      <c r="I3035" s="1" t="str">
        <f>"223.13"</f>
        <v>223.13</v>
      </c>
      <c r="J3035" s="1" t="str">
        <f t="shared" ref="J3035:N3035" si="1885">"0"</f>
        <v>0</v>
      </c>
      <c r="K3035" s="1" t="str">
        <f t="shared" si="1883"/>
        <v>103</v>
      </c>
      <c r="L3035" s="1" t="str">
        <f t="shared" si="1884"/>
        <v>47</v>
      </c>
      <c r="M3035" s="1" t="str">
        <f t="shared" si="1885"/>
        <v>0</v>
      </c>
      <c r="N3035" s="1" t="str">
        <f t="shared" si="1885"/>
        <v>0</v>
      </c>
      <c r="O3035" s="1" t="str">
        <f>"73.13"</f>
        <v>73.13</v>
      </c>
    </row>
    <row r="3036" s="1" customFormat="1" spans="1:15">
      <c r="A3036" s="1" t="str">
        <f t="shared" si="1851"/>
        <v>202406</v>
      </c>
      <c r="B3036" s="1" t="str">
        <f t="shared" si="1852"/>
        <v>150525100</v>
      </c>
      <c r="C3036" s="1" t="str">
        <f>"1040952041"</f>
        <v>1040952041</v>
      </c>
      <c r="D3036" s="1" t="str">
        <f>"152326196207160469"</f>
        <v>152326196207160469</v>
      </c>
      <c r="E3036" s="1" t="s">
        <v>3105</v>
      </c>
      <c r="F3036" s="1" t="s">
        <v>16</v>
      </c>
      <c r="G3036" s="1" t="s">
        <v>17</v>
      </c>
      <c r="H3036" s="1" t="str">
        <f>"62"</f>
        <v>62</v>
      </c>
      <c r="I3036" s="1" t="str">
        <f>"161.15"</f>
        <v>161.15</v>
      </c>
      <c r="J3036" s="1" t="str">
        <f t="shared" ref="J3036:N3036" si="1886">"0"</f>
        <v>0</v>
      </c>
      <c r="K3036" s="1" t="str">
        <f t="shared" si="1883"/>
        <v>103</v>
      </c>
      <c r="L3036" s="1" t="str">
        <f t="shared" si="1884"/>
        <v>47</v>
      </c>
      <c r="M3036" s="1" t="str">
        <f t="shared" si="1886"/>
        <v>0</v>
      </c>
      <c r="N3036" s="1" t="str">
        <f t="shared" si="1886"/>
        <v>0</v>
      </c>
      <c r="O3036" s="1" t="str">
        <f>"11.15"</f>
        <v>11.15</v>
      </c>
    </row>
    <row r="3037" s="1" customFormat="1" spans="1:15">
      <c r="A3037" s="1" t="str">
        <f t="shared" si="1851"/>
        <v>202406</v>
      </c>
      <c r="B3037" s="1" t="str">
        <f t="shared" si="1852"/>
        <v>150525100</v>
      </c>
      <c r="C3037" s="1" t="str">
        <f>"1041153515"</f>
        <v>1041153515</v>
      </c>
      <c r="D3037" s="1" t="str">
        <f>"152326196311270019"</f>
        <v>152326196311270019</v>
      </c>
      <c r="E3037" s="1" t="s">
        <v>3106</v>
      </c>
      <c r="F3037" s="1" t="s">
        <v>25</v>
      </c>
      <c r="G3037" s="1" t="s">
        <v>17</v>
      </c>
      <c r="H3037" s="1" t="str">
        <f>"61"</f>
        <v>61</v>
      </c>
      <c r="I3037" s="1" t="str">
        <f>"253.49"</f>
        <v>253.49</v>
      </c>
      <c r="J3037" s="1" t="str">
        <f t="shared" ref="J3037:N3037" si="1887">"0"</f>
        <v>0</v>
      </c>
      <c r="K3037" s="1" t="str">
        <f t="shared" si="1883"/>
        <v>103</v>
      </c>
      <c r="L3037" s="1" t="str">
        <f t="shared" si="1884"/>
        <v>47</v>
      </c>
      <c r="M3037" s="1" t="str">
        <f t="shared" si="1887"/>
        <v>0</v>
      </c>
      <c r="N3037" s="1" t="str">
        <f t="shared" si="1887"/>
        <v>0</v>
      </c>
      <c r="O3037" s="1" t="str">
        <f>"103.49"</f>
        <v>103.49</v>
      </c>
    </row>
    <row r="3038" s="1" customFormat="1" spans="1:15">
      <c r="A3038" s="1" t="str">
        <f t="shared" si="1851"/>
        <v>202406</v>
      </c>
      <c r="B3038" s="1" t="str">
        <f t="shared" si="1852"/>
        <v>150525100</v>
      </c>
      <c r="C3038" s="1" t="str">
        <f>"1040982928"</f>
        <v>1040982928</v>
      </c>
      <c r="D3038" s="1" t="str">
        <f>"152326196307253814"</f>
        <v>152326196307253814</v>
      </c>
      <c r="E3038" s="1" t="s">
        <v>3107</v>
      </c>
      <c r="F3038" s="1" t="s">
        <v>25</v>
      </c>
      <c r="G3038" s="1" t="s">
        <v>19</v>
      </c>
      <c r="H3038" s="1" t="str">
        <f>"61"</f>
        <v>61</v>
      </c>
      <c r="I3038" s="1" t="str">
        <f>"162.8"</f>
        <v>162.8</v>
      </c>
      <c r="J3038" s="1" t="str">
        <f t="shared" ref="J3038:N3038" si="1888">"0"</f>
        <v>0</v>
      </c>
      <c r="K3038" s="1" t="str">
        <f t="shared" si="1883"/>
        <v>103</v>
      </c>
      <c r="L3038" s="1" t="str">
        <f t="shared" si="1884"/>
        <v>47</v>
      </c>
      <c r="M3038" s="1" t="str">
        <f t="shared" si="1888"/>
        <v>0</v>
      </c>
      <c r="N3038" s="1" t="str">
        <f t="shared" si="1888"/>
        <v>0</v>
      </c>
      <c r="O3038" s="1" t="str">
        <f>"12.8"</f>
        <v>12.8</v>
      </c>
    </row>
    <row r="3039" s="1" customFormat="1" spans="1:15">
      <c r="A3039" s="1" t="str">
        <f t="shared" si="1851"/>
        <v>202406</v>
      </c>
      <c r="B3039" s="1" t="str">
        <f t="shared" si="1852"/>
        <v>150525100</v>
      </c>
      <c r="C3039" s="1" t="str">
        <f>"1040979544"</f>
        <v>1040979544</v>
      </c>
      <c r="D3039" s="1" t="s">
        <v>3108</v>
      </c>
      <c r="E3039" s="1" t="s">
        <v>3109</v>
      </c>
      <c r="F3039" s="1" t="s">
        <v>16</v>
      </c>
      <c r="G3039" s="1" t="s">
        <v>19</v>
      </c>
      <c r="H3039" s="1" t="str">
        <f>"65"</f>
        <v>65</v>
      </c>
      <c r="I3039" s="1" t="str">
        <f>"156.9"</f>
        <v>156.9</v>
      </c>
      <c r="J3039" s="1" t="str">
        <f t="shared" ref="J3039:N3039" si="1889">"0"</f>
        <v>0</v>
      </c>
      <c r="K3039" s="1" t="str">
        <f t="shared" si="1883"/>
        <v>103</v>
      </c>
      <c r="L3039" s="1" t="str">
        <f t="shared" si="1884"/>
        <v>47</v>
      </c>
      <c r="M3039" s="1" t="str">
        <f t="shared" si="1889"/>
        <v>0</v>
      </c>
      <c r="N3039" s="1" t="str">
        <f t="shared" si="1889"/>
        <v>0</v>
      </c>
      <c r="O3039" s="1" t="str">
        <f>"6.9"</f>
        <v>6.9</v>
      </c>
    </row>
    <row r="3040" s="1" customFormat="1" spans="1:15">
      <c r="A3040" s="1" t="str">
        <f t="shared" si="1851"/>
        <v>202406</v>
      </c>
      <c r="B3040" s="1" t="str">
        <f t="shared" si="1852"/>
        <v>150525100</v>
      </c>
      <c r="C3040" s="1" t="str">
        <f>"1040937277"</f>
        <v>1040937277</v>
      </c>
      <c r="D3040" s="1" t="str">
        <f>"152326195701050682"</f>
        <v>152326195701050682</v>
      </c>
      <c r="E3040" s="1" t="s">
        <v>3110</v>
      </c>
      <c r="F3040" s="1" t="s">
        <v>16</v>
      </c>
      <c r="G3040" s="1" t="s">
        <v>17</v>
      </c>
      <c r="H3040" s="1" t="str">
        <f t="shared" ref="H3040:H3042" si="1890">"68"</f>
        <v>68</v>
      </c>
      <c r="I3040" s="1" t="str">
        <f>"155.45"</f>
        <v>155.45</v>
      </c>
      <c r="J3040" s="1" t="str">
        <f t="shared" ref="J3040:N3040" si="1891">"0"</f>
        <v>0</v>
      </c>
      <c r="K3040" s="1" t="str">
        <f t="shared" si="1883"/>
        <v>103</v>
      </c>
      <c r="L3040" s="1" t="str">
        <f t="shared" si="1884"/>
        <v>47</v>
      </c>
      <c r="M3040" s="1" t="str">
        <f t="shared" si="1891"/>
        <v>0</v>
      </c>
      <c r="N3040" s="1" t="str">
        <f t="shared" si="1891"/>
        <v>0</v>
      </c>
      <c r="O3040" s="1" t="str">
        <f>"5.45"</f>
        <v>5.45</v>
      </c>
    </row>
    <row r="3041" s="1" customFormat="1" spans="1:15">
      <c r="A3041" s="1" t="str">
        <f t="shared" si="1851"/>
        <v>202406</v>
      </c>
      <c r="B3041" s="1" t="str">
        <f t="shared" si="1852"/>
        <v>150525100</v>
      </c>
      <c r="C3041" s="1" t="str">
        <f>"1040937279"</f>
        <v>1040937279</v>
      </c>
      <c r="D3041" s="1" t="str">
        <f>"152326195603220668"</f>
        <v>152326195603220668</v>
      </c>
      <c r="E3041" s="1" t="s">
        <v>3111</v>
      </c>
      <c r="F3041" s="1" t="s">
        <v>16</v>
      </c>
      <c r="G3041" s="1" t="s">
        <v>19</v>
      </c>
      <c r="H3041" s="1" t="str">
        <f t="shared" si="1890"/>
        <v>68</v>
      </c>
      <c r="I3041" s="1" t="str">
        <f>"155.43"</f>
        <v>155.43</v>
      </c>
      <c r="J3041" s="1" t="str">
        <f t="shared" ref="J3041:N3041" si="1892">"0"</f>
        <v>0</v>
      </c>
      <c r="K3041" s="1" t="str">
        <f t="shared" si="1883"/>
        <v>103</v>
      </c>
      <c r="L3041" s="1" t="str">
        <f t="shared" si="1884"/>
        <v>47</v>
      </c>
      <c r="M3041" s="1" t="str">
        <f t="shared" si="1892"/>
        <v>0</v>
      </c>
      <c r="N3041" s="1" t="str">
        <f t="shared" si="1892"/>
        <v>0</v>
      </c>
      <c r="O3041" s="1" t="str">
        <f>"5.43"</f>
        <v>5.43</v>
      </c>
    </row>
    <row r="3042" s="1" customFormat="1" spans="1:15">
      <c r="A3042" s="1" t="str">
        <f t="shared" si="1851"/>
        <v>202406</v>
      </c>
      <c r="B3042" s="1" t="str">
        <f t="shared" si="1852"/>
        <v>150525100</v>
      </c>
      <c r="C3042" s="1" t="str">
        <f>"1040937282"</f>
        <v>1040937282</v>
      </c>
      <c r="D3042" s="1" t="s">
        <v>3112</v>
      </c>
      <c r="E3042" s="1" t="s">
        <v>3113</v>
      </c>
      <c r="F3042" s="1" t="s">
        <v>16</v>
      </c>
      <c r="G3042" s="1" t="s">
        <v>17</v>
      </c>
      <c r="H3042" s="1" t="str">
        <f t="shared" si="1890"/>
        <v>68</v>
      </c>
      <c r="I3042" s="1" t="str">
        <f>"155.43"</f>
        <v>155.43</v>
      </c>
      <c r="J3042" s="1" t="str">
        <f t="shared" ref="J3042:N3042" si="1893">"0"</f>
        <v>0</v>
      </c>
      <c r="K3042" s="1" t="str">
        <f t="shared" si="1883"/>
        <v>103</v>
      </c>
      <c r="L3042" s="1" t="str">
        <f t="shared" si="1884"/>
        <v>47</v>
      </c>
      <c r="M3042" s="1" t="str">
        <f t="shared" si="1893"/>
        <v>0</v>
      </c>
      <c r="N3042" s="1" t="str">
        <f t="shared" si="1893"/>
        <v>0</v>
      </c>
      <c r="O3042" s="1" t="str">
        <f>"5.43"</f>
        <v>5.43</v>
      </c>
    </row>
    <row r="3043" s="1" customFormat="1" spans="1:15">
      <c r="A3043" s="1" t="str">
        <f t="shared" si="1851"/>
        <v>202406</v>
      </c>
      <c r="B3043" s="1" t="str">
        <f t="shared" si="1852"/>
        <v>150525100</v>
      </c>
      <c r="C3043" s="1" t="str">
        <f>"1040987266"</f>
        <v>1040987266</v>
      </c>
      <c r="D3043" s="1" t="str">
        <f>"152326196401090417"</f>
        <v>152326196401090417</v>
      </c>
      <c r="E3043" s="1" t="s">
        <v>3114</v>
      </c>
      <c r="F3043" s="1" t="s">
        <v>25</v>
      </c>
      <c r="G3043" s="1" t="s">
        <v>17</v>
      </c>
      <c r="H3043" s="1" t="str">
        <f>"60"</f>
        <v>60</v>
      </c>
      <c r="I3043" s="1" t="str">
        <f>"164.84"</f>
        <v>164.84</v>
      </c>
      <c r="J3043" s="1" t="str">
        <f t="shared" ref="J3043:N3043" si="1894">"0"</f>
        <v>0</v>
      </c>
      <c r="K3043" s="1" t="str">
        <f t="shared" si="1883"/>
        <v>103</v>
      </c>
      <c r="L3043" s="1" t="str">
        <f t="shared" si="1884"/>
        <v>47</v>
      </c>
      <c r="M3043" s="1" t="str">
        <f t="shared" si="1894"/>
        <v>0</v>
      </c>
      <c r="N3043" s="1" t="str">
        <f t="shared" si="1894"/>
        <v>0</v>
      </c>
      <c r="O3043" s="1" t="str">
        <f>"14.84"</f>
        <v>14.84</v>
      </c>
    </row>
    <row r="3044" s="1" customFormat="1" spans="1:15">
      <c r="A3044" s="1" t="str">
        <f t="shared" si="1851"/>
        <v>202406</v>
      </c>
      <c r="B3044" s="1" t="str">
        <f t="shared" si="1852"/>
        <v>150525100</v>
      </c>
      <c r="C3044" s="1" t="str">
        <f>"1041168945"</f>
        <v>1041168945</v>
      </c>
      <c r="D3044" s="1" t="str">
        <f>"152326195602030715"</f>
        <v>152326195602030715</v>
      </c>
      <c r="E3044" s="1" t="s">
        <v>3115</v>
      </c>
      <c r="F3044" s="1" t="s">
        <v>16</v>
      </c>
      <c r="G3044" s="1" t="s">
        <v>19</v>
      </c>
      <c r="H3044" s="1" t="str">
        <f>"68"</f>
        <v>68</v>
      </c>
      <c r="I3044" s="1" t="str">
        <f t="shared" ref="I3044:I3048" si="1895">"154.32"</f>
        <v>154.32</v>
      </c>
      <c r="J3044" s="1" t="str">
        <f t="shared" ref="J3044:N3044" si="1896">"0"</f>
        <v>0</v>
      </c>
      <c r="K3044" s="1" t="str">
        <f t="shared" si="1883"/>
        <v>103</v>
      </c>
      <c r="L3044" s="1" t="str">
        <f t="shared" si="1884"/>
        <v>47</v>
      </c>
      <c r="M3044" s="1" t="str">
        <f t="shared" si="1896"/>
        <v>0</v>
      </c>
      <c r="N3044" s="1" t="str">
        <f t="shared" si="1896"/>
        <v>0</v>
      </c>
      <c r="O3044" s="1" t="str">
        <f t="shared" ref="O3044:O3048" si="1897">"4.32"</f>
        <v>4.32</v>
      </c>
    </row>
    <row r="3045" s="1" customFormat="1" spans="1:15">
      <c r="A3045" s="1" t="str">
        <f t="shared" si="1851"/>
        <v>202406</v>
      </c>
      <c r="B3045" s="1" t="str">
        <f t="shared" si="1852"/>
        <v>150525100</v>
      </c>
      <c r="C3045" s="1" t="str">
        <f>"1041168950"</f>
        <v>1041168950</v>
      </c>
      <c r="D3045" s="1" t="str">
        <f>"152326195712280694"</f>
        <v>152326195712280694</v>
      </c>
      <c r="E3045" s="1" t="s">
        <v>3116</v>
      </c>
      <c r="F3045" s="1" t="s">
        <v>16</v>
      </c>
      <c r="G3045" s="1" t="s">
        <v>19</v>
      </c>
      <c r="H3045" s="1" t="str">
        <f t="shared" ref="H3045:H3048" si="1898">"67"</f>
        <v>67</v>
      </c>
      <c r="I3045" s="1" t="str">
        <f t="shared" si="1895"/>
        <v>154.32</v>
      </c>
      <c r="J3045" s="1" t="str">
        <f t="shared" ref="J3045:N3045" si="1899">"0"</f>
        <v>0</v>
      </c>
      <c r="K3045" s="1" t="str">
        <f t="shared" si="1883"/>
        <v>103</v>
      </c>
      <c r="L3045" s="1" t="str">
        <f t="shared" si="1884"/>
        <v>47</v>
      </c>
      <c r="M3045" s="1" t="str">
        <f t="shared" si="1899"/>
        <v>0</v>
      </c>
      <c r="N3045" s="1" t="str">
        <f t="shared" si="1899"/>
        <v>0</v>
      </c>
      <c r="O3045" s="1" t="str">
        <f t="shared" si="1897"/>
        <v>4.32</v>
      </c>
    </row>
    <row r="3046" s="1" customFormat="1" spans="1:15">
      <c r="A3046" s="1" t="str">
        <f t="shared" si="1851"/>
        <v>202406</v>
      </c>
      <c r="B3046" s="1" t="str">
        <f t="shared" si="1852"/>
        <v>150525100</v>
      </c>
      <c r="C3046" s="1" t="str">
        <f>"1041168951"</f>
        <v>1041168951</v>
      </c>
      <c r="D3046" s="1" t="str">
        <f>"152326195704150670"</f>
        <v>152326195704150670</v>
      </c>
      <c r="E3046" s="1" t="s">
        <v>3117</v>
      </c>
      <c r="F3046" s="1" t="s">
        <v>16</v>
      </c>
      <c r="G3046" s="1" t="s">
        <v>19</v>
      </c>
      <c r="H3046" s="1" t="str">
        <f t="shared" si="1898"/>
        <v>67</v>
      </c>
      <c r="I3046" s="1" t="str">
        <f t="shared" si="1895"/>
        <v>154.32</v>
      </c>
      <c r="J3046" s="1" t="str">
        <f t="shared" ref="J3046:N3046" si="1900">"0"</f>
        <v>0</v>
      </c>
      <c r="K3046" s="1" t="str">
        <f t="shared" si="1883"/>
        <v>103</v>
      </c>
      <c r="L3046" s="1" t="str">
        <f t="shared" si="1884"/>
        <v>47</v>
      </c>
      <c r="M3046" s="1" t="str">
        <f t="shared" si="1900"/>
        <v>0</v>
      </c>
      <c r="N3046" s="1" t="str">
        <f t="shared" si="1900"/>
        <v>0</v>
      </c>
      <c r="O3046" s="1" t="str">
        <f t="shared" si="1897"/>
        <v>4.32</v>
      </c>
    </row>
    <row r="3047" s="1" customFormat="1" spans="1:15">
      <c r="A3047" s="1" t="str">
        <f t="shared" si="1851"/>
        <v>202406</v>
      </c>
      <c r="B3047" s="1" t="str">
        <f t="shared" si="1852"/>
        <v>150525100</v>
      </c>
      <c r="C3047" s="1" t="str">
        <f>"1041168954"</f>
        <v>1041168954</v>
      </c>
      <c r="D3047" s="1" t="str">
        <f>"152326195606070677"</f>
        <v>152326195606070677</v>
      </c>
      <c r="E3047" s="1" t="s">
        <v>3118</v>
      </c>
      <c r="F3047" s="1" t="s">
        <v>16</v>
      </c>
      <c r="G3047" s="1" t="s">
        <v>19</v>
      </c>
      <c r="H3047" s="1" t="str">
        <f>"68"</f>
        <v>68</v>
      </c>
      <c r="I3047" s="1" t="str">
        <f t="shared" si="1895"/>
        <v>154.32</v>
      </c>
      <c r="J3047" s="1" t="str">
        <f t="shared" ref="J3047:N3047" si="1901">"0"</f>
        <v>0</v>
      </c>
      <c r="K3047" s="1" t="str">
        <f t="shared" si="1883"/>
        <v>103</v>
      </c>
      <c r="L3047" s="1" t="str">
        <f t="shared" si="1884"/>
        <v>47</v>
      </c>
      <c r="M3047" s="1" t="str">
        <f t="shared" si="1901"/>
        <v>0</v>
      </c>
      <c r="N3047" s="1" t="str">
        <f t="shared" si="1901"/>
        <v>0</v>
      </c>
      <c r="O3047" s="1" t="str">
        <f t="shared" si="1897"/>
        <v>4.32</v>
      </c>
    </row>
    <row r="3048" s="1" customFormat="1" spans="1:15">
      <c r="A3048" s="1" t="str">
        <f t="shared" si="1851"/>
        <v>202406</v>
      </c>
      <c r="B3048" s="1" t="str">
        <f t="shared" si="1852"/>
        <v>150525100</v>
      </c>
      <c r="C3048" s="1" t="str">
        <f>"1040833834"</f>
        <v>1040833834</v>
      </c>
      <c r="D3048" s="1" t="str">
        <f>"152326195703200429"</f>
        <v>152326195703200429</v>
      </c>
      <c r="E3048" s="1" t="s">
        <v>3119</v>
      </c>
      <c r="F3048" s="1" t="s">
        <v>16</v>
      </c>
      <c r="G3048" s="1" t="s">
        <v>17</v>
      </c>
      <c r="H3048" s="1" t="str">
        <f t="shared" si="1898"/>
        <v>67</v>
      </c>
      <c r="I3048" s="1" t="str">
        <f t="shared" si="1895"/>
        <v>154.32</v>
      </c>
      <c r="J3048" s="1" t="str">
        <f t="shared" ref="J3048:N3048" si="1902">"0"</f>
        <v>0</v>
      </c>
      <c r="K3048" s="1" t="str">
        <f t="shared" si="1883"/>
        <v>103</v>
      </c>
      <c r="L3048" s="1" t="str">
        <f t="shared" si="1884"/>
        <v>47</v>
      </c>
      <c r="M3048" s="1" t="str">
        <f t="shared" si="1902"/>
        <v>0</v>
      </c>
      <c r="N3048" s="1" t="str">
        <f t="shared" si="1902"/>
        <v>0</v>
      </c>
      <c r="O3048" s="1" t="str">
        <f t="shared" si="1897"/>
        <v>4.32</v>
      </c>
    </row>
    <row r="3049" s="1" customFormat="1" spans="1:15">
      <c r="A3049" s="1" t="str">
        <f t="shared" si="1851"/>
        <v>202406</v>
      </c>
      <c r="B3049" s="1" t="str">
        <f t="shared" si="1852"/>
        <v>150525100</v>
      </c>
      <c r="C3049" s="1" t="str">
        <f>"1040965960"</f>
        <v>1040965960</v>
      </c>
      <c r="D3049" s="1" t="str">
        <f>"152326196401030414"</f>
        <v>152326196401030414</v>
      </c>
      <c r="E3049" s="1" t="s">
        <v>3120</v>
      </c>
      <c r="F3049" s="1" t="s">
        <v>25</v>
      </c>
      <c r="G3049" s="1" t="s">
        <v>17</v>
      </c>
      <c r="H3049" s="1" t="str">
        <f t="shared" ref="H3049:H3053" si="1903">"61"</f>
        <v>61</v>
      </c>
      <c r="I3049" s="1" t="str">
        <f>"164.58"</f>
        <v>164.58</v>
      </c>
      <c r="J3049" s="1" t="str">
        <f t="shared" ref="J3049:N3049" si="1904">"0"</f>
        <v>0</v>
      </c>
      <c r="K3049" s="1" t="str">
        <f t="shared" si="1883"/>
        <v>103</v>
      </c>
      <c r="L3049" s="1" t="str">
        <f t="shared" si="1884"/>
        <v>47</v>
      </c>
      <c r="M3049" s="1" t="str">
        <f t="shared" si="1904"/>
        <v>0</v>
      </c>
      <c r="N3049" s="1" t="str">
        <f t="shared" si="1904"/>
        <v>0</v>
      </c>
      <c r="O3049" s="1" t="str">
        <f>"14.58"</f>
        <v>14.58</v>
      </c>
    </row>
    <row r="3050" s="1" customFormat="1" spans="1:15">
      <c r="A3050" s="1" t="str">
        <f t="shared" si="1851"/>
        <v>202406</v>
      </c>
      <c r="B3050" s="1" t="str">
        <f t="shared" si="1852"/>
        <v>150525100</v>
      </c>
      <c r="C3050" s="1" t="str">
        <f>"1040937602"</f>
        <v>1040937602</v>
      </c>
      <c r="D3050" s="1" t="str">
        <f>"152326195508273817"</f>
        <v>152326195508273817</v>
      </c>
      <c r="E3050" s="1" t="s">
        <v>3121</v>
      </c>
      <c r="F3050" s="1" t="s">
        <v>25</v>
      </c>
      <c r="G3050" s="1" t="s">
        <v>19</v>
      </c>
      <c r="H3050" s="1" t="str">
        <f>"69"</f>
        <v>69</v>
      </c>
      <c r="I3050" s="1" t="str">
        <f>"153.6"</f>
        <v>153.6</v>
      </c>
      <c r="J3050" s="1" t="str">
        <f t="shared" ref="J3050:N3050" si="1905">"0"</f>
        <v>0</v>
      </c>
      <c r="K3050" s="1" t="str">
        <f t="shared" si="1883"/>
        <v>103</v>
      </c>
      <c r="L3050" s="1" t="str">
        <f t="shared" si="1884"/>
        <v>47</v>
      </c>
      <c r="M3050" s="1" t="str">
        <f t="shared" si="1905"/>
        <v>0</v>
      </c>
      <c r="N3050" s="1" t="str">
        <f t="shared" si="1905"/>
        <v>0</v>
      </c>
      <c r="O3050" s="1" t="str">
        <f>"3.6"</f>
        <v>3.6</v>
      </c>
    </row>
    <row r="3051" s="1" customFormat="1" spans="1:15">
      <c r="A3051" s="1" t="str">
        <f t="shared" si="1851"/>
        <v>202406</v>
      </c>
      <c r="B3051" s="1" t="str">
        <f t="shared" si="1852"/>
        <v>150525100</v>
      </c>
      <c r="C3051" s="1" t="str">
        <f>"1040937645"</f>
        <v>1040937645</v>
      </c>
      <c r="D3051" s="1" t="str">
        <f>"152326195609076388"</f>
        <v>152326195609076388</v>
      </c>
      <c r="E3051" s="1" t="s">
        <v>3122</v>
      </c>
      <c r="F3051" s="1" t="s">
        <v>16</v>
      </c>
      <c r="G3051" s="1" t="s">
        <v>19</v>
      </c>
      <c r="H3051" s="1" t="str">
        <f>"68"</f>
        <v>68</v>
      </c>
      <c r="I3051" s="1" t="str">
        <f>"154.54"</f>
        <v>154.54</v>
      </c>
      <c r="J3051" s="1" t="str">
        <f t="shared" ref="J3051:N3051" si="1906">"0"</f>
        <v>0</v>
      </c>
      <c r="K3051" s="1" t="str">
        <f t="shared" si="1883"/>
        <v>103</v>
      </c>
      <c r="L3051" s="1" t="str">
        <f t="shared" si="1884"/>
        <v>47</v>
      </c>
      <c r="M3051" s="1" t="str">
        <f t="shared" si="1906"/>
        <v>0</v>
      </c>
      <c r="N3051" s="1" t="str">
        <f t="shared" si="1906"/>
        <v>0</v>
      </c>
      <c r="O3051" s="1" t="str">
        <f>"4.54"</f>
        <v>4.54</v>
      </c>
    </row>
    <row r="3052" s="1" customFormat="1" spans="1:15">
      <c r="A3052" s="1" t="str">
        <f t="shared" si="1851"/>
        <v>202406</v>
      </c>
      <c r="B3052" s="1" t="str">
        <f t="shared" si="1852"/>
        <v>150525100</v>
      </c>
      <c r="C3052" s="1" t="str">
        <f>"1040953646"</f>
        <v>1040953646</v>
      </c>
      <c r="D3052" s="1" t="str">
        <f>"152326196303290925"</f>
        <v>152326196303290925</v>
      </c>
      <c r="E3052" s="1" t="s">
        <v>3123</v>
      </c>
      <c r="F3052" s="1" t="s">
        <v>16</v>
      </c>
      <c r="G3052" s="1" t="s">
        <v>19</v>
      </c>
      <c r="H3052" s="1" t="str">
        <f t="shared" si="1903"/>
        <v>61</v>
      </c>
      <c r="I3052" s="1" t="str">
        <f>"164.68"</f>
        <v>164.68</v>
      </c>
      <c r="J3052" s="1" t="str">
        <f t="shared" ref="J3052:N3052" si="1907">"0"</f>
        <v>0</v>
      </c>
      <c r="K3052" s="1" t="str">
        <f t="shared" si="1883"/>
        <v>103</v>
      </c>
      <c r="L3052" s="1" t="str">
        <f t="shared" si="1884"/>
        <v>47</v>
      </c>
      <c r="M3052" s="1" t="str">
        <f t="shared" si="1907"/>
        <v>0</v>
      </c>
      <c r="N3052" s="1" t="str">
        <f t="shared" si="1907"/>
        <v>0</v>
      </c>
      <c r="O3052" s="1" t="str">
        <f>"14.68"</f>
        <v>14.68</v>
      </c>
    </row>
    <row r="3053" s="1" customFormat="1" spans="1:15">
      <c r="A3053" s="1" t="str">
        <f t="shared" si="1851"/>
        <v>202406</v>
      </c>
      <c r="B3053" s="1" t="str">
        <f t="shared" si="1852"/>
        <v>150525100</v>
      </c>
      <c r="C3053" s="1" t="str">
        <f>"1041015455"</f>
        <v>1041015455</v>
      </c>
      <c r="D3053" s="1" t="str">
        <f>"152326196312273369"</f>
        <v>152326196312273369</v>
      </c>
      <c r="E3053" s="1" t="s">
        <v>602</v>
      </c>
      <c r="F3053" s="1" t="s">
        <v>16</v>
      </c>
      <c r="G3053" s="1" t="s">
        <v>19</v>
      </c>
      <c r="H3053" s="1" t="str">
        <f t="shared" si="1903"/>
        <v>61</v>
      </c>
      <c r="I3053" s="1" t="str">
        <f>"164.81"</f>
        <v>164.81</v>
      </c>
      <c r="J3053" s="1" t="str">
        <f t="shared" ref="J3053:N3053" si="1908">"0"</f>
        <v>0</v>
      </c>
      <c r="K3053" s="1" t="str">
        <f t="shared" si="1883"/>
        <v>103</v>
      </c>
      <c r="L3053" s="1" t="str">
        <f t="shared" si="1884"/>
        <v>47</v>
      </c>
      <c r="M3053" s="1" t="str">
        <f t="shared" si="1908"/>
        <v>0</v>
      </c>
      <c r="N3053" s="1" t="str">
        <f t="shared" si="1908"/>
        <v>0</v>
      </c>
      <c r="O3053" s="1" t="str">
        <f>"14.81"</f>
        <v>14.81</v>
      </c>
    </row>
    <row r="3054" s="1" customFormat="1" spans="1:15">
      <c r="A3054" s="1" t="str">
        <f t="shared" si="1851"/>
        <v>202406</v>
      </c>
      <c r="B3054" s="1" t="str">
        <f t="shared" si="1852"/>
        <v>150525100</v>
      </c>
      <c r="C3054" s="1" t="str">
        <f>"1040979545"</f>
        <v>1040979545</v>
      </c>
      <c r="D3054" s="1" t="str">
        <f>"152326195805280917"</f>
        <v>152326195805280917</v>
      </c>
      <c r="E3054" s="1" t="s">
        <v>3124</v>
      </c>
      <c r="F3054" s="1" t="s">
        <v>25</v>
      </c>
      <c r="G3054" s="1" t="s">
        <v>19</v>
      </c>
      <c r="H3054" s="1" t="str">
        <f>"66"</f>
        <v>66</v>
      </c>
      <c r="I3054" s="1" t="str">
        <f>"155.3"</f>
        <v>155.3</v>
      </c>
      <c r="J3054" s="1" t="str">
        <f t="shared" ref="J3054:N3054" si="1909">"0"</f>
        <v>0</v>
      </c>
      <c r="K3054" s="1" t="str">
        <f t="shared" si="1883"/>
        <v>103</v>
      </c>
      <c r="L3054" s="1" t="str">
        <f t="shared" si="1884"/>
        <v>47</v>
      </c>
      <c r="M3054" s="1" t="str">
        <f t="shared" si="1909"/>
        <v>0</v>
      </c>
      <c r="N3054" s="1" t="str">
        <f t="shared" si="1909"/>
        <v>0</v>
      </c>
      <c r="O3054" s="1" t="str">
        <f>"5.3"</f>
        <v>5.3</v>
      </c>
    </row>
    <row r="3055" s="1" customFormat="1" spans="1:15">
      <c r="A3055" s="1" t="str">
        <f t="shared" si="1851"/>
        <v>202406</v>
      </c>
      <c r="B3055" s="1" t="str">
        <f t="shared" si="1852"/>
        <v>150525100</v>
      </c>
      <c r="C3055" s="1" t="str">
        <f>"1040998945"</f>
        <v>1040998945</v>
      </c>
      <c r="D3055" s="1" t="str">
        <f>"152326196311113822"</f>
        <v>152326196311113822</v>
      </c>
      <c r="E3055" s="1" t="s">
        <v>3125</v>
      </c>
      <c r="F3055" s="1" t="s">
        <v>16</v>
      </c>
      <c r="G3055" s="1" t="s">
        <v>17</v>
      </c>
      <c r="H3055" s="1" t="str">
        <f t="shared" ref="H3055:H3061" si="1910">"61"</f>
        <v>61</v>
      </c>
      <c r="I3055" s="1" t="str">
        <f>"162.78"</f>
        <v>162.78</v>
      </c>
      <c r="J3055" s="1" t="str">
        <f t="shared" ref="J3055:N3055" si="1911">"0"</f>
        <v>0</v>
      </c>
      <c r="K3055" s="1" t="str">
        <f t="shared" si="1883"/>
        <v>103</v>
      </c>
      <c r="L3055" s="1" t="str">
        <f t="shared" si="1884"/>
        <v>47</v>
      </c>
      <c r="M3055" s="1" t="str">
        <f t="shared" si="1911"/>
        <v>0</v>
      </c>
      <c r="N3055" s="1" t="str">
        <f t="shared" si="1911"/>
        <v>0</v>
      </c>
      <c r="O3055" s="1" t="str">
        <f>"12.78"</f>
        <v>12.78</v>
      </c>
    </row>
    <row r="3056" s="1" customFormat="1" spans="1:15">
      <c r="A3056" s="1" t="str">
        <f t="shared" si="1851"/>
        <v>202406</v>
      </c>
      <c r="B3056" s="1" t="str">
        <f t="shared" si="1852"/>
        <v>150525100</v>
      </c>
      <c r="C3056" s="1" t="str">
        <f>"1040998949"</f>
        <v>1040998949</v>
      </c>
      <c r="D3056" s="1" t="str">
        <f>"152326196011223819"</f>
        <v>152326196011223819</v>
      </c>
      <c r="E3056" s="1" t="s">
        <v>3126</v>
      </c>
      <c r="F3056" s="1" t="s">
        <v>25</v>
      </c>
      <c r="G3056" s="1" t="s">
        <v>19</v>
      </c>
      <c r="H3056" s="1" t="str">
        <f>"64"</f>
        <v>64</v>
      </c>
      <c r="I3056" s="1" t="str">
        <f>"157.41"</f>
        <v>157.41</v>
      </c>
      <c r="J3056" s="1" t="str">
        <f t="shared" ref="J3056:N3056" si="1912">"0"</f>
        <v>0</v>
      </c>
      <c r="K3056" s="1" t="str">
        <f t="shared" si="1883"/>
        <v>103</v>
      </c>
      <c r="L3056" s="1" t="str">
        <f t="shared" si="1884"/>
        <v>47</v>
      </c>
      <c r="M3056" s="1" t="str">
        <f t="shared" si="1912"/>
        <v>0</v>
      </c>
      <c r="N3056" s="1" t="str">
        <f t="shared" si="1912"/>
        <v>0</v>
      </c>
      <c r="O3056" s="1" t="str">
        <f>"7.41"</f>
        <v>7.41</v>
      </c>
    </row>
    <row r="3057" s="1" customFormat="1" spans="1:15">
      <c r="A3057" s="1" t="str">
        <f t="shared" si="1851"/>
        <v>202406</v>
      </c>
      <c r="B3057" s="1" t="str">
        <f t="shared" si="1852"/>
        <v>150525100</v>
      </c>
      <c r="C3057" s="1" t="str">
        <f>"1040937045"</f>
        <v>1040937045</v>
      </c>
      <c r="D3057" s="1" t="str">
        <f>"152326196212050918"</f>
        <v>152326196212050918</v>
      </c>
      <c r="E3057" s="1" t="s">
        <v>2246</v>
      </c>
      <c r="F3057" s="1" t="s">
        <v>25</v>
      </c>
      <c r="G3057" s="1" t="s">
        <v>19</v>
      </c>
      <c r="H3057" s="1" t="str">
        <f>"62"</f>
        <v>62</v>
      </c>
      <c r="I3057" s="1" t="str">
        <f>"162.58"</f>
        <v>162.58</v>
      </c>
      <c r="J3057" s="1" t="str">
        <f t="shared" ref="J3057:N3057" si="1913">"0"</f>
        <v>0</v>
      </c>
      <c r="K3057" s="1" t="str">
        <f t="shared" si="1883"/>
        <v>103</v>
      </c>
      <c r="L3057" s="1" t="str">
        <f t="shared" si="1884"/>
        <v>47</v>
      </c>
      <c r="M3057" s="1" t="str">
        <f t="shared" si="1913"/>
        <v>0</v>
      </c>
      <c r="N3057" s="1" t="str">
        <f t="shared" si="1913"/>
        <v>0</v>
      </c>
      <c r="O3057" s="1" t="str">
        <f>"12.58"</f>
        <v>12.58</v>
      </c>
    </row>
    <row r="3058" s="1" customFormat="1" spans="1:15">
      <c r="A3058" s="1" t="str">
        <f t="shared" si="1851"/>
        <v>202406</v>
      </c>
      <c r="B3058" s="1" t="str">
        <f t="shared" si="1852"/>
        <v>150525100</v>
      </c>
      <c r="C3058" s="1" t="str">
        <f>"1040937062"</f>
        <v>1040937062</v>
      </c>
      <c r="D3058" s="1" t="str">
        <f>"152326196305240665"</f>
        <v>152326196305240665</v>
      </c>
      <c r="E3058" s="1" t="s">
        <v>3127</v>
      </c>
      <c r="F3058" s="1" t="s">
        <v>16</v>
      </c>
      <c r="G3058" s="1" t="s">
        <v>17</v>
      </c>
      <c r="H3058" s="1" t="str">
        <f t="shared" si="1910"/>
        <v>61</v>
      </c>
      <c r="I3058" s="1" t="str">
        <f>"164.35"</f>
        <v>164.35</v>
      </c>
      <c r="J3058" s="1" t="str">
        <f t="shared" ref="J3058:N3058" si="1914">"0"</f>
        <v>0</v>
      </c>
      <c r="K3058" s="1" t="str">
        <f t="shared" si="1883"/>
        <v>103</v>
      </c>
      <c r="L3058" s="1" t="str">
        <f t="shared" si="1884"/>
        <v>47</v>
      </c>
      <c r="M3058" s="1" t="str">
        <f t="shared" si="1914"/>
        <v>0</v>
      </c>
      <c r="N3058" s="1" t="str">
        <f t="shared" si="1914"/>
        <v>0</v>
      </c>
      <c r="O3058" s="1" t="str">
        <f>"14.35"</f>
        <v>14.35</v>
      </c>
    </row>
    <row r="3059" s="1" customFormat="1" spans="1:15">
      <c r="A3059" s="1" t="str">
        <f t="shared" si="1851"/>
        <v>202406</v>
      </c>
      <c r="B3059" s="1" t="str">
        <f t="shared" si="1852"/>
        <v>150525100</v>
      </c>
      <c r="C3059" s="1" t="str">
        <f>"1040937063"</f>
        <v>1040937063</v>
      </c>
      <c r="D3059" s="1" t="str">
        <f>"152326195711030677"</f>
        <v>152326195711030677</v>
      </c>
      <c r="E3059" s="1" t="s">
        <v>3128</v>
      </c>
      <c r="F3059" s="1" t="s">
        <v>25</v>
      </c>
      <c r="G3059" s="1" t="s">
        <v>17</v>
      </c>
      <c r="H3059" s="1" t="str">
        <f>"67"</f>
        <v>67</v>
      </c>
      <c r="I3059" s="1" t="str">
        <f>"155.52"</f>
        <v>155.52</v>
      </c>
      <c r="J3059" s="1" t="str">
        <f t="shared" ref="J3059:N3059" si="1915">"0"</f>
        <v>0</v>
      </c>
      <c r="K3059" s="1" t="str">
        <f t="shared" si="1883"/>
        <v>103</v>
      </c>
      <c r="L3059" s="1" t="str">
        <f t="shared" si="1884"/>
        <v>47</v>
      </c>
      <c r="M3059" s="1" t="str">
        <f t="shared" si="1915"/>
        <v>0</v>
      </c>
      <c r="N3059" s="1" t="str">
        <f t="shared" si="1915"/>
        <v>0</v>
      </c>
      <c r="O3059" s="1" t="str">
        <f>"5.52"</f>
        <v>5.52</v>
      </c>
    </row>
    <row r="3060" s="1" customFormat="1" spans="1:15">
      <c r="A3060" s="1" t="str">
        <f t="shared" si="1851"/>
        <v>202406</v>
      </c>
      <c r="B3060" s="1" t="str">
        <f t="shared" si="1852"/>
        <v>150525100</v>
      </c>
      <c r="C3060" s="1" t="str">
        <f>"1040937097"</f>
        <v>1040937097</v>
      </c>
      <c r="D3060" s="1" t="str">
        <f>"152326196309270677"</f>
        <v>152326196309270677</v>
      </c>
      <c r="E3060" s="1" t="s">
        <v>3129</v>
      </c>
      <c r="F3060" s="1" t="s">
        <v>25</v>
      </c>
      <c r="G3060" s="1" t="s">
        <v>17</v>
      </c>
      <c r="H3060" s="1" t="str">
        <f t="shared" si="1910"/>
        <v>61</v>
      </c>
      <c r="I3060" s="1" t="str">
        <f>"164.44"</f>
        <v>164.44</v>
      </c>
      <c r="J3060" s="1" t="str">
        <f t="shared" ref="J3060:N3060" si="1916">"0"</f>
        <v>0</v>
      </c>
      <c r="K3060" s="1" t="str">
        <f t="shared" si="1883"/>
        <v>103</v>
      </c>
      <c r="L3060" s="1" t="str">
        <f t="shared" si="1884"/>
        <v>47</v>
      </c>
      <c r="M3060" s="1" t="str">
        <f t="shared" si="1916"/>
        <v>0</v>
      </c>
      <c r="N3060" s="1" t="str">
        <f t="shared" si="1916"/>
        <v>0</v>
      </c>
      <c r="O3060" s="1" t="str">
        <f>"14.44"</f>
        <v>14.44</v>
      </c>
    </row>
    <row r="3061" s="1" customFormat="1" spans="1:15">
      <c r="A3061" s="1" t="str">
        <f t="shared" si="1851"/>
        <v>202406</v>
      </c>
      <c r="B3061" s="1" t="str">
        <f t="shared" si="1852"/>
        <v>150525100</v>
      </c>
      <c r="C3061" s="1" t="str">
        <f>"1040937164"</f>
        <v>1040937164</v>
      </c>
      <c r="D3061" s="1" t="str">
        <f>"152326196312030666"</f>
        <v>152326196312030666</v>
      </c>
      <c r="E3061" s="1" t="s">
        <v>3130</v>
      </c>
      <c r="F3061" s="1" t="s">
        <v>16</v>
      </c>
      <c r="G3061" s="1" t="s">
        <v>17</v>
      </c>
      <c r="H3061" s="1" t="str">
        <f t="shared" si="1910"/>
        <v>61</v>
      </c>
      <c r="I3061" s="1" t="str">
        <f>"166.17"</f>
        <v>166.17</v>
      </c>
      <c r="J3061" s="1" t="str">
        <f t="shared" ref="J3061:N3061" si="1917">"0"</f>
        <v>0</v>
      </c>
      <c r="K3061" s="1" t="str">
        <f t="shared" si="1883"/>
        <v>103</v>
      </c>
      <c r="L3061" s="1" t="str">
        <f t="shared" si="1884"/>
        <v>47</v>
      </c>
      <c r="M3061" s="1" t="str">
        <f t="shared" si="1917"/>
        <v>0</v>
      </c>
      <c r="N3061" s="1" t="str">
        <f t="shared" si="1917"/>
        <v>0</v>
      </c>
      <c r="O3061" s="1" t="str">
        <f>"16.17"</f>
        <v>16.17</v>
      </c>
    </row>
    <row r="3062" s="1" customFormat="1" spans="1:15">
      <c r="A3062" s="1" t="str">
        <f t="shared" si="1851"/>
        <v>202406</v>
      </c>
      <c r="B3062" s="1" t="str">
        <f t="shared" si="1852"/>
        <v>150525100</v>
      </c>
      <c r="C3062" s="1" t="str">
        <f>"1040937171"</f>
        <v>1040937171</v>
      </c>
      <c r="D3062" s="1" t="str">
        <f>"152326196210270677"</f>
        <v>152326196210270677</v>
      </c>
      <c r="E3062" s="1" t="s">
        <v>3131</v>
      </c>
      <c r="F3062" s="1" t="s">
        <v>25</v>
      </c>
      <c r="G3062" s="1" t="s">
        <v>17</v>
      </c>
      <c r="H3062" s="1" t="str">
        <f t="shared" ref="H3062:H3066" si="1918">"62"</f>
        <v>62</v>
      </c>
      <c r="I3062" s="1" t="str">
        <f>"165.07"</f>
        <v>165.07</v>
      </c>
      <c r="J3062" s="1" t="str">
        <f t="shared" ref="J3062:N3062" si="1919">"0"</f>
        <v>0</v>
      </c>
      <c r="K3062" s="1" t="str">
        <f t="shared" si="1883"/>
        <v>103</v>
      </c>
      <c r="L3062" s="1" t="str">
        <f t="shared" si="1884"/>
        <v>47</v>
      </c>
      <c r="M3062" s="1" t="str">
        <f t="shared" si="1919"/>
        <v>0</v>
      </c>
      <c r="N3062" s="1" t="str">
        <f t="shared" si="1919"/>
        <v>0</v>
      </c>
      <c r="O3062" s="1" t="str">
        <f>"15.07"</f>
        <v>15.07</v>
      </c>
    </row>
    <row r="3063" s="1" customFormat="1" spans="1:15">
      <c r="A3063" s="1" t="str">
        <f t="shared" si="1851"/>
        <v>202406</v>
      </c>
      <c r="B3063" s="1" t="str">
        <f t="shared" si="1852"/>
        <v>150525100</v>
      </c>
      <c r="C3063" s="1" t="str">
        <f>"1040937173"</f>
        <v>1040937173</v>
      </c>
      <c r="D3063" s="1" t="str">
        <f>"152326196212170696"</f>
        <v>152326196212170696</v>
      </c>
      <c r="E3063" s="1" t="s">
        <v>3132</v>
      </c>
      <c r="F3063" s="1" t="s">
        <v>25</v>
      </c>
      <c r="G3063" s="1" t="s">
        <v>17</v>
      </c>
      <c r="H3063" s="1" t="str">
        <f t="shared" si="1918"/>
        <v>62</v>
      </c>
      <c r="I3063" s="1" t="str">
        <f>"162.56"</f>
        <v>162.56</v>
      </c>
      <c r="J3063" s="1" t="str">
        <f t="shared" ref="J3063:N3063" si="1920">"0"</f>
        <v>0</v>
      </c>
      <c r="K3063" s="1" t="str">
        <f t="shared" si="1883"/>
        <v>103</v>
      </c>
      <c r="L3063" s="1" t="str">
        <f t="shared" si="1884"/>
        <v>47</v>
      </c>
      <c r="M3063" s="1" t="str">
        <f t="shared" si="1920"/>
        <v>0</v>
      </c>
      <c r="N3063" s="1" t="str">
        <f t="shared" si="1920"/>
        <v>0</v>
      </c>
      <c r="O3063" s="1" t="str">
        <f>"12.56"</f>
        <v>12.56</v>
      </c>
    </row>
    <row r="3064" s="1" customFormat="1" spans="1:15">
      <c r="A3064" s="1" t="str">
        <f t="shared" si="1851"/>
        <v>202406</v>
      </c>
      <c r="B3064" s="1" t="str">
        <f t="shared" si="1852"/>
        <v>150525100</v>
      </c>
      <c r="C3064" s="1" t="str">
        <f>"1040937184"</f>
        <v>1040937184</v>
      </c>
      <c r="D3064" s="1" t="str">
        <f>"152326196310300669"</f>
        <v>152326196310300669</v>
      </c>
      <c r="E3064" s="1" t="s">
        <v>3133</v>
      </c>
      <c r="F3064" s="1" t="s">
        <v>16</v>
      </c>
      <c r="G3064" s="1" t="s">
        <v>17</v>
      </c>
      <c r="H3064" s="1" t="str">
        <f>"61"</f>
        <v>61</v>
      </c>
      <c r="I3064" s="1" t="str">
        <f>"164.46"</f>
        <v>164.46</v>
      </c>
      <c r="J3064" s="1" t="str">
        <f t="shared" ref="J3064:N3064" si="1921">"0"</f>
        <v>0</v>
      </c>
      <c r="K3064" s="1" t="str">
        <f t="shared" si="1883"/>
        <v>103</v>
      </c>
      <c r="L3064" s="1" t="str">
        <f t="shared" si="1884"/>
        <v>47</v>
      </c>
      <c r="M3064" s="1" t="str">
        <f t="shared" si="1921"/>
        <v>0</v>
      </c>
      <c r="N3064" s="1" t="str">
        <f t="shared" si="1921"/>
        <v>0</v>
      </c>
      <c r="O3064" s="1" t="str">
        <f>"14.46"</f>
        <v>14.46</v>
      </c>
    </row>
    <row r="3065" s="1" customFormat="1" spans="1:15">
      <c r="A3065" s="1" t="str">
        <f t="shared" si="1851"/>
        <v>202406</v>
      </c>
      <c r="B3065" s="1" t="str">
        <f t="shared" si="1852"/>
        <v>150525100</v>
      </c>
      <c r="C3065" s="1" t="str">
        <f>"1040937188"</f>
        <v>1040937188</v>
      </c>
      <c r="D3065" s="1" t="str">
        <f>"152326196003270674"</f>
        <v>152326196003270674</v>
      </c>
      <c r="E3065" s="1" t="s">
        <v>3134</v>
      </c>
      <c r="F3065" s="1" t="s">
        <v>25</v>
      </c>
      <c r="G3065" s="1" t="s">
        <v>17</v>
      </c>
      <c r="H3065" s="1" t="str">
        <f>"64"</f>
        <v>64</v>
      </c>
      <c r="I3065" s="1" t="str">
        <f>"158.58"</f>
        <v>158.58</v>
      </c>
      <c r="J3065" s="1" t="str">
        <f t="shared" ref="J3065:N3065" si="1922">"0"</f>
        <v>0</v>
      </c>
      <c r="K3065" s="1" t="str">
        <f t="shared" si="1883"/>
        <v>103</v>
      </c>
      <c r="L3065" s="1" t="str">
        <f t="shared" si="1884"/>
        <v>47</v>
      </c>
      <c r="M3065" s="1" t="str">
        <f t="shared" si="1922"/>
        <v>0</v>
      </c>
      <c r="N3065" s="1" t="str">
        <f t="shared" si="1922"/>
        <v>0</v>
      </c>
      <c r="O3065" s="1" t="str">
        <f>"8.58"</f>
        <v>8.58</v>
      </c>
    </row>
    <row r="3066" s="1" customFormat="1" spans="1:15">
      <c r="A3066" s="1" t="str">
        <f t="shared" si="1851"/>
        <v>202406</v>
      </c>
      <c r="B3066" s="1" t="str">
        <f t="shared" si="1852"/>
        <v>150525100</v>
      </c>
      <c r="C3066" s="1" t="str">
        <f>"1040937191"</f>
        <v>1040937191</v>
      </c>
      <c r="D3066" s="1" t="str">
        <f>"152326196205290673"</f>
        <v>152326196205290673</v>
      </c>
      <c r="E3066" s="1" t="s">
        <v>3135</v>
      </c>
      <c r="F3066" s="1" t="s">
        <v>25</v>
      </c>
      <c r="G3066" s="1" t="s">
        <v>17</v>
      </c>
      <c r="H3066" s="1" t="str">
        <f t="shared" si="1918"/>
        <v>62</v>
      </c>
      <c r="I3066" s="1" t="str">
        <f>"162.38"</f>
        <v>162.38</v>
      </c>
      <c r="J3066" s="1" t="str">
        <f t="shared" ref="J3066:N3066" si="1923">"0"</f>
        <v>0</v>
      </c>
      <c r="K3066" s="1" t="str">
        <f t="shared" si="1883"/>
        <v>103</v>
      </c>
      <c r="L3066" s="1" t="str">
        <f t="shared" si="1884"/>
        <v>47</v>
      </c>
      <c r="M3066" s="1" t="str">
        <f t="shared" si="1923"/>
        <v>0</v>
      </c>
      <c r="N3066" s="1" t="str">
        <f t="shared" si="1923"/>
        <v>0</v>
      </c>
      <c r="O3066" s="1" t="str">
        <f>"12.38"</f>
        <v>12.38</v>
      </c>
    </row>
    <row r="3067" s="1" customFormat="1" spans="1:15">
      <c r="A3067" s="1" t="str">
        <f t="shared" si="1851"/>
        <v>202406</v>
      </c>
      <c r="B3067" s="1" t="str">
        <f t="shared" si="1852"/>
        <v>150525100</v>
      </c>
      <c r="C3067" s="1" t="str">
        <f>"1040937197"</f>
        <v>1040937197</v>
      </c>
      <c r="D3067" s="1" t="str">
        <f>"152326196109150670"</f>
        <v>152326196109150670</v>
      </c>
      <c r="E3067" s="1" t="s">
        <v>3136</v>
      </c>
      <c r="F3067" s="1" t="s">
        <v>25</v>
      </c>
      <c r="G3067" s="1" t="s">
        <v>17</v>
      </c>
      <c r="H3067" s="1" t="str">
        <f>"63"</f>
        <v>63</v>
      </c>
      <c r="I3067" s="1" t="str">
        <f>"160.49"</f>
        <v>160.49</v>
      </c>
      <c r="J3067" s="1" t="str">
        <f t="shared" ref="J3067:N3067" si="1924">"0"</f>
        <v>0</v>
      </c>
      <c r="K3067" s="1" t="str">
        <f t="shared" si="1883"/>
        <v>103</v>
      </c>
      <c r="L3067" s="1" t="str">
        <f t="shared" si="1884"/>
        <v>47</v>
      </c>
      <c r="M3067" s="1" t="str">
        <f t="shared" si="1924"/>
        <v>0</v>
      </c>
      <c r="N3067" s="1" t="str">
        <f t="shared" si="1924"/>
        <v>0</v>
      </c>
      <c r="O3067" s="1" t="str">
        <f>"10.49"</f>
        <v>10.49</v>
      </c>
    </row>
    <row r="3068" s="1" customFormat="1" spans="1:15">
      <c r="A3068" s="1" t="str">
        <f t="shared" si="1851"/>
        <v>202406</v>
      </c>
      <c r="B3068" s="1" t="str">
        <f t="shared" si="1852"/>
        <v>150525100</v>
      </c>
      <c r="C3068" s="1" t="str">
        <f>"1040937213"</f>
        <v>1040937213</v>
      </c>
      <c r="D3068" s="1" t="str">
        <f>"152326195812210677"</f>
        <v>152326195812210677</v>
      </c>
      <c r="E3068" s="1" t="s">
        <v>3137</v>
      </c>
      <c r="F3068" s="1" t="s">
        <v>25</v>
      </c>
      <c r="G3068" s="1" t="s">
        <v>17</v>
      </c>
      <c r="H3068" s="1" t="str">
        <f>"66"</f>
        <v>66</v>
      </c>
      <c r="I3068" s="1" t="str">
        <f>"156.56"</f>
        <v>156.56</v>
      </c>
      <c r="J3068" s="1" t="str">
        <f t="shared" ref="J3068:N3068" si="1925">"0"</f>
        <v>0</v>
      </c>
      <c r="K3068" s="1" t="str">
        <f t="shared" si="1883"/>
        <v>103</v>
      </c>
      <c r="L3068" s="1" t="str">
        <f t="shared" si="1884"/>
        <v>47</v>
      </c>
      <c r="M3068" s="1" t="str">
        <f t="shared" si="1925"/>
        <v>0</v>
      </c>
      <c r="N3068" s="1" t="str">
        <f t="shared" si="1925"/>
        <v>0</v>
      </c>
      <c r="O3068" s="1" t="str">
        <f>"6.56"</f>
        <v>6.56</v>
      </c>
    </row>
    <row r="3069" s="1" customFormat="1" spans="1:15">
      <c r="A3069" s="1" t="str">
        <f t="shared" si="1851"/>
        <v>202406</v>
      </c>
      <c r="B3069" s="1" t="str">
        <f t="shared" si="1852"/>
        <v>150525100</v>
      </c>
      <c r="C3069" s="1" t="str">
        <f>"1040937233"</f>
        <v>1040937233</v>
      </c>
      <c r="D3069" s="1" t="str">
        <f>"152326196306050679"</f>
        <v>152326196306050679</v>
      </c>
      <c r="E3069" s="1" t="s">
        <v>3138</v>
      </c>
      <c r="F3069" s="1" t="s">
        <v>25</v>
      </c>
      <c r="G3069" s="1" t="s">
        <v>17</v>
      </c>
      <c r="H3069" s="1" t="str">
        <f>"61"</f>
        <v>61</v>
      </c>
      <c r="I3069" s="1" t="str">
        <f>"164.37"</f>
        <v>164.37</v>
      </c>
      <c r="J3069" s="1" t="str">
        <f t="shared" ref="J3069:N3069" si="1926">"0"</f>
        <v>0</v>
      </c>
      <c r="K3069" s="1" t="str">
        <f t="shared" si="1883"/>
        <v>103</v>
      </c>
      <c r="L3069" s="1" t="str">
        <f t="shared" si="1884"/>
        <v>47</v>
      </c>
      <c r="M3069" s="1" t="str">
        <f t="shared" si="1926"/>
        <v>0</v>
      </c>
      <c r="N3069" s="1" t="str">
        <f t="shared" si="1926"/>
        <v>0</v>
      </c>
      <c r="O3069" s="1" t="str">
        <f>"14.37"</f>
        <v>14.37</v>
      </c>
    </row>
    <row r="3070" s="1" customFormat="1" spans="1:15">
      <c r="A3070" s="1" t="str">
        <f t="shared" si="1851"/>
        <v>202406</v>
      </c>
      <c r="B3070" s="1" t="str">
        <f t="shared" si="1852"/>
        <v>150525100</v>
      </c>
      <c r="C3070" s="1" t="str">
        <f>"1040937242"</f>
        <v>1040937242</v>
      </c>
      <c r="D3070" s="1" t="s">
        <v>3139</v>
      </c>
      <c r="E3070" s="1" t="s">
        <v>3140</v>
      </c>
      <c r="F3070" s="1" t="s">
        <v>16</v>
      </c>
      <c r="G3070" s="1" t="s">
        <v>17</v>
      </c>
      <c r="H3070" s="1" t="str">
        <f>"64"</f>
        <v>64</v>
      </c>
      <c r="I3070" s="1" t="str">
        <f>"158.59"</f>
        <v>158.59</v>
      </c>
      <c r="J3070" s="1" t="str">
        <f t="shared" ref="J3070:N3070" si="1927">"0"</f>
        <v>0</v>
      </c>
      <c r="K3070" s="1" t="str">
        <f t="shared" si="1883"/>
        <v>103</v>
      </c>
      <c r="L3070" s="1" t="str">
        <f t="shared" si="1884"/>
        <v>47</v>
      </c>
      <c r="M3070" s="1" t="str">
        <f t="shared" si="1927"/>
        <v>0</v>
      </c>
      <c r="N3070" s="1" t="str">
        <f t="shared" si="1927"/>
        <v>0</v>
      </c>
      <c r="O3070" s="1" t="str">
        <f>"8.59"</f>
        <v>8.59</v>
      </c>
    </row>
    <row r="3071" s="1" customFormat="1" spans="1:15">
      <c r="A3071" s="1" t="str">
        <f t="shared" si="1851"/>
        <v>202406</v>
      </c>
      <c r="B3071" s="1" t="str">
        <f t="shared" si="1852"/>
        <v>150525100</v>
      </c>
      <c r="C3071" s="1" t="str">
        <f>"1040937257"</f>
        <v>1040937257</v>
      </c>
      <c r="D3071" s="1" t="str">
        <f>"152326196311100685"</f>
        <v>152326196311100685</v>
      </c>
      <c r="E3071" s="1" t="s">
        <v>3141</v>
      </c>
      <c r="F3071" s="1" t="s">
        <v>16</v>
      </c>
      <c r="G3071" s="1" t="s">
        <v>17</v>
      </c>
      <c r="H3071" s="1" t="str">
        <f>"61"</f>
        <v>61</v>
      </c>
      <c r="I3071" s="1" t="str">
        <f>"164.48"</f>
        <v>164.48</v>
      </c>
      <c r="J3071" s="1" t="str">
        <f t="shared" ref="J3071:N3071" si="1928">"0"</f>
        <v>0</v>
      </c>
      <c r="K3071" s="1" t="str">
        <f t="shared" si="1883"/>
        <v>103</v>
      </c>
      <c r="L3071" s="1" t="str">
        <f t="shared" si="1884"/>
        <v>47</v>
      </c>
      <c r="M3071" s="1" t="str">
        <f t="shared" si="1928"/>
        <v>0</v>
      </c>
      <c r="N3071" s="1" t="str">
        <f t="shared" si="1928"/>
        <v>0</v>
      </c>
      <c r="O3071" s="1" t="str">
        <f>"14.48"</f>
        <v>14.48</v>
      </c>
    </row>
    <row r="3072" s="1" customFormat="1" spans="1:15">
      <c r="A3072" s="1" t="str">
        <f t="shared" si="1851"/>
        <v>202406</v>
      </c>
      <c r="B3072" s="1" t="str">
        <f t="shared" si="1852"/>
        <v>150525100</v>
      </c>
      <c r="C3072" s="1" t="str">
        <f>"1040937682"</f>
        <v>1040937682</v>
      </c>
      <c r="D3072" s="1" t="str">
        <f>"152326196212220673"</f>
        <v>152326196212220673</v>
      </c>
      <c r="E3072" s="1" t="s">
        <v>3142</v>
      </c>
      <c r="F3072" s="1" t="s">
        <v>25</v>
      </c>
      <c r="G3072" s="1" t="s">
        <v>17</v>
      </c>
      <c r="H3072" s="1" t="str">
        <f>"62"</f>
        <v>62</v>
      </c>
      <c r="I3072" s="1" t="str">
        <f>"165.14"</f>
        <v>165.14</v>
      </c>
      <c r="J3072" s="1" t="str">
        <f t="shared" ref="J3072:N3072" si="1929">"0"</f>
        <v>0</v>
      </c>
      <c r="K3072" s="1" t="str">
        <f t="shared" si="1883"/>
        <v>103</v>
      </c>
      <c r="L3072" s="1" t="str">
        <f t="shared" si="1884"/>
        <v>47</v>
      </c>
      <c r="M3072" s="1" t="str">
        <f t="shared" si="1929"/>
        <v>0</v>
      </c>
      <c r="N3072" s="1" t="str">
        <f t="shared" si="1929"/>
        <v>0</v>
      </c>
      <c r="O3072" s="1" t="str">
        <f>"15.14"</f>
        <v>15.14</v>
      </c>
    </row>
    <row r="3073" s="1" customFormat="1" spans="1:15">
      <c r="A3073" s="1" t="str">
        <f t="shared" si="1851"/>
        <v>202406</v>
      </c>
      <c r="B3073" s="1" t="str">
        <f t="shared" si="1852"/>
        <v>150525100</v>
      </c>
      <c r="C3073" s="1" t="str">
        <f>"1041029502"</f>
        <v>1041029502</v>
      </c>
      <c r="D3073" s="1" t="str">
        <f>"152326195609140714"</f>
        <v>152326195609140714</v>
      </c>
      <c r="E3073" s="1" t="s">
        <v>3143</v>
      </c>
      <c r="F3073" s="1" t="s">
        <v>25</v>
      </c>
      <c r="G3073" s="1" t="s">
        <v>17</v>
      </c>
      <c r="H3073" s="1" t="str">
        <f>"68"</f>
        <v>68</v>
      </c>
      <c r="I3073" s="1" t="str">
        <f>"154.32"</f>
        <v>154.32</v>
      </c>
      <c r="J3073" s="1" t="str">
        <f t="shared" ref="J3073:N3073" si="1930">"0"</f>
        <v>0</v>
      </c>
      <c r="K3073" s="1" t="str">
        <f t="shared" si="1883"/>
        <v>103</v>
      </c>
      <c r="L3073" s="1" t="str">
        <f t="shared" si="1884"/>
        <v>47</v>
      </c>
      <c r="M3073" s="1" t="str">
        <f t="shared" si="1930"/>
        <v>0</v>
      </c>
      <c r="N3073" s="1" t="str">
        <f t="shared" si="1930"/>
        <v>0</v>
      </c>
      <c r="O3073" s="1" t="str">
        <f>"4.32"</f>
        <v>4.32</v>
      </c>
    </row>
    <row r="3074" s="1" customFormat="1" spans="1:15">
      <c r="A3074" s="1" t="str">
        <f t="shared" ref="A3074:A3137" si="1931">"202406"</f>
        <v>202406</v>
      </c>
      <c r="B3074" s="1" t="str">
        <f t="shared" ref="B3074:B3137" si="1932">"150525100"</f>
        <v>150525100</v>
      </c>
      <c r="C3074" s="1" t="str">
        <f>"1041352012"</f>
        <v>1041352012</v>
      </c>
      <c r="D3074" s="1" t="str">
        <f>"152326195912220426"</f>
        <v>152326195912220426</v>
      </c>
      <c r="E3074" s="1" t="s">
        <v>3144</v>
      </c>
      <c r="F3074" s="1" t="s">
        <v>16</v>
      </c>
      <c r="G3074" s="1" t="s">
        <v>17</v>
      </c>
      <c r="H3074" s="1" t="str">
        <f>"65"</f>
        <v>65</v>
      </c>
      <c r="I3074" s="1" t="str">
        <f>"156.08"</f>
        <v>156.08</v>
      </c>
      <c r="J3074" s="1" t="str">
        <f t="shared" ref="J3074:N3074" si="1933">"0"</f>
        <v>0</v>
      </c>
      <c r="K3074" s="1" t="str">
        <f t="shared" si="1883"/>
        <v>103</v>
      </c>
      <c r="L3074" s="1" t="str">
        <f t="shared" si="1884"/>
        <v>47</v>
      </c>
      <c r="M3074" s="1" t="str">
        <f t="shared" si="1933"/>
        <v>0</v>
      </c>
      <c r="N3074" s="1" t="str">
        <f t="shared" si="1933"/>
        <v>0</v>
      </c>
      <c r="O3074" s="1" t="str">
        <f>"6.08"</f>
        <v>6.08</v>
      </c>
    </row>
    <row r="3075" s="1" customFormat="1" spans="1:15">
      <c r="A3075" s="1" t="str">
        <f t="shared" si="1931"/>
        <v>202406</v>
      </c>
      <c r="B3075" s="1" t="str">
        <f t="shared" si="1932"/>
        <v>150525100</v>
      </c>
      <c r="C3075" s="1" t="str">
        <f>"1041364098"</f>
        <v>1041364098</v>
      </c>
      <c r="D3075" s="1" t="str">
        <f>"152326195810100925"</f>
        <v>152326195810100925</v>
      </c>
      <c r="E3075" s="1" t="s">
        <v>3145</v>
      </c>
      <c r="F3075" s="1" t="s">
        <v>16</v>
      </c>
      <c r="G3075" s="1" t="s">
        <v>19</v>
      </c>
      <c r="H3075" s="1" t="str">
        <f>"66"</f>
        <v>66</v>
      </c>
      <c r="I3075" s="1" t="str">
        <f>"155.98"</f>
        <v>155.98</v>
      </c>
      <c r="J3075" s="1" t="str">
        <f t="shared" ref="J3075:N3075" si="1934">"0"</f>
        <v>0</v>
      </c>
      <c r="K3075" s="1" t="str">
        <f t="shared" si="1883"/>
        <v>103</v>
      </c>
      <c r="L3075" s="1" t="str">
        <f t="shared" si="1884"/>
        <v>47</v>
      </c>
      <c r="M3075" s="1" t="str">
        <f t="shared" si="1934"/>
        <v>0</v>
      </c>
      <c r="N3075" s="1" t="str">
        <f t="shared" si="1934"/>
        <v>0</v>
      </c>
      <c r="O3075" s="1" t="str">
        <f>"5.98"</f>
        <v>5.98</v>
      </c>
    </row>
    <row r="3076" s="1" customFormat="1" spans="1:15">
      <c r="A3076" s="1" t="str">
        <f t="shared" si="1931"/>
        <v>202406</v>
      </c>
      <c r="B3076" s="1" t="str">
        <f t="shared" si="1932"/>
        <v>150525100</v>
      </c>
      <c r="C3076" s="1" t="str">
        <f>"1041364101"</f>
        <v>1041364101</v>
      </c>
      <c r="D3076" s="1" t="str">
        <f>"152326195902260926"</f>
        <v>152326195902260926</v>
      </c>
      <c r="E3076" s="1" t="s">
        <v>3146</v>
      </c>
      <c r="F3076" s="1" t="s">
        <v>16</v>
      </c>
      <c r="G3076" s="1" t="s">
        <v>19</v>
      </c>
      <c r="H3076" s="1" t="str">
        <f>"65"</f>
        <v>65</v>
      </c>
      <c r="I3076" s="1" t="str">
        <f>"155.99"</f>
        <v>155.99</v>
      </c>
      <c r="J3076" s="1" t="str">
        <f t="shared" ref="J3076:N3076" si="1935">"0"</f>
        <v>0</v>
      </c>
      <c r="K3076" s="1" t="str">
        <f t="shared" si="1883"/>
        <v>103</v>
      </c>
      <c r="L3076" s="1" t="str">
        <f t="shared" si="1884"/>
        <v>47</v>
      </c>
      <c r="M3076" s="1" t="str">
        <f t="shared" si="1935"/>
        <v>0</v>
      </c>
      <c r="N3076" s="1" t="str">
        <f t="shared" si="1935"/>
        <v>0</v>
      </c>
      <c r="O3076" s="1" t="str">
        <f>"5.99"</f>
        <v>5.99</v>
      </c>
    </row>
    <row r="3077" s="1" customFormat="1" spans="1:15">
      <c r="A3077" s="1" t="str">
        <f t="shared" si="1931"/>
        <v>202406</v>
      </c>
      <c r="B3077" s="1" t="str">
        <f t="shared" si="1932"/>
        <v>150525100</v>
      </c>
      <c r="C3077" s="1" t="str">
        <f>"1041363141"</f>
        <v>1041363141</v>
      </c>
      <c r="D3077" s="1" t="str">
        <f>"152326195612130672"</f>
        <v>152326195612130672</v>
      </c>
      <c r="E3077" s="1" t="s">
        <v>3147</v>
      </c>
      <c r="F3077" s="1" t="s">
        <v>25</v>
      </c>
      <c r="G3077" s="1" t="s">
        <v>19</v>
      </c>
      <c r="H3077" s="1" t="str">
        <f>"68"</f>
        <v>68</v>
      </c>
      <c r="I3077" s="1" t="str">
        <f>"154.32"</f>
        <v>154.32</v>
      </c>
      <c r="J3077" s="1" t="str">
        <f t="shared" ref="J3077:N3077" si="1936">"0"</f>
        <v>0</v>
      </c>
      <c r="K3077" s="1" t="str">
        <f t="shared" si="1883"/>
        <v>103</v>
      </c>
      <c r="L3077" s="1" t="str">
        <f t="shared" si="1884"/>
        <v>47</v>
      </c>
      <c r="M3077" s="1" t="str">
        <f t="shared" si="1936"/>
        <v>0</v>
      </c>
      <c r="N3077" s="1" t="str">
        <f t="shared" si="1936"/>
        <v>0</v>
      </c>
      <c r="O3077" s="1" t="str">
        <f>"4.32"</f>
        <v>4.32</v>
      </c>
    </row>
    <row r="3078" s="1" customFormat="1" spans="1:15">
      <c r="A3078" s="1" t="str">
        <f t="shared" si="1931"/>
        <v>202406</v>
      </c>
      <c r="B3078" s="1" t="str">
        <f t="shared" si="1932"/>
        <v>150525100</v>
      </c>
      <c r="C3078" s="1" t="str">
        <f>"1041348515"</f>
        <v>1041348515</v>
      </c>
      <c r="D3078" s="1" t="str">
        <f>"152326196312233324"</f>
        <v>152326196312233324</v>
      </c>
      <c r="E3078" s="1" t="s">
        <v>3148</v>
      </c>
      <c r="F3078" s="1" t="s">
        <v>16</v>
      </c>
      <c r="G3078" s="1" t="s">
        <v>19</v>
      </c>
      <c r="H3078" s="1" t="str">
        <f>"61"</f>
        <v>61</v>
      </c>
      <c r="I3078" s="1" t="str">
        <f>"164.49"</f>
        <v>164.49</v>
      </c>
      <c r="J3078" s="1" t="str">
        <f t="shared" ref="J3078:N3078" si="1937">"0"</f>
        <v>0</v>
      </c>
      <c r="K3078" s="1" t="str">
        <f t="shared" si="1883"/>
        <v>103</v>
      </c>
      <c r="L3078" s="1" t="str">
        <f t="shared" si="1884"/>
        <v>47</v>
      </c>
      <c r="M3078" s="1" t="str">
        <f t="shared" si="1937"/>
        <v>0</v>
      </c>
      <c r="N3078" s="1" t="str">
        <f t="shared" si="1937"/>
        <v>0</v>
      </c>
      <c r="O3078" s="1" t="str">
        <f>"14.49"</f>
        <v>14.49</v>
      </c>
    </row>
    <row r="3079" s="1" customFormat="1" spans="1:15">
      <c r="A3079" s="1" t="str">
        <f t="shared" si="1931"/>
        <v>202406</v>
      </c>
      <c r="B3079" s="1" t="str">
        <f t="shared" si="1932"/>
        <v>150525100</v>
      </c>
      <c r="C3079" s="1" t="str">
        <f>"1041364095"</f>
        <v>1041364095</v>
      </c>
      <c r="D3079" s="1" t="str">
        <f>"152326195801270914"</f>
        <v>152326195801270914</v>
      </c>
      <c r="E3079" s="1" t="s">
        <v>3149</v>
      </c>
      <c r="F3079" s="1" t="s">
        <v>25</v>
      </c>
      <c r="G3079" s="1" t="s">
        <v>19</v>
      </c>
      <c r="H3079" s="1" t="str">
        <f>"66"</f>
        <v>66</v>
      </c>
      <c r="I3079" s="1" t="str">
        <f>"2279.81"</f>
        <v>2279.81</v>
      </c>
      <c r="J3079" s="1" t="str">
        <f t="shared" ref="J3079:O3079" si="1938">"0"</f>
        <v>0</v>
      </c>
      <c r="K3079" s="1" t="str">
        <f t="shared" si="1938"/>
        <v>0</v>
      </c>
      <c r="L3079" s="1" t="str">
        <f t="shared" si="1938"/>
        <v>0</v>
      </c>
      <c r="M3079" s="1" t="str">
        <f t="shared" si="1938"/>
        <v>0</v>
      </c>
      <c r="N3079" s="1" t="str">
        <f t="shared" si="1938"/>
        <v>0</v>
      </c>
      <c r="O3079" s="1" t="str">
        <f t="shared" si="1938"/>
        <v>0</v>
      </c>
    </row>
    <row r="3080" s="1" customFormat="1" spans="1:15">
      <c r="A3080" s="1" t="str">
        <f t="shared" si="1931"/>
        <v>202406</v>
      </c>
      <c r="B3080" s="1" t="str">
        <f t="shared" si="1932"/>
        <v>150525100</v>
      </c>
      <c r="C3080" s="1" t="str">
        <f>"1041353245"</f>
        <v>1041353245</v>
      </c>
      <c r="D3080" s="1" t="str">
        <f>"152326196304170431"</f>
        <v>152326196304170431</v>
      </c>
      <c r="E3080" s="1" t="s">
        <v>3150</v>
      </c>
      <c r="F3080" s="1" t="s">
        <v>25</v>
      </c>
      <c r="G3080" s="1" t="s">
        <v>17</v>
      </c>
      <c r="H3080" s="1" t="str">
        <f>"61"</f>
        <v>61</v>
      </c>
      <c r="I3080" s="1" t="str">
        <f>"198.39"</f>
        <v>198.39</v>
      </c>
      <c r="J3080" s="1" t="str">
        <f t="shared" ref="J3080:N3080" si="1939">"0"</f>
        <v>0</v>
      </c>
      <c r="K3080" s="1" t="str">
        <f t="shared" ref="K3080:K3099" si="1940">"103"</f>
        <v>103</v>
      </c>
      <c r="L3080" s="1" t="str">
        <f t="shared" ref="L3080:L3099" si="1941">"47"</f>
        <v>47</v>
      </c>
      <c r="M3080" s="1" t="str">
        <f t="shared" si="1939"/>
        <v>0</v>
      </c>
      <c r="N3080" s="1" t="str">
        <f t="shared" si="1939"/>
        <v>0</v>
      </c>
      <c r="O3080" s="1" t="str">
        <f>"48.39"</f>
        <v>48.39</v>
      </c>
    </row>
    <row r="3081" s="1" customFormat="1" spans="1:15">
      <c r="A3081" s="1" t="str">
        <f t="shared" si="1931"/>
        <v>202406</v>
      </c>
      <c r="B3081" s="1" t="str">
        <f t="shared" si="1932"/>
        <v>150525100</v>
      </c>
      <c r="C3081" s="1" t="str">
        <f>"1041310585"</f>
        <v>1041310585</v>
      </c>
      <c r="D3081" s="1" t="str">
        <f>"152326195912190423"</f>
        <v>152326195912190423</v>
      </c>
      <c r="E3081" s="1" t="s">
        <v>3151</v>
      </c>
      <c r="F3081" s="1" t="s">
        <v>16</v>
      </c>
      <c r="G3081" s="1" t="s">
        <v>17</v>
      </c>
      <c r="H3081" s="1" t="str">
        <f>"65"</f>
        <v>65</v>
      </c>
      <c r="I3081" s="1" t="str">
        <f>"911.4"</f>
        <v>911.4</v>
      </c>
      <c r="J3081" s="1" t="str">
        <f>"759.5"</f>
        <v>759.5</v>
      </c>
      <c r="K3081" s="1" t="str">
        <f>"618"</f>
        <v>618</v>
      </c>
      <c r="L3081" s="1" t="str">
        <f>"282"</f>
        <v>282</v>
      </c>
      <c r="M3081" s="1" t="str">
        <f>"0"</f>
        <v>0</v>
      </c>
      <c r="N3081" s="1" t="str">
        <f>"0"</f>
        <v>0</v>
      </c>
      <c r="O3081" s="1" t="str">
        <f>"11.4"</f>
        <v>11.4</v>
      </c>
    </row>
    <row r="3082" s="1" customFormat="1" spans="1:15">
      <c r="A3082" s="1" t="str">
        <f t="shared" si="1931"/>
        <v>202406</v>
      </c>
      <c r="B3082" s="1" t="str">
        <f t="shared" si="1932"/>
        <v>150525100</v>
      </c>
      <c r="C3082" s="1" t="str">
        <f>"1041293525"</f>
        <v>1041293525</v>
      </c>
      <c r="D3082" s="1" t="str">
        <f>"152326195112280914"</f>
        <v>152326195112280914</v>
      </c>
      <c r="E3082" s="1" t="s">
        <v>3152</v>
      </c>
      <c r="F3082" s="1" t="s">
        <v>25</v>
      </c>
      <c r="G3082" s="1" t="s">
        <v>19</v>
      </c>
      <c r="H3082" s="1" t="str">
        <f>"73"</f>
        <v>73</v>
      </c>
      <c r="I3082" s="1" t="str">
        <f>"160"</f>
        <v>160</v>
      </c>
      <c r="J3082" s="1" t="str">
        <f t="shared" ref="J3082:O3082" si="1942">"0"</f>
        <v>0</v>
      </c>
      <c r="K3082" s="1" t="str">
        <f t="shared" si="1940"/>
        <v>103</v>
      </c>
      <c r="L3082" s="1" t="str">
        <f t="shared" si="1941"/>
        <v>47</v>
      </c>
      <c r="M3082" s="1" t="str">
        <f t="shared" si="1942"/>
        <v>0</v>
      </c>
      <c r="N3082" s="1" t="str">
        <f t="shared" si="1942"/>
        <v>0</v>
      </c>
      <c r="O3082" s="1" t="str">
        <f t="shared" si="1942"/>
        <v>0</v>
      </c>
    </row>
    <row r="3083" s="1" customFormat="1" spans="1:15">
      <c r="A3083" s="1" t="str">
        <f t="shared" si="1931"/>
        <v>202406</v>
      </c>
      <c r="B3083" s="1" t="str">
        <f t="shared" si="1932"/>
        <v>150525100</v>
      </c>
      <c r="C3083" s="1" t="str">
        <f>"1041483362"</f>
        <v>1041483362</v>
      </c>
      <c r="D3083" s="1" t="str">
        <f>"152326195712120041"</f>
        <v>152326195712120041</v>
      </c>
      <c r="E3083" s="1" t="s">
        <v>3153</v>
      </c>
      <c r="F3083" s="1" t="s">
        <v>16</v>
      </c>
      <c r="G3083" s="1" t="s">
        <v>17</v>
      </c>
      <c r="H3083" s="1" t="str">
        <f>"67"</f>
        <v>67</v>
      </c>
      <c r="I3083" s="1" t="str">
        <f>"155.04"</f>
        <v>155.04</v>
      </c>
      <c r="J3083" s="1" t="str">
        <f t="shared" ref="J3083:N3083" si="1943">"0"</f>
        <v>0</v>
      </c>
      <c r="K3083" s="1" t="str">
        <f t="shared" si="1940"/>
        <v>103</v>
      </c>
      <c r="L3083" s="1" t="str">
        <f t="shared" si="1941"/>
        <v>47</v>
      </c>
      <c r="M3083" s="1" t="str">
        <f t="shared" si="1943"/>
        <v>0</v>
      </c>
      <c r="N3083" s="1" t="str">
        <f t="shared" si="1943"/>
        <v>0</v>
      </c>
      <c r="O3083" s="1" t="str">
        <f>"5.04"</f>
        <v>5.04</v>
      </c>
    </row>
    <row r="3084" s="1" customFormat="1" spans="1:15">
      <c r="A3084" s="1" t="str">
        <f t="shared" si="1931"/>
        <v>202406</v>
      </c>
      <c r="B3084" s="1" t="str">
        <f t="shared" si="1932"/>
        <v>150525100</v>
      </c>
      <c r="C3084" s="1" t="str">
        <f>"1041403090"</f>
        <v>1041403090</v>
      </c>
      <c r="D3084" s="1" t="str">
        <f>"152326196205206128"</f>
        <v>152326196205206128</v>
      </c>
      <c r="E3084" s="1" t="s">
        <v>3154</v>
      </c>
      <c r="F3084" s="1" t="s">
        <v>16</v>
      </c>
      <c r="G3084" s="1" t="s">
        <v>17</v>
      </c>
      <c r="H3084" s="1" t="str">
        <f>"62"</f>
        <v>62</v>
      </c>
      <c r="I3084" s="1" t="str">
        <f>"159.94"</f>
        <v>159.94</v>
      </c>
      <c r="J3084" s="1" t="str">
        <f t="shared" ref="J3084:N3084" si="1944">"0"</f>
        <v>0</v>
      </c>
      <c r="K3084" s="1" t="str">
        <f t="shared" si="1940"/>
        <v>103</v>
      </c>
      <c r="L3084" s="1" t="str">
        <f t="shared" si="1941"/>
        <v>47</v>
      </c>
      <c r="M3084" s="1" t="str">
        <f t="shared" si="1944"/>
        <v>0</v>
      </c>
      <c r="N3084" s="1" t="str">
        <f t="shared" si="1944"/>
        <v>0</v>
      </c>
      <c r="O3084" s="1" t="str">
        <f>"9.94"</f>
        <v>9.94</v>
      </c>
    </row>
    <row r="3085" s="1" customFormat="1" spans="1:15">
      <c r="A3085" s="1" t="str">
        <f t="shared" si="1931"/>
        <v>202406</v>
      </c>
      <c r="B3085" s="1" t="str">
        <f t="shared" si="1932"/>
        <v>150525100</v>
      </c>
      <c r="C3085" s="1" t="str">
        <f>"1041403174"</f>
        <v>1041403174</v>
      </c>
      <c r="D3085" s="1" t="str">
        <f>"152326196303116118"</f>
        <v>152326196303116118</v>
      </c>
      <c r="E3085" s="1" t="s">
        <v>3155</v>
      </c>
      <c r="F3085" s="1" t="s">
        <v>25</v>
      </c>
      <c r="G3085" s="1" t="s">
        <v>17</v>
      </c>
      <c r="H3085" s="1" t="str">
        <f t="shared" ref="H3085:H3091" si="1945">"61"</f>
        <v>61</v>
      </c>
      <c r="I3085" s="1" t="str">
        <f>"164.41"</f>
        <v>164.41</v>
      </c>
      <c r="J3085" s="1" t="str">
        <f t="shared" ref="J3085:N3085" si="1946">"0"</f>
        <v>0</v>
      </c>
      <c r="K3085" s="1" t="str">
        <f t="shared" si="1940"/>
        <v>103</v>
      </c>
      <c r="L3085" s="1" t="str">
        <f t="shared" si="1941"/>
        <v>47</v>
      </c>
      <c r="M3085" s="1" t="str">
        <f t="shared" si="1946"/>
        <v>0</v>
      </c>
      <c r="N3085" s="1" t="str">
        <f t="shared" si="1946"/>
        <v>0</v>
      </c>
      <c r="O3085" s="1" t="str">
        <f>"14.41"</f>
        <v>14.41</v>
      </c>
    </row>
    <row r="3086" s="1" customFormat="1" spans="1:15">
      <c r="A3086" s="1" t="str">
        <f t="shared" si="1931"/>
        <v>202406</v>
      </c>
      <c r="B3086" s="1" t="str">
        <f t="shared" si="1932"/>
        <v>150525100</v>
      </c>
      <c r="C3086" s="1" t="str">
        <f>"1041410690"</f>
        <v>1041410690</v>
      </c>
      <c r="D3086" s="1" t="str">
        <f>"152326195612093322"</f>
        <v>152326195612093322</v>
      </c>
      <c r="E3086" s="1" t="s">
        <v>3156</v>
      </c>
      <c r="F3086" s="1" t="s">
        <v>16</v>
      </c>
      <c r="G3086" s="1" t="s">
        <v>17</v>
      </c>
      <c r="H3086" s="1" t="str">
        <f>"68"</f>
        <v>68</v>
      </c>
      <c r="I3086" s="1" t="str">
        <f>"155.43"</f>
        <v>155.43</v>
      </c>
      <c r="J3086" s="1" t="str">
        <f t="shared" ref="J3086:N3086" si="1947">"0"</f>
        <v>0</v>
      </c>
      <c r="K3086" s="1" t="str">
        <f t="shared" si="1940"/>
        <v>103</v>
      </c>
      <c r="L3086" s="1" t="str">
        <f t="shared" si="1941"/>
        <v>47</v>
      </c>
      <c r="M3086" s="1" t="str">
        <f t="shared" si="1947"/>
        <v>0</v>
      </c>
      <c r="N3086" s="1" t="str">
        <f t="shared" si="1947"/>
        <v>0</v>
      </c>
      <c r="O3086" s="1" t="str">
        <f>"5.43"</f>
        <v>5.43</v>
      </c>
    </row>
    <row r="3087" s="1" customFormat="1" spans="1:15">
      <c r="A3087" s="1" t="str">
        <f t="shared" si="1931"/>
        <v>202406</v>
      </c>
      <c r="B3087" s="1" t="str">
        <f t="shared" si="1932"/>
        <v>150525100</v>
      </c>
      <c r="C3087" s="1" t="str">
        <f>"1041403250"</f>
        <v>1041403250</v>
      </c>
      <c r="D3087" s="1" t="str">
        <f>"152326196102243073"</f>
        <v>152326196102243073</v>
      </c>
      <c r="E3087" s="1" t="s">
        <v>3157</v>
      </c>
      <c r="F3087" s="1" t="s">
        <v>25</v>
      </c>
      <c r="G3087" s="1" t="s">
        <v>17</v>
      </c>
      <c r="H3087" s="1" t="str">
        <f>"63"</f>
        <v>63</v>
      </c>
      <c r="I3087" s="1" t="str">
        <f>"159.65"</f>
        <v>159.65</v>
      </c>
      <c r="J3087" s="1" t="str">
        <f t="shared" ref="J3087:N3087" si="1948">"0"</f>
        <v>0</v>
      </c>
      <c r="K3087" s="1" t="str">
        <f t="shared" si="1940"/>
        <v>103</v>
      </c>
      <c r="L3087" s="1" t="str">
        <f t="shared" si="1941"/>
        <v>47</v>
      </c>
      <c r="M3087" s="1" t="str">
        <f t="shared" si="1948"/>
        <v>0</v>
      </c>
      <c r="N3087" s="1" t="str">
        <f t="shared" si="1948"/>
        <v>0</v>
      </c>
      <c r="O3087" s="1" t="str">
        <f>"9.65"</f>
        <v>9.65</v>
      </c>
    </row>
    <row r="3088" s="1" customFormat="1" spans="1:15">
      <c r="A3088" s="1" t="str">
        <f t="shared" si="1931"/>
        <v>202406</v>
      </c>
      <c r="B3088" s="1" t="str">
        <f t="shared" si="1932"/>
        <v>150525100</v>
      </c>
      <c r="C3088" s="1" t="str">
        <f>"1041403467"</f>
        <v>1041403467</v>
      </c>
      <c r="D3088" s="1" t="str">
        <f>"152326196303180419"</f>
        <v>152326196303180419</v>
      </c>
      <c r="E3088" s="1" t="s">
        <v>3158</v>
      </c>
      <c r="F3088" s="1" t="s">
        <v>25</v>
      </c>
      <c r="G3088" s="1" t="s">
        <v>17</v>
      </c>
      <c r="H3088" s="1" t="str">
        <f t="shared" si="1945"/>
        <v>61</v>
      </c>
      <c r="I3088" s="1" t="str">
        <f>"199.75"</f>
        <v>199.75</v>
      </c>
      <c r="J3088" s="1" t="str">
        <f t="shared" ref="J3088:N3088" si="1949">"0"</f>
        <v>0</v>
      </c>
      <c r="K3088" s="1" t="str">
        <f t="shared" si="1940"/>
        <v>103</v>
      </c>
      <c r="L3088" s="1" t="str">
        <f t="shared" si="1941"/>
        <v>47</v>
      </c>
      <c r="M3088" s="1" t="str">
        <f t="shared" si="1949"/>
        <v>0</v>
      </c>
      <c r="N3088" s="1" t="str">
        <f t="shared" si="1949"/>
        <v>0</v>
      </c>
      <c r="O3088" s="1" t="str">
        <f>"49.75"</f>
        <v>49.75</v>
      </c>
    </row>
    <row r="3089" s="1" customFormat="1" spans="1:15">
      <c r="A3089" s="1" t="str">
        <f t="shared" si="1931"/>
        <v>202406</v>
      </c>
      <c r="B3089" s="1" t="str">
        <f t="shared" si="1932"/>
        <v>150525100</v>
      </c>
      <c r="C3089" s="1" t="str">
        <f>"1041403481"</f>
        <v>1041403481</v>
      </c>
      <c r="D3089" s="1" t="str">
        <f>"152326196012013821"</f>
        <v>152326196012013821</v>
      </c>
      <c r="E3089" s="1" t="s">
        <v>3159</v>
      </c>
      <c r="F3089" s="1" t="s">
        <v>16</v>
      </c>
      <c r="G3089" s="1" t="s">
        <v>19</v>
      </c>
      <c r="H3089" s="1" t="str">
        <f>"64"</f>
        <v>64</v>
      </c>
      <c r="I3089" s="1" t="str">
        <f>"157.79"</f>
        <v>157.79</v>
      </c>
      <c r="J3089" s="1" t="str">
        <f t="shared" ref="J3089:N3089" si="1950">"0"</f>
        <v>0</v>
      </c>
      <c r="K3089" s="1" t="str">
        <f t="shared" si="1940"/>
        <v>103</v>
      </c>
      <c r="L3089" s="1" t="str">
        <f t="shared" si="1941"/>
        <v>47</v>
      </c>
      <c r="M3089" s="1" t="str">
        <f t="shared" si="1950"/>
        <v>0</v>
      </c>
      <c r="N3089" s="1" t="str">
        <f t="shared" si="1950"/>
        <v>0</v>
      </c>
      <c r="O3089" s="1" t="str">
        <f>"7.79"</f>
        <v>7.79</v>
      </c>
    </row>
    <row r="3090" s="1" customFormat="1" spans="1:15">
      <c r="A3090" s="1" t="str">
        <f t="shared" si="1931"/>
        <v>202406</v>
      </c>
      <c r="B3090" s="1" t="str">
        <f t="shared" si="1932"/>
        <v>150525100</v>
      </c>
      <c r="C3090" s="1" t="str">
        <f>"1041306509"</f>
        <v>1041306509</v>
      </c>
      <c r="D3090" s="1" t="str">
        <f>"152326196306050660"</f>
        <v>152326196306050660</v>
      </c>
      <c r="E3090" s="1" t="s">
        <v>3160</v>
      </c>
      <c r="F3090" s="1" t="s">
        <v>16</v>
      </c>
      <c r="G3090" s="1" t="s">
        <v>17</v>
      </c>
      <c r="H3090" s="1" t="str">
        <f t="shared" si="1945"/>
        <v>61</v>
      </c>
      <c r="I3090" s="1" t="str">
        <f>"163.04"</f>
        <v>163.04</v>
      </c>
      <c r="J3090" s="1" t="str">
        <f t="shared" ref="J3090:N3090" si="1951">"0"</f>
        <v>0</v>
      </c>
      <c r="K3090" s="1" t="str">
        <f t="shared" si="1940"/>
        <v>103</v>
      </c>
      <c r="L3090" s="1" t="str">
        <f t="shared" si="1941"/>
        <v>47</v>
      </c>
      <c r="M3090" s="1" t="str">
        <f t="shared" si="1951"/>
        <v>0</v>
      </c>
      <c r="N3090" s="1" t="str">
        <f t="shared" si="1951"/>
        <v>0</v>
      </c>
      <c r="O3090" s="1" t="str">
        <f>"13.04"</f>
        <v>13.04</v>
      </c>
    </row>
    <row r="3091" s="1" customFormat="1" spans="1:15">
      <c r="A3091" s="1" t="str">
        <f t="shared" si="1931"/>
        <v>202406</v>
      </c>
      <c r="B3091" s="1" t="str">
        <f t="shared" si="1932"/>
        <v>150525100</v>
      </c>
      <c r="C3091" s="1" t="str">
        <f>"1041306511"</f>
        <v>1041306511</v>
      </c>
      <c r="D3091" s="1" t="str">
        <f>"152326196306140666"</f>
        <v>152326196306140666</v>
      </c>
      <c r="E3091" s="1" t="s">
        <v>3161</v>
      </c>
      <c r="F3091" s="1" t="s">
        <v>16</v>
      </c>
      <c r="G3091" s="1" t="s">
        <v>17</v>
      </c>
      <c r="H3091" s="1" t="str">
        <f t="shared" si="1945"/>
        <v>61</v>
      </c>
      <c r="I3091" s="1" t="str">
        <f>"164.42"</f>
        <v>164.42</v>
      </c>
      <c r="J3091" s="1" t="str">
        <f t="shared" ref="J3091:N3091" si="1952">"0"</f>
        <v>0</v>
      </c>
      <c r="K3091" s="1" t="str">
        <f t="shared" si="1940"/>
        <v>103</v>
      </c>
      <c r="L3091" s="1" t="str">
        <f t="shared" si="1941"/>
        <v>47</v>
      </c>
      <c r="M3091" s="1" t="str">
        <f t="shared" si="1952"/>
        <v>0</v>
      </c>
      <c r="N3091" s="1" t="str">
        <f t="shared" si="1952"/>
        <v>0</v>
      </c>
      <c r="O3091" s="1" t="str">
        <f>"14.42"</f>
        <v>14.42</v>
      </c>
    </row>
    <row r="3092" s="1" customFormat="1" spans="1:15">
      <c r="A3092" s="1" t="str">
        <f t="shared" si="1931"/>
        <v>202406</v>
      </c>
      <c r="B3092" s="1" t="str">
        <f t="shared" si="1932"/>
        <v>150525100</v>
      </c>
      <c r="C3092" s="1" t="str">
        <f>"1041306536"</f>
        <v>1041306536</v>
      </c>
      <c r="D3092" s="1" t="str">
        <f>"152326196402100031"</f>
        <v>152326196402100031</v>
      </c>
      <c r="E3092" s="1" t="s">
        <v>3162</v>
      </c>
      <c r="F3092" s="1" t="s">
        <v>25</v>
      </c>
      <c r="G3092" s="1" t="s">
        <v>17</v>
      </c>
      <c r="H3092" s="1" t="str">
        <f>"60"</f>
        <v>60</v>
      </c>
      <c r="I3092" s="1" t="str">
        <f>"165.64"</f>
        <v>165.64</v>
      </c>
      <c r="J3092" s="1" t="str">
        <f t="shared" ref="J3092:N3092" si="1953">"0"</f>
        <v>0</v>
      </c>
      <c r="K3092" s="1" t="str">
        <f t="shared" si="1940"/>
        <v>103</v>
      </c>
      <c r="L3092" s="1" t="str">
        <f t="shared" si="1941"/>
        <v>47</v>
      </c>
      <c r="M3092" s="1" t="str">
        <f t="shared" si="1953"/>
        <v>0</v>
      </c>
      <c r="N3092" s="1" t="str">
        <f t="shared" si="1953"/>
        <v>0</v>
      </c>
      <c r="O3092" s="1" t="str">
        <f>"15.64"</f>
        <v>15.64</v>
      </c>
    </row>
    <row r="3093" s="1" customFormat="1" spans="1:15">
      <c r="A3093" s="1" t="str">
        <f t="shared" si="1931"/>
        <v>202406</v>
      </c>
      <c r="B3093" s="1" t="str">
        <f t="shared" si="1932"/>
        <v>150525100</v>
      </c>
      <c r="C3093" s="1" t="str">
        <f>"1041307795"</f>
        <v>1041307795</v>
      </c>
      <c r="D3093" s="1" t="str">
        <f>"152326195805013819"</f>
        <v>152326195805013819</v>
      </c>
      <c r="E3093" s="1" t="s">
        <v>3163</v>
      </c>
      <c r="F3093" s="1" t="s">
        <v>25</v>
      </c>
      <c r="G3093" s="1" t="s">
        <v>17</v>
      </c>
      <c r="H3093" s="1" t="str">
        <f t="shared" ref="H3093:H3095" si="1954">"66"</f>
        <v>66</v>
      </c>
      <c r="I3093" s="1" t="str">
        <f>"155.29"</f>
        <v>155.29</v>
      </c>
      <c r="J3093" s="1" t="str">
        <f t="shared" ref="J3093:N3093" si="1955">"0"</f>
        <v>0</v>
      </c>
      <c r="K3093" s="1" t="str">
        <f t="shared" si="1940"/>
        <v>103</v>
      </c>
      <c r="L3093" s="1" t="str">
        <f t="shared" si="1941"/>
        <v>47</v>
      </c>
      <c r="M3093" s="1" t="str">
        <f t="shared" si="1955"/>
        <v>0</v>
      </c>
      <c r="N3093" s="1" t="str">
        <f t="shared" si="1955"/>
        <v>0</v>
      </c>
      <c r="O3093" s="1" t="str">
        <f>"5.29"</f>
        <v>5.29</v>
      </c>
    </row>
    <row r="3094" s="1" customFormat="1" spans="1:15">
      <c r="A3094" s="1" t="str">
        <f t="shared" si="1931"/>
        <v>202406</v>
      </c>
      <c r="B3094" s="1" t="str">
        <f t="shared" si="1932"/>
        <v>150525100</v>
      </c>
      <c r="C3094" s="1" t="str">
        <f>"1041307804"</f>
        <v>1041307804</v>
      </c>
      <c r="D3094" s="1" t="s">
        <v>3164</v>
      </c>
      <c r="E3094" s="1" t="s">
        <v>3165</v>
      </c>
      <c r="F3094" s="1" t="s">
        <v>16</v>
      </c>
      <c r="G3094" s="1" t="s">
        <v>17</v>
      </c>
      <c r="H3094" s="1" t="str">
        <f t="shared" si="1954"/>
        <v>66</v>
      </c>
      <c r="I3094" s="1" t="str">
        <f>"155.32"</f>
        <v>155.32</v>
      </c>
      <c r="J3094" s="1" t="str">
        <f t="shared" ref="J3094:N3094" si="1956">"0"</f>
        <v>0</v>
      </c>
      <c r="K3094" s="1" t="str">
        <f t="shared" si="1940"/>
        <v>103</v>
      </c>
      <c r="L3094" s="1" t="str">
        <f t="shared" si="1941"/>
        <v>47</v>
      </c>
      <c r="M3094" s="1" t="str">
        <f t="shared" si="1956"/>
        <v>0</v>
      </c>
      <c r="N3094" s="1" t="str">
        <f t="shared" si="1956"/>
        <v>0</v>
      </c>
      <c r="O3094" s="1" t="str">
        <f>"5.32"</f>
        <v>5.32</v>
      </c>
    </row>
    <row r="3095" s="1" customFormat="1" spans="1:15">
      <c r="A3095" s="1" t="str">
        <f t="shared" si="1931"/>
        <v>202406</v>
      </c>
      <c r="B3095" s="1" t="str">
        <f t="shared" si="1932"/>
        <v>150525100</v>
      </c>
      <c r="C3095" s="1" t="str">
        <f>"1041307812"</f>
        <v>1041307812</v>
      </c>
      <c r="D3095" s="1" t="str">
        <f>"152326195812120671"</f>
        <v>152326195812120671</v>
      </c>
      <c r="E3095" s="1" t="s">
        <v>3166</v>
      </c>
      <c r="F3095" s="1" t="s">
        <v>25</v>
      </c>
      <c r="G3095" s="1" t="s">
        <v>17</v>
      </c>
      <c r="H3095" s="1" t="str">
        <f t="shared" si="1954"/>
        <v>66</v>
      </c>
      <c r="I3095" s="1" t="str">
        <f>"155.34"</f>
        <v>155.34</v>
      </c>
      <c r="J3095" s="1" t="str">
        <f t="shared" ref="J3095:N3095" si="1957">"0"</f>
        <v>0</v>
      </c>
      <c r="K3095" s="1" t="str">
        <f t="shared" si="1940"/>
        <v>103</v>
      </c>
      <c r="L3095" s="1" t="str">
        <f t="shared" si="1941"/>
        <v>47</v>
      </c>
      <c r="M3095" s="1" t="str">
        <f t="shared" si="1957"/>
        <v>0</v>
      </c>
      <c r="N3095" s="1" t="str">
        <f t="shared" si="1957"/>
        <v>0</v>
      </c>
      <c r="O3095" s="1" t="str">
        <f>"5.34"</f>
        <v>5.34</v>
      </c>
    </row>
    <row r="3096" s="1" customFormat="1" spans="1:15">
      <c r="A3096" s="1" t="str">
        <f t="shared" si="1931"/>
        <v>202406</v>
      </c>
      <c r="B3096" s="1" t="str">
        <f t="shared" si="1932"/>
        <v>150525100</v>
      </c>
      <c r="C3096" s="1" t="str">
        <f>"1041300316"</f>
        <v>1041300316</v>
      </c>
      <c r="D3096" s="1" t="str">
        <f>"152326196301190664"</f>
        <v>152326196301190664</v>
      </c>
      <c r="E3096" s="1" t="s">
        <v>3167</v>
      </c>
      <c r="F3096" s="1" t="s">
        <v>16</v>
      </c>
      <c r="G3096" s="1" t="s">
        <v>17</v>
      </c>
      <c r="H3096" s="1" t="str">
        <f t="shared" ref="H3096:H3102" si="1958">"61"</f>
        <v>61</v>
      </c>
      <c r="I3096" s="1" t="str">
        <f>"182.96"</f>
        <v>182.96</v>
      </c>
      <c r="J3096" s="1" t="str">
        <f t="shared" ref="J3096:N3096" si="1959">"0"</f>
        <v>0</v>
      </c>
      <c r="K3096" s="1" t="str">
        <f t="shared" si="1940"/>
        <v>103</v>
      </c>
      <c r="L3096" s="1" t="str">
        <f t="shared" si="1941"/>
        <v>47</v>
      </c>
      <c r="M3096" s="1" t="str">
        <f t="shared" si="1959"/>
        <v>0</v>
      </c>
      <c r="N3096" s="1" t="str">
        <f t="shared" si="1959"/>
        <v>0</v>
      </c>
      <c r="O3096" s="1" t="str">
        <f>"32.96"</f>
        <v>32.96</v>
      </c>
    </row>
    <row r="3097" s="1" customFormat="1" spans="1:15">
      <c r="A3097" s="1" t="str">
        <f t="shared" si="1931"/>
        <v>202406</v>
      </c>
      <c r="B3097" s="1" t="str">
        <f t="shared" si="1932"/>
        <v>150525100</v>
      </c>
      <c r="C3097" s="1" t="str">
        <f>"1041307822"</f>
        <v>1041307822</v>
      </c>
      <c r="D3097" s="1" t="s">
        <v>3168</v>
      </c>
      <c r="E3097" s="1" t="s">
        <v>3169</v>
      </c>
      <c r="F3097" s="1" t="s">
        <v>25</v>
      </c>
      <c r="G3097" s="1" t="s">
        <v>17</v>
      </c>
      <c r="H3097" s="1" t="str">
        <f>"65"</f>
        <v>65</v>
      </c>
      <c r="I3097" s="1" t="str">
        <f>"156.35"</f>
        <v>156.35</v>
      </c>
      <c r="J3097" s="1" t="str">
        <f t="shared" ref="J3097:N3097" si="1960">"0"</f>
        <v>0</v>
      </c>
      <c r="K3097" s="1" t="str">
        <f t="shared" si="1940"/>
        <v>103</v>
      </c>
      <c r="L3097" s="1" t="str">
        <f t="shared" si="1941"/>
        <v>47</v>
      </c>
      <c r="M3097" s="1" t="str">
        <f t="shared" si="1960"/>
        <v>0</v>
      </c>
      <c r="N3097" s="1" t="str">
        <f t="shared" si="1960"/>
        <v>0</v>
      </c>
      <c r="O3097" s="1" t="str">
        <f>"6.35"</f>
        <v>6.35</v>
      </c>
    </row>
    <row r="3098" s="1" customFormat="1" spans="1:15">
      <c r="A3098" s="1" t="str">
        <f t="shared" si="1931"/>
        <v>202406</v>
      </c>
      <c r="B3098" s="1" t="str">
        <f t="shared" si="1932"/>
        <v>150525100</v>
      </c>
      <c r="C3098" s="1" t="str">
        <f>"1041307837"</f>
        <v>1041307837</v>
      </c>
      <c r="D3098" s="1" t="str">
        <f>"152326195911030671"</f>
        <v>152326195911030671</v>
      </c>
      <c r="E3098" s="1" t="s">
        <v>3170</v>
      </c>
      <c r="F3098" s="1" t="s">
        <v>25</v>
      </c>
      <c r="G3098" s="1" t="s">
        <v>17</v>
      </c>
      <c r="H3098" s="1" t="str">
        <f>"65"</f>
        <v>65</v>
      </c>
      <c r="I3098" s="1" t="str">
        <f>"156.37"</f>
        <v>156.37</v>
      </c>
      <c r="J3098" s="1" t="str">
        <f t="shared" ref="J3098:N3098" si="1961">"0"</f>
        <v>0</v>
      </c>
      <c r="K3098" s="1" t="str">
        <f t="shared" si="1940"/>
        <v>103</v>
      </c>
      <c r="L3098" s="1" t="str">
        <f t="shared" si="1941"/>
        <v>47</v>
      </c>
      <c r="M3098" s="1" t="str">
        <f t="shared" si="1961"/>
        <v>0</v>
      </c>
      <c r="N3098" s="1" t="str">
        <f t="shared" si="1961"/>
        <v>0</v>
      </c>
      <c r="O3098" s="1" t="str">
        <f>"6.37"</f>
        <v>6.37</v>
      </c>
    </row>
    <row r="3099" s="1" customFormat="1" spans="1:15">
      <c r="A3099" s="1" t="str">
        <f t="shared" si="1931"/>
        <v>202406</v>
      </c>
      <c r="B3099" s="1" t="str">
        <f t="shared" si="1932"/>
        <v>150525100</v>
      </c>
      <c r="C3099" s="1" t="str">
        <f>"1041300401"</f>
        <v>1041300401</v>
      </c>
      <c r="D3099" s="1" t="str">
        <f>"152326196212213318"</f>
        <v>152326196212213318</v>
      </c>
      <c r="E3099" s="1" t="s">
        <v>3171</v>
      </c>
      <c r="F3099" s="1" t="s">
        <v>25</v>
      </c>
      <c r="G3099" s="1" t="s">
        <v>17</v>
      </c>
      <c r="H3099" s="1" t="str">
        <f>"62"</f>
        <v>62</v>
      </c>
      <c r="I3099" s="1" t="str">
        <f>"161.58"</f>
        <v>161.58</v>
      </c>
      <c r="J3099" s="1" t="str">
        <f t="shared" ref="J3099:N3099" si="1962">"0"</f>
        <v>0</v>
      </c>
      <c r="K3099" s="1" t="str">
        <f t="shared" si="1940"/>
        <v>103</v>
      </c>
      <c r="L3099" s="1" t="str">
        <f t="shared" si="1941"/>
        <v>47</v>
      </c>
      <c r="M3099" s="1" t="str">
        <f t="shared" si="1962"/>
        <v>0</v>
      </c>
      <c r="N3099" s="1" t="str">
        <f t="shared" si="1962"/>
        <v>0</v>
      </c>
      <c r="O3099" s="1" t="str">
        <f>"11.58"</f>
        <v>11.58</v>
      </c>
    </row>
    <row r="3100" s="1" customFormat="1" spans="1:15">
      <c r="A3100" s="1" t="str">
        <f t="shared" si="1931"/>
        <v>202406</v>
      </c>
      <c r="B3100" s="1" t="str">
        <f t="shared" si="1932"/>
        <v>150525100</v>
      </c>
      <c r="C3100" s="1" t="str">
        <f>"1041300433"</f>
        <v>1041300433</v>
      </c>
      <c r="D3100" s="1" t="str">
        <f>"152326196305010069"</f>
        <v>152326196305010069</v>
      </c>
      <c r="E3100" s="1" t="s">
        <v>3172</v>
      </c>
      <c r="F3100" s="1" t="s">
        <v>16</v>
      </c>
      <c r="G3100" s="1" t="s">
        <v>17</v>
      </c>
      <c r="H3100" s="1" t="str">
        <f t="shared" si="1958"/>
        <v>61</v>
      </c>
      <c r="I3100" s="1" t="str">
        <f>"332.96"</f>
        <v>332.96</v>
      </c>
      <c r="J3100" s="1" t="str">
        <f>"166.48"</f>
        <v>166.48</v>
      </c>
      <c r="K3100" s="1" t="str">
        <f>"206"</f>
        <v>206</v>
      </c>
      <c r="L3100" s="1" t="str">
        <f>"94"</f>
        <v>94</v>
      </c>
      <c r="M3100" s="1" t="str">
        <f>"0"</f>
        <v>0</v>
      </c>
      <c r="N3100" s="1" t="str">
        <f>"0"</f>
        <v>0</v>
      </c>
      <c r="O3100" s="1" t="str">
        <f>"32.96"</f>
        <v>32.96</v>
      </c>
    </row>
    <row r="3101" s="1" customFormat="1" spans="1:15">
      <c r="A3101" s="1" t="str">
        <f t="shared" si="1931"/>
        <v>202406</v>
      </c>
      <c r="B3101" s="1" t="str">
        <f t="shared" si="1932"/>
        <v>150525100</v>
      </c>
      <c r="C3101" s="1" t="str">
        <f>"1041300442"</f>
        <v>1041300442</v>
      </c>
      <c r="D3101" s="1" t="str">
        <f>"152326196306190911"</f>
        <v>152326196306190911</v>
      </c>
      <c r="E3101" s="1" t="s">
        <v>3173</v>
      </c>
      <c r="F3101" s="1" t="s">
        <v>25</v>
      </c>
      <c r="G3101" s="1" t="s">
        <v>17</v>
      </c>
      <c r="H3101" s="1" t="str">
        <f t="shared" si="1958"/>
        <v>61</v>
      </c>
      <c r="I3101" s="1" t="str">
        <f>"163.38"</f>
        <v>163.38</v>
      </c>
      <c r="J3101" s="1" t="str">
        <f t="shared" ref="J3101:N3101" si="1963">"0"</f>
        <v>0</v>
      </c>
      <c r="K3101" s="1" t="str">
        <f t="shared" ref="K3101:K3121" si="1964">"103"</f>
        <v>103</v>
      </c>
      <c r="L3101" s="1" t="str">
        <f t="shared" ref="L3101:L3121" si="1965">"47"</f>
        <v>47</v>
      </c>
      <c r="M3101" s="1" t="str">
        <f t="shared" si="1963"/>
        <v>0</v>
      </c>
      <c r="N3101" s="1" t="str">
        <f t="shared" si="1963"/>
        <v>0</v>
      </c>
      <c r="O3101" s="1" t="str">
        <f>"13.38"</f>
        <v>13.38</v>
      </c>
    </row>
    <row r="3102" s="1" customFormat="1" spans="1:15">
      <c r="A3102" s="1" t="str">
        <f t="shared" si="1931"/>
        <v>202406</v>
      </c>
      <c r="B3102" s="1" t="str">
        <f t="shared" si="1932"/>
        <v>150525100</v>
      </c>
      <c r="C3102" s="1" t="str">
        <f>"1041306771"</f>
        <v>1041306771</v>
      </c>
      <c r="D3102" s="1" t="str">
        <f>"152326196309230691"</f>
        <v>152326196309230691</v>
      </c>
      <c r="E3102" s="1" t="s">
        <v>3174</v>
      </c>
      <c r="F3102" s="1" t="s">
        <v>25</v>
      </c>
      <c r="G3102" s="1" t="s">
        <v>17</v>
      </c>
      <c r="H3102" s="1" t="str">
        <f t="shared" si="1958"/>
        <v>61</v>
      </c>
      <c r="I3102" s="1" t="str">
        <f>"165.13"</f>
        <v>165.13</v>
      </c>
      <c r="J3102" s="1" t="str">
        <f t="shared" ref="J3102:N3102" si="1966">"0"</f>
        <v>0</v>
      </c>
      <c r="K3102" s="1" t="str">
        <f t="shared" si="1964"/>
        <v>103</v>
      </c>
      <c r="L3102" s="1" t="str">
        <f t="shared" si="1965"/>
        <v>47</v>
      </c>
      <c r="M3102" s="1" t="str">
        <f t="shared" si="1966"/>
        <v>0</v>
      </c>
      <c r="N3102" s="1" t="str">
        <f t="shared" si="1966"/>
        <v>0</v>
      </c>
      <c r="O3102" s="1" t="str">
        <f>"15.13"</f>
        <v>15.13</v>
      </c>
    </row>
    <row r="3103" s="1" customFormat="1" spans="1:15">
      <c r="A3103" s="1" t="str">
        <f t="shared" si="1931"/>
        <v>202406</v>
      </c>
      <c r="B3103" s="1" t="str">
        <f t="shared" si="1932"/>
        <v>150525100</v>
      </c>
      <c r="C3103" s="1" t="str">
        <f>"1041286416"</f>
        <v>1041286416</v>
      </c>
      <c r="D3103" s="1" t="str">
        <f>"152326195902200421"</f>
        <v>152326195902200421</v>
      </c>
      <c r="E3103" s="1" t="s">
        <v>3175</v>
      </c>
      <c r="F3103" s="1" t="s">
        <v>16</v>
      </c>
      <c r="G3103" s="1" t="s">
        <v>17</v>
      </c>
      <c r="H3103" s="1" t="str">
        <f>"65"</f>
        <v>65</v>
      </c>
      <c r="I3103" s="1" t="str">
        <f>"156.01"</f>
        <v>156.01</v>
      </c>
      <c r="J3103" s="1" t="str">
        <f t="shared" ref="J3103:N3103" si="1967">"0"</f>
        <v>0</v>
      </c>
      <c r="K3103" s="1" t="str">
        <f t="shared" si="1964"/>
        <v>103</v>
      </c>
      <c r="L3103" s="1" t="str">
        <f t="shared" si="1965"/>
        <v>47</v>
      </c>
      <c r="M3103" s="1" t="str">
        <f t="shared" si="1967"/>
        <v>0</v>
      </c>
      <c r="N3103" s="1" t="str">
        <f t="shared" si="1967"/>
        <v>0</v>
      </c>
      <c r="O3103" s="1" t="str">
        <f>"6.01"</f>
        <v>6.01</v>
      </c>
    </row>
    <row r="3104" s="1" customFormat="1" spans="1:15">
      <c r="A3104" s="1" t="str">
        <f t="shared" si="1931"/>
        <v>202406</v>
      </c>
      <c r="B3104" s="1" t="str">
        <f t="shared" si="1932"/>
        <v>150525100</v>
      </c>
      <c r="C3104" s="1" t="str">
        <f>"1041305747"</f>
        <v>1041305747</v>
      </c>
      <c r="D3104" s="1" t="str">
        <f>"152326196005260920"</f>
        <v>152326196005260920</v>
      </c>
      <c r="E3104" s="1" t="s">
        <v>3176</v>
      </c>
      <c r="F3104" s="1" t="s">
        <v>16</v>
      </c>
      <c r="G3104" s="1" t="s">
        <v>17</v>
      </c>
      <c r="H3104" s="1" t="str">
        <f>"64"</f>
        <v>64</v>
      </c>
      <c r="I3104" s="1" t="str">
        <f>"157.37"</f>
        <v>157.37</v>
      </c>
      <c r="J3104" s="1" t="str">
        <f t="shared" ref="J3104:N3104" si="1968">"0"</f>
        <v>0</v>
      </c>
      <c r="K3104" s="1" t="str">
        <f t="shared" si="1964"/>
        <v>103</v>
      </c>
      <c r="L3104" s="1" t="str">
        <f t="shared" si="1965"/>
        <v>47</v>
      </c>
      <c r="M3104" s="1" t="str">
        <f t="shared" si="1968"/>
        <v>0</v>
      </c>
      <c r="N3104" s="1" t="str">
        <f t="shared" si="1968"/>
        <v>0</v>
      </c>
      <c r="O3104" s="1" t="str">
        <f>"7.37"</f>
        <v>7.37</v>
      </c>
    </row>
    <row r="3105" s="1" customFormat="1" spans="1:15">
      <c r="A3105" s="1" t="str">
        <f t="shared" si="1931"/>
        <v>202406</v>
      </c>
      <c r="B3105" s="1" t="str">
        <f t="shared" si="1932"/>
        <v>150525100</v>
      </c>
      <c r="C3105" s="1" t="str">
        <f>"1041532021"</f>
        <v>1041532021</v>
      </c>
      <c r="D3105" s="1" t="str">
        <f>"152326195802273084"</f>
        <v>152326195802273084</v>
      </c>
      <c r="E3105" s="1" t="s">
        <v>3177</v>
      </c>
      <c r="F3105" s="1" t="s">
        <v>16</v>
      </c>
      <c r="G3105" s="1" t="s">
        <v>17</v>
      </c>
      <c r="H3105" s="1" t="str">
        <f>"66"</f>
        <v>66</v>
      </c>
      <c r="I3105" s="1" t="str">
        <f>"155.04"</f>
        <v>155.04</v>
      </c>
      <c r="J3105" s="1" t="str">
        <f t="shared" ref="J3105:N3105" si="1969">"0"</f>
        <v>0</v>
      </c>
      <c r="K3105" s="1" t="str">
        <f t="shared" si="1964"/>
        <v>103</v>
      </c>
      <c r="L3105" s="1" t="str">
        <f t="shared" si="1965"/>
        <v>47</v>
      </c>
      <c r="M3105" s="1" t="str">
        <f t="shared" si="1969"/>
        <v>0</v>
      </c>
      <c r="N3105" s="1" t="str">
        <f t="shared" si="1969"/>
        <v>0</v>
      </c>
      <c r="O3105" s="1" t="str">
        <f>"5.04"</f>
        <v>5.04</v>
      </c>
    </row>
    <row r="3106" s="1" customFormat="1" spans="1:15">
      <c r="A3106" s="1" t="str">
        <f t="shared" si="1931"/>
        <v>202406</v>
      </c>
      <c r="B3106" s="1" t="str">
        <f t="shared" si="1932"/>
        <v>150525100</v>
      </c>
      <c r="C3106" s="1" t="str">
        <f>"1041307386"</f>
        <v>1041307386</v>
      </c>
      <c r="D3106" s="1" t="str">
        <f>"152326196302140415"</f>
        <v>152326196302140415</v>
      </c>
      <c r="E3106" s="1" t="s">
        <v>3178</v>
      </c>
      <c r="F3106" s="1" t="s">
        <v>25</v>
      </c>
      <c r="G3106" s="1" t="s">
        <v>17</v>
      </c>
      <c r="H3106" s="1" t="str">
        <f t="shared" ref="H3106:H3110" si="1970">"61"</f>
        <v>61</v>
      </c>
      <c r="I3106" s="1" t="str">
        <f>"163"</f>
        <v>163</v>
      </c>
      <c r="J3106" s="1" t="str">
        <f t="shared" ref="J3106:N3106" si="1971">"0"</f>
        <v>0</v>
      </c>
      <c r="K3106" s="1" t="str">
        <f t="shared" si="1964"/>
        <v>103</v>
      </c>
      <c r="L3106" s="1" t="str">
        <f t="shared" si="1965"/>
        <v>47</v>
      </c>
      <c r="M3106" s="1" t="str">
        <f t="shared" si="1971"/>
        <v>0</v>
      </c>
      <c r="N3106" s="1" t="str">
        <f t="shared" si="1971"/>
        <v>0</v>
      </c>
      <c r="O3106" s="1" t="str">
        <f>"13"</f>
        <v>13</v>
      </c>
    </row>
    <row r="3107" s="1" customFormat="1" spans="1:15">
      <c r="A3107" s="1" t="str">
        <f t="shared" si="1931"/>
        <v>202406</v>
      </c>
      <c r="B3107" s="1" t="str">
        <f t="shared" si="1932"/>
        <v>150525100</v>
      </c>
      <c r="C3107" s="1" t="str">
        <f>"1041307434"</f>
        <v>1041307434</v>
      </c>
      <c r="D3107" s="1" t="str">
        <f>"152326196305290427"</f>
        <v>152326196305290427</v>
      </c>
      <c r="E3107" s="1" t="s">
        <v>3179</v>
      </c>
      <c r="F3107" s="1" t="s">
        <v>16</v>
      </c>
      <c r="G3107" s="1" t="s">
        <v>17</v>
      </c>
      <c r="H3107" s="1" t="str">
        <f t="shared" si="1970"/>
        <v>61</v>
      </c>
      <c r="I3107" s="1" t="str">
        <f>"199.36"</f>
        <v>199.36</v>
      </c>
      <c r="J3107" s="1" t="str">
        <f t="shared" ref="J3107:N3107" si="1972">"0"</f>
        <v>0</v>
      </c>
      <c r="K3107" s="1" t="str">
        <f t="shared" si="1964"/>
        <v>103</v>
      </c>
      <c r="L3107" s="1" t="str">
        <f t="shared" si="1965"/>
        <v>47</v>
      </c>
      <c r="M3107" s="1" t="str">
        <f t="shared" si="1972"/>
        <v>0</v>
      </c>
      <c r="N3107" s="1" t="str">
        <f t="shared" si="1972"/>
        <v>0</v>
      </c>
      <c r="O3107" s="1" t="str">
        <f>"49.36"</f>
        <v>49.36</v>
      </c>
    </row>
    <row r="3108" s="1" customFormat="1" spans="1:15">
      <c r="A3108" s="1" t="str">
        <f t="shared" si="1931"/>
        <v>202406</v>
      </c>
      <c r="B3108" s="1" t="str">
        <f t="shared" si="1932"/>
        <v>150525100</v>
      </c>
      <c r="C3108" s="1" t="str">
        <f>"1041471421"</f>
        <v>1041471421</v>
      </c>
      <c r="D3108" s="1" t="str">
        <f>"152326194610090027"</f>
        <v>152326194610090027</v>
      </c>
      <c r="E3108" s="1" t="s">
        <v>65</v>
      </c>
      <c r="F3108" s="1" t="s">
        <v>16</v>
      </c>
      <c r="G3108" s="1" t="s">
        <v>17</v>
      </c>
      <c r="H3108" s="1" t="str">
        <f>"78"</f>
        <v>78</v>
      </c>
      <c r="I3108" s="1" t="str">
        <f>"160"</f>
        <v>160</v>
      </c>
      <c r="J3108" s="1" t="str">
        <f t="shared" ref="J3108:O3108" si="1973">"0"</f>
        <v>0</v>
      </c>
      <c r="K3108" s="1" t="str">
        <f t="shared" si="1964"/>
        <v>103</v>
      </c>
      <c r="L3108" s="1" t="str">
        <f t="shared" si="1965"/>
        <v>47</v>
      </c>
      <c r="M3108" s="1" t="str">
        <f t="shared" si="1973"/>
        <v>0</v>
      </c>
      <c r="N3108" s="1" t="str">
        <f t="shared" si="1973"/>
        <v>0</v>
      </c>
      <c r="O3108" s="1" t="str">
        <f t="shared" si="1973"/>
        <v>0</v>
      </c>
    </row>
    <row r="3109" s="1" customFormat="1" spans="1:15">
      <c r="A3109" s="1" t="str">
        <f t="shared" si="1931"/>
        <v>202406</v>
      </c>
      <c r="B3109" s="1" t="str">
        <f t="shared" si="1932"/>
        <v>150525100</v>
      </c>
      <c r="C3109" s="1" t="str">
        <f>"1041305107"</f>
        <v>1041305107</v>
      </c>
      <c r="D3109" s="1" t="str">
        <f>"210724195603282061"</f>
        <v>210724195603282061</v>
      </c>
      <c r="E3109" s="1" t="s">
        <v>3180</v>
      </c>
      <c r="F3109" s="1" t="s">
        <v>16</v>
      </c>
      <c r="G3109" s="1" t="s">
        <v>17</v>
      </c>
      <c r="H3109" s="1" t="str">
        <f>"68"</f>
        <v>68</v>
      </c>
      <c r="I3109" s="1" t="str">
        <f>"154.32"</f>
        <v>154.32</v>
      </c>
      <c r="J3109" s="1" t="str">
        <f t="shared" ref="J3109:N3109" si="1974">"0"</f>
        <v>0</v>
      </c>
      <c r="K3109" s="1" t="str">
        <f t="shared" si="1964"/>
        <v>103</v>
      </c>
      <c r="L3109" s="1" t="str">
        <f t="shared" si="1965"/>
        <v>47</v>
      </c>
      <c r="M3109" s="1" t="str">
        <f t="shared" si="1974"/>
        <v>0</v>
      </c>
      <c r="N3109" s="1" t="str">
        <f t="shared" si="1974"/>
        <v>0</v>
      </c>
      <c r="O3109" s="1" t="str">
        <f>"4.32"</f>
        <v>4.32</v>
      </c>
    </row>
    <row r="3110" s="1" customFormat="1" spans="1:15">
      <c r="A3110" s="1" t="str">
        <f t="shared" si="1931"/>
        <v>202406</v>
      </c>
      <c r="B3110" s="1" t="str">
        <f t="shared" si="1932"/>
        <v>150525100</v>
      </c>
      <c r="C3110" s="1" t="str">
        <f>"1041766918"</f>
        <v>1041766918</v>
      </c>
      <c r="D3110" s="1" t="str">
        <f>"152326196305100697"</f>
        <v>152326196305100697</v>
      </c>
      <c r="E3110" s="1" t="s">
        <v>3181</v>
      </c>
      <c r="F3110" s="1" t="s">
        <v>25</v>
      </c>
      <c r="G3110" s="1" t="s">
        <v>19</v>
      </c>
      <c r="H3110" s="1" t="str">
        <f t="shared" si="1970"/>
        <v>61</v>
      </c>
      <c r="I3110" s="1" t="str">
        <f>"163.88"</f>
        <v>163.88</v>
      </c>
      <c r="J3110" s="1" t="str">
        <f t="shared" ref="J3110:N3110" si="1975">"0"</f>
        <v>0</v>
      </c>
      <c r="K3110" s="1" t="str">
        <f t="shared" si="1964"/>
        <v>103</v>
      </c>
      <c r="L3110" s="1" t="str">
        <f t="shared" si="1965"/>
        <v>47</v>
      </c>
      <c r="M3110" s="1" t="str">
        <f t="shared" si="1975"/>
        <v>0</v>
      </c>
      <c r="N3110" s="1" t="str">
        <f t="shared" si="1975"/>
        <v>0</v>
      </c>
      <c r="O3110" s="1" t="str">
        <f>"13.88"</f>
        <v>13.88</v>
      </c>
    </row>
    <row r="3111" s="1" customFormat="1" spans="1:15">
      <c r="A3111" s="1" t="str">
        <f t="shared" si="1931"/>
        <v>202406</v>
      </c>
      <c r="B3111" s="1" t="str">
        <f t="shared" si="1932"/>
        <v>150525100</v>
      </c>
      <c r="C3111" s="1" t="str">
        <f>"1041603349"</f>
        <v>1041603349</v>
      </c>
      <c r="D3111" s="1" t="str">
        <f>"152326194901283814"</f>
        <v>152326194901283814</v>
      </c>
      <c r="E3111" s="1" t="s">
        <v>3182</v>
      </c>
      <c r="F3111" s="1" t="s">
        <v>25</v>
      </c>
      <c r="G3111" s="1" t="s">
        <v>17</v>
      </c>
      <c r="H3111" s="1" t="str">
        <f>"75"</f>
        <v>75</v>
      </c>
      <c r="I3111" s="1" t="str">
        <f>"160"</f>
        <v>160</v>
      </c>
      <c r="J3111" s="1" t="str">
        <f t="shared" ref="J3111:O3111" si="1976">"0"</f>
        <v>0</v>
      </c>
      <c r="K3111" s="1" t="str">
        <f t="shared" si="1964"/>
        <v>103</v>
      </c>
      <c r="L3111" s="1" t="str">
        <f t="shared" si="1965"/>
        <v>47</v>
      </c>
      <c r="M3111" s="1" t="str">
        <f t="shared" si="1976"/>
        <v>0</v>
      </c>
      <c r="N3111" s="1" t="str">
        <f t="shared" si="1976"/>
        <v>0</v>
      </c>
      <c r="O3111" s="1" t="str">
        <f t="shared" si="1976"/>
        <v>0</v>
      </c>
    </row>
    <row r="3112" s="1" customFormat="1" spans="1:15">
      <c r="A3112" s="1" t="str">
        <f t="shared" si="1931"/>
        <v>202406</v>
      </c>
      <c r="B3112" s="1" t="str">
        <f t="shared" si="1932"/>
        <v>150525100</v>
      </c>
      <c r="C3112" s="1" t="str">
        <f>"1041864248"</f>
        <v>1041864248</v>
      </c>
      <c r="D3112" s="1" t="str">
        <f>"152326196203213113"</f>
        <v>152326196203213113</v>
      </c>
      <c r="E3112" s="1" t="s">
        <v>3183</v>
      </c>
      <c r="F3112" s="1" t="s">
        <v>25</v>
      </c>
      <c r="G3112" s="1" t="s">
        <v>17</v>
      </c>
      <c r="H3112" s="1" t="str">
        <f>"62"</f>
        <v>62</v>
      </c>
      <c r="I3112" s="1" t="str">
        <f>"159.65"</f>
        <v>159.65</v>
      </c>
      <c r="J3112" s="1" t="str">
        <f t="shared" ref="J3112:N3112" si="1977">"0"</f>
        <v>0</v>
      </c>
      <c r="K3112" s="1" t="str">
        <f t="shared" si="1964"/>
        <v>103</v>
      </c>
      <c r="L3112" s="1" t="str">
        <f t="shared" si="1965"/>
        <v>47</v>
      </c>
      <c r="M3112" s="1" t="str">
        <f t="shared" si="1977"/>
        <v>0</v>
      </c>
      <c r="N3112" s="1" t="str">
        <f t="shared" si="1977"/>
        <v>0</v>
      </c>
      <c r="O3112" s="1" t="str">
        <f>"9.65"</f>
        <v>9.65</v>
      </c>
    </row>
    <row r="3113" s="1" customFormat="1" spans="1:15">
      <c r="A3113" s="1" t="str">
        <f t="shared" si="1931"/>
        <v>202406</v>
      </c>
      <c r="B3113" s="1" t="str">
        <f t="shared" si="1932"/>
        <v>150525100</v>
      </c>
      <c r="C3113" s="1" t="str">
        <f>"1042047332"</f>
        <v>1042047332</v>
      </c>
      <c r="D3113" s="1" t="str">
        <f>"152326195812170679"</f>
        <v>152326195812170679</v>
      </c>
      <c r="E3113" s="1" t="s">
        <v>3184</v>
      </c>
      <c r="F3113" s="1" t="s">
        <v>25</v>
      </c>
      <c r="G3113" s="1" t="s">
        <v>19</v>
      </c>
      <c r="H3113" s="1" t="str">
        <f t="shared" ref="H3113:H3116" si="1978">"66"</f>
        <v>66</v>
      </c>
      <c r="I3113" s="1" t="str">
        <f>"155.76"</f>
        <v>155.76</v>
      </c>
      <c r="J3113" s="1" t="str">
        <f t="shared" ref="J3113:N3113" si="1979">"0"</f>
        <v>0</v>
      </c>
      <c r="K3113" s="1" t="str">
        <f t="shared" si="1964"/>
        <v>103</v>
      </c>
      <c r="L3113" s="1" t="str">
        <f t="shared" si="1965"/>
        <v>47</v>
      </c>
      <c r="M3113" s="1" t="str">
        <f t="shared" si="1979"/>
        <v>0</v>
      </c>
      <c r="N3113" s="1" t="str">
        <f t="shared" si="1979"/>
        <v>0</v>
      </c>
      <c r="O3113" s="1" t="str">
        <f>"5.76"</f>
        <v>5.76</v>
      </c>
    </row>
    <row r="3114" s="1" customFormat="1" spans="1:15">
      <c r="A3114" s="1" t="str">
        <f t="shared" si="1931"/>
        <v>202406</v>
      </c>
      <c r="B3114" s="1" t="str">
        <f t="shared" si="1932"/>
        <v>150525100</v>
      </c>
      <c r="C3114" s="1" t="str">
        <f>"1041778123"</f>
        <v>1041778123</v>
      </c>
      <c r="D3114" s="1" t="s">
        <v>3185</v>
      </c>
      <c r="E3114" s="1" t="s">
        <v>3186</v>
      </c>
      <c r="F3114" s="1" t="s">
        <v>25</v>
      </c>
      <c r="G3114" s="1" t="s">
        <v>17</v>
      </c>
      <c r="H3114" s="1" t="str">
        <f t="shared" si="1978"/>
        <v>66</v>
      </c>
      <c r="I3114" s="1" t="str">
        <f>"155.76"</f>
        <v>155.76</v>
      </c>
      <c r="J3114" s="1" t="str">
        <f t="shared" ref="J3114:N3114" si="1980">"0"</f>
        <v>0</v>
      </c>
      <c r="K3114" s="1" t="str">
        <f t="shared" si="1964"/>
        <v>103</v>
      </c>
      <c r="L3114" s="1" t="str">
        <f t="shared" si="1965"/>
        <v>47</v>
      </c>
      <c r="M3114" s="1" t="str">
        <f t="shared" si="1980"/>
        <v>0</v>
      </c>
      <c r="N3114" s="1" t="str">
        <f t="shared" si="1980"/>
        <v>0</v>
      </c>
      <c r="O3114" s="1" t="str">
        <f>"5.76"</f>
        <v>5.76</v>
      </c>
    </row>
    <row r="3115" s="1" customFormat="1" spans="1:15">
      <c r="A3115" s="1" t="str">
        <f t="shared" si="1931"/>
        <v>202406</v>
      </c>
      <c r="B3115" s="1" t="str">
        <f t="shared" si="1932"/>
        <v>150525100</v>
      </c>
      <c r="C3115" s="1" t="str">
        <f>"1041602432"</f>
        <v>1041602432</v>
      </c>
      <c r="D3115" s="1" t="str">
        <f>"152326196401073828"</f>
        <v>152326196401073828</v>
      </c>
      <c r="E3115" s="1" t="s">
        <v>3187</v>
      </c>
      <c r="F3115" s="1" t="s">
        <v>16</v>
      </c>
      <c r="G3115" s="1" t="s">
        <v>17</v>
      </c>
      <c r="H3115" s="1" t="str">
        <f>"61"</f>
        <v>61</v>
      </c>
      <c r="I3115" s="1" t="str">
        <f>"164.49"</f>
        <v>164.49</v>
      </c>
      <c r="J3115" s="1" t="str">
        <f t="shared" ref="J3115:N3115" si="1981">"0"</f>
        <v>0</v>
      </c>
      <c r="K3115" s="1" t="str">
        <f t="shared" si="1964"/>
        <v>103</v>
      </c>
      <c r="L3115" s="1" t="str">
        <f t="shared" si="1965"/>
        <v>47</v>
      </c>
      <c r="M3115" s="1" t="str">
        <f t="shared" si="1981"/>
        <v>0</v>
      </c>
      <c r="N3115" s="1" t="str">
        <f t="shared" si="1981"/>
        <v>0</v>
      </c>
      <c r="O3115" s="1" t="str">
        <f>"14.49"</f>
        <v>14.49</v>
      </c>
    </row>
    <row r="3116" s="1" customFormat="1" spans="1:15">
      <c r="A3116" s="1" t="str">
        <f t="shared" si="1931"/>
        <v>202406</v>
      </c>
      <c r="B3116" s="1" t="str">
        <f t="shared" si="1932"/>
        <v>150525100</v>
      </c>
      <c r="C3116" s="1" t="str">
        <f>"1042011215"</f>
        <v>1042011215</v>
      </c>
      <c r="D3116" s="1" t="str">
        <f>"152326195812200671"</f>
        <v>152326195812200671</v>
      </c>
      <c r="E3116" s="1" t="s">
        <v>3188</v>
      </c>
      <c r="F3116" s="1" t="s">
        <v>25</v>
      </c>
      <c r="G3116" s="1" t="s">
        <v>19</v>
      </c>
      <c r="H3116" s="1" t="str">
        <f t="shared" si="1978"/>
        <v>66</v>
      </c>
      <c r="I3116" s="1" t="str">
        <f>"155.98"</f>
        <v>155.98</v>
      </c>
      <c r="J3116" s="1" t="str">
        <f t="shared" ref="J3116:N3116" si="1982">"0"</f>
        <v>0</v>
      </c>
      <c r="K3116" s="1" t="str">
        <f t="shared" si="1964"/>
        <v>103</v>
      </c>
      <c r="L3116" s="1" t="str">
        <f t="shared" si="1965"/>
        <v>47</v>
      </c>
      <c r="M3116" s="1" t="str">
        <f t="shared" si="1982"/>
        <v>0</v>
      </c>
      <c r="N3116" s="1" t="str">
        <f t="shared" si="1982"/>
        <v>0</v>
      </c>
      <c r="O3116" s="1" t="str">
        <f>"5.98"</f>
        <v>5.98</v>
      </c>
    </row>
    <row r="3117" s="1" customFormat="1" spans="1:15">
      <c r="A3117" s="1" t="str">
        <f t="shared" si="1931"/>
        <v>202406</v>
      </c>
      <c r="B3117" s="1" t="str">
        <f t="shared" si="1932"/>
        <v>150525100</v>
      </c>
      <c r="C3117" s="1" t="str">
        <f>"1042721187"</f>
        <v>1042721187</v>
      </c>
      <c r="D3117" s="1" t="str">
        <f>"152326196307233821"</f>
        <v>152326196307233821</v>
      </c>
      <c r="E3117" s="1" t="s">
        <v>3189</v>
      </c>
      <c r="F3117" s="1" t="s">
        <v>16</v>
      </c>
      <c r="G3117" s="1" t="s">
        <v>17</v>
      </c>
      <c r="H3117" s="1" t="str">
        <f>"61"</f>
        <v>61</v>
      </c>
      <c r="I3117" s="1" t="str">
        <f>"169.6"</f>
        <v>169.6</v>
      </c>
      <c r="J3117" s="1" t="str">
        <f t="shared" ref="J3117:N3117" si="1983">"0"</f>
        <v>0</v>
      </c>
      <c r="K3117" s="1" t="str">
        <f t="shared" si="1964"/>
        <v>103</v>
      </c>
      <c r="L3117" s="1" t="str">
        <f t="shared" si="1965"/>
        <v>47</v>
      </c>
      <c r="M3117" s="1" t="str">
        <f t="shared" si="1983"/>
        <v>0</v>
      </c>
      <c r="N3117" s="1" t="str">
        <f t="shared" si="1983"/>
        <v>0</v>
      </c>
      <c r="O3117" s="1" t="str">
        <f>"19.6"</f>
        <v>19.6</v>
      </c>
    </row>
    <row r="3118" s="1" customFormat="1" spans="1:15">
      <c r="A3118" s="1" t="str">
        <f t="shared" si="1931"/>
        <v>202406</v>
      </c>
      <c r="B3118" s="1" t="str">
        <f t="shared" si="1932"/>
        <v>150525100</v>
      </c>
      <c r="C3118" s="1" t="str">
        <f>"1041762981"</f>
        <v>1041762981</v>
      </c>
      <c r="D3118" s="1" t="str">
        <f>"152326195807060918"</f>
        <v>152326195807060918</v>
      </c>
      <c r="E3118" s="1" t="s">
        <v>3190</v>
      </c>
      <c r="F3118" s="1" t="s">
        <v>25</v>
      </c>
      <c r="G3118" s="1" t="s">
        <v>19</v>
      </c>
      <c r="H3118" s="1" t="str">
        <f>"66"</f>
        <v>66</v>
      </c>
      <c r="I3118" s="1" t="str">
        <f>"155.04"</f>
        <v>155.04</v>
      </c>
      <c r="J3118" s="1" t="str">
        <f t="shared" ref="J3118:N3118" si="1984">"0"</f>
        <v>0</v>
      </c>
      <c r="K3118" s="1" t="str">
        <f t="shared" si="1964"/>
        <v>103</v>
      </c>
      <c r="L3118" s="1" t="str">
        <f t="shared" si="1965"/>
        <v>47</v>
      </c>
      <c r="M3118" s="1" t="str">
        <f t="shared" si="1984"/>
        <v>0</v>
      </c>
      <c r="N3118" s="1" t="str">
        <f t="shared" si="1984"/>
        <v>0</v>
      </c>
      <c r="O3118" s="1" t="str">
        <f>"5.04"</f>
        <v>5.04</v>
      </c>
    </row>
    <row r="3119" s="1" customFormat="1" spans="1:15">
      <c r="A3119" s="1" t="str">
        <f t="shared" si="1931"/>
        <v>202406</v>
      </c>
      <c r="B3119" s="1" t="str">
        <f t="shared" si="1932"/>
        <v>150525100</v>
      </c>
      <c r="C3119" s="1" t="str">
        <f>"1042152130"</f>
        <v>1042152130</v>
      </c>
      <c r="D3119" s="1" t="str">
        <f>"152326195903050410"</f>
        <v>152326195903050410</v>
      </c>
      <c r="E3119" s="1" t="s">
        <v>3191</v>
      </c>
      <c r="F3119" s="1" t="s">
        <v>25</v>
      </c>
      <c r="G3119" s="1" t="s">
        <v>17</v>
      </c>
      <c r="H3119" s="1" t="str">
        <f>"65"</f>
        <v>65</v>
      </c>
      <c r="I3119" s="1" t="str">
        <f>"179.35"</f>
        <v>179.35</v>
      </c>
      <c r="J3119" s="1" t="str">
        <f t="shared" ref="J3119:N3119" si="1985">"0"</f>
        <v>0</v>
      </c>
      <c r="K3119" s="1" t="str">
        <f t="shared" si="1964"/>
        <v>103</v>
      </c>
      <c r="L3119" s="1" t="str">
        <f t="shared" si="1965"/>
        <v>47</v>
      </c>
      <c r="M3119" s="1" t="str">
        <f t="shared" si="1985"/>
        <v>0</v>
      </c>
      <c r="N3119" s="1" t="str">
        <f t="shared" si="1985"/>
        <v>0</v>
      </c>
      <c r="O3119" s="1" t="str">
        <f>"29.35"</f>
        <v>29.35</v>
      </c>
    </row>
    <row r="3120" s="1" customFormat="1" spans="1:15">
      <c r="A3120" s="1" t="str">
        <f t="shared" si="1931"/>
        <v>202406</v>
      </c>
      <c r="B3120" s="1" t="str">
        <f t="shared" si="1932"/>
        <v>150525100</v>
      </c>
      <c r="C3120" s="1" t="str">
        <f>"1041659252"</f>
        <v>1041659252</v>
      </c>
      <c r="D3120" s="1" t="str">
        <f>"152326196210280920"</f>
        <v>152326196210280920</v>
      </c>
      <c r="E3120" s="1" t="s">
        <v>3192</v>
      </c>
      <c r="F3120" s="1" t="s">
        <v>16</v>
      </c>
      <c r="G3120" s="1" t="s">
        <v>17</v>
      </c>
      <c r="H3120" s="1" t="str">
        <f t="shared" ref="H3120:H3122" si="1986">"62"</f>
        <v>62</v>
      </c>
      <c r="I3120" s="1" t="str">
        <f>"161.61"</f>
        <v>161.61</v>
      </c>
      <c r="J3120" s="1" t="str">
        <f t="shared" ref="J3120:N3120" si="1987">"0"</f>
        <v>0</v>
      </c>
      <c r="K3120" s="1" t="str">
        <f t="shared" si="1964"/>
        <v>103</v>
      </c>
      <c r="L3120" s="1" t="str">
        <f t="shared" si="1965"/>
        <v>47</v>
      </c>
      <c r="M3120" s="1" t="str">
        <f t="shared" si="1987"/>
        <v>0</v>
      </c>
      <c r="N3120" s="1" t="str">
        <f t="shared" si="1987"/>
        <v>0</v>
      </c>
      <c r="O3120" s="1" t="str">
        <f>"11.61"</f>
        <v>11.61</v>
      </c>
    </row>
    <row r="3121" s="1" customFormat="1" spans="1:15">
      <c r="A3121" s="1" t="str">
        <f t="shared" si="1931"/>
        <v>202406</v>
      </c>
      <c r="B3121" s="1" t="str">
        <f t="shared" si="1932"/>
        <v>150525100</v>
      </c>
      <c r="C3121" s="1" t="str">
        <f>"1042464982"</f>
        <v>1042464982</v>
      </c>
      <c r="D3121" s="1" t="str">
        <f>"152326196203096113"</f>
        <v>152326196203096113</v>
      </c>
      <c r="E3121" s="1" t="s">
        <v>3193</v>
      </c>
      <c r="F3121" s="1" t="s">
        <v>25</v>
      </c>
      <c r="G3121" s="1" t="s">
        <v>17</v>
      </c>
      <c r="H3121" s="1" t="str">
        <f t="shared" si="1986"/>
        <v>62</v>
      </c>
      <c r="I3121" s="1" t="str">
        <f>"161.14"</f>
        <v>161.14</v>
      </c>
      <c r="J3121" s="1" t="str">
        <f t="shared" ref="J3121:N3121" si="1988">"0"</f>
        <v>0</v>
      </c>
      <c r="K3121" s="1" t="str">
        <f t="shared" si="1964"/>
        <v>103</v>
      </c>
      <c r="L3121" s="1" t="str">
        <f t="shared" si="1965"/>
        <v>47</v>
      </c>
      <c r="M3121" s="1" t="str">
        <f t="shared" si="1988"/>
        <v>0</v>
      </c>
      <c r="N3121" s="1" t="str">
        <f t="shared" si="1988"/>
        <v>0</v>
      </c>
      <c r="O3121" s="1" t="str">
        <f>"11.14"</f>
        <v>11.14</v>
      </c>
    </row>
    <row r="3122" s="1" customFormat="1" spans="1:15">
      <c r="A3122" s="1" t="str">
        <f t="shared" si="1931"/>
        <v>202406</v>
      </c>
      <c r="B3122" s="1" t="str">
        <f t="shared" si="1932"/>
        <v>150525100</v>
      </c>
      <c r="C3122" s="1" t="str">
        <f>"1041667249"</f>
        <v>1041667249</v>
      </c>
      <c r="D3122" s="1" t="str">
        <f>"152326196205060018"</f>
        <v>152326196205060018</v>
      </c>
      <c r="E3122" s="1" t="s">
        <v>3194</v>
      </c>
      <c r="F3122" s="1" t="s">
        <v>25</v>
      </c>
      <c r="G3122" s="1" t="s">
        <v>17</v>
      </c>
      <c r="H3122" s="1" t="str">
        <f t="shared" si="1986"/>
        <v>62</v>
      </c>
      <c r="I3122" s="1" t="str">
        <f>"685.76"</f>
        <v>685.76</v>
      </c>
      <c r="J3122" s="1" t="str">
        <f>"514.32"</f>
        <v>514.32</v>
      </c>
      <c r="K3122" s="1" t="str">
        <f>"412"</f>
        <v>412</v>
      </c>
      <c r="L3122" s="1" t="str">
        <f>"188"</f>
        <v>188</v>
      </c>
      <c r="M3122" s="1" t="str">
        <f>"0"</f>
        <v>0</v>
      </c>
      <c r="N3122" s="1" t="str">
        <f>"0"</f>
        <v>0</v>
      </c>
      <c r="O3122" s="1" t="str">
        <f>"85.76"</f>
        <v>85.76</v>
      </c>
    </row>
    <row r="3123" s="1" customFormat="1" spans="1:15">
      <c r="A3123" s="1" t="str">
        <f t="shared" si="1931"/>
        <v>202406</v>
      </c>
      <c r="B3123" s="1" t="str">
        <f t="shared" si="1932"/>
        <v>150525100</v>
      </c>
      <c r="C3123" s="1" t="str">
        <f>"1042176552"</f>
        <v>1042176552</v>
      </c>
      <c r="D3123" s="1" t="str">
        <f>"150525195612110017"</f>
        <v>150525195612110017</v>
      </c>
      <c r="E3123" s="1" t="s">
        <v>3195</v>
      </c>
      <c r="F3123" s="1" t="s">
        <v>25</v>
      </c>
      <c r="G3123" s="1" t="s">
        <v>17</v>
      </c>
      <c r="H3123" s="1" t="str">
        <f>"68"</f>
        <v>68</v>
      </c>
      <c r="I3123" s="1" t="str">
        <f>"158.64"</f>
        <v>158.64</v>
      </c>
      <c r="J3123" s="1" t="str">
        <f t="shared" ref="J3123:N3123" si="1989">"0"</f>
        <v>0</v>
      </c>
      <c r="K3123" s="1" t="str">
        <f t="shared" ref="K3123:K3133" si="1990">"103"</f>
        <v>103</v>
      </c>
      <c r="L3123" s="1" t="str">
        <f t="shared" ref="L3123:L3133" si="1991">"47"</f>
        <v>47</v>
      </c>
      <c r="M3123" s="1" t="str">
        <f t="shared" si="1989"/>
        <v>0</v>
      </c>
      <c r="N3123" s="1" t="str">
        <f t="shared" si="1989"/>
        <v>0</v>
      </c>
      <c r="O3123" s="1" t="str">
        <f>"8.64"</f>
        <v>8.64</v>
      </c>
    </row>
    <row r="3124" s="1" customFormat="1" spans="1:15">
      <c r="A3124" s="1" t="str">
        <f t="shared" si="1931"/>
        <v>202406</v>
      </c>
      <c r="B3124" s="1" t="str">
        <f t="shared" si="1932"/>
        <v>150525100</v>
      </c>
      <c r="C3124" s="1" t="str">
        <f>"1042386430"</f>
        <v>1042386430</v>
      </c>
      <c r="D3124" s="1" t="str">
        <f>"152326196002163324"</f>
        <v>152326196002163324</v>
      </c>
      <c r="E3124" s="1" t="s">
        <v>3196</v>
      </c>
      <c r="F3124" s="1" t="s">
        <v>16</v>
      </c>
      <c r="G3124" s="1" t="s">
        <v>19</v>
      </c>
      <c r="H3124" s="1" t="str">
        <f t="shared" ref="H3124:H3126" si="1992">"64"</f>
        <v>64</v>
      </c>
      <c r="I3124" s="1" t="str">
        <f>"156.72"</f>
        <v>156.72</v>
      </c>
      <c r="J3124" s="1" t="str">
        <f t="shared" ref="J3124:N3124" si="1993">"0"</f>
        <v>0</v>
      </c>
      <c r="K3124" s="1" t="str">
        <f t="shared" si="1990"/>
        <v>103</v>
      </c>
      <c r="L3124" s="1" t="str">
        <f t="shared" si="1991"/>
        <v>47</v>
      </c>
      <c r="M3124" s="1" t="str">
        <f t="shared" si="1993"/>
        <v>0</v>
      </c>
      <c r="N3124" s="1" t="str">
        <f t="shared" si="1993"/>
        <v>0</v>
      </c>
      <c r="O3124" s="1" t="str">
        <f>"6.72"</f>
        <v>6.72</v>
      </c>
    </row>
    <row r="3125" s="1" customFormat="1" spans="1:15">
      <c r="A3125" s="1" t="str">
        <f t="shared" si="1931"/>
        <v>202406</v>
      </c>
      <c r="B3125" s="1" t="str">
        <f t="shared" si="1932"/>
        <v>150525100</v>
      </c>
      <c r="C3125" s="1" t="str">
        <f>"1042467139"</f>
        <v>1042467139</v>
      </c>
      <c r="D3125" s="1" t="s">
        <v>3197</v>
      </c>
      <c r="E3125" s="1" t="s">
        <v>312</v>
      </c>
      <c r="F3125" s="1" t="s">
        <v>16</v>
      </c>
      <c r="G3125" s="1" t="s">
        <v>17</v>
      </c>
      <c r="H3125" s="1" t="str">
        <f t="shared" si="1992"/>
        <v>64</v>
      </c>
      <c r="I3125" s="1" t="str">
        <f>"183.34"</f>
        <v>183.34</v>
      </c>
      <c r="J3125" s="1" t="str">
        <f t="shared" ref="J3125:N3125" si="1994">"0"</f>
        <v>0</v>
      </c>
      <c r="K3125" s="1" t="str">
        <f t="shared" si="1990"/>
        <v>103</v>
      </c>
      <c r="L3125" s="1" t="str">
        <f t="shared" si="1991"/>
        <v>47</v>
      </c>
      <c r="M3125" s="1" t="str">
        <f t="shared" si="1994"/>
        <v>0</v>
      </c>
      <c r="N3125" s="1" t="str">
        <f t="shared" si="1994"/>
        <v>0</v>
      </c>
      <c r="O3125" s="1" t="str">
        <f>"33.34"</f>
        <v>33.34</v>
      </c>
    </row>
    <row r="3126" s="1" customFormat="1" spans="1:15">
      <c r="A3126" s="1" t="str">
        <f t="shared" si="1931"/>
        <v>202406</v>
      </c>
      <c r="B3126" s="1" t="str">
        <f t="shared" si="1932"/>
        <v>150525100</v>
      </c>
      <c r="C3126" s="1" t="str">
        <f>"1042478961"</f>
        <v>1042478961</v>
      </c>
      <c r="D3126" s="1" t="str">
        <f>"152326196003113097"</f>
        <v>152326196003113097</v>
      </c>
      <c r="E3126" s="1" t="s">
        <v>3198</v>
      </c>
      <c r="F3126" s="1" t="s">
        <v>25</v>
      </c>
      <c r="G3126" s="1" t="s">
        <v>17</v>
      </c>
      <c r="H3126" s="1" t="str">
        <f t="shared" si="1992"/>
        <v>64</v>
      </c>
      <c r="I3126" s="1" t="str">
        <f>"156.72"</f>
        <v>156.72</v>
      </c>
      <c r="J3126" s="1" t="str">
        <f t="shared" ref="J3126:N3126" si="1995">"0"</f>
        <v>0</v>
      </c>
      <c r="K3126" s="1" t="str">
        <f t="shared" si="1990"/>
        <v>103</v>
      </c>
      <c r="L3126" s="1" t="str">
        <f t="shared" si="1991"/>
        <v>47</v>
      </c>
      <c r="M3126" s="1" t="str">
        <f t="shared" si="1995"/>
        <v>0</v>
      </c>
      <c r="N3126" s="1" t="str">
        <f t="shared" si="1995"/>
        <v>0</v>
      </c>
      <c r="O3126" s="1" t="str">
        <f>"6.72"</f>
        <v>6.72</v>
      </c>
    </row>
    <row r="3127" s="1" customFormat="1" spans="1:15">
      <c r="A3127" s="1" t="str">
        <f t="shared" si="1931"/>
        <v>202406</v>
      </c>
      <c r="B3127" s="1" t="str">
        <f t="shared" si="1932"/>
        <v>150525100</v>
      </c>
      <c r="C3127" s="1" t="str">
        <f>"1042283916"</f>
        <v>1042283916</v>
      </c>
      <c r="D3127" s="1" t="str">
        <f>"152326195909213815"</f>
        <v>152326195909213815</v>
      </c>
      <c r="E3127" s="1" t="s">
        <v>3199</v>
      </c>
      <c r="F3127" s="1" t="s">
        <v>25</v>
      </c>
      <c r="G3127" s="1" t="s">
        <v>17</v>
      </c>
      <c r="H3127" s="1" t="str">
        <f>"65"</f>
        <v>65</v>
      </c>
      <c r="I3127" s="1" t="str">
        <f>"156.7"</f>
        <v>156.7</v>
      </c>
      <c r="J3127" s="1" t="str">
        <f t="shared" ref="J3127:N3127" si="1996">"0"</f>
        <v>0</v>
      </c>
      <c r="K3127" s="1" t="str">
        <f t="shared" si="1990"/>
        <v>103</v>
      </c>
      <c r="L3127" s="1" t="str">
        <f t="shared" si="1991"/>
        <v>47</v>
      </c>
      <c r="M3127" s="1" t="str">
        <f t="shared" si="1996"/>
        <v>0</v>
      </c>
      <c r="N3127" s="1" t="str">
        <f t="shared" si="1996"/>
        <v>0</v>
      </c>
      <c r="O3127" s="1" t="str">
        <f>"6.7"</f>
        <v>6.7</v>
      </c>
    </row>
    <row r="3128" s="1" customFormat="1" spans="1:15">
      <c r="A3128" s="1" t="str">
        <f t="shared" si="1931"/>
        <v>202406</v>
      </c>
      <c r="B3128" s="1" t="str">
        <f t="shared" si="1932"/>
        <v>150525100</v>
      </c>
      <c r="C3128" s="1" t="str">
        <f>"1042280781"</f>
        <v>1042280781</v>
      </c>
      <c r="D3128" s="1" t="str">
        <f>"152326195809213316"</f>
        <v>152326195809213316</v>
      </c>
      <c r="E3128" s="1" t="s">
        <v>3200</v>
      </c>
      <c r="F3128" s="1" t="s">
        <v>25</v>
      </c>
      <c r="G3128" s="1" t="s">
        <v>19</v>
      </c>
      <c r="H3128" s="1" t="str">
        <f>"66"</f>
        <v>66</v>
      </c>
      <c r="I3128" s="1" t="str">
        <f>"156.48"</f>
        <v>156.48</v>
      </c>
      <c r="J3128" s="1" t="str">
        <f t="shared" ref="J3128:N3128" si="1997">"0"</f>
        <v>0</v>
      </c>
      <c r="K3128" s="1" t="str">
        <f t="shared" si="1990"/>
        <v>103</v>
      </c>
      <c r="L3128" s="1" t="str">
        <f t="shared" si="1991"/>
        <v>47</v>
      </c>
      <c r="M3128" s="1" t="str">
        <f t="shared" si="1997"/>
        <v>0</v>
      </c>
      <c r="N3128" s="1" t="str">
        <f t="shared" si="1997"/>
        <v>0</v>
      </c>
      <c r="O3128" s="1" t="str">
        <f>"6.48"</f>
        <v>6.48</v>
      </c>
    </row>
    <row r="3129" s="1" customFormat="1" spans="1:15">
      <c r="A3129" s="1" t="str">
        <f t="shared" si="1931"/>
        <v>202406</v>
      </c>
      <c r="B3129" s="1" t="str">
        <f t="shared" si="1932"/>
        <v>150525100</v>
      </c>
      <c r="C3129" s="1" t="str">
        <f>"1042268509"</f>
        <v>1042268509</v>
      </c>
      <c r="D3129" s="1" t="str">
        <f>"152326196011113070"</f>
        <v>152326196011113070</v>
      </c>
      <c r="E3129" s="1" t="s">
        <v>3201</v>
      </c>
      <c r="F3129" s="1" t="s">
        <v>25</v>
      </c>
      <c r="G3129" s="1" t="s">
        <v>17</v>
      </c>
      <c r="H3129" s="1" t="str">
        <f t="shared" ref="H3129:H3132" si="1998">"64"</f>
        <v>64</v>
      </c>
      <c r="I3129" s="1" t="str">
        <f>"351.32"</f>
        <v>351.32</v>
      </c>
      <c r="J3129" s="1" t="str">
        <f t="shared" ref="J3129:N3129" si="1999">"0"</f>
        <v>0</v>
      </c>
      <c r="K3129" s="1" t="str">
        <f t="shared" si="1990"/>
        <v>103</v>
      </c>
      <c r="L3129" s="1" t="str">
        <f t="shared" si="1991"/>
        <v>47</v>
      </c>
      <c r="M3129" s="1" t="str">
        <f t="shared" si="1999"/>
        <v>0</v>
      </c>
      <c r="N3129" s="1" t="str">
        <f t="shared" si="1999"/>
        <v>0</v>
      </c>
      <c r="O3129" s="1" t="str">
        <f>"201.32"</f>
        <v>201.32</v>
      </c>
    </row>
    <row r="3130" s="1" customFormat="1" spans="1:15">
      <c r="A3130" s="1" t="str">
        <f t="shared" si="1931"/>
        <v>202406</v>
      </c>
      <c r="B3130" s="1" t="str">
        <f t="shared" si="1932"/>
        <v>150525100</v>
      </c>
      <c r="C3130" s="1" t="str">
        <f>"1042220992"</f>
        <v>1042220992</v>
      </c>
      <c r="D3130" s="1" t="str">
        <f>"152326196106160013"</f>
        <v>152326196106160013</v>
      </c>
      <c r="E3130" s="1" t="s">
        <v>3202</v>
      </c>
      <c r="F3130" s="1" t="s">
        <v>25</v>
      </c>
      <c r="G3130" s="1" t="s">
        <v>17</v>
      </c>
      <c r="H3130" s="1" t="str">
        <f>"63"</f>
        <v>63</v>
      </c>
      <c r="I3130" s="1" t="str">
        <f>"165.85"</f>
        <v>165.85</v>
      </c>
      <c r="J3130" s="1" t="str">
        <f t="shared" ref="J3130:N3130" si="2000">"0"</f>
        <v>0</v>
      </c>
      <c r="K3130" s="1" t="str">
        <f t="shared" si="1990"/>
        <v>103</v>
      </c>
      <c r="L3130" s="1" t="str">
        <f t="shared" si="1991"/>
        <v>47</v>
      </c>
      <c r="M3130" s="1" t="str">
        <f t="shared" si="2000"/>
        <v>0</v>
      </c>
      <c r="N3130" s="1" t="str">
        <f t="shared" si="2000"/>
        <v>0</v>
      </c>
      <c r="O3130" s="1" t="str">
        <f>"15.85"</f>
        <v>15.85</v>
      </c>
    </row>
    <row r="3131" s="1" customFormat="1" spans="1:15">
      <c r="A3131" s="1" t="str">
        <f t="shared" si="1931"/>
        <v>202406</v>
      </c>
      <c r="B3131" s="1" t="str">
        <f t="shared" si="1932"/>
        <v>150525100</v>
      </c>
      <c r="C3131" s="1" t="str">
        <f>"1042305925"</f>
        <v>1042305925</v>
      </c>
      <c r="D3131" s="1" t="str">
        <f>"152326196010100454"</f>
        <v>152326196010100454</v>
      </c>
      <c r="E3131" s="1" t="s">
        <v>3203</v>
      </c>
      <c r="F3131" s="1" t="s">
        <v>25</v>
      </c>
      <c r="G3131" s="1" t="s">
        <v>17</v>
      </c>
      <c r="H3131" s="1" t="str">
        <f t="shared" si="1998"/>
        <v>64</v>
      </c>
      <c r="I3131" s="1" t="str">
        <f>"156.78"</f>
        <v>156.78</v>
      </c>
      <c r="J3131" s="1" t="str">
        <f t="shared" ref="J3131:N3131" si="2001">"0"</f>
        <v>0</v>
      </c>
      <c r="K3131" s="1" t="str">
        <f t="shared" si="1990"/>
        <v>103</v>
      </c>
      <c r="L3131" s="1" t="str">
        <f t="shared" si="1991"/>
        <v>47</v>
      </c>
      <c r="M3131" s="1" t="str">
        <f t="shared" si="2001"/>
        <v>0</v>
      </c>
      <c r="N3131" s="1" t="str">
        <f t="shared" si="2001"/>
        <v>0</v>
      </c>
      <c r="O3131" s="1" t="str">
        <f>"6.78"</f>
        <v>6.78</v>
      </c>
    </row>
    <row r="3132" s="1" customFormat="1" spans="1:15">
      <c r="A3132" s="1" t="str">
        <f t="shared" si="1931"/>
        <v>202406</v>
      </c>
      <c r="B3132" s="1" t="str">
        <f t="shared" si="1932"/>
        <v>150525100</v>
      </c>
      <c r="C3132" s="1" t="str">
        <f>"1042304062"</f>
        <v>1042304062</v>
      </c>
      <c r="D3132" s="1" t="str">
        <f>"152326196004040467"</f>
        <v>152326196004040467</v>
      </c>
      <c r="E3132" s="1" t="s">
        <v>3204</v>
      </c>
      <c r="F3132" s="1" t="s">
        <v>16</v>
      </c>
      <c r="G3132" s="1" t="s">
        <v>17</v>
      </c>
      <c r="H3132" s="1" t="str">
        <f t="shared" si="1998"/>
        <v>64</v>
      </c>
      <c r="I3132" s="1" t="str">
        <f>"156.73"</f>
        <v>156.73</v>
      </c>
      <c r="J3132" s="1" t="str">
        <f t="shared" ref="J3132:N3132" si="2002">"0"</f>
        <v>0</v>
      </c>
      <c r="K3132" s="1" t="str">
        <f t="shared" si="1990"/>
        <v>103</v>
      </c>
      <c r="L3132" s="1" t="str">
        <f t="shared" si="1991"/>
        <v>47</v>
      </c>
      <c r="M3132" s="1" t="str">
        <f t="shared" si="2002"/>
        <v>0</v>
      </c>
      <c r="N3132" s="1" t="str">
        <f t="shared" si="2002"/>
        <v>0</v>
      </c>
      <c r="O3132" s="1" t="str">
        <f>"6.73"</f>
        <v>6.73</v>
      </c>
    </row>
    <row r="3133" s="1" customFormat="1" spans="1:15">
      <c r="A3133" s="1" t="str">
        <f t="shared" si="1931"/>
        <v>202406</v>
      </c>
      <c r="B3133" s="1" t="str">
        <f t="shared" si="1932"/>
        <v>150525100</v>
      </c>
      <c r="C3133" s="1" t="str">
        <f>"1042303157"</f>
        <v>1042303157</v>
      </c>
      <c r="D3133" s="1" t="str">
        <f>"152326196207080418"</f>
        <v>152326196207080418</v>
      </c>
      <c r="E3133" s="1" t="s">
        <v>3205</v>
      </c>
      <c r="F3133" s="1" t="s">
        <v>25</v>
      </c>
      <c r="G3133" s="1" t="s">
        <v>17</v>
      </c>
      <c r="H3133" s="1" t="str">
        <f>"62"</f>
        <v>62</v>
      </c>
      <c r="I3133" s="1" t="str">
        <f>"166.9"</f>
        <v>166.9</v>
      </c>
      <c r="J3133" s="1" t="str">
        <f t="shared" ref="J3133:N3133" si="2003">"0"</f>
        <v>0</v>
      </c>
      <c r="K3133" s="1" t="str">
        <f t="shared" si="1990"/>
        <v>103</v>
      </c>
      <c r="L3133" s="1" t="str">
        <f t="shared" si="1991"/>
        <v>47</v>
      </c>
      <c r="M3133" s="1" t="str">
        <f t="shared" si="2003"/>
        <v>0</v>
      </c>
      <c r="N3133" s="1" t="str">
        <f t="shared" si="2003"/>
        <v>0</v>
      </c>
      <c r="O3133" s="1" t="str">
        <f>"16.9"</f>
        <v>16.9</v>
      </c>
    </row>
    <row r="3134" s="1" customFormat="1" spans="1:15">
      <c r="A3134" s="1" t="str">
        <f t="shared" si="1931"/>
        <v>202406</v>
      </c>
      <c r="B3134" s="1" t="str">
        <f t="shared" si="1932"/>
        <v>150525100</v>
      </c>
      <c r="C3134" s="1" t="str">
        <f>"1042490899"</f>
        <v>1042490899</v>
      </c>
      <c r="D3134" s="1" t="str">
        <f>"152326196005210667"</f>
        <v>152326196005210667</v>
      </c>
      <c r="E3134" s="1" t="s">
        <v>3206</v>
      </c>
      <c r="F3134" s="1" t="s">
        <v>16</v>
      </c>
      <c r="G3134" s="1" t="s">
        <v>17</v>
      </c>
      <c r="H3134" s="1" t="str">
        <f t="shared" ref="H3134:H3138" si="2004">"64"</f>
        <v>64</v>
      </c>
      <c r="I3134" s="1" t="str">
        <f>"1108.38"</f>
        <v>1108.38</v>
      </c>
      <c r="J3134" s="1" t="str">
        <f>"923.65"</f>
        <v>923.65</v>
      </c>
      <c r="K3134" s="1" t="str">
        <f>"618"</f>
        <v>618</v>
      </c>
      <c r="L3134" s="1" t="str">
        <f>"282"</f>
        <v>282</v>
      </c>
      <c r="M3134" s="1" t="str">
        <f>"0"</f>
        <v>0</v>
      </c>
      <c r="N3134" s="1" t="str">
        <f>"0"</f>
        <v>0</v>
      </c>
      <c r="O3134" s="1" t="str">
        <f>"208.38"</f>
        <v>208.38</v>
      </c>
    </row>
    <row r="3135" s="1" customFormat="1" spans="1:15">
      <c r="A3135" s="1" t="str">
        <f t="shared" si="1931"/>
        <v>202406</v>
      </c>
      <c r="B3135" s="1" t="str">
        <f t="shared" si="1932"/>
        <v>150525100</v>
      </c>
      <c r="C3135" s="1" t="str">
        <f>"1042526913"</f>
        <v>1042526913</v>
      </c>
      <c r="D3135" s="1" t="str">
        <f>"152326196003043826"</f>
        <v>152326196003043826</v>
      </c>
      <c r="E3135" s="1" t="s">
        <v>3207</v>
      </c>
      <c r="F3135" s="1" t="s">
        <v>16</v>
      </c>
      <c r="G3135" s="1" t="s">
        <v>17</v>
      </c>
      <c r="H3135" s="1" t="str">
        <f t="shared" si="2004"/>
        <v>64</v>
      </c>
      <c r="I3135" s="1" t="str">
        <f>"156.72"</f>
        <v>156.72</v>
      </c>
      <c r="J3135" s="1" t="str">
        <f t="shared" ref="J3135:N3135" si="2005">"0"</f>
        <v>0</v>
      </c>
      <c r="K3135" s="1" t="str">
        <f t="shared" ref="K3135:K3160" si="2006">"103"</f>
        <v>103</v>
      </c>
      <c r="L3135" s="1" t="str">
        <f t="shared" ref="L3135:L3160" si="2007">"47"</f>
        <v>47</v>
      </c>
      <c r="M3135" s="1" t="str">
        <f t="shared" si="2005"/>
        <v>0</v>
      </c>
      <c r="N3135" s="1" t="str">
        <f t="shared" si="2005"/>
        <v>0</v>
      </c>
      <c r="O3135" s="1" t="str">
        <f>"6.72"</f>
        <v>6.72</v>
      </c>
    </row>
    <row r="3136" s="1" customFormat="1" spans="1:15">
      <c r="A3136" s="1" t="str">
        <f t="shared" si="1931"/>
        <v>202406</v>
      </c>
      <c r="B3136" s="1" t="str">
        <f t="shared" si="1932"/>
        <v>150525100</v>
      </c>
      <c r="C3136" s="1" t="str">
        <f>"1042844191"</f>
        <v>1042844191</v>
      </c>
      <c r="D3136" s="1" t="str">
        <f>"152326196202180671"</f>
        <v>152326196202180671</v>
      </c>
      <c r="E3136" s="1" t="s">
        <v>3208</v>
      </c>
      <c r="F3136" s="1" t="s">
        <v>25</v>
      </c>
      <c r="G3136" s="1" t="s">
        <v>19</v>
      </c>
      <c r="H3136" s="1" t="str">
        <f>"62"</f>
        <v>62</v>
      </c>
      <c r="I3136" s="1" t="str">
        <f>"167.94"</f>
        <v>167.94</v>
      </c>
      <c r="J3136" s="1" t="str">
        <f t="shared" ref="J3136:N3136" si="2008">"0"</f>
        <v>0</v>
      </c>
      <c r="K3136" s="1" t="str">
        <f t="shared" si="2006"/>
        <v>103</v>
      </c>
      <c r="L3136" s="1" t="str">
        <f t="shared" si="2007"/>
        <v>47</v>
      </c>
      <c r="M3136" s="1" t="str">
        <f t="shared" si="2008"/>
        <v>0</v>
      </c>
      <c r="N3136" s="1" t="str">
        <f t="shared" si="2008"/>
        <v>0</v>
      </c>
      <c r="O3136" s="1" t="str">
        <f>"17.94"</f>
        <v>17.94</v>
      </c>
    </row>
    <row r="3137" s="1" customFormat="1" spans="1:15">
      <c r="A3137" s="1" t="str">
        <f t="shared" si="1931"/>
        <v>202406</v>
      </c>
      <c r="B3137" s="1" t="str">
        <f t="shared" si="1932"/>
        <v>150525100</v>
      </c>
      <c r="C3137" s="1" t="str">
        <f>"1042782602"</f>
        <v>1042782602</v>
      </c>
      <c r="D3137" s="1" t="str">
        <f>"152326196109023073"</f>
        <v>152326196109023073</v>
      </c>
      <c r="E3137" s="1" t="s">
        <v>3209</v>
      </c>
      <c r="F3137" s="1" t="s">
        <v>25</v>
      </c>
      <c r="G3137" s="1" t="s">
        <v>17</v>
      </c>
      <c r="H3137" s="1" t="str">
        <f t="shared" ref="H3137:H3141" si="2009">"63"</f>
        <v>63</v>
      </c>
      <c r="I3137" s="1" t="str">
        <f>"158.6"</f>
        <v>158.6</v>
      </c>
      <c r="J3137" s="1" t="str">
        <f t="shared" ref="J3137:N3137" si="2010">"0"</f>
        <v>0</v>
      </c>
      <c r="K3137" s="1" t="str">
        <f t="shared" si="2006"/>
        <v>103</v>
      </c>
      <c r="L3137" s="1" t="str">
        <f t="shared" si="2007"/>
        <v>47</v>
      </c>
      <c r="M3137" s="1" t="str">
        <f t="shared" si="2010"/>
        <v>0</v>
      </c>
      <c r="N3137" s="1" t="str">
        <f t="shared" si="2010"/>
        <v>0</v>
      </c>
      <c r="O3137" s="1" t="str">
        <f>"8.6"</f>
        <v>8.6</v>
      </c>
    </row>
    <row r="3138" s="1" customFormat="1" spans="1:15">
      <c r="A3138" s="1" t="str">
        <f t="shared" ref="A3138:A3201" si="2011">"202406"</f>
        <v>202406</v>
      </c>
      <c r="B3138" s="1" t="str">
        <f t="shared" ref="B3138:B3201" si="2012">"150525100"</f>
        <v>150525100</v>
      </c>
      <c r="C3138" s="1" t="str">
        <f>"1042567609"</f>
        <v>1042567609</v>
      </c>
      <c r="D3138" s="1" t="s">
        <v>3210</v>
      </c>
      <c r="E3138" s="1" t="s">
        <v>3211</v>
      </c>
      <c r="F3138" s="1" t="s">
        <v>16</v>
      </c>
      <c r="G3138" s="1" t="s">
        <v>17</v>
      </c>
      <c r="H3138" s="1" t="str">
        <f t="shared" si="2004"/>
        <v>64</v>
      </c>
      <c r="I3138" s="1" t="str">
        <f>"184.01"</f>
        <v>184.01</v>
      </c>
      <c r="J3138" s="1" t="str">
        <f t="shared" ref="J3138:N3138" si="2013">"0"</f>
        <v>0</v>
      </c>
      <c r="K3138" s="1" t="str">
        <f t="shared" si="2006"/>
        <v>103</v>
      </c>
      <c r="L3138" s="1" t="str">
        <f t="shared" si="2007"/>
        <v>47</v>
      </c>
      <c r="M3138" s="1" t="str">
        <f t="shared" si="2013"/>
        <v>0</v>
      </c>
      <c r="N3138" s="1" t="str">
        <f t="shared" si="2013"/>
        <v>0</v>
      </c>
      <c r="O3138" s="1" t="str">
        <f>"34.01"</f>
        <v>34.01</v>
      </c>
    </row>
    <row r="3139" s="1" customFormat="1" spans="1:15">
      <c r="A3139" s="1" t="str">
        <f t="shared" si="2011"/>
        <v>202406</v>
      </c>
      <c r="B3139" s="1" t="str">
        <f t="shared" si="2012"/>
        <v>150525100</v>
      </c>
      <c r="C3139" s="1" t="str">
        <f>"1042678230"</f>
        <v>1042678230</v>
      </c>
      <c r="D3139" s="1" t="str">
        <f>"152326196110120671"</f>
        <v>152326196110120671</v>
      </c>
      <c r="E3139" s="1" t="s">
        <v>3212</v>
      </c>
      <c r="F3139" s="1" t="s">
        <v>25</v>
      </c>
      <c r="G3139" s="1" t="s">
        <v>17</v>
      </c>
      <c r="H3139" s="1" t="str">
        <f t="shared" si="2009"/>
        <v>63</v>
      </c>
      <c r="I3139" s="1" t="str">
        <f>"164.46"</f>
        <v>164.46</v>
      </c>
      <c r="J3139" s="1" t="str">
        <f t="shared" ref="J3139:N3139" si="2014">"0"</f>
        <v>0</v>
      </c>
      <c r="K3139" s="1" t="str">
        <f t="shared" si="2006"/>
        <v>103</v>
      </c>
      <c r="L3139" s="1" t="str">
        <f t="shared" si="2007"/>
        <v>47</v>
      </c>
      <c r="M3139" s="1" t="str">
        <f t="shared" si="2014"/>
        <v>0</v>
      </c>
      <c r="N3139" s="1" t="str">
        <f t="shared" si="2014"/>
        <v>0</v>
      </c>
      <c r="O3139" s="1" t="str">
        <f>"14.46"</f>
        <v>14.46</v>
      </c>
    </row>
    <row r="3140" s="1" customFormat="1" spans="1:15">
      <c r="A3140" s="1" t="str">
        <f t="shared" si="2011"/>
        <v>202406</v>
      </c>
      <c r="B3140" s="1" t="str">
        <f t="shared" si="2012"/>
        <v>150525100</v>
      </c>
      <c r="C3140" s="1" t="str">
        <f>"1042567261"</f>
        <v>1042567261</v>
      </c>
      <c r="D3140" s="1" t="str">
        <f>"152326196102130423"</f>
        <v>152326196102130423</v>
      </c>
      <c r="E3140" s="1" t="s">
        <v>1832</v>
      </c>
      <c r="F3140" s="1" t="s">
        <v>16</v>
      </c>
      <c r="G3140" s="1" t="s">
        <v>17</v>
      </c>
      <c r="H3140" s="1" t="str">
        <f t="shared" si="2009"/>
        <v>63</v>
      </c>
      <c r="I3140" s="1" t="str">
        <f>"158.52"</f>
        <v>158.52</v>
      </c>
      <c r="J3140" s="1" t="str">
        <f t="shared" ref="J3140:N3140" si="2015">"0"</f>
        <v>0</v>
      </c>
      <c r="K3140" s="1" t="str">
        <f t="shared" si="2006"/>
        <v>103</v>
      </c>
      <c r="L3140" s="1" t="str">
        <f t="shared" si="2007"/>
        <v>47</v>
      </c>
      <c r="M3140" s="1" t="str">
        <f t="shared" si="2015"/>
        <v>0</v>
      </c>
      <c r="N3140" s="1" t="str">
        <f t="shared" si="2015"/>
        <v>0</v>
      </c>
      <c r="O3140" s="1" t="str">
        <f>"8.52"</f>
        <v>8.52</v>
      </c>
    </row>
    <row r="3141" s="1" customFormat="1" spans="1:15">
      <c r="A3141" s="1" t="str">
        <f t="shared" si="2011"/>
        <v>202406</v>
      </c>
      <c r="B3141" s="1" t="str">
        <f t="shared" si="2012"/>
        <v>150525100</v>
      </c>
      <c r="C3141" s="1" t="str">
        <f>"1042763068"</f>
        <v>1042763068</v>
      </c>
      <c r="D3141" s="1" t="s">
        <v>3213</v>
      </c>
      <c r="E3141" s="1" t="s">
        <v>3214</v>
      </c>
      <c r="F3141" s="1" t="s">
        <v>16</v>
      </c>
      <c r="G3141" s="1" t="s">
        <v>17</v>
      </c>
      <c r="H3141" s="1" t="str">
        <f t="shared" si="2009"/>
        <v>63</v>
      </c>
      <c r="I3141" s="1" t="str">
        <f>"164.89"</f>
        <v>164.89</v>
      </c>
      <c r="J3141" s="1" t="str">
        <f t="shared" ref="J3141:N3141" si="2016">"0"</f>
        <v>0</v>
      </c>
      <c r="K3141" s="1" t="str">
        <f t="shared" si="2006"/>
        <v>103</v>
      </c>
      <c r="L3141" s="1" t="str">
        <f t="shared" si="2007"/>
        <v>47</v>
      </c>
      <c r="M3141" s="1" t="str">
        <f t="shared" si="2016"/>
        <v>0</v>
      </c>
      <c r="N3141" s="1" t="str">
        <f t="shared" si="2016"/>
        <v>0</v>
      </c>
      <c r="O3141" s="1" t="str">
        <f>"14.89"</f>
        <v>14.89</v>
      </c>
    </row>
    <row r="3142" s="1" customFormat="1" spans="1:15">
      <c r="A3142" s="1" t="str">
        <f t="shared" si="2011"/>
        <v>202406</v>
      </c>
      <c r="B3142" s="1" t="str">
        <f t="shared" si="2012"/>
        <v>150525100</v>
      </c>
      <c r="C3142" s="1" t="str">
        <f>"1042840787"</f>
        <v>1042840787</v>
      </c>
      <c r="D3142" s="1" t="str">
        <f>"152326196403070911"</f>
        <v>152326196403070911</v>
      </c>
      <c r="E3142" s="1" t="s">
        <v>3215</v>
      </c>
      <c r="F3142" s="1" t="s">
        <v>25</v>
      </c>
      <c r="G3142" s="1" t="s">
        <v>17</v>
      </c>
      <c r="H3142" s="1" t="str">
        <f>"60"</f>
        <v>60</v>
      </c>
      <c r="I3142" s="1" t="str">
        <f>"169.31"</f>
        <v>169.31</v>
      </c>
      <c r="J3142" s="1" t="str">
        <f t="shared" ref="J3142:N3142" si="2017">"0"</f>
        <v>0</v>
      </c>
      <c r="K3142" s="1" t="str">
        <f t="shared" si="2006"/>
        <v>103</v>
      </c>
      <c r="L3142" s="1" t="str">
        <f t="shared" si="2007"/>
        <v>47</v>
      </c>
      <c r="M3142" s="1" t="str">
        <f t="shared" si="2017"/>
        <v>0</v>
      </c>
      <c r="N3142" s="1" t="str">
        <f t="shared" si="2017"/>
        <v>0</v>
      </c>
      <c r="O3142" s="1" t="str">
        <f>"19.31"</f>
        <v>19.31</v>
      </c>
    </row>
    <row r="3143" s="1" customFormat="1" spans="1:15">
      <c r="A3143" s="1" t="str">
        <f t="shared" si="2011"/>
        <v>202406</v>
      </c>
      <c r="B3143" s="1" t="str">
        <f t="shared" si="2012"/>
        <v>150525100</v>
      </c>
      <c r="C3143" s="1" t="str">
        <f>"1042953212"</f>
        <v>1042953212</v>
      </c>
      <c r="D3143" s="1" t="str">
        <f>"152326196104023816"</f>
        <v>152326196104023816</v>
      </c>
      <c r="E3143" s="1" t="s">
        <v>3216</v>
      </c>
      <c r="F3143" s="1" t="s">
        <v>25</v>
      </c>
      <c r="G3143" s="1" t="s">
        <v>19</v>
      </c>
      <c r="H3143" s="1" t="str">
        <f>"63"</f>
        <v>63</v>
      </c>
      <c r="I3143" s="1" t="str">
        <f>"158.53"</f>
        <v>158.53</v>
      </c>
      <c r="J3143" s="1" t="str">
        <f t="shared" ref="J3143:N3143" si="2018">"0"</f>
        <v>0</v>
      </c>
      <c r="K3143" s="1" t="str">
        <f t="shared" si="2006"/>
        <v>103</v>
      </c>
      <c r="L3143" s="1" t="str">
        <f t="shared" si="2007"/>
        <v>47</v>
      </c>
      <c r="M3143" s="1" t="str">
        <f t="shared" si="2018"/>
        <v>0</v>
      </c>
      <c r="N3143" s="1" t="str">
        <f t="shared" si="2018"/>
        <v>0</v>
      </c>
      <c r="O3143" s="1" t="str">
        <f>"8.53"</f>
        <v>8.53</v>
      </c>
    </row>
    <row r="3144" s="1" customFormat="1" spans="1:15">
      <c r="A3144" s="1" t="str">
        <f t="shared" si="2011"/>
        <v>202406</v>
      </c>
      <c r="B3144" s="1" t="str">
        <f t="shared" si="2012"/>
        <v>150525100</v>
      </c>
      <c r="C3144" s="1" t="str">
        <f>"1043266562"</f>
        <v>1043266562</v>
      </c>
      <c r="D3144" s="1" t="str">
        <f>"152326196205270410"</f>
        <v>152326196205270410</v>
      </c>
      <c r="E3144" s="1" t="s">
        <v>3217</v>
      </c>
      <c r="F3144" s="1" t="s">
        <v>25</v>
      </c>
      <c r="G3144" s="1" t="s">
        <v>17</v>
      </c>
      <c r="H3144" s="1" t="str">
        <f t="shared" ref="H3144:H3149" si="2019">"62"</f>
        <v>62</v>
      </c>
      <c r="I3144" s="1" t="str">
        <f>"165.85"</f>
        <v>165.85</v>
      </c>
      <c r="J3144" s="1" t="str">
        <f t="shared" ref="J3144:N3144" si="2020">"0"</f>
        <v>0</v>
      </c>
      <c r="K3144" s="1" t="str">
        <f t="shared" si="2006"/>
        <v>103</v>
      </c>
      <c r="L3144" s="1" t="str">
        <f t="shared" si="2007"/>
        <v>47</v>
      </c>
      <c r="M3144" s="1" t="str">
        <f t="shared" si="2020"/>
        <v>0</v>
      </c>
      <c r="N3144" s="1" t="str">
        <f t="shared" si="2020"/>
        <v>0</v>
      </c>
      <c r="O3144" s="1" t="str">
        <f>"15.85"</f>
        <v>15.85</v>
      </c>
    </row>
    <row r="3145" s="1" customFormat="1" spans="1:15">
      <c r="A3145" s="1" t="str">
        <f t="shared" si="2011"/>
        <v>202406</v>
      </c>
      <c r="B3145" s="1" t="str">
        <f t="shared" si="2012"/>
        <v>150525100</v>
      </c>
      <c r="C3145" s="1" t="str">
        <f>"1042695093"</f>
        <v>1042695093</v>
      </c>
      <c r="D3145" s="1" t="str">
        <f>"152326196309053314"</f>
        <v>152326196309053314</v>
      </c>
      <c r="E3145" s="1" t="s">
        <v>3218</v>
      </c>
      <c r="F3145" s="1" t="s">
        <v>25</v>
      </c>
      <c r="G3145" s="1" t="s">
        <v>17</v>
      </c>
      <c r="H3145" s="1" t="str">
        <f>"61"</f>
        <v>61</v>
      </c>
      <c r="I3145" s="1" t="str">
        <f>"168.98"</f>
        <v>168.98</v>
      </c>
      <c r="J3145" s="1" t="str">
        <f t="shared" ref="J3145:N3145" si="2021">"0"</f>
        <v>0</v>
      </c>
      <c r="K3145" s="1" t="str">
        <f t="shared" si="2006"/>
        <v>103</v>
      </c>
      <c r="L3145" s="1" t="str">
        <f t="shared" si="2007"/>
        <v>47</v>
      </c>
      <c r="M3145" s="1" t="str">
        <f t="shared" si="2021"/>
        <v>0</v>
      </c>
      <c r="N3145" s="1" t="str">
        <f t="shared" si="2021"/>
        <v>0</v>
      </c>
      <c r="O3145" s="1" t="str">
        <f>"18.98"</f>
        <v>18.98</v>
      </c>
    </row>
    <row r="3146" s="1" customFormat="1" spans="1:15">
      <c r="A3146" s="1" t="str">
        <f t="shared" si="2011"/>
        <v>202406</v>
      </c>
      <c r="B3146" s="1" t="str">
        <f t="shared" si="2012"/>
        <v>150525100</v>
      </c>
      <c r="C3146" s="1" t="str">
        <f>"1042695110"</f>
        <v>1042695110</v>
      </c>
      <c r="D3146" s="1" t="str">
        <f>"152326196204163365"</f>
        <v>152326196204163365</v>
      </c>
      <c r="E3146" s="1" t="s">
        <v>3219</v>
      </c>
      <c r="F3146" s="1" t="s">
        <v>16</v>
      </c>
      <c r="G3146" s="1" t="s">
        <v>17</v>
      </c>
      <c r="H3146" s="1" t="str">
        <f t="shared" si="2019"/>
        <v>62</v>
      </c>
      <c r="I3146" s="1" t="str">
        <f>"160.78"</f>
        <v>160.78</v>
      </c>
      <c r="J3146" s="1" t="str">
        <f t="shared" ref="J3146:N3146" si="2022">"0"</f>
        <v>0</v>
      </c>
      <c r="K3146" s="1" t="str">
        <f t="shared" si="2006"/>
        <v>103</v>
      </c>
      <c r="L3146" s="1" t="str">
        <f t="shared" si="2007"/>
        <v>47</v>
      </c>
      <c r="M3146" s="1" t="str">
        <f t="shared" si="2022"/>
        <v>0</v>
      </c>
      <c r="N3146" s="1" t="str">
        <f t="shared" si="2022"/>
        <v>0</v>
      </c>
      <c r="O3146" s="1" t="str">
        <f>"10.78"</f>
        <v>10.78</v>
      </c>
    </row>
    <row r="3147" s="1" customFormat="1" spans="1:15">
      <c r="A3147" s="1" t="str">
        <f t="shared" si="2011"/>
        <v>202406</v>
      </c>
      <c r="B3147" s="1" t="str">
        <f t="shared" si="2012"/>
        <v>150525100</v>
      </c>
      <c r="C3147" s="1" t="str">
        <f>"1042703481"</f>
        <v>1042703481</v>
      </c>
      <c r="D3147" s="1" t="str">
        <f>"152326196301020438"</f>
        <v>152326196301020438</v>
      </c>
      <c r="E3147" s="1" t="s">
        <v>3220</v>
      </c>
      <c r="F3147" s="1" t="s">
        <v>25</v>
      </c>
      <c r="G3147" s="1" t="s">
        <v>17</v>
      </c>
      <c r="H3147" s="1" t="str">
        <f t="shared" si="2019"/>
        <v>62</v>
      </c>
      <c r="I3147" s="1" t="str">
        <f>"168.81"</f>
        <v>168.81</v>
      </c>
      <c r="J3147" s="1" t="str">
        <f t="shared" ref="J3147:N3147" si="2023">"0"</f>
        <v>0</v>
      </c>
      <c r="K3147" s="1" t="str">
        <f t="shared" si="2006"/>
        <v>103</v>
      </c>
      <c r="L3147" s="1" t="str">
        <f t="shared" si="2007"/>
        <v>47</v>
      </c>
      <c r="M3147" s="1" t="str">
        <f t="shared" si="2023"/>
        <v>0</v>
      </c>
      <c r="N3147" s="1" t="str">
        <f t="shared" si="2023"/>
        <v>0</v>
      </c>
      <c r="O3147" s="1" t="str">
        <f>"18.81"</f>
        <v>18.81</v>
      </c>
    </row>
    <row r="3148" s="1" customFormat="1" spans="1:15">
      <c r="A3148" s="1" t="str">
        <f t="shared" si="2011"/>
        <v>202406</v>
      </c>
      <c r="B3148" s="1" t="str">
        <f t="shared" si="2012"/>
        <v>150525100</v>
      </c>
      <c r="C3148" s="1" t="str">
        <f>"1043127406"</f>
        <v>1043127406</v>
      </c>
      <c r="D3148" s="1" t="str">
        <f>"152326196205113810"</f>
        <v>152326196205113810</v>
      </c>
      <c r="E3148" s="1" t="s">
        <v>3221</v>
      </c>
      <c r="F3148" s="1" t="s">
        <v>25</v>
      </c>
      <c r="G3148" s="1" t="s">
        <v>17</v>
      </c>
      <c r="H3148" s="1" t="str">
        <f t="shared" si="2019"/>
        <v>62</v>
      </c>
      <c r="I3148" s="1" t="str">
        <f>"160.27"</f>
        <v>160.27</v>
      </c>
      <c r="J3148" s="1" t="str">
        <f t="shared" ref="J3148:N3148" si="2024">"0"</f>
        <v>0</v>
      </c>
      <c r="K3148" s="1" t="str">
        <f t="shared" si="2006"/>
        <v>103</v>
      </c>
      <c r="L3148" s="1" t="str">
        <f t="shared" si="2007"/>
        <v>47</v>
      </c>
      <c r="M3148" s="1" t="str">
        <f t="shared" si="2024"/>
        <v>0</v>
      </c>
      <c r="N3148" s="1" t="str">
        <f t="shared" si="2024"/>
        <v>0</v>
      </c>
      <c r="O3148" s="1" t="str">
        <f>"10.27"</f>
        <v>10.27</v>
      </c>
    </row>
    <row r="3149" s="1" customFormat="1" spans="1:15">
      <c r="A3149" s="1" t="str">
        <f t="shared" si="2011"/>
        <v>202406</v>
      </c>
      <c r="B3149" s="1" t="str">
        <f t="shared" si="2012"/>
        <v>150525100</v>
      </c>
      <c r="C3149" s="1" t="str">
        <f>"1042721062"</f>
        <v>1042721062</v>
      </c>
      <c r="D3149" s="1" t="s">
        <v>3222</v>
      </c>
      <c r="E3149" s="1" t="s">
        <v>3223</v>
      </c>
      <c r="F3149" s="1" t="s">
        <v>25</v>
      </c>
      <c r="G3149" s="1" t="s">
        <v>17</v>
      </c>
      <c r="H3149" s="1" t="str">
        <f t="shared" si="2019"/>
        <v>62</v>
      </c>
      <c r="I3149" s="1" t="str">
        <f>"160.6"</f>
        <v>160.6</v>
      </c>
      <c r="J3149" s="1" t="str">
        <f t="shared" ref="J3149:N3149" si="2025">"0"</f>
        <v>0</v>
      </c>
      <c r="K3149" s="1" t="str">
        <f t="shared" si="2006"/>
        <v>103</v>
      </c>
      <c r="L3149" s="1" t="str">
        <f t="shared" si="2007"/>
        <v>47</v>
      </c>
      <c r="M3149" s="1" t="str">
        <f t="shared" si="2025"/>
        <v>0</v>
      </c>
      <c r="N3149" s="1" t="str">
        <f t="shared" si="2025"/>
        <v>0</v>
      </c>
      <c r="O3149" s="1" t="str">
        <f>"10.6"</f>
        <v>10.6</v>
      </c>
    </row>
    <row r="3150" s="1" customFormat="1" spans="1:15">
      <c r="A3150" s="1" t="str">
        <f t="shared" si="2011"/>
        <v>202406</v>
      </c>
      <c r="B3150" s="1" t="str">
        <f t="shared" si="2012"/>
        <v>150525100</v>
      </c>
      <c r="C3150" s="1" t="str">
        <f>"1042708846"</f>
        <v>1042708846</v>
      </c>
      <c r="D3150" s="1" t="str">
        <f>"152326196312080671"</f>
        <v>152326196312080671</v>
      </c>
      <c r="E3150" s="1" t="s">
        <v>3224</v>
      </c>
      <c r="F3150" s="1" t="s">
        <v>25</v>
      </c>
      <c r="G3150" s="1" t="s">
        <v>17</v>
      </c>
      <c r="H3150" s="1" t="str">
        <f t="shared" ref="H3150:H3155" si="2026">"61"</f>
        <v>61</v>
      </c>
      <c r="I3150" s="1" t="str">
        <f>"162.5"</f>
        <v>162.5</v>
      </c>
      <c r="J3150" s="1" t="str">
        <f t="shared" ref="J3150:N3150" si="2027">"0"</f>
        <v>0</v>
      </c>
      <c r="K3150" s="1" t="str">
        <f t="shared" si="2006"/>
        <v>103</v>
      </c>
      <c r="L3150" s="1" t="str">
        <f t="shared" si="2007"/>
        <v>47</v>
      </c>
      <c r="M3150" s="1" t="str">
        <f t="shared" si="2027"/>
        <v>0</v>
      </c>
      <c r="N3150" s="1" t="str">
        <f t="shared" si="2027"/>
        <v>0</v>
      </c>
      <c r="O3150" s="1" t="str">
        <f>"12.5"</f>
        <v>12.5</v>
      </c>
    </row>
    <row r="3151" s="1" customFormat="1" spans="1:15">
      <c r="A3151" s="1" t="str">
        <f t="shared" si="2011"/>
        <v>202406</v>
      </c>
      <c r="B3151" s="1" t="str">
        <f t="shared" si="2012"/>
        <v>150525100</v>
      </c>
      <c r="C3151" s="1" t="str">
        <f>"1043138029"</f>
        <v>1043138029</v>
      </c>
      <c r="D3151" s="1" t="str">
        <f>"152326196202013072"</f>
        <v>152326196202013072</v>
      </c>
      <c r="E3151" s="1" t="s">
        <v>3225</v>
      </c>
      <c r="F3151" s="1" t="s">
        <v>25</v>
      </c>
      <c r="G3151" s="1" t="s">
        <v>17</v>
      </c>
      <c r="H3151" s="1" t="str">
        <f t="shared" ref="H3151:H3156" si="2028">"62"</f>
        <v>62</v>
      </c>
      <c r="I3151" s="1" t="str">
        <f>"160.43"</f>
        <v>160.43</v>
      </c>
      <c r="J3151" s="1" t="str">
        <f t="shared" ref="J3151:N3151" si="2029">"0"</f>
        <v>0</v>
      </c>
      <c r="K3151" s="1" t="str">
        <f t="shared" si="2006"/>
        <v>103</v>
      </c>
      <c r="L3151" s="1" t="str">
        <f t="shared" si="2007"/>
        <v>47</v>
      </c>
      <c r="M3151" s="1" t="str">
        <f t="shared" si="2029"/>
        <v>0</v>
      </c>
      <c r="N3151" s="1" t="str">
        <f t="shared" si="2029"/>
        <v>0</v>
      </c>
      <c r="O3151" s="1" t="str">
        <f>"10.43"</f>
        <v>10.43</v>
      </c>
    </row>
    <row r="3152" s="1" customFormat="1" spans="1:15">
      <c r="A3152" s="1" t="str">
        <f t="shared" si="2011"/>
        <v>202406</v>
      </c>
      <c r="B3152" s="1" t="str">
        <f t="shared" si="2012"/>
        <v>150525100</v>
      </c>
      <c r="C3152" s="1" t="str">
        <f>"1042751591"</f>
        <v>1042751591</v>
      </c>
      <c r="D3152" s="1" t="str">
        <f>"152326196311223829"</f>
        <v>152326196311223829</v>
      </c>
      <c r="E3152" s="1" t="s">
        <v>3226</v>
      </c>
      <c r="F3152" s="1" t="s">
        <v>16</v>
      </c>
      <c r="G3152" s="1" t="s">
        <v>17</v>
      </c>
      <c r="H3152" s="1" t="str">
        <f t="shared" si="2026"/>
        <v>61</v>
      </c>
      <c r="I3152" s="1" t="str">
        <f>"162.48"</f>
        <v>162.48</v>
      </c>
      <c r="J3152" s="1" t="str">
        <f t="shared" ref="J3152:N3152" si="2030">"0"</f>
        <v>0</v>
      </c>
      <c r="K3152" s="1" t="str">
        <f t="shared" si="2006"/>
        <v>103</v>
      </c>
      <c r="L3152" s="1" t="str">
        <f t="shared" si="2007"/>
        <v>47</v>
      </c>
      <c r="M3152" s="1" t="str">
        <f t="shared" si="2030"/>
        <v>0</v>
      </c>
      <c r="N3152" s="1" t="str">
        <f t="shared" si="2030"/>
        <v>0</v>
      </c>
      <c r="O3152" s="1" t="str">
        <f>"12.48"</f>
        <v>12.48</v>
      </c>
    </row>
    <row r="3153" s="1" customFormat="1" spans="1:15">
      <c r="A3153" s="1" t="str">
        <f t="shared" si="2011"/>
        <v>202406</v>
      </c>
      <c r="B3153" s="1" t="str">
        <f t="shared" si="2012"/>
        <v>150525100</v>
      </c>
      <c r="C3153" s="1" t="str">
        <f>"1042771260"</f>
        <v>1042771260</v>
      </c>
      <c r="D3153" s="1" t="str">
        <f>"152326196208280067"</f>
        <v>152326196208280067</v>
      </c>
      <c r="E3153" s="1" t="s">
        <v>3227</v>
      </c>
      <c r="F3153" s="1" t="s">
        <v>16</v>
      </c>
      <c r="G3153" s="1" t="s">
        <v>19</v>
      </c>
      <c r="H3153" s="1" t="str">
        <f t="shared" si="2028"/>
        <v>62</v>
      </c>
      <c r="I3153" s="1" t="str">
        <f>"160.54"</f>
        <v>160.54</v>
      </c>
      <c r="J3153" s="1" t="str">
        <f t="shared" ref="J3153:N3153" si="2031">"0"</f>
        <v>0</v>
      </c>
      <c r="K3153" s="1" t="str">
        <f t="shared" si="2006"/>
        <v>103</v>
      </c>
      <c r="L3153" s="1" t="str">
        <f t="shared" si="2007"/>
        <v>47</v>
      </c>
      <c r="M3153" s="1" t="str">
        <f t="shared" si="2031"/>
        <v>0</v>
      </c>
      <c r="N3153" s="1" t="str">
        <f t="shared" si="2031"/>
        <v>0</v>
      </c>
      <c r="O3153" s="1" t="str">
        <f>"10.54"</f>
        <v>10.54</v>
      </c>
    </row>
    <row r="3154" s="1" customFormat="1" spans="1:15">
      <c r="A3154" s="1" t="str">
        <f t="shared" si="2011"/>
        <v>202406</v>
      </c>
      <c r="B3154" s="1" t="str">
        <f t="shared" si="2012"/>
        <v>150525100</v>
      </c>
      <c r="C3154" s="1" t="str">
        <f>"1043014939"</f>
        <v>1043014939</v>
      </c>
      <c r="D3154" s="1" t="str">
        <f>"152326196111160069"</f>
        <v>152326196111160069</v>
      </c>
      <c r="E3154" s="1" t="s">
        <v>3228</v>
      </c>
      <c r="F3154" s="1" t="s">
        <v>16</v>
      </c>
      <c r="G3154" s="1" t="s">
        <v>17</v>
      </c>
      <c r="H3154" s="1" t="str">
        <f>"63"</f>
        <v>63</v>
      </c>
      <c r="I3154" s="1" t="str">
        <f>"510.52"</f>
        <v>510.52</v>
      </c>
      <c r="J3154" s="1" t="str">
        <f t="shared" ref="J3154:N3154" si="2032">"0"</f>
        <v>0</v>
      </c>
      <c r="K3154" s="1" t="str">
        <f t="shared" si="2006"/>
        <v>103</v>
      </c>
      <c r="L3154" s="1" t="str">
        <f t="shared" si="2007"/>
        <v>47</v>
      </c>
      <c r="M3154" s="1" t="str">
        <f t="shared" si="2032"/>
        <v>0</v>
      </c>
      <c r="N3154" s="1" t="str">
        <f t="shared" si="2032"/>
        <v>0</v>
      </c>
      <c r="O3154" s="1" t="str">
        <f>"360.52"</f>
        <v>360.52</v>
      </c>
    </row>
    <row r="3155" s="1" customFormat="1" spans="1:15">
      <c r="A3155" s="1" t="str">
        <f t="shared" si="2011"/>
        <v>202406</v>
      </c>
      <c r="B3155" s="1" t="str">
        <f t="shared" si="2012"/>
        <v>150525100</v>
      </c>
      <c r="C3155" s="1" t="str">
        <f>"1042771385"</f>
        <v>1042771385</v>
      </c>
      <c r="D3155" s="1" t="s">
        <v>3229</v>
      </c>
      <c r="E3155" s="1" t="s">
        <v>3230</v>
      </c>
      <c r="F3155" s="1" t="s">
        <v>25</v>
      </c>
      <c r="G3155" s="1" t="s">
        <v>17</v>
      </c>
      <c r="H3155" s="1" t="str">
        <f t="shared" si="2026"/>
        <v>61</v>
      </c>
      <c r="I3155" s="1" t="str">
        <f>"162.74"</f>
        <v>162.74</v>
      </c>
      <c r="J3155" s="1" t="str">
        <f t="shared" ref="J3155:N3155" si="2033">"0"</f>
        <v>0</v>
      </c>
      <c r="K3155" s="1" t="str">
        <f t="shared" si="2006"/>
        <v>103</v>
      </c>
      <c r="L3155" s="1" t="str">
        <f t="shared" si="2007"/>
        <v>47</v>
      </c>
      <c r="M3155" s="1" t="str">
        <f t="shared" si="2033"/>
        <v>0</v>
      </c>
      <c r="N3155" s="1" t="str">
        <f t="shared" si="2033"/>
        <v>0</v>
      </c>
      <c r="O3155" s="1" t="str">
        <f>"12.74"</f>
        <v>12.74</v>
      </c>
    </row>
    <row r="3156" s="1" customFormat="1" spans="1:15">
      <c r="A3156" s="1" t="str">
        <f t="shared" si="2011"/>
        <v>202406</v>
      </c>
      <c r="B3156" s="1" t="str">
        <f t="shared" si="2012"/>
        <v>150525100</v>
      </c>
      <c r="C3156" s="1" t="str">
        <f>"1042687684"</f>
        <v>1042687684</v>
      </c>
      <c r="D3156" s="1" t="str">
        <f>"152326196212070660"</f>
        <v>152326196212070660</v>
      </c>
      <c r="E3156" s="1" t="s">
        <v>2503</v>
      </c>
      <c r="F3156" s="1" t="s">
        <v>16</v>
      </c>
      <c r="G3156" s="1" t="s">
        <v>17</v>
      </c>
      <c r="H3156" s="1" t="str">
        <f t="shared" si="2028"/>
        <v>62</v>
      </c>
      <c r="I3156" s="1" t="str">
        <f>"160.63"</f>
        <v>160.63</v>
      </c>
      <c r="J3156" s="1" t="str">
        <f t="shared" ref="J3156:N3156" si="2034">"0"</f>
        <v>0</v>
      </c>
      <c r="K3156" s="1" t="str">
        <f t="shared" si="2006"/>
        <v>103</v>
      </c>
      <c r="L3156" s="1" t="str">
        <f t="shared" si="2007"/>
        <v>47</v>
      </c>
      <c r="M3156" s="1" t="str">
        <f t="shared" si="2034"/>
        <v>0</v>
      </c>
      <c r="N3156" s="1" t="str">
        <f t="shared" si="2034"/>
        <v>0</v>
      </c>
      <c r="O3156" s="1" t="str">
        <f>"10.63"</f>
        <v>10.63</v>
      </c>
    </row>
    <row r="3157" s="1" customFormat="1" spans="1:15">
      <c r="A3157" s="1" t="str">
        <f t="shared" si="2011"/>
        <v>202406</v>
      </c>
      <c r="B3157" s="1" t="str">
        <f t="shared" si="2012"/>
        <v>150525100</v>
      </c>
      <c r="C3157" s="1" t="str">
        <f>"1042688964"</f>
        <v>1042688964</v>
      </c>
      <c r="D3157" s="1" t="str">
        <f>"152326196311230666"</f>
        <v>152326196311230666</v>
      </c>
      <c r="E3157" s="1" t="s">
        <v>3231</v>
      </c>
      <c r="F3157" s="1" t="s">
        <v>16</v>
      </c>
      <c r="G3157" s="1" t="s">
        <v>17</v>
      </c>
      <c r="H3157" s="1" t="str">
        <f t="shared" ref="H3157:H3163" si="2035">"61"</f>
        <v>61</v>
      </c>
      <c r="I3157" s="1" t="str">
        <f>"169.05"</f>
        <v>169.05</v>
      </c>
      <c r="J3157" s="1" t="str">
        <f t="shared" ref="J3157:N3157" si="2036">"0"</f>
        <v>0</v>
      </c>
      <c r="K3157" s="1" t="str">
        <f t="shared" si="2006"/>
        <v>103</v>
      </c>
      <c r="L3157" s="1" t="str">
        <f t="shared" si="2007"/>
        <v>47</v>
      </c>
      <c r="M3157" s="1" t="str">
        <f t="shared" si="2036"/>
        <v>0</v>
      </c>
      <c r="N3157" s="1" t="str">
        <f t="shared" si="2036"/>
        <v>0</v>
      </c>
      <c r="O3157" s="1" t="str">
        <f>"19.05"</f>
        <v>19.05</v>
      </c>
    </row>
    <row r="3158" s="1" customFormat="1" spans="1:15">
      <c r="A3158" s="1" t="str">
        <f t="shared" si="2011"/>
        <v>202406</v>
      </c>
      <c r="B3158" s="1" t="str">
        <f t="shared" si="2012"/>
        <v>150525100</v>
      </c>
      <c r="C3158" s="1" t="str">
        <f>"1042821803"</f>
        <v>1042821803</v>
      </c>
      <c r="D3158" s="1" t="str">
        <f>"152326196208150414"</f>
        <v>152326196208150414</v>
      </c>
      <c r="E3158" s="1" t="s">
        <v>3232</v>
      </c>
      <c r="F3158" s="1" t="s">
        <v>25</v>
      </c>
      <c r="G3158" s="1" t="s">
        <v>17</v>
      </c>
      <c r="H3158" s="1" t="str">
        <f t="shared" ref="H3158:H3160" si="2037">"62"</f>
        <v>62</v>
      </c>
      <c r="I3158" s="1" t="str">
        <f>"160.53"</f>
        <v>160.53</v>
      </c>
      <c r="J3158" s="1" t="str">
        <f t="shared" ref="J3158:N3158" si="2038">"0"</f>
        <v>0</v>
      </c>
      <c r="K3158" s="1" t="str">
        <f t="shared" si="2006"/>
        <v>103</v>
      </c>
      <c r="L3158" s="1" t="str">
        <f t="shared" si="2007"/>
        <v>47</v>
      </c>
      <c r="M3158" s="1" t="str">
        <f t="shared" si="2038"/>
        <v>0</v>
      </c>
      <c r="N3158" s="1" t="str">
        <f t="shared" si="2038"/>
        <v>0</v>
      </c>
      <c r="O3158" s="1" t="str">
        <f>"10.53"</f>
        <v>10.53</v>
      </c>
    </row>
    <row r="3159" s="1" customFormat="1" spans="1:15">
      <c r="A3159" s="1" t="str">
        <f t="shared" si="2011"/>
        <v>202406</v>
      </c>
      <c r="B3159" s="1" t="str">
        <f t="shared" si="2012"/>
        <v>150525100</v>
      </c>
      <c r="C3159" s="1" t="str">
        <f>"1043230948"</f>
        <v>1043230948</v>
      </c>
      <c r="D3159" s="1" t="str">
        <f>"152326196212190427"</f>
        <v>152326196212190427</v>
      </c>
      <c r="E3159" s="1" t="s">
        <v>3233</v>
      </c>
      <c r="F3159" s="1" t="s">
        <v>16</v>
      </c>
      <c r="G3159" s="1" t="s">
        <v>17</v>
      </c>
      <c r="H3159" s="1" t="str">
        <f t="shared" si="2037"/>
        <v>62</v>
      </c>
      <c r="I3159" s="1" t="str">
        <f>"160.32"</f>
        <v>160.32</v>
      </c>
      <c r="J3159" s="1" t="str">
        <f t="shared" ref="J3159:N3159" si="2039">"0"</f>
        <v>0</v>
      </c>
      <c r="K3159" s="1" t="str">
        <f t="shared" si="2006"/>
        <v>103</v>
      </c>
      <c r="L3159" s="1" t="str">
        <f t="shared" si="2007"/>
        <v>47</v>
      </c>
      <c r="M3159" s="1" t="str">
        <f t="shared" si="2039"/>
        <v>0</v>
      </c>
      <c r="N3159" s="1" t="str">
        <f t="shared" si="2039"/>
        <v>0</v>
      </c>
      <c r="O3159" s="1" t="str">
        <f>"10.32"</f>
        <v>10.32</v>
      </c>
    </row>
    <row r="3160" s="1" customFormat="1" spans="1:15">
      <c r="A3160" s="1" t="str">
        <f t="shared" si="2011"/>
        <v>202406</v>
      </c>
      <c r="B3160" s="1" t="str">
        <f t="shared" si="2012"/>
        <v>150525100</v>
      </c>
      <c r="C3160" s="1" t="str">
        <f>"1043144903"</f>
        <v>1043144903</v>
      </c>
      <c r="D3160" s="1" t="str">
        <f>"152326196202283347"</f>
        <v>152326196202283347</v>
      </c>
      <c r="E3160" s="1" t="s">
        <v>3234</v>
      </c>
      <c r="F3160" s="1" t="s">
        <v>16</v>
      </c>
      <c r="G3160" s="1" t="s">
        <v>19</v>
      </c>
      <c r="H3160" s="1" t="str">
        <f t="shared" si="2037"/>
        <v>62</v>
      </c>
      <c r="I3160" s="1" t="str">
        <f>"160.4"</f>
        <v>160.4</v>
      </c>
      <c r="J3160" s="1" t="str">
        <f t="shared" ref="J3160:N3160" si="2040">"0"</f>
        <v>0</v>
      </c>
      <c r="K3160" s="1" t="str">
        <f t="shared" si="2006"/>
        <v>103</v>
      </c>
      <c r="L3160" s="1" t="str">
        <f t="shared" si="2007"/>
        <v>47</v>
      </c>
      <c r="M3160" s="1" t="str">
        <f t="shared" si="2040"/>
        <v>0</v>
      </c>
      <c r="N3160" s="1" t="str">
        <f t="shared" si="2040"/>
        <v>0</v>
      </c>
      <c r="O3160" s="1" t="str">
        <f>"10.4"</f>
        <v>10.4</v>
      </c>
    </row>
    <row r="3161" s="1" customFormat="1" spans="1:15">
      <c r="A3161" s="1" t="str">
        <f t="shared" si="2011"/>
        <v>202406</v>
      </c>
      <c r="B3161" s="1" t="str">
        <f t="shared" si="2012"/>
        <v>150525100</v>
      </c>
      <c r="C3161" s="1" t="str">
        <f>"1042753143"</f>
        <v>1042753143</v>
      </c>
      <c r="D3161" s="1" t="str">
        <f>"152326196305053325"</f>
        <v>152326196305053325</v>
      </c>
      <c r="E3161" s="1" t="s">
        <v>3235</v>
      </c>
      <c r="F3161" s="1" t="s">
        <v>16</v>
      </c>
      <c r="G3161" s="1" t="s">
        <v>17</v>
      </c>
      <c r="H3161" s="1" t="str">
        <f t="shared" si="2035"/>
        <v>61</v>
      </c>
      <c r="I3161" s="1" t="str">
        <f>"1013.1"</f>
        <v>1013.1</v>
      </c>
      <c r="J3161" s="1" t="str">
        <f>"844.25"</f>
        <v>844.25</v>
      </c>
      <c r="K3161" s="1" t="str">
        <f>"618"</f>
        <v>618</v>
      </c>
      <c r="L3161" s="1" t="str">
        <f>"282"</f>
        <v>282</v>
      </c>
      <c r="M3161" s="1" t="str">
        <f>"0"</f>
        <v>0</v>
      </c>
      <c r="N3161" s="1" t="str">
        <f>"0"</f>
        <v>0</v>
      </c>
      <c r="O3161" s="1" t="str">
        <f>"113.1"</f>
        <v>113.1</v>
      </c>
    </row>
    <row r="3162" s="1" customFormat="1" spans="1:15">
      <c r="A3162" s="1" t="str">
        <f t="shared" si="2011"/>
        <v>202406</v>
      </c>
      <c r="B3162" s="1" t="str">
        <f t="shared" si="2012"/>
        <v>150525100</v>
      </c>
      <c r="C3162" s="1" t="str">
        <f>"1042713619"</f>
        <v>1042713619</v>
      </c>
      <c r="D3162" s="1" t="s">
        <v>3236</v>
      </c>
      <c r="E3162" s="1" t="s">
        <v>3237</v>
      </c>
      <c r="F3162" s="1" t="s">
        <v>16</v>
      </c>
      <c r="G3162" s="1" t="s">
        <v>17</v>
      </c>
      <c r="H3162" s="1" t="str">
        <f t="shared" si="2035"/>
        <v>61</v>
      </c>
      <c r="I3162" s="1" t="str">
        <f>"168.96"</f>
        <v>168.96</v>
      </c>
      <c r="J3162" s="1" t="str">
        <f t="shared" ref="J3162:N3162" si="2041">"0"</f>
        <v>0</v>
      </c>
      <c r="K3162" s="1" t="str">
        <f t="shared" ref="K3162:K3225" si="2042">"103"</f>
        <v>103</v>
      </c>
      <c r="L3162" s="1" t="str">
        <f t="shared" ref="L3162:L3225" si="2043">"47"</f>
        <v>47</v>
      </c>
      <c r="M3162" s="1" t="str">
        <f t="shared" si="2041"/>
        <v>0</v>
      </c>
      <c r="N3162" s="1" t="str">
        <f t="shared" si="2041"/>
        <v>0</v>
      </c>
      <c r="O3162" s="1" t="str">
        <f>"18.96"</f>
        <v>18.96</v>
      </c>
    </row>
    <row r="3163" s="1" customFormat="1" spans="1:15">
      <c r="A3163" s="1" t="str">
        <f t="shared" si="2011"/>
        <v>202406</v>
      </c>
      <c r="B3163" s="1" t="str">
        <f t="shared" si="2012"/>
        <v>150525100</v>
      </c>
      <c r="C3163" s="1" t="str">
        <f>"1042715841"</f>
        <v>1042715841</v>
      </c>
      <c r="D3163" s="1" t="str">
        <f>"152326196304180672"</f>
        <v>152326196304180672</v>
      </c>
      <c r="E3163" s="1" t="s">
        <v>3238</v>
      </c>
      <c r="F3163" s="1" t="s">
        <v>25</v>
      </c>
      <c r="G3163" s="1" t="s">
        <v>17</v>
      </c>
      <c r="H3163" s="1" t="str">
        <f t="shared" si="2035"/>
        <v>61</v>
      </c>
      <c r="I3163" s="1" t="str">
        <f>"166.07"</f>
        <v>166.07</v>
      </c>
      <c r="J3163" s="1" t="str">
        <f t="shared" ref="J3163:N3163" si="2044">"0"</f>
        <v>0</v>
      </c>
      <c r="K3163" s="1" t="str">
        <f t="shared" si="2042"/>
        <v>103</v>
      </c>
      <c r="L3163" s="1" t="str">
        <f t="shared" si="2043"/>
        <v>47</v>
      </c>
      <c r="M3163" s="1" t="str">
        <f t="shared" si="2044"/>
        <v>0</v>
      </c>
      <c r="N3163" s="1" t="str">
        <f t="shared" si="2044"/>
        <v>0</v>
      </c>
      <c r="O3163" s="1" t="str">
        <f>"16.07"</f>
        <v>16.07</v>
      </c>
    </row>
    <row r="3164" s="1" customFormat="1" spans="1:15">
      <c r="A3164" s="1" t="str">
        <f t="shared" si="2011"/>
        <v>202406</v>
      </c>
      <c r="B3164" s="1" t="str">
        <f t="shared" si="2012"/>
        <v>150525100</v>
      </c>
      <c r="C3164" s="1" t="str">
        <f>"1042683351"</f>
        <v>1042683351</v>
      </c>
      <c r="D3164" s="1" t="str">
        <f>"152326196206240424"</f>
        <v>152326196206240424</v>
      </c>
      <c r="E3164" s="1" t="s">
        <v>3239</v>
      </c>
      <c r="F3164" s="1" t="s">
        <v>16</v>
      </c>
      <c r="G3164" s="1" t="s">
        <v>17</v>
      </c>
      <c r="H3164" s="1" t="str">
        <f t="shared" ref="H3164:H3167" si="2045">"62"</f>
        <v>62</v>
      </c>
      <c r="I3164" s="1" t="str">
        <f>"160.79"</f>
        <v>160.79</v>
      </c>
      <c r="J3164" s="1" t="str">
        <f t="shared" ref="J3164:N3164" si="2046">"0"</f>
        <v>0</v>
      </c>
      <c r="K3164" s="1" t="str">
        <f t="shared" si="2042"/>
        <v>103</v>
      </c>
      <c r="L3164" s="1" t="str">
        <f t="shared" si="2043"/>
        <v>47</v>
      </c>
      <c r="M3164" s="1" t="str">
        <f t="shared" si="2046"/>
        <v>0</v>
      </c>
      <c r="N3164" s="1" t="str">
        <f t="shared" si="2046"/>
        <v>0</v>
      </c>
      <c r="O3164" s="1" t="str">
        <f>"10.79"</f>
        <v>10.79</v>
      </c>
    </row>
    <row r="3165" s="1" customFormat="1" spans="1:15">
      <c r="A3165" s="1" t="str">
        <f t="shared" si="2011"/>
        <v>202406</v>
      </c>
      <c r="B3165" s="1" t="str">
        <f t="shared" si="2012"/>
        <v>150525100</v>
      </c>
      <c r="C3165" s="1" t="str">
        <f>"1042683352"</f>
        <v>1042683352</v>
      </c>
      <c r="D3165" s="1" t="str">
        <f>"152326196210110411"</f>
        <v>152326196210110411</v>
      </c>
      <c r="E3165" s="1" t="s">
        <v>3240</v>
      </c>
      <c r="F3165" s="1" t="s">
        <v>25</v>
      </c>
      <c r="G3165" s="1" t="s">
        <v>17</v>
      </c>
      <c r="H3165" s="1" t="str">
        <f t="shared" si="2045"/>
        <v>62</v>
      </c>
      <c r="I3165" s="1" t="str">
        <f>"160.89"</f>
        <v>160.89</v>
      </c>
      <c r="J3165" s="1" t="str">
        <f t="shared" ref="J3165:N3165" si="2047">"0"</f>
        <v>0</v>
      </c>
      <c r="K3165" s="1" t="str">
        <f t="shared" si="2042"/>
        <v>103</v>
      </c>
      <c r="L3165" s="1" t="str">
        <f t="shared" si="2043"/>
        <v>47</v>
      </c>
      <c r="M3165" s="1" t="str">
        <f t="shared" si="2047"/>
        <v>0</v>
      </c>
      <c r="N3165" s="1" t="str">
        <f t="shared" si="2047"/>
        <v>0</v>
      </c>
      <c r="O3165" s="1" t="str">
        <f>"10.89"</f>
        <v>10.89</v>
      </c>
    </row>
    <row r="3166" s="1" customFormat="1" spans="1:15">
      <c r="A3166" s="1" t="str">
        <f t="shared" si="2011"/>
        <v>202406</v>
      </c>
      <c r="B3166" s="1" t="str">
        <f t="shared" si="2012"/>
        <v>150525100</v>
      </c>
      <c r="C3166" s="1" t="str">
        <f>"1042701328"</f>
        <v>1042701328</v>
      </c>
      <c r="D3166" s="1" t="str">
        <f>"152326196310250921"</f>
        <v>152326196310250921</v>
      </c>
      <c r="E3166" s="1" t="s">
        <v>3241</v>
      </c>
      <c r="F3166" s="1" t="s">
        <v>16</v>
      </c>
      <c r="G3166" s="1" t="s">
        <v>17</v>
      </c>
      <c r="H3166" s="1" t="str">
        <f t="shared" ref="H3166:H3172" si="2048">"61"</f>
        <v>61</v>
      </c>
      <c r="I3166" s="1" t="str">
        <f>"162.49"</f>
        <v>162.49</v>
      </c>
      <c r="J3166" s="1" t="str">
        <f t="shared" ref="J3166:N3166" si="2049">"0"</f>
        <v>0</v>
      </c>
      <c r="K3166" s="1" t="str">
        <f t="shared" si="2042"/>
        <v>103</v>
      </c>
      <c r="L3166" s="1" t="str">
        <f t="shared" si="2043"/>
        <v>47</v>
      </c>
      <c r="M3166" s="1" t="str">
        <f t="shared" si="2049"/>
        <v>0</v>
      </c>
      <c r="N3166" s="1" t="str">
        <f t="shared" si="2049"/>
        <v>0</v>
      </c>
      <c r="O3166" s="1" t="str">
        <f>"12.49"</f>
        <v>12.49</v>
      </c>
    </row>
    <row r="3167" s="1" customFormat="1" spans="1:15">
      <c r="A3167" s="1" t="str">
        <f t="shared" si="2011"/>
        <v>202406</v>
      </c>
      <c r="B3167" s="1" t="str">
        <f t="shared" si="2012"/>
        <v>150525100</v>
      </c>
      <c r="C3167" s="1" t="str">
        <f>"1042783841"</f>
        <v>1042783841</v>
      </c>
      <c r="D3167" s="1" t="str">
        <f>"152326196209130714"</f>
        <v>152326196209130714</v>
      </c>
      <c r="E3167" s="1" t="s">
        <v>3242</v>
      </c>
      <c r="F3167" s="1" t="s">
        <v>25</v>
      </c>
      <c r="G3167" s="1" t="s">
        <v>17</v>
      </c>
      <c r="H3167" s="1" t="str">
        <f t="shared" si="2045"/>
        <v>62</v>
      </c>
      <c r="I3167" s="1" t="str">
        <f>"160.93"</f>
        <v>160.93</v>
      </c>
      <c r="J3167" s="1" t="str">
        <f t="shared" ref="J3167:N3167" si="2050">"0"</f>
        <v>0</v>
      </c>
      <c r="K3167" s="1" t="str">
        <f t="shared" si="2042"/>
        <v>103</v>
      </c>
      <c r="L3167" s="1" t="str">
        <f t="shared" si="2043"/>
        <v>47</v>
      </c>
      <c r="M3167" s="1" t="str">
        <f t="shared" si="2050"/>
        <v>0</v>
      </c>
      <c r="N3167" s="1" t="str">
        <f t="shared" si="2050"/>
        <v>0</v>
      </c>
      <c r="O3167" s="1" t="str">
        <f>"10.93"</f>
        <v>10.93</v>
      </c>
    </row>
    <row r="3168" s="1" customFormat="1" spans="1:15">
      <c r="A3168" s="1" t="str">
        <f t="shared" si="2011"/>
        <v>202406</v>
      </c>
      <c r="B3168" s="1" t="str">
        <f t="shared" si="2012"/>
        <v>150525100</v>
      </c>
      <c r="C3168" s="1" t="str">
        <f>"1041807118"</f>
        <v>1041807118</v>
      </c>
      <c r="D3168" s="1" t="str">
        <f>"152326196307133070"</f>
        <v>152326196307133070</v>
      </c>
      <c r="E3168" s="1" t="s">
        <v>3243</v>
      </c>
      <c r="F3168" s="1" t="s">
        <v>25</v>
      </c>
      <c r="G3168" s="1" t="s">
        <v>17</v>
      </c>
      <c r="H3168" s="1" t="str">
        <f t="shared" si="2048"/>
        <v>61</v>
      </c>
      <c r="I3168" s="1" t="str">
        <f>"162.43"</f>
        <v>162.43</v>
      </c>
      <c r="J3168" s="1" t="str">
        <f t="shared" ref="J3168:N3168" si="2051">"0"</f>
        <v>0</v>
      </c>
      <c r="K3168" s="1" t="str">
        <f t="shared" si="2042"/>
        <v>103</v>
      </c>
      <c r="L3168" s="1" t="str">
        <f t="shared" si="2043"/>
        <v>47</v>
      </c>
      <c r="M3168" s="1" t="str">
        <f t="shared" si="2051"/>
        <v>0</v>
      </c>
      <c r="N3168" s="1" t="str">
        <f t="shared" si="2051"/>
        <v>0</v>
      </c>
      <c r="O3168" s="1" t="str">
        <f>"12.43"</f>
        <v>12.43</v>
      </c>
    </row>
    <row r="3169" s="1" customFormat="1" spans="1:15">
      <c r="A3169" s="1" t="str">
        <f t="shared" si="2011"/>
        <v>202406</v>
      </c>
      <c r="B3169" s="1" t="str">
        <f t="shared" si="2012"/>
        <v>150525100</v>
      </c>
      <c r="C3169" s="1" t="str">
        <f>"1042689088"</f>
        <v>1042689088</v>
      </c>
      <c r="D3169" s="1" t="str">
        <f>"152326196208190694"</f>
        <v>152326196208190694</v>
      </c>
      <c r="E3169" s="1" t="s">
        <v>3244</v>
      </c>
      <c r="F3169" s="1" t="s">
        <v>25</v>
      </c>
      <c r="G3169" s="1" t="s">
        <v>17</v>
      </c>
      <c r="H3169" s="1" t="str">
        <f>"62"</f>
        <v>62</v>
      </c>
      <c r="I3169" s="1" t="str">
        <f>"160.54"</f>
        <v>160.54</v>
      </c>
      <c r="J3169" s="1" t="str">
        <f t="shared" ref="J3169:N3169" si="2052">"0"</f>
        <v>0</v>
      </c>
      <c r="K3169" s="1" t="str">
        <f t="shared" si="2042"/>
        <v>103</v>
      </c>
      <c r="L3169" s="1" t="str">
        <f t="shared" si="2043"/>
        <v>47</v>
      </c>
      <c r="M3169" s="1" t="str">
        <f t="shared" si="2052"/>
        <v>0</v>
      </c>
      <c r="N3169" s="1" t="str">
        <f t="shared" si="2052"/>
        <v>0</v>
      </c>
      <c r="O3169" s="1" t="str">
        <f>"10.54"</f>
        <v>10.54</v>
      </c>
    </row>
    <row r="3170" s="1" customFormat="1" spans="1:15">
      <c r="A3170" s="1" t="str">
        <f t="shared" si="2011"/>
        <v>202406</v>
      </c>
      <c r="B3170" s="1" t="str">
        <f t="shared" si="2012"/>
        <v>150525100</v>
      </c>
      <c r="C3170" s="1" t="str">
        <f>"1042923306"</f>
        <v>1042923306</v>
      </c>
      <c r="D3170" s="1" t="str">
        <f>"152326196311120694"</f>
        <v>152326196311120694</v>
      </c>
      <c r="E3170" s="1" t="s">
        <v>3245</v>
      </c>
      <c r="F3170" s="1" t="s">
        <v>25</v>
      </c>
      <c r="G3170" s="1" t="s">
        <v>17</v>
      </c>
      <c r="H3170" s="1" t="str">
        <f t="shared" si="2048"/>
        <v>61</v>
      </c>
      <c r="I3170" s="1" t="str">
        <f>"162.56"</f>
        <v>162.56</v>
      </c>
      <c r="J3170" s="1" t="str">
        <f t="shared" ref="J3170:N3170" si="2053">"0"</f>
        <v>0</v>
      </c>
      <c r="K3170" s="1" t="str">
        <f t="shared" si="2042"/>
        <v>103</v>
      </c>
      <c r="L3170" s="1" t="str">
        <f t="shared" si="2043"/>
        <v>47</v>
      </c>
      <c r="M3170" s="1" t="str">
        <f t="shared" si="2053"/>
        <v>0</v>
      </c>
      <c r="N3170" s="1" t="str">
        <f t="shared" si="2053"/>
        <v>0</v>
      </c>
      <c r="O3170" s="1" t="str">
        <f>"12.56"</f>
        <v>12.56</v>
      </c>
    </row>
    <row r="3171" s="1" customFormat="1" spans="1:15">
      <c r="A3171" s="1" t="str">
        <f t="shared" si="2011"/>
        <v>202406</v>
      </c>
      <c r="B3171" s="1" t="str">
        <f t="shared" si="2012"/>
        <v>150525100</v>
      </c>
      <c r="C3171" s="1" t="str">
        <f>"1042725447"</f>
        <v>1042725447</v>
      </c>
      <c r="D3171" s="1" t="str">
        <f>"152326196309213074"</f>
        <v>152326196309213074</v>
      </c>
      <c r="E3171" s="1" t="s">
        <v>3246</v>
      </c>
      <c r="F3171" s="1" t="s">
        <v>25</v>
      </c>
      <c r="G3171" s="1" t="s">
        <v>17</v>
      </c>
      <c r="H3171" s="1" t="str">
        <f t="shared" si="2048"/>
        <v>61</v>
      </c>
      <c r="I3171" s="1" t="str">
        <f>"162.47"</f>
        <v>162.47</v>
      </c>
      <c r="J3171" s="1" t="str">
        <f t="shared" ref="J3171:N3171" si="2054">"0"</f>
        <v>0</v>
      </c>
      <c r="K3171" s="1" t="str">
        <f t="shared" si="2042"/>
        <v>103</v>
      </c>
      <c r="L3171" s="1" t="str">
        <f t="shared" si="2043"/>
        <v>47</v>
      </c>
      <c r="M3171" s="1" t="str">
        <f t="shared" si="2054"/>
        <v>0</v>
      </c>
      <c r="N3171" s="1" t="str">
        <f t="shared" si="2054"/>
        <v>0</v>
      </c>
      <c r="O3171" s="1" t="str">
        <f>"12.47"</f>
        <v>12.47</v>
      </c>
    </row>
    <row r="3172" s="1" customFormat="1" spans="1:15">
      <c r="A3172" s="1" t="str">
        <f t="shared" si="2011"/>
        <v>202406</v>
      </c>
      <c r="B3172" s="1" t="str">
        <f t="shared" si="2012"/>
        <v>150525100</v>
      </c>
      <c r="C3172" s="1" t="str">
        <f>"1042734039"</f>
        <v>1042734039</v>
      </c>
      <c r="D3172" s="1" t="str">
        <f>"152326196302143827"</f>
        <v>152326196302143827</v>
      </c>
      <c r="E3172" s="1" t="s">
        <v>3247</v>
      </c>
      <c r="F3172" s="1" t="s">
        <v>16</v>
      </c>
      <c r="G3172" s="1" t="s">
        <v>17</v>
      </c>
      <c r="H3172" s="1" t="str">
        <f t="shared" si="2048"/>
        <v>61</v>
      </c>
      <c r="I3172" s="1" t="str">
        <f>"162.33"</f>
        <v>162.33</v>
      </c>
      <c r="J3172" s="1" t="str">
        <f t="shared" ref="J3172:N3172" si="2055">"0"</f>
        <v>0</v>
      </c>
      <c r="K3172" s="1" t="str">
        <f t="shared" si="2042"/>
        <v>103</v>
      </c>
      <c r="L3172" s="1" t="str">
        <f t="shared" si="2043"/>
        <v>47</v>
      </c>
      <c r="M3172" s="1" t="str">
        <f t="shared" si="2055"/>
        <v>0</v>
      </c>
      <c r="N3172" s="1" t="str">
        <f t="shared" si="2055"/>
        <v>0</v>
      </c>
      <c r="O3172" s="1" t="str">
        <f>"12.33"</f>
        <v>12.33</v>
      </c>
    </row>
    <row r="3173" s="1" customFormat="1" spans="1:15">
      <c r="A3173" s="1" t="str">
        <f t="shared" si="2011"/>
        <v>202406</v>
      </c>
      <c r="B3173" s="1" t="str">
        <f t="shared" si="2012"/>
        <v>150525100</v>
      </c>
      <c r="C3173" s="1" t="str">
        <f>"1043151156"</f>
        <v>1043151156</v>
      </c>
      <c r="D3173" s="1" t="str">
        <f>"152326196207173817"</f>
        <v>152326196207173817</v>
      </c>
      <c r="E3173" s="1" t="s">
        <v>3248</v>
      </c>
      <c r="F3173" s="1" t="s">
        <v>25</v>
      </c>
      <c r="G3173" s="1" t="s">
        <v>19</v>
      </c>
      <c r="H3173" s="1" t="str">
        <f>"62"</f>
        <v>62</v>
      </c>
      <c r="I3173" s="1" t="str">
        <f>"160.24"</f>
        <v>160.24</v>
      </c>
      <c r="J3173" s="1" t="str">
        <f t="shared" ref="J3173:N3173" si="2056">"0"</f>
        <v>0</v>
      </c>
      <c r="K3173" s="1" t="str">
        <f t="shared" si="2042"/>
        <v>103</v>
      </c>
      <c r="L3173" s="1" t="str">
        <f t="shared" si="2043"/>
        <v>47</v>
      </c>
      <c r="M3173" s="1" t="str">
        <f t="shared" si="2056"/>
        <v>0</v>
      </c>
      <c r="N3173" s="1" t="str">
        <f t="shared" si="2056"/>
        <v>0</v>
      </c>
      <c r="O3173" s="1" t="str">
        <f>"10.24"</f>
        <v>10.24</v>
      </c>
    </row>
    <row r="3174" s="1" customFormat="1" spans="1:15">
      <c r="A3174" s="1" t="str">
        <f t="shared" si="2011"/>
        <v>202406</v>
      </c>
      <c r="B3174" s="1" t="str">
        <f t="shared" si="2012"/>
        <v>150525100</v>
      </c>
      <c r="C3174" s="1" t="str">
        <f>"1043229693"</f>
        <v>1043229693</v>
      </c>
      <c r="D3174" s="1" t="str">
        <f>"152326196306183818"</f>
        <v>152326196306183818</v>
      </c>
      <c r="E3174" s="1" t="s">
        <v>3249</v>
      </c>
      <c r="F3174" s="1" t="s">
        <v>25</v>
      </c>
      <c r="G3174" s="1" t="s">
        <v>17</v>
      </c>
      <c r="H3174" s="1" t="str">
        <f t="shared" ref="H3174:H3177" si="2057">"61"</f>
        <v>61</v>
      </c>
      <c r="I3174" s="1" t="str">
        <f>"165.06"</f>
        <v>165.06</v>
      </c>
      <c r="J3174" s="1" t="str">
        <f t="shared" ref="J3174:N3174" si="2058">"0"</f>
        <v>0</v>
      </c>
      <c r="K3174" s="1" t="str">
        <f t="shared" si="2042"/>
        <v>103</v>
      </c>
      <c r="L3174" s="1" t="str">
        <f t="shared" si="2043"/>
        <v>47</v>
      </c>
      <c r="M3174" s="1" t="str">
        <f t="shared" si="2058"/>
        <v>0</v>
      </c>
      <c r="N3174" s="1" t="str">
        <f t="shared" si="2058"/>
        <v>0</v>
      </c>
      <c r="O3174" s="1" t="str">
        <f>"15.06"</f>
        <v>15.06</v>
      </c>
    </row>
    <row r="3175" s="1" customFormat="1" spans="1:15">
      <c r="A3175" s="1" t="str">
        <f t="shared" si="2011"/>
        <v>202406</v>
      </c>
      <c r="B3175" s="1" t="str">
        <f t="shared" si="2012"/>
        <v>150525100</v>
      </c>
      <c r="C3175" s="1" t="str">
        <f>"1043320726"</f>
        <v>1043320726</v>
      </c>
      <c r="D3175" s="1" t="str">
        <f>"152326196205070435"</f>
        <v>152326196205070435</v>
      </c>
      <c r="E3175" s="1" t="s">
        <v>3250</v>
      </c>
      <c r="F3175" s="1" t="s">
        <v>25</v>
      </c>
      <c r="G3175" s="1" t="s">
        <v>17</v>
      </c>
      <c r="H3175" s="1" t="str">
        <f>"62"</f>
        <v>62</v>
      </c>
      <c r="I3175" s="1" t="str">
        <f>"165.85"</f>
        <v>165.85</v>
      </c>
      <c r="J3175" s="1" t="str">
        <f t="shared" ref="J3175:N3175" si="2059">"0"</f>
        <v>0</v>
      </c>
      <c r="K3175" s="1" t="str">
        <f t="shared" si="2042"/>
        <v>103</v>
      </c>
      <c r="L3175" s="1" t="str">
        <f t="shared" si="2043"/>
        <v>47</v>
      </c>
      <c r="M3175" s="1" t="str">
        <f t="shared" si="2059"/>
        <v>0</v>
      </c>
      <c r="N3175" s="1" t="str">
        <f t="shared" si="2059"/>
        <v>0</v>
      </c>
      <c r="O3175" s="1" t="str">
        <f>"15.85"</f>
        <v>15.85</v>
      </c>
    </row>
    <row r="3176" s="1" customFormat="1" spans="1:15">
      <c r="A3176" s="1" t="str">
        <f t="shared" si="2011"/>
        <v>202406</v>
      </c>
      <c r="B3176" s="1" t="str">
        <f t="shared" si="2012"/>
        <v>150525100</v>
      </c>
      <c r="C3176" s="1" t="str">
        <f>"1043277971"</f>
        <v>1043277971</v>
      </c>
      <c r="D3176" s="1" t="str">
        <f>"152326196308060678"</f>
        <v>152326196308060678</v>
      </c>
      <c r="E3176" s="1" t="s">
        <v>3251</v>
      </c>
      <c r="F3176" s="1" t="s">
        <v>25</v>
      </c>
      <c r="G3176" s="1" t="s">
        <v>17</v>
      </c>
      <c r="H3176" s="1" t="str">
        <f t="shared" si="2057"/>
        <v>61</v>
      </c>
      <c r="I3176" s="1" t="str">
        <f>"162.13"</f>
        <v>162.13</v>
      </c>
      <c r="J3176" s="1" t="str">
        <f t="shared" ref="J3176:N3176" si="2060">"0"</f>
        <v>0</v>
      </c>
      <c r="K3176" s="1" t="str">
        <f t="shared" si="2042"/>
        <v>103</v>
      </c>
      <c r="L3176" s="1" t="str">
        <f t="shared" si="2043"/>
        <v>47</v>
      </c>
      <c r="M3176" s="1" t="str">
        <f t="shared" si="2060"/>
        <v>0</v>
      </c>
      <c r="N3176" s="1" t="str">
        <f t="shared" si="2060"/>
        <v>0</v>
      </c>
      <c r="O3176" s="1" t="str">
        <f>"12.13"</f>
        <v>12.13</v>
      </c>
    </row>
    <row r="3177" s="1" customFormat="1" spans="1:15">
      <c r="A3177" s="1" t="str">
        <f t="shared" si="2011"/>
        <v>202406</v>
      </c>
      <c r="B3177" s="1" t="str">
        <f t="shared" si="2012"/>
        <v>150525100</v>
      </c>
      <c r="C3177" s="1" t="str">
        <f>"1043273520"</f>
        <v>1043273520</v>
      </c>
      <c r="D3177" s="1" t="s">
        <v>3252</v>
      </c>
      <c r="E3177" s="1" t="s">
        <v>3253</v>
      </c>
      <c r="F3177" s="1" t="s">
        <v>16</v>
      </c>
      <c r="G3177" s="1" t="s">
        <v>17</v>
      </c>
      <c r="H3177" s="1" t="str">
        <f t="shared" si="2057"/>
        <v>61</v>
      </c>
      <c r="I3177" s="1" t="str">
        <f>"167.78"</f>
        <v>167.78</v>
      </c>
      <c r="J3177" s="1" t="str">
        <f t="shared" ref="J3177:N3177" si="2061">"0"</f>
        <v>0</v>
      </c>
      <c r="K3177" s="1" t="str">
        <f t="shared" si="2042"/>
        <v>103</v>
      </c>
      <c r="L3177" s="1" t="str">
        <f t="shared" si="2043"/>
        <v>47</v>
      </c>
      <c r="M3177" s="1" t="str">
        <f t="shared" si="2061"/>
        <v>0</v>
      </c>
      <c r="N3177" s="1" t="str">
        <f t="shared" si="2061"/>
        <v>0</v>
      </c>
      <c r="O3177" s="1" t="str">
        <f>"17.78"</f>
        <v>17.78</v>
      </c>
    </row>
    <row r="3178" s="1" customFormat="1" spans="1:15">
      <c r="A3178" s="1" t="str">
        <f t="shared" si="2011"/>
        <v>202406</v>
      </c>
      <c r="B3178" s="1" t="str">
        <f t="shared" si="2012"/>
        <v>150525100</v>
      </c>
      <c r="C3178" s="1" t="str">
        <f>"1043123413"</f>
        <v>1043123413</v>
      </c>
      <c r="D3178" s="1" t="str">
        <f>"152326196102060699"</f>
        <v>152326196102060699</v>
      </c>
      <c r="E3178" s="1" t="s">
        <v>3254</v>
      </c>
      <c r="F3178" s="1" t="s">
        <v>25</v>
      </c>
      <c r="G3178" s="1" t="s">
        <v>17</v>
      </c>
      <c r="H3178" s="1" t="str">
        <f>"63"</f>
        <v>63</v>
      </c>
      <c r="I3178" s="1" t="str">
        <f>"158.52"</f>
        <v>158.52</v>
      </c>
      <c r="J3178" s="1" t="str">
        <f t="shared" ref="J3178:N3178" si="2062">"0"</f>
        <v>0</v>
      </c>
      <c r="K3178" s="1" t="str">
        <f t="shared" si="2042"/>
        <v>103</v>
      </c>
      <c r="L3178" s="1" t="str">
        <f t="shared" si="2043"/>
        <v>47</v>
      </c>
      <c r="M3178" s="1" t="str">
        <f t="shared" si="2062"/>
        <v>0</v>
      </c>
      <c r="N3178" s="1" t="str">
        <f t="shared" si="2062"/>
        <v>0</v>
      </c>
      <c r="O3178" s="1" t="str">
        <f>"8.52"</f>
        <v>8.52</v>
      </c>
    </row>
    <row r="3179" s="1" customFormat="1" spans="1:15">
      <c r="A3179" s="1" t="str">
        <f t="shared" si="2011"/>
        <v>202406</v>
      </c>
      <c r="B3179" s="1" t="str">
        <f t="shared" si="2012"/>
        <v>150525100</v>
      </c>
      <c r="C3179" s="1" t="str">
        <f>"1040651121"</f>
        <v>1040651121</v>
      </c>
      <c r="D3179" s="1" t="str">
        <f>"152326196209270661"</f>
        <v>152326196209270661</v>
      </c>
      <c r="E3179" s="1" t="s">
        <v>3255</v>
      </c>
      <c r="F3179" s="1" t="s">
        <v>16</v>
      </c>
      <c r="G3179" s="1" t="s">
        <v>17</v>
      </c>
      <c r="H3179" s="1" t="str">
        <f>"62"</f>
        <v>62</v>
      </c>
      <c r="I3179" s="1" t="str">
        <f>"167.3"</f>
        <v>167.3</v>
      </c>
      <c r="J3179" s="1" t="str">
        <f t="shared" ref="J3179:N3179" si="2063">"0"</f>
        <v>0</v>
      </c>
      <c r="K3179" s="1" t="str">
        <f t="shared" si="2042"/>
        <v>103</v>
      </c>
      <c r="L3179" s="1" t="str">
        <f t="shared" si="2043"/>
        <v>47</v>
      </c>
      <c r="M3179" s="1" t="str">
        <f t="shared" si="2063"/>
        <v>0</v>
      </c>
      <c r="N3179" s="1" t="str">
        <f t="shared" si="2063"/>
        <v>0</v>
      </c>
      <c r="O3179" s="1" t="str">
        <f>"17.3"</f>
        <v>17.3</v>
      </c>
    </row>
    <row r="3180" s="1" customFormat="1" spans="1:15">
      <c r="A3180" s="1" t="str">
        <f t="shared" si="2011"/>
        <v>202406</v>
      </c>
      <c r="B3180" s="1" t="str">
        <f t="shared" si="2012"/>
        <v>150525100</v>
      </c>
      <c r="C3180" s="1" t="str">
        <f>"1040651129"</f>
        <v>1040651129</v>
      </c>
      <c r="D3180" s="1" t="str">
        <f>"152326196008140676"</f>
        <v>152326196008140676</v>
      </c>
      <c r="E3180" s="1" t="s">
        <v>3256</v>
      </c>
      <c r="F3180" s="1" t="s">
        <v>25</v>
      </c>
      <c r="G3180" s="1" t="s">
        <v>17</v>
      </c>
      <c r="H3180" s="1" t="str">
        <f>"64"</f>
        <v>64</v>
      </c>
      <c r="I3180" s="1" t="str">
        <f>"158.62"</f>
        <v>158.62</v>
      </c>
      <c r="J3180" s="1" t="str">
        <f t="shared" ref="J3180:N3180" si="2064">"0"</f>
        <v>0</v>
      </c>
      <c r="K3180" s="1" t="str">
        <f t="shared" si="2042"/>
        <v>103</v>
      </c>
      <c r="L3180" s="1" t="str">
        <f t="shared" si="2043"/>
        <v>47</v>
      </c>
      <c r="M3180" s="1" t="str">
        <f t="shared" si="2064"/>
        <v>0</v>
      </c>
      <c r="N3180" s="1" t="str">
        <f t="shared" si="2064"/>
        <v>0</v>
      </c>
      <c r="O3180" s="1" t="str">
        <f>"8.62"</f>
        <v>8.62</v>
      </c>
    </row>
    <row r="3181" s="1" customFormat="1" spans="1:15">
      <c r="A3181" s="1" t="str">
        <f t="shared" si="2011"/>
        <v>202406</v>
      </c>
      <c r="B3181" s="1" t="str">
        <f t="shared" si="2012"/>
        <v>150525100</v>
      </c>
      <c r="C3181" s="1" t="str">
        <f>"1040651139"</f>
        <v>1040651139</v>
      </c>
      <c r="D3181" s="1" t="str">
        <f>"152326195803020679"</f>
        <v>152326195803020679</v>
      </c>
      <c r="E3181" s="1" t="s">
        <v>3257</v>
      </c>
      <c r="F3181" s="1" t="s">
        <v>25</v>
      </c>
      <c r="G3181" s="1" t="s">
        <v>17</v>
      </c>
      <c r="H3181" s="1" t="str">
        <f>"66"</f>
        <v>66</v>
      </c>
      <c r="I3181" s="1" t="str">
        <f>"156.47"</f>
        <v>156.47</v>
      </c>
      <c r="J3181" s="1" t="str">
        <f t="shared" ref="J3181:N3181" si="2065">"0"</f>
        <v>0</v>
      </c>
      <c r="K3181" s="1" t="str">
        <f t="shared" si="2042"/>
        <v>103</v>
      </c>
      <c r="L3181" s="1" t="str">
        <f t="shared" si="2043"/>
        <v>47</v>
      </c>
      <c r="M3181" s="1" t="str">
        <f t="shared" si="2065"/>
        <v>0</v>
      </c>
      <c r="N3181" s="1" t="str">
        <f t="shared" si="2065"/>
        <v>0</v>
      </c>
      <c r="O3181" s="1" t="str">
        <f>"6.47"</f>
        <v>6.47</v>
      </c>
    </row>
    <row r="3182" s="1" customFormat="1" spans="1:15">
      <c r="A3182" s="1" t="str">
        <f t="shared" si="2011"/>
        <v>202406</v>
      </c>
      <c r="B3182" s="1" t="str">
        <f t="shared" si="2012"/>
        <v>150525100</v>
      </c>
      <c r="C3182" s="1" t="str">
        <f>"1040642087"</f>
        <v>1040642087</v>
      </c>
      <c r="D3182" s="1" t="str">
        <f>"152326195708213827"</f>
        <v>152326195708213827</v>
      </c>
      <c r="E3182" s="1" t="s">
        <v>3258</v>
      </c>
      <c r="F3182" s="1" t="s">
        <v>16</v>
      </c>
      <c r="G3182" s="1" t="s">
        <v>17</v>
      </c>
      <c r="H3182" s="1" t="str">
        <f>"67"</f>
        <v>67</v>
      </c>
      <c r="I3182" s="1" t="str">
        <f>"155.26"</f>
        <v>155.26</v>
      </c>
      <c r="J3182" s="1" t="str">
        <f t="shared" ref="J3182:N3182" si="2066">"0"</f>
        <v>0</v>
      </c>
      <c r="K3182" s="1" t="str">
        <f t="shared" si="2042"/>
        <v>103</v>
      </c>
      <c r="L3182" s="1" t="str">
        <f t="shared" si="2043"/>
        <v>47</v>
      </c>
      <c r="M3182" s="1" t="str">
        <f t="shared" si="2066"/>
        <v>0</v>
      </c>
      <c r="N3182" s="1" t="str">
        <f t="shared" si="2066"/>
        <v>0</v>
      </c>
      <c r="O3182" s="1" t="str">
        <f>"5.26"</f>
        <v>5.26</v>
      </c>
    </row>
    <row r="3183" s="1" customFormat="1" spans="1:15">
      <c r="A3183" s="1" t="str">
        <f t="shared" si="2011"/>
        <v>202406</v>
      </c>
      <c r="B3183" s="1" t="str">
        <f t="shared" si="2012"/>
        <v>150525100</v>
      </c>
      <c r="C3183" s="1" t="str">
        <f>"1040642090"</f>
        <v>1040642090</v>
      </c>
      <c r="D3183" s="1" t="str">
        <f>"152326196006153828"</f>
        <v>152326196006153828</v>
      </c>
      <c r="E3183" s="1" t="s">
        <v>3259</v>
      </c>
      <c r="F3183" s="1" t="s">
        <v>16</v>
      </c>
      <c r="G3183" s="1" t="s">
        <v>17</v>
      </c>
      <c r="H3183" s="1" t="str">
        <f>"64"</f>
        <v>64</v>
      </c>
      <c r="I3183" s="1" t="str">
        <f>"158.36"</f>
        <v>158.36</v>
      </c>
      <c r="J3183" s="1" t="str">
        <f t="shared" ref="J3183:N3183" si="2067">"0"</f>
        <v>0</v>
      </c>
      <c r="K3183" s="1" t="str">
        <f t="shared" si="2042"/>
        <v>103</v>
      </c>
      <c r="L3183" s="1" t="str">
        <f t="shared" si="2043"/>
        <v>47</v>
      </c>
      <c r="M3183" s="1" t="str">
        <f t="shared" si="2067"/>
        <v>0</v>
      </c>
      <c r="N3183" s="1" t="str">
        <f t="shared" si="2067"/>
        <v>0</v>
      </c>
      <c r="O3183" s="1" t="str">
        <f>"8.36"</f>
        <v>8.36</v>
      </c>
    </row>
    <row r="3184" s="1" customFormat="1" spans="1:15">
      <c r="A3184" s="1" t="str">
        <f t="shared" si="2011"/>
        <v>202406</v>
      </c>
      <c r="B3184" s="1" t="str">
        <f t="shared" si="2012"/>
        <v>150525100</v>
      </c>
      <c r="C3184" s="1" t="str">
        <f>"1014563068"</f>
        <v>1014563068</v>
      </c>
      <c r="D3184" s="1" t="str">
        <f>"152326195707270416"</f>
        <v>152326195707270416</v>
      </c>
      <c r="E3184" s="1" t="s">
        <v>3260</v>
      </c>
      <c r="F3184" s="1" t="s">
        <v>25</v>
      </c>
      <c r="G3184" s="1" t="s">
        <v>17</v>
      </c>
      <c r="H3184" s="1" t="str">
        <f>"67"</f>
        <v>67</v>
      </c>
      <c r="I3184" s="1" t="str">
        <f>"156.1"</f>
        <v>156.1</v>
      </c>
      <c r="J3184" s="1" t="str">
        <f t="shared" ref="J3184:N3184" si="2068">"0"</f>
        <v>0</v>
      </c>
      <c r="K3184" s="1" t="str">
        <f t="shared" si="2042"/>
        <v>103</v>
      </c>
      <c r="L3184" s="1" t="str">
        <f t="shared" si="2043"/>
        <v>47</v>
      </c>
      <c r="M3184" s="1" t="str">
        <f t="shared" si="2068"/>
        <v>0</v>
      </c>
      <c r="N3184" s="1" t="str">
        <f t="shared" si="2068"/>
        <v>0</v>
      </c>
      <c r="O3184" s="1" t="str">
        <f>"6.1"</f>
        <v>6.1</v>
      </c>
    </row>
    <row r="3185" s="1" customFormat="1" spans="1:15">
      <c r="A3185" s="1" t="str">
        <f t="shared" si="2011"/>
        <v>202406</v>
      </c>
      <c r="B3185" s="1" t="str">
        <f t="shared" si="2012"/>
        <v>150525100</v>
      </c>
      <c r="C3185" s="1" t="str">
        <f>"1014583759"</f>
        <v>1014583759</v>
      </c>
      <c r="D3185" s="1" t="str">
        <f>"152326195404040672"</f>
        <v>152326195404040672</v>
      </c>
      <c r="E3185" s="1" t="s">
        <v>3261</v>
      </c>
      <c r="F3185" s="1" t="s">
        <v>25</v>
      </c>
      <c r="G3185" s="1" t="s">
        <v>19</v>
      </c>
      <c r="H3185" s="1" t="str">
        <f>"70"</f>
        <v>70</v>
      </c>
      <c r="I3185" s="1" t="str">
        <f>"165.53"</f>
        <v>165.53</v>
      </c>
      <c r="J3185" s="1" t="str">
        <f t="shared" ref="J3185:N3185" si="2069">"0"</f>
        <v>0</v>
      </c>
      <c r="K3185" s="1" t="str">
        <f t="shared" si="2042"/>
        <v>103</v>
      </c>
      <c r="L3185" s="1" t="str">
        <f t="shared" si="2043"/>
        <v>47</v>
      </c>
      <c r="M3185" s="1" t="str">
        <f t="shared" si="2069"/>
        <v>0</v>
      </c>
      <c r="N3185" s="1" t="str">
        <f t="shared" si="2069"/>
        <v>0</v>
      </c>
      <c r="O3185" s="1" t="str">
        <f>"5.53"</f>
        <v>5.53</v>
      </c>
    </row>
    <row r="3186" s="1" customFormat="1" spans="1:15">
      <c r="A3186" s="1" t="str">
        <f t="shared" si="2011"/>
        <v>202406</v>
      </c>
      <c r="B3186" s="1" t="str">
        <f t="shared" si="2012"/>
        <v>150525100</v>
      </c>
      <c r="C3186" s="1" t="str">
        <f>"1014583764"</f>
        <v>1014583764</v>
      </c>
      <c r="D3186" s="1" t="str">
        <f>"152326195411223311"</f>
        <v>152326195411223311</v>
      </c>
      <c r="E3186" s="1" t="s">
        <v>3262</v>
      </c>
      <c r="F3186" s="1" t="s">
        <v>25</v>
      </c>
      <c r="G3186" s="1" t="s">
        <v>19</v>
      </c>
      <c r="H3186" s="1" t="str">
        <f>"70"</f>
        <v>70</v>
      </c>
      <c r="I3186" s="1" t="str">
        <f>"154.14"</f>
        <v>154.14</v>
      </c>
      <c r="J3186" s="1" t="str">
        <f t="shared" ref="J3186:N3186" si="2070">"0"</f>
        <v>0</v>
      </c>
      <c r="K3186" s="1" t="str">
        <f t="shared" si="2042"/>
        <v>103</v>
      </c>
      <c r="L3186" s="1" t="str">
        <f t="shared" si="2043"/>
        <v>47</v>
      </c>
      <c r="M3186" s="1" t="str">
        <f t="shared" si="2070"/>
        <v>0</v>
      </c>
      <c r="N3186" s="1" t="str">
        <f t="shared" si="2070"/>
        <v>0</v>
      </c>
      <c r="O3186" s="1" t="str">
        <f>"4.14"</f>
        <v>4.14</v>
      </c>
    </row>
    <row r="3187" s="1" customFormat="1" spans="1:15">
      <c r="A3187" s="1" t="str">
        <f t="shared" si="2011"/>
        <v>202406</v>
      </c>
      <c r="B3187" s="1" t="str">
        <f t="shared" si="2012"/>
        <v>150525100</v>
      </c>
      <c r="C3187" s="1" t="str">
        <f>"1014583774"</f>
        <v>1014583774</v>
      </c>
      <c r="D3187" s="1" t="str">
        <f>"152326195606150669"</f>
        <v>152326195606150669</v>
      </c>
      <c r="E3187" s="1" t="s">
        <v>3263</v>
      </c>
      <c r="F3187" s="1" t="s">
        <v>16</v>
      </c>
      <c r="G3187" s="1" t="s">
        <v>19</v>
      </c>
      <c r="H3187" s="1" t="str">
        <f>"68"</f>
        <v>68</v>
      </c>
      <c r="I3187" s="1" t="str">
        <f>"156.01"</f>
        <v>156.01</v>
      </c>
      <c r="J3187" s="1" t="str">
        <f t="shared" ref="J3187:N3187" si="2071">"0"</f>
        <v>0</v>
      </c>
      <c r="K3187" s="1" t="str">
        <f t="shared" si="2042"/>
        <v>103</v>
      </c>
      <c r="L3187" s="1" t="str">
        <f t="shared" si="2043"/>
        <v>47</v>
      </c>
      <c r="M3187" s="1" t="str">
        <f t="shared" si="2071"/>
        <v>0</v>
      </c>
      <c r="N3187" s="1" t="str">
        <f t="shared" si="2071"/>
        <v>0</v>
      </c>
      <c r="O3187" s="1" t="str">
        <f>"6.01"</f>
        <v>6.01</v>
      </c>
    </row>
    <row r="3188" s="1" customFormat="1" spans="1:15">
      <c r="A3188" s="1" t="str">
        <f t="shared" si="2011"/>
        <v>202406</v>
      </c>
      <c r="B3188" s="1" t="str">
        <f t="shared" si="2012"/>
        <v>150525100</v>
      </c>
      <c r="C3188" s="1" t="str">
        <f>"1014583781"</f>
        <v>1014583781</v>
      </c>
      <c r="D3188" s="1" t="str">
        <f>"152326195701060661"</f>
        <v>152326195701060661</v>
      </c>
      <c r="E3188" s="1" t="s">
        <v>392</v>
      </c>
      <c r="F3188" s="1" t="s">
        <v>16</v>
      </c>
      <c r="G3188" s="1" t="s">
        <v>19</v>
      </c>
      <c r="H3188" s="1" t="str">
        <f>"68"</f>
        <v>68</v>
      </c>
      <c r="I3188" s="1" t="str">
        <f>"155.53"</f>
        <v>155.53</v>
      </c>
      <c r="J3188" s="1" t="str">
        <f t="shared" ref="J3188:N3188" si="2072">"0"</f>
        <v>0</v>
      </c>
      <c r="K3188" s="1" t="str">
        <f t="shared" si="2042"/>
        <v>103</v>
      </c>
      <c r="L3188" s="1" t="str">
        <f t="shared" si="2043"/>
        <v>47</v>
      </c>
      <c r="M3188" s="1" t="str">
        <f t="shared" si="2072"/>
        <v>0</v>
      </c>
      <c r="N3188" s="1" t="str">
        <f t="shared" si="2072"/>
        <v>0</v>
      </c>
      <c r="O3188" s="1" t="str">
        <f>"5.53"</f>
        <v>5.53</v>
      </c>
    </row>
    <row r="3189" s="1" customFormat="1" spans="1:15">
      <c r="A3189" s="1" t="str">
        <f t="shared" si="2011"/>
        <v>202406</v>
      </c>
      <c r="B3189" s="1" t="str">
        <f t="shared" si="2012"/>
        <v>150525100</v>
      </c>
      <c r="C3189" s="1" t="str">
        <f>"1014550166"</f>
        <v>1014550166</v>
      </c>
      <c r="D3189" s="1" t="str">
        <f>"152326195703120664"</f>
        <v>152326195703120664</v>
      </c>
      <c r="E3189" s="1" t="s">
        <v>3264</v>
      </c>
      <c r="F3189" s="1" t="s">
        <v>16</v>
      </c>
      <c r="G3189" s="1" t="s">
        <v>19</v>
      </c>
      <c r="H3189" s="1" t="str">
        <f>"67"</f>
        <v>67</v>
      </c>
      <c r="I3189" s="1" t="str">
        <f>"156.05"</f>
        <v>156.05</v>
      </c>
      <c r="J3189" s="1" t="str">
        <f t="shared" ref="J3189:N3189" si="2073">"0"</f>
        <v>0</v>
      </c>
      <c r="K3189" s="1" t="str">
        <f t="shared" si="2042"/>
        <v>103</v>
      </c>
      <c r="L3189" s="1" t="str">
        <f t="shared" si="2043"/>
        <v>47</v>
      </c>
      <c r="M3189" s="1" t="str">
        <f t="shared" si="2073"/>
        <v>0</v>
      </c>
      <c r="N3189" s="1" t="str">
        <f t="shared" si="2073"/>
        <v>0</v>
      </c>
      <c r="O3189" s="1" t="str">
        <f>"6.05"</f>
        <v>6.05</v>
      </c>
    </row>
    <row r="3190" s="1" customFormat="1" spans="1:15">
      <c r="A3190" s="1" t="str">
        <f t="shared" si="2011"/>
        <v>202406</v>
      </c>
      <c r="B3190" s="1" t="str">
        <f t="shared" si="2012"/>
        <v>150525100</v>
      </c>
      <c r="C3190" s="1" t="str">
        <f>"1014550172"</f>
        <v>1014550172</v>
      </c>
      <c r="D3190" s="1" t="str">
        <f>"152326195706190668"</f>
        <v>152326195706190668</v>
      </c>
      <c r="E3190" s="1" t="s">
        <v>3265</v>
      </c>
      <c r="F3190" s="1" t="s">
        <v>16</v>
      </c>
      <c r="G3190" s="1" t="s">
        <v>19</v>
      </c>
      <c r="H3190" s="1" t="str">
        <f>"67"</f>
        <v>67</v>
      </c>
      <c r="I3190" s="1" t="str">
        <f>"155.88"</f>
        <v>155.88</v>
      </c>
      <c r="J3190" s="1" t="str">
        <f t="shared" ref="J3190:N3190" si="2074">"0"</f>
        <v>0</v>
      </c>
      <c r="K3190" s="1" t="str">
        <f t="shared" si="2042"/>
        <v>103</v>
      </c>
      <c r="L3190" s="1" t="str">
        <f t="shared" si="2043"/>
        <v>47</v>
      </c>
      <c r="M3190" s="1" t="str">
        <f t="shared" si="2074"/>
        <v>0</v>
      </c>
      <c r="N3190" s="1" t="str">
        <f t="shared" si="2074"/>
        <v>0</v>
      </c>
      <c r="O3190" s="1" t="str">
        <f>"5.88"</f>
        <v>5.88</v>
      </c>
    </row>
    <row r="3191" s="1" customFormat="1" spans="1:15">
      <c r="A3191" s="1" t="str">
        <f t="shared" si="2011"/>
        <v>202406</v>
      </c>
      <c r="B3191" s="1" t="str">
        <f t="shared" si="2012"/>
        <v>150525100</v>
      </c>
      <c r="C3191" s="1" t="str">
        <f>"1014585184"</f>
        <v>1014585184</v>
      </c>
      <c r="D3191" s="1" t="str">
        <f>"152326196107230677"</f>
        <v>152326196107230677</v>
      </c>
      <c r="E3191" s="1" t="s">
        <v>3266</v>
      </c>
      <c r="F3191" s="1" t="s">
        <v>25</v>
      </c>
      <c r="G3191" s="1" t="s">
        <v>17</v>
      </c>
      <c r="H3191" s="1" t="str">
        <f>"63"</f>
        <v>63</v>
      </c>
      <c r="I3191" s="1" t="str">
        <f>"622.79"</f>
        <v>622.79</v>
      </c>
      <c r="J3191" s="1" t="str">
        <f t="shared" ref="J3191:N3191" si="2075">"0"</f>
        <v>0</v>
      </c>
      <c r="K3191" s="1" t="str">
        <f t="shared" si="2042"/>
        <v>103</v>
      </c>
      <c r="L3191" s="1" t="str">
        <f t="shared" si="2043"/>
        <v>47</v>
      </c>
      <c r="M3191" s="1" t="str">
        <f t="shared" si="2075"/>
        <v>0</v>
      </c>
      <c r="N3191" s="1" t="str">
        <f t="shared" si="2075"/>
        <v>0</v>
      </c>
      <c r="O3191" s="1" t="str">
        <f>"472.79"</f>
        <v>472.79</v>
      </c>
    </row>
    <row r="3192" s="1" customFormat="1" spans="1:15">
      <c r="A3192" s="1" t="str">
        <f t="shared" si="2011"/>
        <v>202406</v>
      </c>
      <c r="B3192" s="1" t="str">
        <f t="shared" si="2012"/>
        <v>150525100</v>
      </c>
      <c r="C3192" s="1" t="str">
        <f>"1014585189"</f>
        <v>1014585189</v>
      </c>
      <c r="D3192" s="1" t="str">
        <f>"152326196109210418"</f>
        <v>152326196109210418</v>
      </c>
      <c r="E3192" s="1" t="s">
        <v>3267</v>
      </c>
      <c r="F3192" s="1" t="s">
        <v>25</v>
      </c>
      <c r="G3192" s="1" t="s">
        <v>17</v>
      </c>
      <c r="H3192" s="1" t="str">
        <f>"63"</f>
        <v>63</v>
      </c>
      <c r="I3192" s="1" t="str">
        <f>"161.1"</f>
        <v>161.1</v>
      </c>
      <c r="J3192" s="1" t="str">
        <f t="shared" ref="J3192:N3192" si="2076">"0"</f>
        <v>0</v>
      </c>
      <c r="K3192" s="1" t="str">
        <f t="shared" si="2042"/>
        <v>103</v>
      </c>
      <c r="L3192" s="1" t="str">
        <f t="shared" si="2043"/>
        <v>47</v>
      </c>
      <c r="M3192" s="1" t="str">
        <f t="shared" si="2076"/>
        <v>0</v>
      </c>
      <c r="N3192" s="1" t="str">
        <f t="shared" si="2076"/>
        <v>0</v>
      </c>
      <c r="O3192" s="1" t="str">
        <f>"11.1"</f>
        <v>11.1</v>
      </c>
    </row>
    <row r="3193" s="1" customFormat="1" spans="1:15">
      <c r="A3193" s="1" t="str">
        <f t="shared" si="2011"/>
        <v>202406</v>
      </c>
      <c r="B3193" s="1" t="str">
        <f t="shared" si="2012"/>
        <v>150525100</v>
      </c>
      <c r="C3193" s="1" t="str">
        <f>"1014585199"</f>
        <v>1014585199</v>
      </c>
      <c r="D3193" s="1" t="str">
        <f>"152326196204190670"</f>
        <v>152326196204190670</v>
      </c>
      <c r="E3193" s="1" t="s">
        <v>3268</v>
      </c>
      <c r="F3193" s="1" t="s">
        <v>25</v>
      </c>
      <c r="G3193" s="1" t="s">
        <v>17</v>
      </c>
      <c r="H3193" s="1" t="str">
        <f t="shared" ref="H3193:H3195" si="2077">"62"</f>
        <v>62</v>
      </c>
      <c r="I3193" s="1" t="str">
        <f>"164.19"</f>
        <v>164.19</v>
      </c>
      <c r="J3193" s="1" t="str">
        <f t="shared" ref="J3193:N3193" si="2078">"0"</f>
        <v>0</v>
      </c>
      <c r="K3193" s="1" t="str">
        <f t="shared" si="2042"/>
        <v>103</v>
      </c>
      <c r="L3193" s="1" t="str">
        <f t="shared" si="2043"/>
        <v>47</v>
      </c>
      <c r="M3193" s="1" t="str">
        <f t="shared" si="2078"/>
        <v>0</v>
      </c>
      <c r="N3193" s="1" t="str">
        <f t="shared" si="2078"/>
        <v>0</v>
      </c>
      <c r="O3193" s="1" t="str">
        <f>"14.19"</f>
        <v>14.19</v>
      </c>
    </row>
    <row r="3194" s="1" customFormat="1" spans="1:15">
      <c r="A3194" s="1" t="str">
        <f t="shared" si="2011"/>
        <v>202406</v>
      </c>
      <c r="B3194" s="1" t="str">
        <f t="shared" si="2012"/>
        <v>150525100</v>
      </c>
      <c r="C3194" s="1" t="str">
        <f>"1014585204"</f>
        <v>1014585204</v>
      </c>
      <c r="D3194" s="1" t="str">
        <f>"152326196208043328"</f>
        <v>152326196208043328</v>
      </c>
      <c r="E3194" s="1" t="s">
        <v>3269</v>
      </c>
      <c r="F3194" s="1" t="s">
        <v>16</v>
      </c>
      <c r="G3194" s="1" t="s">
        <v>17</v>
      </c>
      <c r="H3194" s="1" t="str">
        <f t="shared" si="2077"/>
        <v>62</v>
      </c>
      <c r="I3194" s="1" t="str">
        <f>"162.52"</f>
        <v>162.52</v>
      </c>
      <c r="J3194" s="1" t="str">
        <f t="shared" ref="J3194:N3194" si="2079">"0"</f>
        <v>0</v>
      </c>
      <c r="K3194" s="1" t="str">
        <f t="shared" si="2042"/>
        <v>103</v>
      </c>
      <c r="L3194" s="1" t="str">
        <f t="shared" si="2043"/>
        <v>47</v>
      </c>
      <c r="M3194" s="1" t="str">
        <f t="shared" si="2079"/>
        <v>0</v>
      </c>
      <c r="N3194" s="1" t="str">
        <f t="shared" si="2079"/>
        <v>0</v>
      </c>
      <c r="O3194" s="1" t="str">
        <f>"12.52"</f>
        <v>12.52</v>
      </c>
    </row>
    <row r="3195" s="1" customFormat="1" spans="1:15">
      <c r="A3195" s="1" t="str">
        <f t="shared" si="2011"/>
        <v>202406</v>
      </c>
      <c r="B3195" s="1" t="str">
        <f t="shared" si="2012"/>
        <v>150525100</v>
      </c>
      <c r="C3195" s="1" t="str">
        <f>"1014563109"</f>
        <v>1014563109</v>
      </c>
      <c r="D3195" s="1" t="str">
        <f>"152326196207160442"</f>
        <v>152326196207160442</v>
      </c>
      <c r="E3195" s="1" t="s">
        <v>3270</v>
      </c>
      <c r="F3195" s="1" t="s">
        <v>16</v>
      </c>
      <c r="G3195" s="1" t="s">
        <v>17</v>
      </c>
      <c r="H3195" s="1" t="str">
        <f t="shared" si="2077"/>
        <v>62</v>
      </c>
      <c r="I3195" s="1" t="str">
        <f>"163.09"</f>
        <v>163.09</v>
      </c>
      <c r="J3195" s="1" t="str">
        <f t="shared" ref="J3195:N3195" si="2080">"0"</f>
        <v>0</v>
      </c>
      <c r="K3195" s="1" t="str">
        <f t="shared" si="2042"/>
        <v>103</v>
      </c>
      <c r="L3195" s="1" t="str">
        <f t="shared" si="2043"/>
        <v>47</v>
      </c>
      <c r="M3195" s="1" t="str">
        <f t="shared" si="2080"/>
        <v>0</v>
      </c>
      <c r="N3195" s="1" t="str">
        <f t="shared" si="2080"/>
        <v>0</v>
      </c>
      <c r="O3195" s="1" t="str">
        <f>"13.09"</f>
        <v>13.09</v>
      </c>
    </row>
    <row r="3196" s="1" customFormat="1" spans="1:15">
      <c r="A3196" s="1" t="str">
        <f t="shared" si="2011"/>
        <v>202406</v>
      </c>
      <c r="B3196" s="1" t="str">
        <f t="shared" si="2012"/>
        <v>150525100</v>
      </c>
      <c r="C3196" s="1" t="str">
        <f>"1014563468"</f>
        <v>1014563468</v>
      </c>
      <c r="D3196" s="1" t="s">
        <v>3271</v>
      </c>
      <c r="E3196" s="1" t="s">
        <v>3272</v>
      </c>
      <c r="F3196" s="1" t="s">
        <v>16</v>
      </c>
      <c r="G3196" s="1" t="s">
        <v>17</v>
      </c>
      <c r="H3196" s="1" t="str">
        <f>"65"</f>
        <v>65</v>
      </c>
      <c r="I3196" s="1" t="str">
        <f>"158.2"</f>
        <v>158.2</v>
      </c>
      <c r="J3196" s="1" t="str">
        <f t="shared" ref="J3196:N3196" si="2081">"0"</f>
        <v>0</v>
      </c>
      <c r="K3196" s="1" t="str">
        <f t="shared" si="2042"/>
        <v>103</v>
      </c>
      <c r="L3196" s="1" t="str">
        <f t="shared" si="2043"/>
        <v>47</v>
      </c>
      <c r="M3196" s="1" t="str">
        <f t="shared" si="2081"/>
        <v>0</v>
      </c>
      <c r="N3196" s="1" t="str">
        <f t="shared" si="2081"/>
        <v>0</v>
      </c>
      <c r="O3196" s="1" t="str">
        <f>"8.2"</f>
        <v>8.2</v>
      </c>
    </row>
    <row r="3197" s="1" customFormat="1" spans="1:15">
      <c r="A3197" s="1" t="str">
        <f t="shared" si="2011"/>
        <v>202406</v>
      </c>
      <c r="B3197" s="1" t="str">
        <f t="shared" si="2012"/>
        <v>150525100</v>
      </c>
      <c r="C3197" s="1" t="str">
        <f>"1014569884"</f>
        <v>1014569884</v>
      </c>
      <c r="D3197" s="1" t="str">
        <f>"152326195810120424"</f>
        <v>152326195810120424</v>
      </c>
      <c r="E3197" s="1" t="s">
        <v>3273</v>
      </c>
      <c r="F3197" s="1" t="s">
        <v>16</v>
      </c>
      <c r="G3197" s="1" t="s">
        <v>19</v>
      </c>
      <c r="H3197" s="1" t="str">
        <f t="shared" ref="H3197:H3200" si="2082">"66"</f>
        <v>66</v>
      </c>
      <c r="I3197" s="1" t="str">
        <f>"158.09"</f>
        <v>158.09</v>
      </c>
      <c r="J3197" s="1" t="str">
        <f t="shared" ref="J3197:N3197" si="2083">"0"</f>
        <v>0</v>
      </c>
      <c r="K3197" s="1" t="str">
        <f t="shared" si="2042"/>
        <v>103</v>
      </c>
      <c r="L3197" s="1" t="str">
        <f t="shared" si="2043"/>
        <v>47</v>
      </c>
      <c r="M3197" s="1" t="str">
        <f t="shared" si="2083"/>
        <v>0</v>
      </c>
      <c r="N3197" s="1" t="str">
        <f t="shared" si="2083"/>
        <v>0</v>
      </c>
      <c r="O3197" s="1" t="str">
        <f>"8.09"</f>
        <v>8.09</v>
      </c>
    </row>
    <row r="3198" s="1" customFormat="1" spans="1:15">
      <c r="A3198" s="1" t="str">
        <f t="shared" si="2011"/>
        <v>202406</v>
      </c>
      <c r="B3198" s="1" t="str">
        <f t="shared" si="2012"/>
        <v>150525100</v>
      </c>
      <c r="C3198" s="1" t="str">
        <f>"1014583785"</f>
        <v>1014583785</v>
      </c>
      <c r="D3198" s="1" t="str">
        <f>"152326195708057641"</f>
        <v>152326195708057641</v>
      </c>
      <c r="E3198" s="1" t="s">
        <v>3274</v>
      </c>
      <c r="F3198" s="1" t="s">
        <v>16</v>
      </c>
      <c r="G3198" s="1" t="s">
        <v>19</v>
      </c>
      <c r="H3198" s="1" t="str">
        <f>"67"</f>
        <v>67</v>
      </c>
      <c r="I3198" s="1" t="str">
        <f>"156.09"</f>
        <v>156.09</v>
      </c>
      <c r="J3198" s="1" t="str">
        <f t="shared" ref="J3198:N3198" si="2084">"0"</f>
        <v>0</v>
      </c>
      <c r="K3198" s="1" t="str">
        <f t="shared" si="2042"/>
        <v>103</v>
      </c>
      <c r="L3198" s="1" t="str">
        <f t="shared" si="2043"/>
        <v>47</v>
      </c>
      <c r="M3198" s="1" t="str">
        <f t="shared" si="2084"/>
        <v>0</v>
      </c>
      <c r="N3198" s="1" t="str">
        <f t="shared" si="2084"/>
        <v>0</v>
      </c>
      <c r="O3198" s="1" t="str">
        <f>"6.09"</f>
        <v>6.09</v>
      </c>
    </row>
    <row r="3199" s="1" customFormat="1" spans="1:15">
      <c r="A3199" s="1" t="str">
        <f t="shared" si="2011"/>
        <v>202406</v>
      </c>
      <c r="B3199" s="1" t="str">
        <f t="shared" si="2012"/>
        <v>150525100</v>
      </c>
      <c r="C3199" s="1" t="str">
        <f>"1014583791"</f>
        <v>1014583791</v>
      </c>
      <c r="D3199" s="1" t="str">
        <f>"152326195807120669"</f>
        <v>152326195807120669</v>
      </c>
      <c r="E3199" s="1" t="s">
        <v>3275</v>
      </c>
      <c r="F3199" s="1" t="s">
        <v>16</v>
      </c>
      <c r="G3199" s="1" t="s">
        <v>19</v>
      </c>
      <c r="H3199" s="1" t="str">
        <f t="shared" si="2082"/>
        <v>66</v>
      </c>
      <c r="I3199" s="1" t="str">
        <f>"157.1"</f>
        <v>157.1</v>
      </c>
      <c r="J3199" s="1" t="str">
        <f t="shared" ref="J3199:N3199" si="2085">"0"</f>
        <v>0</v>
      </c>
      <c r="K3199" s="1" t="str">
        <f t="shared" si="2042"/>
        <v>103</v>
      </c>
      <c r="L3199" s="1" t="str">
        <f t="shared" si="2043"/>
        <v>47</v>
      </c>
      <c r="M3199" s="1" t="str">
        <f t="shared" si="2085"/>
        <v>0</v>
      </c>
      <c r="N3199" s="1" t="str">
        <f t="shared" si="2085"/>
        <v>0</v>
      </c>
      <c r="O3199" s="1" t="str">
        <f>"7.1"</f>
        <v>7.1</v>
      </c>
    </row>
    <row r="3200" s="1" customFormat="1" spans="1:15">
      <c r="A3200" s="1" t="str">
        <f t="shared" si="2011"/>
        <v>202406</v>
      </c>
      <c r="B3200" s="1" t="str">
        <f t="shared" si="2012"/>
        <v>150525100</v>
      </c>
      <c r="C3200" s="1" t="str">
        <f>"1014584101"</f>
        <v>1014584101</v>
      </c>
      <c r="D3200" s="1" t="str">
        <f>"152326195805057627"</f>
        <v>152326195805057627</v>
      </c>
      <c r="E3200" s="1" t="s">
        <v>3276</v>
      </c>
      <c r="F3200" s="1" t="s">
        <v>16</v>
      </c>
      <c r="G3200" s="1" t="s">
        <v>17</v>
      </c>
      <c r="H3200" s="1" t="str">
        <f t="shared" si="2082"/>
        <v>66</v>
      </c>
      <c r="I3200" s="1" t="str">
        <f>"157.63"</f>
        <v>157.63</v>
      </c>
      <c r="J3200" s="1" t="str">
        <f t="shared" ref="J3200:N3200" si="2086">"0"</f>
        <v>0</v>
      </c>
      <c r="K3200" s="1" t="str">
        <f t="shared" si="2042"/>
        <v>103</v>
      </c>
      <c r="L3200" s="1" t="str">
        <f t="shared" si="2043"/>
        <v>47</v>
      </c>
      <c r="M3200" s="1" t="str">
        <f t="shared" si="2086"/>
        <v>0</v>
      </c>
      <c r="N3200" s="1" t="str">
        <f t="shared" si="2086"/>
        <v>0</v>
      </c>
      <c r="O3200" s="1" t="str">
        <f>"7.63"</f>
        <v>7.63</v>
      </c>
    </row>
    <row r="3201" s="1" customFormat="1" spans="1:15">
      <c r="A3201" s="1" t="str">
        <f t="shared" si="2011"/>
        <v>202406</v>
      </c>
      <c r="B3201" s="1" t="str">
        <f t="shared" si="2012"/>
        <v>150525100</v>
      </c>
      <c r="C3201" s="1" t="str">
        <f>"1014549664"</f>
        <v>1014549664</v>
      </c>
      <c r="D3201" s="1" t="s">
        <v>3277</v>
      </c>
      <c r="E3201" s="1" t="s">
        <v>3278</v>
      </c>
      <c r="F3201" s="1" t="s">
        <v>25</v>
      </c>
      <c r="G3201" s="1" t="s">
        <v>17</v>
      </c>
      <c r="H3201" s="1" t="str">
        <f>"65"</f>
        <v>65</v>
      </c>
      <c r="I3201" s="1" t="str">
        <f>"158.12"</f>
        <v>158.12</v>
      </c>
      <c r="J3201" s="1" t="str">
        <f t="shared" ref="J3201:N3201" si="2087">"0"</f>
        <v>0</v>
      </c>
      <c r="K3201" s="1" t="str">
        <f t="shared" si="2042"/>
        <v>103</v>
      </c>
      <c r="L3201" s="1" t="str">
        <f t="shared" si="2043"/>
        <v>47</v>
      </c>
      <c r="M3201" s="1" t="str">
        <f t="shared" si="2087"/>
        <v>0</v>
      </c>
      <c r="N3201" s="1" t="str">
        <f t="shared" si="2087"/>
        <v>0</v>
      </c>
      <c r="O3201" s="1" t="str">
        <f>"8.12"</f>
        <v>8.12</v>
      </c>
    </row>
    <row r="3202" s="1" customFormat="1" spans="1:15">
      <c r="A3202" s="1" t="str">
        <f t="shared" ref="A3202:A3265" si="2088">"202406"</f>
        <v>202406</v>
      </c>
      <c r="B3202" s="1" t="str">
        <f t="shared" ref="B3202:B3265" si="2089">"150525100"</f>
        <v>150525100</v>
      </c>
      <c r="C3202" s="1" t="str">
        <f>"1014550196"</f>
        <v>1014550196</v>
      </c>
      <c r="D3202" s="1" t="str">
        <f>"152326195712190680"</f>
        <v>152326195712190680</v>
      </c>
      <c r="E3202" s="1" t="s">
        <v>1407</v>
      </c>
      <c r="F3202" s="1" t="s">
        <v>16</v>
      </c>
      <c r="G3202" s="1" t="s">
        <v>17</v>
      </c>
      <c r="H3202" s="1" t="str">
        <f>"67"</f>
        <v>67</v>
      </c>
      <c r="I3202" s="1" t="str">
        <f>"156.12"</f>
        <v>156.12</v>
      </c>
      <c r="J3202" s="1" t="str">
        <f t="shared" ref="J3202:N3202" si="2090">"0"</f>
        <v>0</v>
      </c>
      <c r="K3202" s="1" t="str">
        <f t="shared" si="2042"/>
        <v>103</v>
      </c>
      <c r="L3202" s="1" t="str">
        <f t="shared" si="2043"/>
        <v>47</v>
      </c>
      <c r="M3202" s="1" t="str">
        <f t="shared" si="2090"/>
        <v>0</v>
      </c>
      <c r="N3202" s="1" t="str">
        <f t="shared" si="2090"/>
        <v>0</v>
      </c>
      <c r="O3202" s="1" t="str">
        <f>"6.12"</f>
        <v>6.12</v>
      </c>
    </row>
    <row r="3203" s="1" customFormat="1" spans="1:15">
      <c r="A3203" s="1" t="str">
        <f t="shared" si="2088"/>
        <v>202406</v>
      </c>
      <c r="B3203" s="1" t="str">
        <f t="shared" si="2089"/>
        <v>150525100</v>
      </c>
      <c r="C3203" s="1" t="str">
        <f>"1014550687"</f>
        <v>1014550687</v>
      </c>
      <c r="D3203" s="1" t="str">
        <f>"152326195308183323"</f>
        <v>152326195308183323</v>
      </c>
      <c r="E3203" s="1" t="s">
        <v>234</v>
      </c>
      <c r="F3203" s="1" t="s">
        <v>16</v>
      </c>
      <c r="G3203" s="1" t="s">
        <v>17</v>
      </c>
      <c r="H3203" s="1" t="str">
        <f>"71"</f>
        <v>71</v>
      </c>
      <c r="I3203" s="1" t="str">
        <f>"163.16"</f>
        <v>163.16</v>
      </c>
      <c r="J3203" s="1" t="str">
        <f t="shared" ref="J3203:N3203" si="2091">"0"</f>
        <v>0</v>
      </c>
      <c r="K3203" s="1" t="str">
        <f t="shared" si="2042"/>
        <v>103</v>
      </c>
      <c r="L3203" s="1" t="str">
        <f t="shared" si="2043"/>
        <v>47</v>
      </c>
      <c r="M3203" s="1" t="str">
        <f t="shared" si="2091"/>
        <v>0</v>
      </c>
      <c r="N3203" s="1" t="str">
        <f t="shared" si="2091"/>
        <v>0</v>
      </c>
      <c r="O3203" s="1" t="str">
        <f>"3.16"</f>
        <v>3.16</v>
      </c>
    </row>
    <row r="3204" s="1" customFormat="1" spans="1:15">
      <c r="A3204" s="1" t="str">
        <f t="shared" si="2088"/>
        <v>202406</v>
      </c>
      <c r="B3204" s="1" t="str">
        <f t="shared" si="2089"/>
        <v>150525100</v>
      </c>
      <c r="C3204" s="1" t="str">
        <f>"1040642191"</f>
        <v>1040642191</v>
      </c>
      <c r="D3204" s="1" t="str">
        <f>"152326195501023321"</f>
        <v>152326195501023321</v>
      </c>
      <c r="E3204" s="1" t="s">
        <v>3279</v>
      </c>
      <c r="F3204" s="1" t="s">
        <v>16</v>
      </c>
      <c r="G3204" s="1" t="s">
        <v>19</v>
      </c>
      <c r="H3204" s="1" t="str">
        <f>"70"</f>
        <v>70</v>
      </c>
      <c r="I3204" s="1" t="str">
        <f>"155.83"</f>
        <v>155.83</v>
      </c>
      <c r="J3204" s="1" t="str">
        <f t="shared" ref="J3204:N3204" si="2092">"0"</f>
        <v>0</v>
      </c>
      <c r="K3204" s="1" t="str">
        <f t="shared" si="2042"/>
        <v>103</v>
      </c>
      <c r="L3204" s="1" t="str">
        <f t="shared" si="2043"/>
        <v>47</v>
      </c>
      <c r="M3204" s="1" t="str">
        <f t="shared" si="2092"/>
        <v>0</v>
      </c>
      <c r="N3204" s="1" t="str">
        <f t="shared" si="2092"/>
        <v>0</v>
      </c>
      <c r="O3204" s="1" t="str">
        <f>"5.83"</f>
        <v>5.83</v>
      </c>
    </row>
    <row r="3205" s="1" customFormat="1" spans="1:15">
      <c r="A3205" s="1" t="str">
        <f t="shared" si="2088"/>
        <v>202406</v>
      </c>
      <c r="B3205" s="1" t="str">
        <f t="shared" si="2089"/>
        <v>150525100</v>
      </c>
      <c r="C3205" s="1" t="str">
        <f>"1040642194"</f>
        <v>1040642194</v>
      </c>
      <c r="D3205" s="1" t="str">
        <f>"152326195506253310"</f>
        <v>152326195506253310</v>
      </c>
      <c r="E3205" s="1" t="s">
        <v>3280</v>
      </c>
      <c r="F3205" s="1" t="s">
        <v>25</v>
      </c>
      <c r="G3205" s="1" t="s">
        <v>19</v>
      </c>
      <c r="H3205" s="1" t="str">
        <f>"69"</f>
        <v>69</v>
      </c>
      <c r="I3205" s="1" t="str">
        <f>"154.52"</f>
        <v>154.52</v>
      </c>
      <c r="J3205" s="1" t="str">
        <f t="shared" ref="J3205:N3205" si="2093">"0"</f>
        <v>0</v>
      </c>
      <c r="K3205" s="1" t="str">
        <f t="shared" si="2042"/>
        <v>103</v>
      </c>
      <c r="L3205" s="1" t="str">
        <f t="shared" si="2043"/>
        <v>47</v>
      </c>
      <c r="M3205" s="1" t="str">
        <f t="shared" si="2093"/>
        <v>0</v>
      </c>
      <c r="N3205" s="1" t="str">
        <f t="shared" si="2093"/>
        <v>0</v>
      </c>
      <c r="O3205" s="1" t="str">
        <f>"4.52"</f>
        <v>4.52</v>
      </c>
    </row>
    <row r="3206" s="1" customFormat="1" spans="1:15">
      <c r="A3206" s="1" t="str">
        <f t="shared" si="2088"/>
        <v>202406</v>
      </c>
      <c r="B3206" s="1" t="str">
        <f t="shared" si="2089"/>
        <v>150525100</v>
      </c>
      <c r="C3206" s="1" t="str">
        <f>"1040642160"</f>
        <v>1040642160</v>
      </c>
      <c r="D3206" s="1" t="s">
        <v>3281</v>
      </c>
      <c r="E3206" s="1" t="s">
        <v>3282</v>
      </c>
      <c r="F3206" s="1" t="s">
        <v>25</v>
      </c>
      <c r="G3206" s="1" t="s">
        <v>19</v>
      </c>
      <c r="H3206" s="1" t="str">
        <f>"65"</f>
        <v>65</v>
      </c>
      <c r="I3206" s="1" t="str">
        <f>"160.85"</f>
        <v>160.85</v>
      </c>
      <c r="J3206" s="1" t="str">
        <f t="shared" ref="J3206:N3206" si="2094">"0"</f>
        <v>0</v>
      </c>
      <c r="K3206" s="1" t="str">
        <f t="shared" si="2042"/>
        <v>103</v>
      </c>
      <c r="L3206" s="1" t="str">
        <f t="shared" si="2043"/>
        <v>47</v>
      </c>
      <c r="M3206" s="1" t="str">
        <f t="shared" si="2094"/>
        <v>0</v>
      </c>
      <c r="N3206" s="1" t="str">
        <f t="shared" si="2094"/>
        <v>0</v>
      </c>
      <c r="O3206" s="1" t="str">
        <f>"10.85"</f>
        <v>10.85</v>
      </c>
    </row>
    <row r="3207" s="1" customFormat="1" spans="1:15">
      <c r="A3207" s="1" t="str">
        <f t="shared" si="2088"/>
        <v>202406</v>
      </c>
      <c r="B3207" s="1" t="str">
        <f t="shared" si="2089"/>
        <v>150525100</v>
      </c>
      <c r="C3207" s="1" t="str">
        <f>"1040642171"</f>
        <v>1040642171</v>
      </c>
      <c r="D3207" s="1" t="str">
        <f>"152326195704253311"</f>
        <v>152326195704253311</v>
      </c>
      <c r="E3207" s="1" t="s">
        <v>3283</v>
      </c>
      <c r="F3207" s="1" t="s">
        <v>25</v>
      </c>
      <c r="G3207" s="1" t="s">
        <v>19</v>
      </c>
      <c r="H3207" s="1" t="str">
        <f>"67"</f>
        <v>67</v>
      </c>
      <c r="I3207" s="1" t="str">
        <f>"155.46"</f>
        <v>155.46</v>
      </c>
      <c r="J3207" s="1" t="str">
        <f t="shared" ref="J3207:N3207" si="2095">"0"</f>
        <v>0</v>
      </c>
      <c r="K3207" s="1" t="str">
        <f t="shared" si="2042"/>
        <v>103</v>
      </c>
      <c r="L3207" s="1" t="str">
        <f t="shared" si="2043"/>
        <v>47</v>
      </c>
      <c r="M3207" s="1" t="str">
        <f t="shared" si="2095"/>
        <v>0</v>
      </c>
      <c r="N3207" s="1" t="str">
        <f t="shared" si="2095"/>
        <v>0</v>
      </c>
      <c r="O3207" s="1" t="str">
        <f>"5.46"</f>
        <v>5.46</v>
      </c>
    </row>
    <row r="3208" s="1" customFormat="1" spans="1:15">
      <c r="A3208" s="1" t="str">
        <f t="shared" si="2088"/>
        <v>202406</v>
      </c>
      <c r="B3208" s="1" t="str">
        <f t="shared" si="2089"/>
        <v>150525100</v>
      </c>
      <c r="C3208" s="1" t="str">
        <f>"1040642235"</f>
        <v>1040642235</v>
      </c>
      <c r="D3208" s="1" t="str">
        <f>"152326195709133327"</f>
        <v>152326195709133327</v>
      </c>
      <c r="E3208" s="1" t="s">
        <v>3284</v>
      </c>
      <c r="F3208" s="1" t="s">
        <v>16</v>
      </c>
      <c r="G3208" s="1" t="s">
        <v>19</v>
      </c>
      <c r="H3208" s="1" t="str">
        <f>"67"</f>
        <v>67</v>
      </c>
      <c r="I3208" s="1" t="str">
        <f>"155.25"</f>
        <v>155.25</v>
      </c>
      <c r="J3208" s="1" t="str">
        <f t="shared" ref="J3208:N3208" si="2096">"0"</f>
        <v>0</v>
      </c>
      <c r="K3208" s="1" t="str">
        <f t="shared" si="2042"/>
        <v>103</v>
      </c>
      <c r="L3208" s="1" t="str">
        <f t="shared" si="2043"/>
        <v>47</v>
      </c>
      <c r="M3208" s="1" t="str">
        <f t="shared" si="2096"/>
        <v>0</v>
      </c>
      <c r="N3208" s="1" t="str">
        <f t="shared" si="2096"/>
        <v>0</v>
      </c>
      <c r="O3208" s="1" t="str">
        <f>"5.25"</f>
        <v>5.25</v>
      </c>
    </row>
    <row r="3209" s="1" customFormat="1" spans="1:15">
      <c r="A3209" s="1" t="str">
        <f t="shared" si="2088"/>
        <v>202406</v>
      </c>
      <c r="B3209" s="1" t="str">
        <f t="shared" si="2089"/>
        <v>150525100</v>
      </c>
      <c r="C3209" s="1" t="str">
        <f>"1040642239"</f>
        <v>1040642239</v>
      </c>
      <c r="D3209" s="1" t="s">
        <v>3285</v>
      </c>
      <c r="E3209" s="1" t="s">
        <v>3286</v>
      </c>
      <c r="F3209" s="1" t="s">
        <v>16</v>
      </c>
      <c r="G3209" s="1" t="s">
        <v>19</v>
      </c>
      <c r="H3209" s="1" t="str">
        <f>"66"</f>
        <v>66</v>
      </c>
      <c r="I3209" s="1" t="str">
        <f>"157.49"</f>
        <v>157.49</v>
      </c>
      <c r="J3209" s="1" t="str">
        <f t="shared" ref="J3209:N3209" si="2097">"0"</f>
        <v>0</v>
      </c>
      <c r="K3209" s="1" t="str">
        <f t="shared" si="2042"/>
        <v>103</v>
      </c>
      <c r="L3209" s="1" t="str">
        <f t="shared" si="2043"/>
        <v>47</v>
      </c>
      <c r="M3209" s="1" t="str">
        <f t="shared" si="2097"/>
        <v>0</v>
      </c>
      <c r="N3209" s="1" t="str">
        <f t="shared" si="2097"/>
        <v>0</v>
      </c>
      <c r="O3209" s="1" t="str">
        <f>"7.49"</f>
        <v>7.49</v>
      </c>
    </row>
    <row r="3210" s="1" customFormat="1" spans="1:15">
      <c r="A3210" s="1" t="str">
        <f t="shared" si="2088"/>
        <v>202406</v>
      </c>
      <c r="B3210" s="1" t="str">
        <f t="shared" si="2089"/>
        <v>150525100</v>
      </c>
      <c r="C3210" s="1" t="str">
        <f>"1040642261"</f>
        <v>1040642261</v>
      </c>
      <c r="D3210" s="1" t="str">
        <f>"152326195405083324"</f>
        <v>152326195405083324</v>
      </c>
      <c r="E3210" s="1" t="s">
        <v>2418</v>
      </c>
      <c r="F3210" s="1" t="s">
        <v>16</v>
      </c>
      <c r="G3210" s="1" t="s">
        <v>19</v>
      </c>
      <c r="H3210" s="1" t="str">
        <f>"70"</f>
        <v>70</v>
      </c>
      <c r="I3210" s="1" t="str">
        <f>"163.56"</f>
        <v>163.56</v>
      </c>
      <c r="J3210" s="1" t="str">
        <f t="shared" ref="J3210:N3210" si="2098">"0"</f>
        <v>0</v>
      </c>
      <c r="K3210" s="1" t="str">
        <f t="shared" si="2042"/>
        <v>103</v>
      </c>
      <c r="L3210" s="1" t="str">
        <f t="shared" si="2043"/>
        <v>47</v>
      </c>
      <c r="M3210" s="1" t="str">
        <f t="shared" si="2098"/>
        <v>0</v>
      </c>
      <c r="N3210" s="1" t="str">
        <f t="shared" si="2098"/>
        <v>0</v>
      </c>
      <c r="O3210" s="1" t="str">
        <f>"3.56"</f>
        <v>3.56</v>
      </c>
    </row>
    <row r="3211" s="1" customFormat="1" spans="1:15">
      <c r="A3211" s="1" t="str">
        <f t="shared" si="2088"/>
        <v>202406</v>
      </c>
      <c r="B3211" s="1" t="str">
        <f t="shared" si="2089"/>
        <v>150525100</v>
      </c>
      <c r="C3211" s="1" t="str">
        <f>"1014585218"</f>
        <v>1014585218</v>
      </c>
      <c r="D3211" s="1" t="str">
        <f>"152326196301140667"</f>
        <v>152326196301140667</v>
      </c>
      <c r="E3211" s="1" t="s">
        <v>3287</v>
      </c>
      <c r="F3211" s="1" t="s">
        <v>16</v>
      </c>
      <c r="G3211" s="1" t="s">
        <v>17</v>
      </c>
      <c r="H3211" s="1" t="str">
        <f t="shared" ref="H3211:H3215" si="2099">"61"</f>
        <v>61</v>
      </c>
      <c r="I3211" s="1" t="str">
        <f>"165.37"</f>
        <v>165.37</v>
      </c>
      <c r="J3211" s="1" t="str">
        <f t="shared" ref="J3211:N3211" si="2100">"0"</f>
        <v>0</v>
      </c>
      <c r="K3211" s="1" t="str">
        <f t="shared" si="2042"/>
        <v>103</v>
      </c>
      <c r="L3211" s="1" t="str">
        <f t="shared" si="2043"/>
        <v>47</v>
      </c>
      <c r="M3211" s="1" t="str">
        <f t="shared" si="2100"/>
        <v>0</v>
      </c>
      <c r="N3211" s="1" t="str">
        <f t="shared" si="2100"/>
        <v>0</v>
      </c>
      <c r="O3211" s="1" t="str">
        <f>"15.37"</f>
        <v>15.37</v>
      </c>
    </row>
    <row r="3212" s="1" customFormat="1" spans="1:15">
      <c r="A3212" s="1" t="str">
        <f t="shared" si="2088"/>
        <v>202406</v>
      </c>
      <c r="B3212" s="1" t="str">
        <f t="shared" si="2089"/>
        <v>150525100</v>
      </c>
      <c r="C3212" s="1" t="str">
        <f>"1014562608"</f>
        <v>1014562608</v>
      </c>
      <c r="D3212" s="1" t="str">
        <f>"152326196203120419"</f>
        <v>152326196203120419</v>
      </c>
      <c r="E3212" s="1" t="s">
        <v>3288</v>
      </c>
      <c r="F3212" s="1" t="s">
        <v>25</v>
      </c>
      <c r="G3212" s="1" t="s">
        <v>19</v>
      </c>
      <c r="H3212" s="1" t="str">
        <f>"62"</f>
        <v>62</v>
      </c>
      <c r="I3212" s="1" t="str">
        <f>"162.96"</f>
        <v>162.96</v>
      </c>
      <c r="J3212" s="1" t="str">
        <f t="shared" ref="J3212:N3212" si="2101">"0"</f>
        <v>0</v>
      </c>
      <c r="K3212" s="1" t="str">
        <f t="shared" si="2042"/>
        <v>103</v>
      </c>
      <c r="L3212" s="1" t="str">
        <f t="shared" si="2043"/>
        <v>47</v>
      </c>
      <c r="M3212" s="1" t="str">
        <f t="shared" si="2101"/>
        <v>0</v>
      </c>
      <c r="N3212" s="1" t="str">
        <f t="shared" si="2101"/>
        <v>0</v>
      </c>
      <c r="O3212" s="1" t="str">
        <f>"12.96"</f>
        <v>12.96</v>
      </c>
    </row>
    <row r="3213" s="1" customFormat="1" spans="1:15">
      <c r="A3213" s="1" t="str">
        <f t="shared" si="2088"/>
        <v>202406</v>
      </c>
      <c r="B3213" s="1" t="str">
        <f t="shared" si="2089"/>
        <v>150525100</v>
      </c>
      <c r="C3213" s="1" t="str">
        <f>"1014562613"</f>
        <v>1014562613</v>
      </c>
      <c r="D3213" s="1" t="str">
        <f>"152326196307040421"</f>
        <v>152326196307040421</v>
      </c>
      <c r="E3213" s="1" t="s">
        <v>3289</v>
      </c>
      <c r="F3213" s="1" t="s">
        <v>16</v>
      </c>
      <c r="G3213" s="1" t="s">
        <v>19</v>
      </c>
      <c r="H3213" s="1" t="str">
        <f t="shared" si="2099"/>
        <v>61</v>
      </c>
      <c r="I3213" s="1" t="str">
        <f>"165.05"</f>
        <v>165.05</v>
      </c>
      <c r="J3213" s="1" t="str">
        <f t="shared" ref="J3213:N3213" si="2102">"0"</f>
        <v>0</v>
      </c>
      <c r="K3213" s="1" t="str">
        <f t="shared" si="2042"/>
        <v>103</v>
      </c>
      <c r="L3213" s="1" t="str">
        <f t="shared" si="2043"/>
        <v>47</v>
      </c>
      <c r="M3213" s="1" t="str">
        <f t="shared" si="2102"/>
        <v>0</v>
      </c>
      <c r="N3213" s="1" t="str">
        <f t="shared" si="2102"/>
        <v>0</v>
      </c>
      <c r="O3213" s="1" t="str">
        <f>"15.05"</f>
        <v>15.05</v>
      </c>
    </row>
    <row r="3214" s="1" customFormat="1" spans="1:15">
      <c r="A3214" s="1" t="str">
        <f t="shared" si="2088"/>
        <v>202406</v>
      </c>
      <c r="B3214" s="1" t="str">
        <f t="shared" si="2089"/>
        <v>150525100</v>
      </c>
      <c r="C3214" s="1" t="str">
        <f>"1014562614"</f>
        <v>1014562614</v>
      </c>
      <c r="D3214" s="1" t="str">
        <f>"152326195402240419"</f>
        <v>152326195402240419</v>
      </c>
      <c r="E3214" s="1" t="s">
        <v>3290</v>
      </c>
      <c r="F3214" s="1" t="s">
        <v>25</v>
      </c>
      <c r="G3214" s="1" t="s">
        <v>19</v>
      </c>
      <c r="H3214" s="1" t="str">
        <f>"70"</f>
        <v>70</v>
      </c>
      <c r="I3214" s="1" t="str">
        <f>"164.16"</f>
        <v>164.16</v>
      </c>
      <c r="J3214" s="1" t="str">
        <f t="shared" ref="J3214:N3214" si="2103">"0"</f>
        <v>0</v>
      </c>
      <c r="K3214" s="1" t="str">
        <f t="shared" si="2042"/>
        <v>103</v>
      </c>
      <c r="L3214" s="1" t="str">
        <f t="shared" si="2043"/>
        <v>47</v>
      </c>
      <c r="M3214" s="1" t="str">
        <f t="shared" si="2103"/>
        <v>0</v>
      </c>
      <c r="N3214" s="1" t="str">
        <f t="shared" si="2103"/>
        <v>0</v>
      </c>
      <c r="O3214" s="1" t="str">
        <f>"4.16"</f>
        <v>4.16</v>
      </c>
    </row>
    <row r="3215" s="1" customFormat="1" spans="1:15">
      <c r="A3215" s="1" t="str">
        <f t="shared" si="2088"/>
        <v>202406</v>
      </c>
      <c r="B3215" s="1" t="str">
        <f t="shared" si="2089"/>
        <v>150525100</v>
      </c>
      <c r="C3215" s="1" t="str">
        <f>"1014562633"</f>
        <v>1014562633</v>
      </c>
      <c r="D3215" s="1" t="str">
        <f>"152326196307080423"</f>
        <v>152326196307080423</v>
      </c>
      <c r="E3215" s="1" t="s">
        <v>3291</v>
      </c>
      <c r="F3215" s="1" t="s">
        <v>16</v>
      </c>
      <c r="G3215" s="1" t="s">
        <v>19</v>
      </c>
      <c r="H3215" s="1" t="str">
        <f t="shared" si="2099"/>
        <v>61</v>
      </c>
      <c r="I3215" s="1" t="str">
        <f>"166.56"</f>
        <v>166.56</v>
      </c>
      <c r="J3215" s="1" t="str">
        <f t="shared" ref="J3215:N3215" si="2104">"0"</f>
        <v>0</v>
      </c>
      <c r="K3215" s="1" t="str">
        <f t="shared" si="2042"/>
        <v>103</v>
      </c>
      <c r="L3215" s="1" t="str">
        <f t="shared" si="2043"/>
        <v>47</v>
      </c>
      <c r="M3215" s="1" t="str">
        <f t="shared" si="2104"/>
        <v>0</v>
      </c>
      <c r="N3215" s="1" t="str">
        <f t="shared" si="2104"/>
        <v>0</v>
      </c>
      <c r="O3215" s="1" t="str">
        <f>"16.56"</f>
        <v>16.56</v>
      </c>
    </row>
    <row r="3216" s="1" customFormat="1" spans="1:15">
      <c r="A3216" s="1" t="str">
        <f t="shared" si="2088"/>
        <v>202406</v>
      </c>
      <c r="B3216" s="1" t="str">
        <f t="shared" si="2089"/>
        <v>150525100</v>
      </c>
      <c r="C3216" s="1" t="str">
        <f>"1014550206"</f>
        <v>1014550206</v>
      </c>
      <c r="D3216" s="1" t="str">
        <f>"152326195803080671"</f>
        <v>152326195803080671</v>
      </c>
      <c r="E3216" s="1" t="s">
        <v>3292</v>
      </c>
      <c r="F3216" s="1" t="s">
        <v>25</v>
      </c>
      <c r="G3216" s="1" t="s">
        <v>17</v>
      </c>
      <c r="H3216" s="1" t="str">
        <f>"66"</f>
        <v>66</v>
      </c>
      <c r="I3216" s="1" t="str">
        <f>"166.59"</f>
        <v>166.59</v>
      </c>
      <c r="J3216" s="1" t="str">
        <f t="shared" ref="J3216:N3216" si="2105">"0"</f>
        <v>0</v>
      </c>
      <c r="K3216" s="1" t="str">
        <f t="shared" si="2042"/>
        <v>103</v>
      </c>
      <c r="L3216" s="1" t="str">
        <f t="shared" si="2043"/>
        <v>47</v>
      </c>
      <c r="M3216" s="1" t="str">
        <f t="shared" si="2105"/>
        <v>0</v>
      </c>
      <c r="N3216" s="1" t="str">
        <f t="shared" si="2105"/>
        <v>0</v>
      </c>
      <c r="O3216" s="1" t="str">
        <f>"16.59"</f>
        <v>16.59</v>
      </c>
    </row>
    <row r="3217" s="1" customFormat="1" spans="1:15">
      <c r="A3217" s="1" t="str">
        <f t="shared" si="2088"/>
        <v>202406</v>
      </c>
      <c r="B3217" s="1" t="str">
        <f t="shared" si="2089"/>
        <v>150525100</v>
      </c>
      <c r="C3217" s="1" t="str">
        <f>"1014561165"</f>
        <v>1014561165</v>
      </c>
      <c r="D3217" s="1" t="str">
        <f>"152326195509240427"</f>
        <v>152326195509240427</v>
      </c>
      <c r="E3217" s="1" t="s">
        <v>3293</v>
      </c>
      <c r="F3217" s="1" t="s">
        <v>16</v>
      </c>
      <c r="G3217" s="1" t="s">
        <v>17</v>
      </c>
      <c r="H3217" s="1" t="str">
        <f>"69"</f>
        <v>69</v>
      </c>
      <c r="I3217" s="1" t="str">
        <f>"155.1"</f>
        <v>155.1</v>
      </c>
      <c r="J3217" s="1" t="str">
        <f t="shared" ref="J3217:N3217" si="2106">"0"</f>
        <v>0</v>
      </c>
      <c r="K3217" s="1" t="str">
        <f t="shared" si="2042"/>
        <v>103</v>
      </c>
      <c r="L3217" s="1" t="str">
        <f t="shared" si="2043"/>
        <v>47</v>
      </c>
      <c r="M3217" s="1" t="str">
        <f t="shared" si="2106"/>
        <v>0</v>
      </c>
      <c r="N3217" s="1" t="str">
        <f t="shared" si="2106"/>
        <v>0</v>
      </c>
      <c r="O3217" s="1" t="str">
        <f>"5.1"</f>
        <v>5.1</v>
      </c>
    </row>
    <row r="3218" s="1" customFormat="1" spans="1:15">
      <c r="A3218" s="1" t="str">
        <f t="shared" si="2088"/>
        <v>202406</v>
      </c>
      <c r="B3218" s="1" t="str">
        <f t="shared" si="2089"/>
        <v>150525100</v>
      </c>
      <c r="C3218" s="1" t="str">
        <f>"1014561168"</f>
        <v>1014561168</v>
      </c>
      <c r="D3218" s="1" t="str">
        <f>"152326195512290425"</f>
        <v>152326195512290425</v>
      </c>
      <c r="E3218" s="1" t="s">
        <v>3294</v>
      </c>
      <c r="F3218" s="1" t="s">
        <v>16</v>
      </c>
      <c r="G3218" s="1" t="s">
        <v>19</v>
      </c>
      <c r="H3218" s="1" t="str">
        <f>"69"</f>
        <v>69</v>
      </c>
      <c r="I3218" s="1" t="str">
        <f>"155.1"</f>
        <v>155.1</v>
      </c>
      <c r="J3218" s="1" t="str">
        <f t="shared" ref="J3218:N3218" si="2107">"0"</f>
        <v>0</v>
      </c>
      <c r="K3218" s="1" t="str">
        <f t="shared" si="2042"/>
        <v>103</v>
      </c>
      <c r="L3218" s="1" t="str">
        <f t="shared" si="2043"/>
        <v>47</v>
      </c>
      <c r="M3218" s="1" t="str">
        <f t="shared" si="2107"/>
        <v>0</v>
      </c>
      <c r="N3218" s="1" t="str">
        <f t="shared" si="2107"/>
        <v>0</v>
      </c>
      <c r="O3218" s="1" t="str">
        <f>"5.1"</f>
        <v>5.1</v>
      </c>
    </row>
    <row r="3219" s="1" customFormat="1" spans="1:15">
      <c r="A3219" s="1" t="str">
        <f t="shared" si="2088"/>
        <v>202406</v>
      </c>
      <c r="B3219" s="1" t="str">
        <f t="shared" si="2089"/>
        <v>150525100</v>
      </c>
      <c r="C3219" s="1" t="str">
        <f>"1014561419"</f>
        <v>1014561419</v>
      </c>
      <c r="D3219" s="1" t="str">
        <f>"152326195203060415"</f>
        <v>152326195203060415</v>
      </c>
      <c r="E3219" s="1" t="s">
        <v>3295</v>
      </c>
      <c r="F3219" s="1" t="s">
        <v>25</v>
      </c>
      <c r="G3219" s="1" t="s">
        <v>17</v>
      </c>
      <c r="H3219" s="1" t="str">
        <f>"72"</f>
        <v>72</v>
      </c>
      <c r="I3219" s="1" t="str">
        <f>"162.15"</f>
        <v>162.15</v>
      </c>
      <c r="J3219" s="1" t="str">
        <f t="shared" ref="J3219:N3219" si="2108">"0"</f>
        <v>0</v>
      </c>
      <c r="K3219" s="1" t="str">
        <f t="shared" si="2042"/>
        <v>103</v>
      </c>
      <c r="L3219" s="1" t="str">
        <f t="shared" si="2043"/>
        <v>47</v>
      </c>
      <c r="M3219" s="1" t="str">
        <f t="shared" si="2108"/>
        <v>0</v>
      </c>
      <c r="N3219" s="1" t="str">
        <f t="shared" si="2108"/>
        <v>0</v>
      </c>
      <c r="O3219" s="1" t="str">
        <f>"2.15"</f>
        <v>2.15</v>
      </c>
    </row>
    <row r="3220" s="1" customFormat="1" spans="1:15">
      <c r="A3220" s="1" t="str">
        <f t="shared" si="2088"/>
        <v>202406</v>
      </c>
      <c r="B3220" s="1" t="str">
        <f t="shared" si="2089"/>
        <v>150525100</v>
      </c>
      <c r="C3220" s="1" t="str">
        <f>"1014562647"</f>
        <v>1014562647</v>
      </c>
      <c r="D3220" s="1" t="str">
        <f>"152326196110210431"</f>
        <v>152326196110210431</v>
      </c>
      <c r="E3220" s="1" t="s">
        <v>3296</v>
      </c>
      <c r="F3220" s="1" t="s">
        <v>25</v>
      </c>
      <c r="G3220" s="1" t="s">
        <v>19</v>
      </c>
      <c r="H3220" s="1" t="str">
        <f>"63"</f>
        <v>63</v>
      </c>
      <c r="I3220" s="1" t="str">
        <f>"163.9"</f>
        <v>163.9</v>
      </c>
      <c r="J3220" s="1" t="str">
        <f t="shared" ref="J3220:N3220" si="2109">"0"</f>
        <v>0</v>
      </c>
      <c r="K3220" s="1" t="str">
        <f t="shared" si="2042"/>
        <v>103</v>
      </c>
      <c r="L3220" s="1" t="str">
        <f t="shared" si="2043"/>
        <v>47</v>
      </c>
      <c r="M3220" s="1" t="str">
        <f t="shared" si="2109"/>
        <v>0</v>
      </c>
      <c r="N3220" s="1" t="str">
        <f t="shared" si="2109"/>
        <v>0</v>
      </c>
      <c r="O3220" s="1" t="str">
        <f>"13.9"</f>
        <v>13.9</v>
      </c>
    </row>
    <row r="3221" s="1" customFormat="1" spans="1:15">
      <c r="A3221" s="1" t="str">
        <f t="shared" si="2088"/>
        <v>202406</v>
      </c>
      <c r="B3221" s="1" t="str">
        <f t="shared" si="2089"/>
        <v>150525100</v>
      </c>
      <c r="C3221" s="1" t="str">
        <f>"1014583872"</f>
        <v>1014583872</v>
      </c>
      <c r="D3221" s="1" t="str">
        <f>"152326196311050665"</f>
        <v>152326196311050665</v>
      </c>
      <c r="E3221" s="1" t="s">
        <v>3297</v>
      </c>
      <c r="F3221" s="1" t="s">
        <v>16</v>
      </c>
      <c r="G3221" s="1" t="s">
        <v>19</v>
      </c>
      <c r="H3221" s="1" t="str">
        <f t="shared" ref="H3221:H3226" si="2110">"61"</f>
        <v>61</v>
      </c>
      <c r="I3221" s="1" t="str">
        <f>"165.11"</f>
        <v>165.11</v>
      </c>
      <c r="J3221" s="1" t="str">
        <f t="shared" ref="J3221:N3221" si="2111">"0"</f>
        <v>0</v>
      </c>
      <c r="K3221" s="1" t="str">
        <f t="shared" si="2042"/>
        <v>103</v>
      </c>
      <c r="L3221" s="1" t="str">
        <f t="shared" si="2043"/>
        <v>47</v>
      </c>
      <c r="M3221" s="1" t="str">
        <f t="shared" si="2111"/>
        <v>0</v>
      </c>
      <c r="N3221" s="1" t="str">
        <f t="shared" si="2111"/>
        <v>0</v>
      </c>
      <c r="O3221" s="1" t="str">
        <f>"15.11"</f>
        <v>15.11</v>
      </c>
    </row>
    <row r="3222" s="1" customFormat="1" spans="1:15">
      <c r="A3222" s="1" t="str">
        <f t="shared" si="2088"/>
        <v>202406</v>
      </c>
      <c r="B3222" s="1" t="str">
        <f t="shared" si="2089"/>
        <v>150525100</v>
      </c>
      <c r="C3222" s="1" t="str">
        <f>"1014584177"</f>
        <v>1014584177</v>
      </c>
      <c r="D3222" s="1" t="str">
        <f>"152326195907250663"</f>
        <v>152326195907250663</v>
      </c>
      <c r="E3222" s="1" t="s">
        <v>3298</v>
      </c>
      <c r="F3222" s="1" t="s">
        <v>16</v>
      </c>
      <c r="G3222" s="1" t="s">
        <v>17</v>
      </c>
      <c r="H3222" s="1" t="str">
        <f>"65"</f>
        <v>65</v>
      </c>
      <c r="I3222" s="1" t="str">
        <f>"158.15"</f>
        <v>158.15</v>
      </c>
      <c r="J3222" s="1" t="str">
        <f t="shared" ref="J3222:N3222" si="2112">"0"</f>
        <v>0</v>
      </c>
      <c r="K3222" s="1" t="str">
        <f t="shared" si="2042"/>
        <v>103</v>
      </c>
      <c r="L3222" s="1" t="str">
        <f t="shared" si="2043"/>
        <v>47</v>
      </c>
      <c r="M3222" s="1" t="str">
        <f t="shared" si="2112"/>
        <v>0</v>
      </c>
      <c r="N3222" s="1" t="str">
        <f t="shared" si="2112"/>
        <v>0</v>
      </c>
      <c r="O3222" s="1" t="str">
        <f>"8.15"</f>
        <v>8.15</v>
      </c>
    </row>
    <row r="3223" s="1" customFormat="1" spans="1:15">
      <c r="A3223" s="1" t="str">
        <f t="shared" si="2088"/>
        <v>202406</v>
      </c>
      <c r="B3223" s="1" t="str">
        <f t="shared" si="2089"/>
        <v>150525100</v>
      </c>
      <c r="C3223" s="1" t="str">
        <f>"1014550260"</f>
        <v>1014550260</v>
      </c>
      <c r="D3223" s="1" t="str">
        <f>"152326195807020668"</f>
        <v>152326195807020668</v>
      </c>
      <c r="E3223" s="1" t="s">
        <v>3299</v>
      </c>
      <c r="F3223" s="1" t="s">
        <v>16</v>
      </c>
      <c r="G3223" s="1" t="s">
        <v>17</v>
      </c>
      <c r="H3223" s="1" t="str">
        <f>"66"</f>
        <v>66</v>
      </c>
      <c r="I3223" s="1" t="str">
        <f>"157.12"</f>
        <v>157.12</v>
      </c>
      <c r="J3223" s="1" t="str">
        <f t="shared" ref="J3223:N3223" si="2113">"0"</f>
        <v>0</v>
      </c>
      <c r="K3223" s="1" t="str">
        <f t="shared" si="2042"/>
        <v>103</v>
      </c>
      <c r="L3223" s="1" t="str">
        <f t="shared" si="2043"/>
        <v>47</v>
      </c>
      <c r="M3223" s="1" t="str">
        <f t="shared" si="2113"/>
        <v>0</v>
      </c>
      <c r="N3223" s="1" t="str">
        <f t="shared" si="2113"/>
        <v>0</v>
      </c>
      <c r="O3223" s="1" t="str">
        <f>"7.12"</f>
        <v>7.12</v>
      </c>
    </row>
    <row r="3224" s="1" customFormat="1" spans="1:15">
      <c r="A3224" s="1" t="str">
        <f t="shared" si="2088"/>
        <v>202406</v>
      </c>
      <c r="B3224" s="1" t="str">
        <f t="shared" si="2089"/>
        <v>150525100</v>
      </c>
      <c r="C3224" s="1" t="str">
        <f>"1014550265"</f>
        <v>1014550265</v>
      </c>
      <c r="D3224" s="1" t="str">
        <f>"152326195808230683"</f>
        <v>152326195808230683</v>
      </c>
      <c r="E3224" s="1" t="s">
        <v>3300</v>
      </c>
      <c r="F3224" s="1" t="s">
        <v>16</v>
      </c>
      <c r="G3224" s="1" t="s">
        <v>17</v>
      </c>
      <c r="H3224" s="1" t="str">
        <f>"66"</f>
        <v>66</v>
      </c>
      <c r="I3224" s="1" t="str">
        <f>"157.13"</f>
        <v>157.13</v>
      </c>
      <c r="J3224" s="1" t="str">
        <f t="shared" ref="J3224:N3224" si="2114">"0"</f>
        <v>0</v>
      </c>
      <c r="K3224" s="1" t="str">
        <f t="shared" si="2042"/>
        <v>103</v>
      </c>
      <c r="L3224" s="1" t="str">
        <f t="shared" si="2043"/>
        <v>47</v>
      </c>
      <c r="M3224" s="1" t="str">
        <f t="shared" si="2114"/>
        <v>0</v>
      </c>
      <c r="N3224" s="1" t="str">
        <f t="shared" si="2114"/>
        <v>0</v>
      </c>
      <c r="O3224" s="1" t="str">
        <f>"7.13"</f>
        <v>7.13</v>
      </c>
    </row>
    <row r="3225" s="1" customFormat="1" spans="1:15">
      <c r="A3225" s="1" t="str">
        <f t="shared" si="2088"/>
        <v>202406</v>
      </c>
      <c r="B3225" s="1" t="str">
        <f t="shared" si="2089"/>
        <v>150525100</v>
      </c>
      <c r="C3225" s="1" t="str">
        <f>"1014585281"</f>
        <v>1014585281</v>
      </c>
      <c r="D3225" s="1" t="str">
        <f>"152326196305220445"</f>
        <v>152326196305220445</v>
      </c>
      <c r="E3225" s="1" t="s">
        <v>3301</v>
      </c>
      <c r="F3225" s="1" t="s">
        <v>16</v>
      </c>
      <c r="G3225" s="1" t="s">
        <v>17</v>
      </c>
      <c r="H3225" s="1" t="str">
        <f t="shared" si="2110"/>
        <v>61</v>
      </c>
      <c r="I3225" s="1" t="str">
        <f>"164.71"</f>
        <v>164.71</v>
      </c>
      <c r="J3225" s="1" t="str">
        <f t="shared" ref="J3225:N3225" si="2115">"0"</f>
        <v>0</v>
      </c>
      <c r="K3225" s="1" t="str">
        <f t="shared" si="2042"/>
        <v>103</v>
      </c>
      <c r="L3225" s="1" t="str">
        <f t="shared" si="2043"/>
        <v>47</v>
      </c>
      <c r="M3225" s="1" t="str">
        <f t="shared" si="2115"/>
        <v>0</v>
      </c>
      <c r="N3225" s="1" t="str">
        <f t="shared" si="2115"/>
        <v>0</v>
      </c>
      <c r="O3225" s="1" t="str">
        <f>"14.71"</f>
        <v>14.71</v>
      </c>
    </row>
    <row r="3226" s="1" customFormat="1" spans="1:15">
      <c r="A3226" s="1" t="str">
        <f t="shared" si="2088"/>
        <v>202406</v>
      </c>
      <c r="B3226" s="1" t="str">
        <f t="shared" si="2089"/>
        <v>150525100</v>
      </c>
      <c r="C3226" s="1" t="str">
        <f>"1014585294"</f>
        <v>1014585294</v>
      </c>
      <c r="D3226" s="1" t="str">
        <f>"152326196309060434"</f>
        <v>152326196309060434</v>
      </c>
      <c r="E3226" s="1" t="s">
        <v>3302</v>
      </c>
      <c r="F3226" s="1" t="s">
        <v>25</v>
      </c>
      <c r="G3226" s="1" t="s">
        <v>17</v>
      </c>
      <c r="H3226" s="1" t="str">
        <f t="shared" si="2110"/>
        <v>61</v>
      </c>
      <c r="I3226" s="1" t="str">
        <f>"278.54"</f>
        <v>278.54</v>
      </c>
      <c r="J3226" s="1" t="str">
        <f t="shared" ref="J3226:N3226" si="2116">"0"</f>
        <v>0</v>
      </c>
      <c r="K3226" s="1" t="str">
        <f t="shared" ref="K3226:K3287" si="2117">"103"</f>
        <v>103</v>
      </c>
      <c r="L3226" s="1" t="str">
        <f t="shared" ref="L3226:L3287" si="2118">"47"</f>
        <v>47</v>
      </c>
      <c r="M3226" s="1" t="str">
        <f t="shared" si="2116"/>
        <v>0</v>
      </c>
      <c r="N3226" s="1" t="str">
        <f t="shared" si="2116"/>
        <v>0</v>
      </c>
      <c r="O3226" s="1" t="str">
        <f>"128.54"</f>
        <v>128.54</v>
      </c>
    </row>
    <row r="3227" s="1" customFormat="1" spans="1:15">
      <c r="A3227" s="1" t="str">
        <f t="shared" si="2088"/>
        <v>202406</v>
      </c>
      <c r="B3227" s="1" t="str">
        <f t="shared" si="2089"/>
        <v>150525100</v>
      </c>
      <c r="C3227" s="1" t="str">
        <f>"1040641645"</f>
        <v>1040641645</v>
      </c>
      <c r="D3227" s="1" t="str">
        <f>"152326195712020921"</f>
        <v>152326195712020921</v>
      </c>
      <c r="E3227" s="1" t="s">
        <v>3303</v>
      </c>
      <c r="F3227" s="1" t="s">
        <v>16</v>
      </c>
      <c r="G3227" s="1" t="s">
        <v>19</v>
      </c>
      <c r="H3227" s="1" t="str">
        <f>"67"</f>
        <v>67</v>
      </c>
      <c r="I3227" s="1" t="str">
        <f>"155.52"</f>
        <v>155.52</v>
      </c>
      <c r="J3227" s="1" t="str">
        <f t="shared" ref="J3227:N3227" si="2119">"0"</f>
        <v>0</v>
      </c>
      <c r="K3227" s="1" t="str">
        <f t="shared" si="2117"/>
        <v>103</v>
      </c>
      <c r="L3227" s="1" t="str">
        <f t="shared" si="2118"/>
        <v>47</v>
      </c>
      <c r="M3227" s="1" t="str">
        <f t="shared" si="2119"/>
        <v>0</v>
      </c>
      <c r="N3227" s="1" t="str">
        <f t="shared" si="2119"/>
        <v>0</v>
      </c>
      <c r="O3227" s="1" t="str">
        <f>"5.52"</f>
        <v>5.52</v>
      </c>
    </row>
    <row r="3228" s="1" customFormat="1" spans="1:15">
      <c r="A3228" s="1" t="str">
        <f t="shared" si="2088"/>
        <v>202406</v>
      </c>
      <c r="B3228" s="1" t="str">
        <f t="shared" si="2089"/>
        <v>150525100</v>
      </c>
      <c r="C3228" s="1" t="str">
        <f>"1014561436"</f>
        <v>1014561436</v>
      </c>
      <c r="D3228" s="1" t="str">
        <f>"152326195212290415"</f>
        <v>152326195212290415</v>
      </c>
      <c r="E3228" s="1" t="s">
        <v>3304</v>
      </c>
      <c r="F3228" s="1" t="s">
        <v>25</v>
      </c>
      <c r="G3228" s="1" t="s">
        <v>17</v>
      </c>
      <c r="H3228" s="1" t="str">
        <f>"72"</f>
        <v>72</v>
      </c>
      <c r="I3228" s="1" t="str">
        <f>"162.15"</f>
        <v>162.15</v>
      </c>
      <c r="J3228" s="1" t="str">
        <f t="shared" ref="J3228:N3228" si="2120">"0"</f>
        <v>0</v>
      </c>
      <c r="K3228" s="1" t="str">
        <f t="shared" si="2117"/>
        <v>103</v>
      </c>
      <c r="L3228" s="1" t="str">
        <f t="shared" si="2118"/>
        <v>47</v>
      </c>
      <c r="M3228" s="1" t="str">
        <f t="shared" si="2120"/>
        <v>0</v>
      </c>
      <c r="N3228" s="1" t="str">
        <f t="shared" si="2120"/>
        <v>0</v>
      </c>
      <c r="O3228" s="1" t="str">
        <f>"2.15"</f>
        <v>2.15</v>
      </c>
    </row>
    <row r="3229" s="1" customFormat="1" spans="1:15">
      <c r="A3229" s="1" t="str">
        <f t="shared" si="2088"/>
        <v>202406</v>
      </c>
      <c r="B3229" s="1" t="str">
        <f t="shared" si="2089"/>
        <v>150525100</v>
      </c>
      <c r="C3229" s="1" t="str">
        <f>"1014561438"</f>
        <v>1014561438</v>
      </c>
      <c r="D3229" s="1" t="str">
        <f>"152326195302010413"</f>
        <v>152326195302010413</v>
      </c>
      <c r="E3229" s="1" t="s">
        <v>3305</v>
      </c>
      <c r="F3229" s="1" t="s">
        <v>25</v>
      </c>
      <c r="G3229" s="1" t="s">
        <v>17</v>
      </c>
      <c r="H3229" s="1" t="str">
        <f>"71"</f>
        <v>71</v>
      </c>
      <c r="I3229" s="1" t="str">
        <f>"162.92"</f>
        <v>162.92</v>
      </c>
      <c r="J3229" s="1" t="str">
        <f t="shared" ref="J3229:N3229" si="2121">"0"</f>
        <v>0</v>
      </c>
      <c r="K3229" s="1" t="str">
        <f t="shared" si="2117"/>
        <v>103</v>
      </c>
      <c r="L3229" s="1" t="str">
        <f t="shared" si="2118"/>
        <v>47</v>
      </c>
      <c r="M3229" s="1" t="str">
        <f t="shared" si="2121"/>
        <v>0</v>
      </c>
      <c r="N3229" s="1" t="str">
        <f t="shared" si="2121"/>
        <v>0</v>
      </c>
      <c r="O3229" s="1" t="str">
        <f>"2.92"</f>
        <v>2.92</v>
      </c>
    </row>
    <row r="3230" s="1" customFormat="1" spans="1:15">
      <c r="A3230" s="1" t="str">
        <f t="shared" si="2088"/>
        <v>202406</v>
      </c>
      <c r="B3230" s="1" t="str">
        <f t="shared" si="2089"/>
        <v>150525100</v>
      </c>
      <c r="C3230" s="1" t="str">
        <f>"1014561443"</f>
        <v>1014561443</v>
      </c>
      <c r="D3230" s="1" t="str">
        <f>"152326195305290430"</f>
        <v>152326195305290430</v>
      </c>
      <c r="E3230" s="1" t="s">
        <v>3306</v>
      </c>
      <c r="F3230" s="1" t="s">
        <v>25</v>
      </c>
      <c r="G3230" s="1" t="s">
        <v>17</v>
      </c>
      <c r="H3230" s="1" t="str">
        <f>"71"</f>
        <v>71</v>
      </c>
      <c r="I3230" s="1" t="str">
        <f>"162.92"</f>
        <v>162.92</v>
      </c>
      <c r="J3230" s="1" t="str">
        <f t="shared" ref="J3230:N3230" si="2122">"0"</f>
        <v>0</v>
      </c>
      <c r="K3230" s="1" t="str">
        <f t="shared" si="2117"/>
        <v>103</v>
      </c>
      <c r="L3230" s="1" t="str">
        <f t="shared" si="2118"/>
        <v>47</v>
      </c>
      <c r="M3230" s="1" t="str">
        <f t="shared" si="2122"/>
        <v>0</v>
      </c>
      <c r="N3230" s="1" t="str">
        <f t="shared" si="2122"/>
        <v>0</v>
      </c>
      <c r="O3230" s="1" t="str">
        <f>"2.92"</f>
        <v>2.92</v>
      </c>
    </row>
    <row r="3231" s="1" customFormat="1" spans="1:15">
      <c r="A3231" s="1" t="str">
        <f t="shared" si="2088"/>
        <v>202406</v>
      </c>
      <c r="B3231" s="1" t="str">
        <f t="shared" si="2089"/>
        <v>150525100</v>
      </c>
      <c r="C3231" s="1" t="str">
        <f>"1014562678"</f>
        <v>1014562678</v>
      </c>
      <c r="D3231" s="1" t="str">
        <f>"152326195204260443"</f>
        <v>152326195204260443</v>
      </c>
      <c r="E3231" s="1" t="s">
        <v>229</v>
      </c>
      <c r="F3231" s="1" t="s">
        <v>16</v>
      </c>
      <c r="G3231" s="1" t="s">
        <v>17</v>
      </c>
      <c r="H3231" s="1" t="str">
        <f>"72"</f>
        <v>72</v>
      </c>
      <c r="I3231" s="1" t="str">
        <f>"162.16"</f>
        <v>162.16</v>
      </c>
      <c r="J3231" s="1" t="str">
        <f t="shared" ref="J3231:N3231" si="2123">"0"</f>
        <v>0</v>
      </c>
      <c r="K3231" s="1" t="str">
        <f t="shared" si="2117"/>
        <v>103</v>
      </c>
      <c r="L3231" s="1" t="str">
        <f t="shared" si="2118"/>
        <v>47</v>
      </c>
      <c r="M3231" s="1" t="str">
        <f t="shared" si="2123"/>
        <v>0</v>
      </c>
      <c r="N3231" s="1" t="str">
        <f t="shared" si="2123"/>
        <v>0</v>
      </c>
      <c r="O3231" s="1" t="str">
        <f>"2.16"</f>
        <v>2.16</v>
      </c>
    </row>
    <row r="3232" s="1" customFormat="1" spans="1:15">
      <c r="A3232" s="1" t="str">
        <f t="shared" si="2088"/>
        <v>202406</v>
      </c>
      <c r="B3232" s="1" t="str">
        <f t="shared" si="2089"/>
        <v>150525100</v>
      </c>
      <c r="C3232" s="1" t="str">
        <f>"1014583889"</f>
        <v>1014583889</v>
      </c>
      <c r="D3232" s="1" t="str">
        <f>"152326195503173323"</f>
        <v>152326195503173323</v>
      </c>
      <c r="E3232" s="1" t="s">
        <v>612</v>
      </c>
      <c r="F3232" s="1" t="s">
        <v>16</v>
      </c>
      <c r="G3232" s="1" t="s">
        <v>17</v>
      </c>
      <c r="H3232" s="1" t="str">
        <f>"69"</f>
        <v>69</v>
      </c>
      <c r="I3232" s="1" t="str">
        <f>"155.1"</f>
        <v>155.1</v>
      </c>
      <c r="J3232" s="1" t="str">
        <f t="shared" ref="J3232:N3232" si="2124">"0"</f>
        <v>0</v>
      </c>
      <c r="K3232" s="1" t="str">
        <f t="shared" si="2117"/>
        <v>103</v>
      </c>
      <c r="L3232" s="1" t="str">
        <f t="shared" si="2118"/>
        <v>47</v>
      </c>
      <c r="M3232" s="1" t="str">
        <f t="shared" si="2124"/>
        <v>0</v>
      </c>
      <c r="N3232" s="1" t="str">
        <f t="shared" si="2124"/>
        <v>0</v>
      </c>
      <c r="O3232" s="1" t="str">
        <f>"5.1"</f>
        <v>5.1</v>
      </c>
    </row>
    <row r="3233" s="1" customFormat="1" spans="1:15">
      <c r="A3233" s="1" t="str">
        <f t="shared" si="2088"/>
        <v>202406</v>
      </c>
      <c r="B3233" s="1" t="str">
        <f t="shared" si="2089"/>
        <v>150525100</v>
      </c>
      <c r="C3233" s="1" t="str">
        <f>"1014584194"</f>
        <v>1014584194</v>
      </c>
      <c r="D3233" s="1" t="str">
        <f>"152326196001020663"</f>
        <v>152326196001020663</v>
      </c>
      <c r="E3233" s="1" t="s">
        <v>3307</v>
      </c>
      <c r="F3233" s="1" t="s">
        <v>16</v>
      </c>
      <c r="G3233" s="1" t="s">
        <v>17</v>
      </c>
      <c r="H3233" s="1" t="str">
        <f>"65"</f>
        <v>65</v>
      </c>
      <c r="I3233" s="1" t="str">
        <f>"158.87"</f>
        <v>158.87</v>
      </c>
      <c r="J3233" s="1" t="str">
        <f t="shared" ref="J3233:N3233" si="2125">"0"</f>
        <v>0</v>
      </c>
      <c r="K3233" s="1" t="str">
        <f t="shared" si="2117"/>
        <v>103</v>
      </c>
      <c r="L3233" s="1" t="str">
        <f t="shared" si="2118"/>
        <v>47</v>
      </c>
      <c r="M3233" s="1" t="str">
        <f t="shared" si="2125"/>
        <v>0</v>
      </c>
      <c r="N3233" s="1" t="str">
        <f t="shared" si="2125"/>
        <v>0</v>
      </c>
      <c r="O3233" s="1" t="str">
        <f>"8.87"</f>
        <v>8.87</v>
      </c>
    </row>
    <row r="3234" s="1" customFormat="1" spans="1:15">
      <c r="A3234" s="1" t="str">
        <f t="shared" si="2088"/>
        <v>202406</v>
      </c>
      <c r="B3234" s="1" t="str">
        <f t="shared" si="2089"/>
        <v>150525100</v>
      </c>
      <c r="C3234" s="1" t="str">
        <f>"1014584209"</f>
        <v>1014584209</v>
      </c>
      <c r="D3234" s="1" t="str">
        <f>"152326196010300667"</f>
        <v>152326196010300667</v>
      </c>
      <c r="E3234" s="1" t="s">
        <v>3308</v>
      </c>
      <c r="F3234" s="1" t="s">
        <v>16</v>
      </c>
      <c r="G3234" s="1" t="s">
        <v>17</v>
      </c>
      <c r="H3234" s="1" t="str">
        <f>"64"</f>
        <v>64</v>
      </c>
      <c r="I3234" s="1" t="str">
        <f>"159.01"</f>
        <v>159.01</v>
      </c>
      <c r="J3234" s="1" t="str">
        <f t="shared" ref="J3234:N3234" si="2126">"0"</f>
        <v>0</v>
      </c>
      <c r="K3234" s="1" t="str">
        <f t="shared" si="2117"/>
        <v>103</v>
      </c>
      <c r="L3234" s="1" t="str">
        <f t="shared" si="2118"/>
        <v>47</v>
      </c>
      <c r="M3234" s="1" t="str">
        <f t="shared" si="2126"/>
        <v>0</v>
      </c>
      <c r="N3234" s="1" t="str">
        <f t="shared" si="2126"/>
        <v>0</v>
      </c>
      <c r="O3234" s="1" t="str">
        <f>"9.01"</f>
        <v>9.01</v>
      </c>
    </row>
    <row r="3235" s="1" customFormat="1" spans="1:15">
      <c r="A3235" s="1" t="str">
        <f t="shared" si="2088"/>
        <v>202406</v>
      </c>
      <c r="B3235" s="1" t="str">
        <f t="shared" si="2089"/>
        <v>150525100</v>
      </c>
      <c r="C3235" s="1" t="str">
        <f>"1014549750"</f>
        <v>1014549750</v>
      </c>
      <c r="D3235" s="1" t="str">
        <f>"152326195912263071"</f>
        <v>152326195912263071</v>
      </c>
      <c r="E3235" s="1" t="s">
        <v>3309</v>
      </c>
      <c r="F3235" s="1" t="s">
        <v>25</v>
      </c>
      <c r="G3235" s="1" t="s">
        <v>19</v>
      </c>
      <c r="H3235" s="1" t="str">
        <f>"65"</f>
        <v>65</v>
      </c>
      <c r="I3235" s="1" t="str">
        <f>"158.22"</f>
        <v>158.22</v>
      </c>
      <c r="J3235" s="1" t="str">
        <f t="shared" ref="J3235:N3235" si="2127">"0"</f>
        <v>0</v>
      </c>
      <c r="K3235" s="1" t="str">
        <f t="shared" si="2117"/>
        <v>103</v>
      </c>
      <c r="L3235" s="1" t="str">
        <f t="shared" si="2118"/>
        <v>47</v>
      </c>
      <c r="M3235" s="1" t="str">
        <f t="shared" si="2127"/>
        <v>0</v>
      </c>
      <c r="N3235" s="1" t="str">
        <f t="shared" si="2127"/>
        <v>0</v>
      </c>
      <c r="O3235" s="1" t="str">
        <f>"8.22"</f>
        <v>8.22</v>
      </c>
    </row>
    <row r="3236" s="1" customFormat="1" spans="1:15">
      <c r="A3236" s="1" t="str">
        <f t="shared" si="2088"/>
        <v>202406</v>
      </c>
      <c r="B3236" s="1" t="str">
        <f t="shared" si="2089"/>
        <v>150525100</v>
      </c>
      <c r="C3236" s="1" t="str">
        <f>"1014550788"</f>
        <v>1014550788</v>
      </c>
      <c r="D3236" s="1" t="str">
        <f>"152326195404153327"</f>
        <v>152326195404153327</v>
      </c>
      <c r="E3236" s="1" t="s">
        <v>288</v>
      </c>
      <c r="F3236" s="1" t="s">
        <v>16</v>
      </c>
      <c r="G3236" s="1" t="s">
        <v>19</v>
      </c>
      <c r="H3236" s="1" t="str">
        <f>"70"</f>
        <v>70</v>
      </c>
      <c r="I3236" s="1" t="str">
        <f>"164.15"</f>
        <v>164.15</v>
      </c>
      <c r="J3236" s="1" t="str">
        <f t="shared" ref="J3236:N3236" si="2128">"0"</f>
        <v>0</v>
      </c>
      <c r="K3236" s="1" t="str">
        <f t="shared" si="2117"/>
        <v>103</v>
      </c>
      <c r="L3236" s="1" t="str">
        <f t="shared" si="2118"/>
        <v>47</v>
      </c>
      <c r="M3236" s="1" t="str">
        <f t="shared" si="2128"/>
        <v>0</v>
      </c>
      <c r="N3236" s="1" t="str">
        <f t="shared" si="2128"/>
        <v>0</v>
      </c>
      <c r="O3236" s="1" t="str">
        <f>"4.15"</f>
        <v>4.15</v>
      </c>
    </row>
    <row r="3237" s="1" customFormat="1" spans="1:15">
      <c r="A3237" s="1" t="str">
        <f t="shared" si="2088"/>
        <v>202406</v>
      </c>
      <c r="B3237" s="1" t="str">
        <f t="shared" si="2089"/>
        <v>150525100</v>
      </c>
      <c r="C3237" s="1" t="str">
        <f>"1014585326"</f>
        <v>1014585326</v>
      </c>
      <c r="D3237" s="1" t="str">
        <f>"152326196207150682"</f>
        <v>152326196207150682</v>
      </c>
      <c r="E3237" s="1" t="s">
        <v>1798</v>
      </c>
      <c r="F3237" s="1" t="s">
        <v>16</v>
      </c>
      <c r="G3237" s="1" t="s">
        <v>96</v>
      </c>
      <c r="H3237" s="1" t="str">
        <f>"62"</f>
        <v>62</v>
      </c>
      <c r="I3237" s="1" t="str">
        <f>"164.24"</f>
        <v>164.24</v>
      </c>
      <c r="J3237" s="1" t="str">
        <f t="shared" ref="J3237:N3237" si="2129">"0"</f>
        <v>0</v>
      </c>
      <c r="K3237" s="1" t="str">
        <f t="shared" si="2117"/>
        <v>103</v>
      </c>
      <c r="L3237" s="1" t="str">
        <f t="shared" si="2118"/>
        <v>47</v>
      </c>
      <c r="M3237" s="1" t="str">
        <f t="shared" si="2129"/>
        <v>0</v>
      </c>
      <c r="N3237" s="1" t="str">
        <f t="shared" si="2129"/>
        <v>0</v>
      </c>
      <c r="O3237" s="1" t="str">
        <f>"14.24"</f>
        <v>14.24</v>
      </c>
    </row>
    <row r="3238" s="1" customFormat="1" spans="1:15">
      <c r="A3238" s="1" t="str">
        <f t="shared" si="2088"/>
        <v>202406</v>
      </c>
      <c r="B3238" s="1" t="str">
        <f t="shared" si="2089"/>
        <v>150525100</v>
      </c>
      <c r="C3238" s="1" t="str">
        <f>"1014583927"</f>
        <v>1014583927</v>
      </c>
      <c r="D3238" s="1" t="str">
        <f>"152326195605230667"</f>
        <v>152326195605230667</v>
      </c>
      <c r="E3238" s="1" t="s">
        <v>3310</v>
      </c>
      <c r="F3238" s="1" t="s">
        <v>16</v>
      </c>
      <c r="G3238" s="1" t="s">
        <v>17</v>
      </c>
      <c r="H3238" s="1" t="str">
        <f>"68"</f>
        <v>68</v>
      </c>
      <c r="I3238" s="1" t="str">
        <f>"155.95"</f>
        <v>155.95</v>
      </c>
      <c r="J3238" s="1" t="str">
        <f t="shared" ref="J3238:N3238" si="2130">"0"</f>
        <v>0</v>
      </c>
      <c r="K3238" s="1" t="str">
        <f t="shared" si="2117"/>
        <v>103</v>
      </c>
      <c r="L3238" s="1" t="str">
        <f t="shared" si="2118"/>
        <v>47</v>
      </c>
      <c r="M3238" s="1" t="str">
        <f t="shared" si="2130"/>
        <v>0</v>
      </c>
      <c r="N3238" s="1" t="str">
        <f t="shared" si="2130"/>
        <v>0</v>
      </c>
      <c r="O3238" s="1" t="str">
        <f>"5.95"</f>
        <v>5.95</v>
      </c>
    </row>
    <row r="3239" s="1" customFormat="1" spans="1:15">
      <c r="A3239" s="1" t="str">
        <f t="shared" si="2088"/>
        <v>202406</v>
      </c>
      <c r="B3239" s="1" t="str">
        <f t="shared" si="2089"/>
        <v>150525100</v>
      </c>
      <c r="C3239" s="1" t="str">
        <f>"1014550815"</f>
        <v>1014550815</v>
      </c>
      <c r="D3239" s="1" t="str">
        <f>"152326195412123849"</f>
        <v>152326195412123849</v>
      </c>
      <c r="E3239" s="1" t="s">
        <v>508</v>
      </c>
      <c r="F3239" s="1" t="s">
        <v>16</v>
      </c>
      <c r="G3239" s="1" t="s">
        <v>19</v>
      </c>
      <c r="H3239" s="1" t="str">
        <f>"70"</f>
        <v>70</v>
      </c>
      <c r="I3239" s="1" t="str">
        <f>"154.15"</f>
        <v>154.15</v>
      </c>
      <c r="J3239" s="1" t="str">
        <f t="shared" ref="J3239:N3239" si="2131">"0"</f>
        <v>0</v>
      </c>
      <c r="K3239" s="1" t="str">
        <f t="shared" si="2117"/>
        <v>103</v>
      </c>
      <c r="L3239" s="1" t="str">
        <f t="shared" si="2118"/>
        <v>47</v>
      </c>
      <c r="M3239" s="1" t="str">
        <f t="shared" si="2131"/>
        <v>0</v>
      </c>
      <c r="N3239" s="1" t="str">
        <f t="shared" si="2131"/>
        <v>0</v>
      </c>
      <c r="O3239" s="1" t="str">
        <f>"4.15"</f>
        <v>4.15</v>
      </c>
    </row>
    <row r="3240" s="1" customFormat="1" spans="1:15">
      <c r="A3240" s="1" t="str">
        <f t="shared" si="2088"/>
        <v>202406</v>
      </c>
      <c r="B3240" s="1" t="str">
        <f t="shared" si="2089"/>
        <v>150525100</v>
      </c>
      <c r="C3240" s="1" t="str">
        <f>"1014570744"</f>
        <v>1014570744</v>
      </c>
      <c r="D3240" s="1" t="s">
        <v>3311</v>
      </c>
      <c r="E3240" s="1" t="s">
        <v>3312</v>
      </c>
      <c r="F3240" s="1" t="s">
        <v>16</v>
      </c>
      <c r="G3240" s="1" t="s">
        <v>17</v>
      </c>
      <c r="H3240" s="1" t="str">
        <f>"67"</f>
        <v>67</v>
      </c>
      <c r="I3240" s="1" t="str">
        <f>"165.67"</f>
        <v>165.67</v>
      </c>
      <c r="J3240" s="1" t="str">
        <f t="shared" ref="J3240:N3240" si="2132">"0"</f>
        <v>0</v>
      </c>
      <c r="K3240" s="1" t="str">
        <f t="shared" si="2117"/>
        <v>103</v>
      </c>
      <c r="L3240" s="1" t="str">
        <f t="shared" si="2118"/>
        <v>47</v>
      </c>
      <c r="M3240" s="1" t="str">
        <f t="shared" si="2132"/>
        <v>0</v>
      </c>
      <c r="N3240" s="1" t="str">
        <f t="shared" si="2132"/>
        <v>0</v>
      </c>
      <c r="O3240" s="1" t="str">
        <f>"15.67"</f>
        <v>15.67</v>
      </c>
    </row>
    <row r="3241" s="1" customFormat="1" spans="1:15">
      <c r="A3241" s="1" t="str">
        <f t="shared" si="2088"/>
        <v>202406</v>
      </c>
      <c r="B3241" s="1" t="str">
        <f t="shared" si="2089"/>
        <v>150525100</v>
      </c>
      <c r="C3241" s="1" t="str">
        <f>"1014612852"</f>
        <v>1014612852</v>
      </c>
      <c r="D3241" s="1" t="str">
        <f>"152326194907070422"</f>
        <v>152326194907070422</v>
      </c>
      <c r="E3241" s="1" t="s">
        <v>3313</v>
      </c>
      <c r="F3241" s="1" t="s">
        <v>16</v>
      </c>
      <c r="G3241" s="1" t="s">
        <v>17</v>
      </c>
      <c r="H3241" s="1" t="str">
        <f>"75"</f>
        <v>75</v>
      </c>
      <c r="I3241" s="1" t="str">
        <f t="shared" ref="I3241:I3245" si="2133">"160"</f>
        <v>160</v>
      </c>
      <c r="J3241" s="1" t="str">
        <f t="shared" ref="J3241:O3241" si="2134">"0"</f>
        <v>0</v>
      </c>
      <c r="K3241" s="1" t="str">
        <f t="shared" si="2117"/>
        <v>103</v>
      </c>
      <c r="L3241" s="1" t="str">
        <f t="shared" si="2118"/>
        <v>47</v>
      </c>
      <c r="M3241" s="1" t="str">
        <f t="shared" si="2134"/>
        <v>0</v>
      </c>
      <c r="N3241" s="1" t="str">
        <f t="shared" si="2134"/>
        <v>0</v>
      </c>
      <c r="O3241" s="1" t="str">
        <f t="shared" si="2134"/>
        <v>0</v>
      </c>
    </row>
    <row r="3242" s="1" customFormat="1" spans="1:15">
      <c r="A3242" s="1" t="str">
        <f t="shared" si="2088"/>
        <v>202406</v>
      </c>
      <c r="B3242" s="1" t="str">
        <f t="shared" si="2089"/>
        <v>150525100</v>
      </c>
      <c r="C3242" s="1" t="str">
        <f>"1014612868"</f>
        <v>1014612868</v>
      </c>
      <c r="D3242" s="1" t="s">
        <v>3314</v>
      </c>
      <c r="E3242" s="1" t="s">
        <v>3315</v>
      </c>
      <c r="F3242" s="1" t="s">
        <v>16</v>
      </c>
      <c r="G3242" s="1" t="s">
        <v>17</v>
      </c>
      <c r="H3242" s="1" t="str">
        <f>"82"</f>
        <v>82</v>
      </c>
      <c r="I3242" s="1" t="str">
        <f>"170"</f>
        <v>170</v>
      </c>
      <c r="J3242" s="1" t="str">
        <f t="shared" ref="J3242:O3242" si="2135">"0"</f>
        <v>0</v>
      </c>
      <c r="K3242" s="1" t="str">
        <f t="shared" si="2117"/>
        <v>103</v>
      </c>
      <c r="L3242" s="1" t="str">
        <f t="shared" si="2118"/>
        <v>47</v>
      </c>
      <c r="M3242" s="1" t="str">
        <f t="shared" si="2135"/>
        <v>0</v>
      </c>
      <c r="N3242" s="1" t="str">
        <f t="shared" si="2135"/>
        <v>0</v>
      </c>
      <c r="O3242" s="1" t="str">
        <f t="shared" si="2135"/>
        <v>0</v>
      </c>
    </row>
    <row r="3243" s="1" customFormat="1" spans="1:15">
      <c r="A3243" s="1" t="str">
        <f t="shared" si="2088"/>
        <v>202406</v>
      </c>
      <c r="B3243" s="1" t="str">
        <f t="shared" si="2089"/>
        <v>150525100</v>
      </c>
      <c r="C3243" s="1" t="str">
        <f>"1014622176"</f>
        <v>1014622176</v>
      </c>
      <c r="D3243" s="1" t="str">
        <f>"152326195108026112"</f>
        <v>152326195108026112</v>
      </c>
      <c r="E3243" s="1" t="s">
        <v>3316</v>
      </c>
      <c r="F3243" s="1" t="s">
        <v>25</v>
      </c>
      <c r="G3243" s="1" t="s">
        <v>17</v>
      </c>
      <c r="H3243" s="1" t="str">
        <f>"73"</f>
        <v>73</v>
      </c>
      <c r="I3243" s="1" t="str">
        <f t="shared" si="2133"/>
        <v>160</v>
      </c>
      <c r="J3243" s="1" t="str">
        <f t="shared" ref="J3243:O3243" si="2136">"0"</f>
        <v>0</v>
      </c>
      <c r="K3243" s="1" t="str">
        <f t="shared" si="2117"/>
        <v>103</v>
      </c>
      <c r="L3243" s="1" t="str">
        <f t="shared" si="2118"/>
        <v>47</v>
      </c>
      <c r="M3243" s="1" t="str">
        <f t="shared" si="2136"/>
        <v>0</v>
      </c>
      <c r="N3243" s="1" t="str">
        <f t="shared" si="2136"/>
        <v>0</v>
      </c>
      <c r="O3243" s="1" t="str">
        <f t="shared" si="2136"/>
        <v>0</v>
      </c>
    </row>
    <row r="3244" s="1" customFormat="1" spans="1:15">
      <c r="A3244" s="1" t="str">
        <f t="shared" si="2088"/>
        <v>202406</v>
      </c>
      <c r="B3244" s="1" t="str">
        <f t="shared" si="2089"/>
        <v>150525100</v>
      </c>
      <c r="C3244" s="1" t="str">
        <f>"1014623955"</f>
        <v>1014623955</v>
      </c>
      <c r="D3244" s="1" t="str">
        <f>"152326194409240660"</f>
        <v>152326194409240660</v>
      </c>
      <c r="E3244" s="1" t="s">
        <v>1482</v>
      </c>
      <c r="F3244" s="1" t="s">
        <v>16</v>
      </c>
      <c r="G3244" s="1" t="s">
        <v>17</v>
      </c>
      <c r="H3244" s="1" t="str">
        <f>"80"</f>
        <v>80</v>
      </c>
      <c r="I3244" s="1" t="str">
        <f t="shared" si="2133"/>
        <v>160</v>
      </c>
      <c r="J3244" s="1" t="str">
        <f t="shared" ref="J3244:O3244" si="2137">"0"</f>
        <v>0</v>
      </c>
      <c r="K3244" s="1" t="str">
        <f t="shared" si="2117"/>
        <v>103</v>
      </c>
      <c r="L3244" s="1" t="str">
        <f t="shared" si="2118"/>
        <v>47</v>
      </c>
      <c r="M3244" s="1" t="str">
        <f t="shared" si="2137"/>
        <v>0</v>
      </c>
      <c r="N3244" s="1" t="str">
        <f t="shared" si="2137"/>
        <v>0</v>
      </c>
      <c r="O3244" s="1" t="str">
        <f t="shared" si="2137"/>
        <v>0</v>
      </c>
    </row>
    <row r="3245" s="1" customFormat="1" spans="1:15">
      <c r="A3245" s="1" t="str">
        <f t="shared" si="2088"/>
        <v>202406</v>
      </c>
      <c r="B3245" s="1" t="str">
        <f t="shared" si="2089"/>
        <v>150525100</v>
      </c>
      <c r="C3245" s="1" t="str">
        <f>"1014623966"</f>
        <v>1014623966</v>
      </c>
      <c r="D3245" s="1" t="str">
        <f>"152326195108270684"</f>
        <v>152326195108270684</v>
      </c>
      <c r="E3245" s="1" t="s">
        <v>3317</v>
      </c>
      <c r="F3245" s="1" t="s">
        <v>16</v>
      </c>
      <c r="G3245" s="1" t="s">
        <v>19</v>
      </c>
      <c r="H3245" s="1" t="str">
        <f>"73"</f>
        <v>73</v>
      </c>
      <c r="I3245" s="1" t="str">
        <f t="shared" si="2133"/>
        <v>160</v>
      </c>
      <c r="J3245" s="1" t="str">
        <f t="shared" ref="J3245:O3245" si="2138">"0"</f>
        <v>0</v>
      </c>
      <c r="K3245" s="1" t="str">
        <f t="shared" si="2117"/>
        <v>103</v>
      </c>
      <c r="L3245" s="1" t="str">
        <f t="shared" si="2118"/>
        <v>47</v>
      </c>
      <c r="M3245" s="1" t="str">
        <f t="shared" si="2138"/>
        <v>0</v>
      </c>
      <c r="N3245" s="1" t="str">
        <f t="shared" si="2138"/>
        <v>0</v>
      </c>
      <c r="O3245" s="1" t="str">
        <f t="shared" si="2138"/>
        <v>0</v>
      </c>
    </row>
    <row r="3246" s="1" customFormat="1" spans="1:15">
      <c r="A3246" s="1" t="str">
        <f t="shared" si="2088"/>
        <v>202406</v>
      </c>
      <c r="B3246" s="1" t="str">
        <f t="shared" si="2089"/>
        <v>150525100</v>
      </c>
      <c r="C3246" s="1" t="str">
        <f>"1014624451"</f>
        <v>1014624451</v>
      </c>
      <c r="D3246" s="1" t="s">
        <v>3318</v>
      </c>
      <c r="E3246" s="1" t="s">
        <v>1034</v>
      </c>
      <c r="F3246" s="1" t="s">
        <v>16</v>
      </c>
      <c r="G3246" s="1" t="s">
        <v>19</v>
      </c>
      <c r="H3246" s="1" t="str">
        <f>"85"</f>
        <v>85</v>
      </c>
      <c r="I3246" s="1" t="str">
        <f>"170"</f>
        <v>170</v>
      </c>
      <c r="J3246" s="1" t="str">
        <f t="shared" ref="J3246:O3246" si="2139">"0"</f>
        <v>0</v>
      </c>
      <c r="K3246" s="1" t="str">
        <f t="shared" si="2117"/>
        <v>103</v>
      </c>
      <c r="L3246" s="1" t="str">
        <f t="shared" si="2118"/>
        <v>47</v>
      </c>
      <c r="M3246" s="1" t="str">
        <f t="shared" si="2139"/>
        <v>0</v>
      </c>
      <c r="N3246" s="1" t="str">
        <f t="shared" si="2139"/>
        <v>0</v>
      </c>
      <c r="O3246" s="1" t="str">
        <f t="shared" si="2139"/>
        <v>0</v>
      </c>
    </row>
    <row r="3247" s="1" customFormat="1" spans="1:15">
      <c r="A3247" s="1" t="str">
        <f t="shared" si="2088"/>
        <v>202406</v>
      </c>
      <c r="B3247" s="1" t="str">
        <f t="shared" si="2089"/>
        <v>150525100</v>
      </c>
      <c r="C3247" s="1" t="str">
        <f>"1014624456"</f>
        <v>1014624456</v>
      </c>
      <c r="D3247" s="1" t="str">
        <f>"152326194912080916"</f>
        <v>152326194912080916</v>
      </c>
      <c r="E3247" s="1" t="s">
        <v>3319</v>
      </c>
      <c r="F3247" s="1" t="s">
        <v>25</v>
      </c>
      <c r="G3247" s="1" t="s">
        <v>19</v>
      </c>
      <c r="H3247" s="1" t="str">
        <f t="shared" ref="H3247:H3251" si="2140">"75"</f>
        <v>75</v>
      </c>
      <c r="I3247" s="1" t="str">
        <f t="shared" ref="I3247:I3255" si="2141">"160"</f>
        <v>160</v>
      </c>
      <c r="J3247" s="1" t="str">
        <f t="shared" ref="J3247:O3247" si="2142">"0"</f>
        <v>0</v>
      </c>
      <c r="K3247" s="1" t="str">
        <f t="shared" si="2117"/>
        <v>103</v>
      </c>
      <c r="L3247" s="1" t="str">
        <f t="shared" si="2118"/>
        <v>47</v>
      </c>
      <c r="M3247" s="1" t="str">
        <f t="shared" si="2142"/>
        <v>0</v>
      </c>
      <c r="N3247" s="1" t="str">
        <f t="shared" si="2142"/>
        <v>0</v>
      </c>
      <c r="O3247" s="1" t="str">
        <f t="shared" si="2142"/>
        <v>0</v>
      </c>
    </row>
    <row r="3248" s="1" customFormat="1" spans="1:15">
      <c r="A3248" s="1" t="str">
        <f t="shared" si="2088"/>
        <v>202406</v>
      </c>
      <c r="B3248" s="1" t="str">
        <f t="shared" si="2089"/>
        <v>150525100</v>
      </c>
      <c r="C3248" s="1" t="str">
        <f>"1014629332"</f>
        <v>1014629332</v>
      </c>
      <c r="D3248" s="1" t="str">
        <f>"152326194108020429"</f>
        <v>152326194108020429</v>
      </c>
      <c r="E3248" s="1" t="s">
        <v>931</v>
      </c>
      <c r="F3248" s="1" t="s">
        <v>16</v>
      </c>
      <c r="G3248" s="1" t="s">
        <v>17</v>
      </c>
      <c r="H3248" s="1" t="str">
        <f>"83"</f>
        <v>83</v>
      </c>
      <c r="I3248" s="1" t="str">
        <f>"170"</f>
        <v>170</v>
      </c>
      <c r="J3248" s="1" t="str">
        <f t="shared" ref="J3248:O3248" si="2143">"0"</f>
        <v>0</v>
      </c>
      <c r="K3248" s="1" t="str">
        <f t="shared" si="2117"/>
        <v>103</v>
      </c>
      <c r="L3248" s="1" t="str">
        <f t="shared" si="2118"/>
        <v>47</v>
      </c>
      <c r="M3248" s="1" t="str">
        <f t="shared" si="2143"/>
        <v>0</v>
      </c>
      <c r="N3248" s="1" t="str">
        <f t="shared" si="2143"/>
        <v>0</v>
      </c>
      <c r="O3248" s="1" t="str">
        <f t="shared" si="2143"/>
        <v>0</v>
      </c>
    </row>
    <row r="3249" s="1" customFormat="1" spans="1:15">
      <c r="A3249" s="1" t="str">
        <f t="shared" si="2088"/>
        <v>202406</v>
      </c>
      <c r="B3249" s="1" t="str">
        <f t="shared" si="2089"/>
        <v>150525100</v>
      </c>
      <c r="C3249" s="1" t="str">
        <f>"1014629351"</f>
        <v>1014629351</v>
      </c>
      <c r="D3249" s="1" t="str">
        <f>"152326194908230010"</f>
        <v>152326194908230010</v>
      </c>
      <c r="E3249" s="1" t="s">
        <v>3320</v>
      </c>
      <c r="F3249" s="1" t="s">
        <v>25</v>
      </c>
      <c r="G3249" s="1" t="s">
        <v>17</v>
      </c>
      <c r="H3249" s="1" t="str">
        <f t="shared" si="2140"/>
        <v>75</v>
      </c>
      <c r="I3249" s="1" t="str">
        <f t="shared" si="2141"/>
        <v>160</v>
      </c>
      <c r="J3249" s="1" t="str">
        <f t="shared" ref="J3249:O3249" si="2144">"0"</f>
        <v>0</v>
      </c>
      <c r="K3249" s="1" t="str">
        <f t="shared" si="2117"/>
        <v>103</v>
      </c>
      <c r="L3249" s="1" t="str">
        <f t="shared" si="2118"/>
        <v>47</v>
      </c>
      <c r="M3249" s="1" t="str">
        <f t="shared" si="2144"/>
        <v>0</v>
      </c>
      <c r="N3249" s="1" t="str">
        <f t="shared" si="2144"/>
        <v>0</v>
      </c>
      <c r="O3249" s="1" t="str">
        <f t="shared" si="2144"/>
        <v>0</v>
      </c>
    </row>
    <row r="3250" s="1" customFormat="1" spans="1:15">
      <c r="A3250" s="1" t="str">
        <f t="shared" si="2088"/>
        <v>202406</v>
      </c>
      <c r="B3250" s="1" t="str">
        <f t="shared" si="2089"/>
        <v>150525100</v>
      </c>
      <c r="C3250" s="1" t="str">
        <f>"1014619435"</f>
        <v>1014619435</v>
      </c>
      <c r="D3250" s="1" t="str">
        <f>"152326194707070671"</f>
        <v>152326194707070671</v>
      </c>
      <c r="E3250" s="1" t="s">
        <v>3321</v>
      </c>
      <c r="F3250" s="1" t="s">
        <v>25</v>
      </c>
      <c r="G3250" s="1" t="s">
        <v>17</v>
      </c>
      <c r="H3250" s="1" t="str">
        <f>"77"</f>
        <v>77</v>
      </c>
      <c r="I3250" s="1" t="str">
        <f t="shared" si="2141"/>
        <v>160</v>
      </c>
      <c r="J3250" s="1" t="str">
        <f t="shared" ref="J3250:O3250" si="2145">"0"</f>
        <v>0</v>
      </c>
      <c r="K3250" s="1" t="str">
        <f t="shared" si="2117"/>
        <v>103</v>
      </c>
      <c r="L3250" s="1" t="str">
        <f t="shared" si="2118"/>
        <v>47</v>
      </c>
      <c r="M3250" s="1" t="str">
        <f t="shared" si="2145"/>
        <v>0</v>
      </c>
      <c r="N3250" s="1" t="str">
        <f t="shared" si="2145"/>
        <v>0</v>
      </c>
      <c r="O3250" s="1" t="str">
        <f t="shared" si="2145"/>
        <v>0</v>
      </c>
    </row>
    <row r="3251" s="1" customFormat="1" spans="1:15">
      <c r="A3251" s="1" t="str">
        <f t="shared" si="2088"/>
        <v>202406</v>
      </c>
      <c r="B3251" s="1" t="str">
        <f t="shared" si="2089"/>
        <v>150525100</v>
      </c>
      <c r="C3251" s="1" t="str">
        <f>"1014619438"</f>
        <v>1014619438</v>
      </c>
      <c r="D3251" s="1" t="s">
        <v>3322</v>
      </c>
      <c r="E3251" s="1" t="s">
        <v>3323</v>
      </c>
      <c r="F3251" s="1" t="s">
        <v>25</v>
      </c>
      <c r="G3251" s="1" t="s">
        <v>17</v>
      </c>
      <c r="H3251" s="1" t="str">
        <f t="shared" si="2140"/>
        <v>75</v>
      </c>
      <c r="I3251" s="1" t="str">
        <f t="shared" si="2141"/>
        <v>160</v>
      </c>
      <c r="J3251" s="1" t="str">
        <f t="shared" ref="J3251:O3251" si="2146">"0"</f>
        <v>0</v>
      </c>
      <c r="K3251" s="1" t="str">
        <f t="shared" si="2117"/>
        <v>103</v>
      </c>
      <c r="L3251" s="1" t="str">
        <f t="shared" si="2118"/>
        <v>47</v>
      </c>
      <c r="M3251" s="1" t="str">
        <f t="shared" si="2146"/>
        <v>0</v>
      </c>
      <c r="N3251" s="1" t="str">
        <f t="shared" si="2146"/>
        <v>0</v>
      </c>
      <c r="O3251" s="1" t="str">
        <f t="shared" si="2146"/>
        <v>0</v>
      </c>
    </row>
    <row r="3252" s="1" customFormat="1" spans="1:15">
      <c r="A3252" s="1" t="str">
        <f t="shared" si="2088"/>
        <v>202406</v>
      </c>
      <c r="B3252" s="1" t="str">
        <f t="shared" si="2089"/>
        <v>150525100</v>
      </c>
      <c r="C3252" s="1" t="str">
        <f>"1014619440"</f>
        <v>1014619440</v>
      </c>
      <c r="D3252" s="1" t="str">
        <f>"152326195110100692"</f>
        <v>152326195110100692</v>
      </c>
      <c r="E3252" s="1" t="s">
        <v>2990</v>
      </c>
      <c r="F3252" s="1" t="s">
        <v>25</v>
      </c>
      <c r="G3252" s="1" t="s">
        <v>19</v>
      </c>
      <c r="H3252" s="1" t="str">
        <f>"73"</f>
        <v>73</v>
      </c>
      <c r="I3252" s="1" t="str">
        <f t="shared" si="2141"/>
        <v>160</v>
      </c>
      <c r="J3252" s="1" t="str">
        <f t="shared" ref="J3252:O3252" si="2147">"0"</f>
        <v>0</v>
      </c>
      <c r="K3252" s="1" t="str">
        <f t="shared" si="2117"/>
        <v>103</v>
      </c>
      <c r="L3252" s="1" t="str">
        <f t="shared" si="2118"/>
        <v>47</v>
      </c>
      <c r="M3252" s="1" t="str">
        <f t="shared" si="2147"/>
        <v>0</v>
      </c>
      <c r="N3252" s="1" t="str">
        <f t="shared" si="2147"/>
        <v>0</v>
      </c>
      <c r="O3252" s="1" t="str">
        <f t="shared" si="2147"/>
        <v>0</v>
      </c>
    </row>
    <row r="3253" s="1" customFormat="1" spans="1:15">
      <c r="A3253" s="1" t="str">
        <f t="shared" si="2088"/>
        <v>202406</v>
      </c>
      <c r="B3253" s="1" t="str">
        <f t="shared" si="2089"/>
        <v>150525100</v>
      </c>
      <c r="C3253" s="1" t="str">
        <f>"1014619442"</f>
        <v>1014619442</v>
      </c>
      <c r="D3253" s="1" t="str">
        <f>"152326195007280672"</f>
        <v>152326195007280672</v>
      </c>
      <c r="E3253" s="1" t="s">
        <v>3324</v>
      </c>
      <c r="F3253" s="1" t="s">
        <v>25</v>
      </c>
      <c r="G3253" s="1" t="s">
        <v>17</v>
      </c>
      <c r="H3253" s="1" t="str">
        <f>"74"</f>
        <v>74</v>
      </c>
      <c r="I3253" s="1" t="str">
        <f t="shared" si="2141"/>
        <v>160</v>
      </c>
      <c r="J3253" s="1" t="str">
        <f t="shared" ref="J3253:O3253" si="2148">"0"</f>
        <v>0</v>
      </c>
      <c r="K3253" s="1" t="str">
        <f t="shared" si="2117"/>
        <v>103</v>
      </c>
      <c r="L3253" s="1" t="str">
        <f t="shared" si="2118"/>
        <v>47</v>
      </c>
      <c r="M3253" s="1" t="str">
        <f t="shared" si="2148"/>
        <v>0</v>
      </c>
      <c r="N3253" s="1" t="str">
        <f t="shared" si="2148"/>
        <v>0</v>
      </c>
      <c r="O3253" s="1" t="str">
        <f t="shared" si="2148"/>
        <v>0</v>
      </c>
    </row>
    <row r="3254" s="1" customFormat="1" spans="1:15">
      <c r="A3254" s="1" t="str">
        <f t="shared" si="2088"/>
        <v>202406</v>
      </c>
      <c r="B3254" s="1" t="str">
        <f t="shared" si="2089"/>
        <v>150525100</v>
      </c>
      <c r="C3254" s="1" t="str">
        <f>"1014629844"</f>
        <v>1014629844</v>
      </c>
      <c r="D3254" s="1" t="str">
        <f>"152326195007283072"</f>
        <v>152326195007283072</v>
      </c>
      <c r="E3254" s="1" t="s">
        <v>3325</v>
      </c>
      <c r="F3254" s="1" t="s">
        <v>25</v>
      </c>
      <c r="G3254" s="1" t="s">
        <v>17</v>
      </c>
      <c r="H3254" s="1" t="str">
        <f>"74"</f>
        <v>74</v>
      </c>
      <c r="I3254" s="1" t="str">
        <f t="shared" si="2141"/>
        <v>160</v>
      </c>
      <c r="J3254" s="1" t="str">
        <f t="shared" ref="J3254:O3254" si="2149">"0"</f>
        <v>0</v>
      </c>
      <c r="K3254" s="1" t="str">
        <f t="shared" si="2117"/>
        <v>103</v>
      </c>
      <c r="L3254" s="1" t="str">
        <f t="shared" si="2118"/>
        <v>47</v>
      </c>
      <c r="M3254" s="1" t="str">
        <f t="shared" si="2149"/>
        <v>0</v>
      </c>
      <c r="N3254" s="1" t="str">
        <f t="shared" si="2149"/>
        <v>0</v>
      </c>
      <c r="O3254" s="1" t="str">
        <f t="shared" si="2149"/>
        <v>0</v>
      </c>
    </row>
    <row r="3255" s="1" customFormat="1" spans="1:15">
      <c r="A3255" s="1" t="str">
        <f t="shared" si="2088"/>
        <v>202406</v>
      </c>
      <c r="B3255" s="1" t="str">
        <f t="shared" si="2089"/>
        <v>150525100</v>
      </c>
      <c r="C3255" s="1" t="str">
        <f>"1014629889"</f>
        <v>1014629889</v>
      </c>
      <c r="D3255" s="1" t="str">
        <f>"152326194610093826"</f>
        <v>152326194610093826</v>
      </c>
      <c r="E3255" s="1" t="s">
        <v>3326</v>
      </c>
      <c r="F3255" s="1" t="s">
        <v>16</v>
      </c>
      <c r="G3255" s="1" t="s">
        <v>19</v>
      </c>
      <c r="H3255" s="1" t="str">
        <f>"78"</f>
        <v>78</v>
      </c>
      <c r="I3255" s="1" t="str">
        <f t="shared" si="2141"/>
        <v>160</v>
      </c>
      <c r="J3255" s="1" t="str">
        <f t="shared" ref="J3255:O3255" si="2150">"0"</f>
        <v>0</v>
      </c>
      <c r="K3255" s="1" t="str">
        <f t="shared" si="2117"/>
        <v>103</v>
      </c>
      <c r="L3255" s="1" t="str">
        <f t="shared" si="2118"/>
        <v>47</v>
      </c>
      <c r="M3255" s="1" t="str">
        <f t="shared" si="2150"/>
        <v>0</v>
      </c>
      <c r="N3255" s="1" t="str">
        <f t="shared" si="2150"/>
        <v>0</v>
      </c>
      <c r="O3255" s="1" t="str">
        <f t="shared" si="2150"/>
        <v>0</v>
      </c>
    </row>
    <row r="3256" s="1" customFormat="1" spans="1:15">
      <c r="A3256" s="1" t="str">
        <f t="shared" si="2088"/>
        <v>202406</v>
      </c>
      <c r="B3256" s="1" t="str">
        <f t="shared" si="2089"/>
        <v>150525100</v>
      </c>
      <c r="C3256" s="1" t="str">
        <f>"1014629908"</f>
        <v>1014629908</v>
      </c>
      <c r="D3256" s="1" t="str">
        <f>"152326193006133823"</f>
        <v>152326193006133823</v>
      </c>
      <c r="E3256" s="1" t="s">
        <v>3327</v>
      </c>
      <c r="F3256" s="1" t="s">
        <v>16</v>
      </c>
      <c r="G3256" s="1" t="s">
        <v>19</v>
      </c>
      <c r="H3256" s="1" t="str">
        <f>"94"</f>
        <v>94</v>
      </c>
      <c r="I3256" s="1" t="str">
        <f>"170"</f>
        <v>170</v>
      </c>
      <c r="J3256" s="1" t="str">
        <f t="shared" ref="J3256:O3256" si="2151">"0"</f>
        <v>0</v>
      </c>
      <c r="K3256" s="1" t="str">
        <f t="shared" si="2117"/>
        <v>103</v>
      </c>
      <c r="L3256" s="1" t="str">
        <f t="shared" si="2118"/>
        <v>47</v>
      </c>
      <c r="M3256" s="1" t="str">
        <f t="shared" si="2151"/>
        <v>0</v>
      </c>
      <c r="N3256" s="1" t="str">
        <f t="shared" si="2151"/>
        <v>0</v>
      </c>
      <c r="O3256" s="1" t="str">
        <f t="shared" si="2151"/>
        <v>0</v>
      </c>
    </row>
    <row r="3257" s="1" customFormat="1" spans="1:15">
      <c r="A3257" s="1" t="str">
        <f t="shared" si="2088"/>
        <v>202406</v>
      </c>
      <c r="B3257" s="1" t="str">
        <f t="shared" si="2089"/>
        <v>150525100</v>
      </c>
      <c r="C3257" s="1" t="str">
        <f>"1014562758"</f>
        <v>1014562758</v>
      </c>
      <c r="D3257" s="1" t="str">
        <f>"152326195912120441"</f>
        <v>152326195912120441</v>
      </c>
      <c r="E3257" s="1" t="s">
        <v>3328</v>
      </c>
      <c r="F3257" s="1" t="s">
        <v>16</v>
      </c>
      <c r="G3257" s="1" t="s">
        <v>17</v>
      </c>
      <c r="H3257" s="1" t="str">
        <f>"65"</f>
        <v>65</v>
      </c>
      <c r="I3257" s="1" t="str">
        <f>"158.24"</f>
        <v>158.24</v>
      </c>
      <c r="J3257" s="1" t="str">
        <f t="shared" ref="J3257:N3257" si="2152">"0"</f>
        <v>0</v>
      </c>
      <c r="K3257" s="1" t="str">
        <f t="shared" si="2117"/>
        <v>103</v>
      </c>
      <c r="L3257" s="1" t="str">
        <f t="shared" si="2118"/>
        <v>47</v>
      </c>
      <c r="M3257" s="1" t="str">
        <f t="shared" si="2152"/>
        <v>0</v>
      </c>
      <c r="N3257" s="1" t="str">
        <f t="shared" si="2152"/>
        <v>0</v>
      </c>
      <c r="O3257" s="1" t="str">
        <f>"8.24"</f>
        <v>8.24</v>
      </c>
    </row>
    <row r="3258" s="1" customFormat="1" spans="1:15">
      <c r="A3258" s="1" t="str">
        <f t="shared" si="2088"/>
        <v>202406</v>
      </c>
      <c r="B3258" s="1" t="str">
        <f t="shared" si="2089"/>
        <v>150525100</v>
      </c>
      <c r="C3258" s="1" t="str">
        <f>"1014563120"</f>
        <v>1014563120</v>
      </c>
      <c r="D3258" s="1" t="str">
        <f>"152326196211250416"</f>
        <v>152326196211250416</v>
      </c>
      <c r="E3258" s="1" t="s">
        <v>3329</v>
      </c>
      <c r="F3258" s="1" t="s">
        <v>25</v>
      </c>
      <c r="G3258" s="1" t="s">
        <v>17</v>
      </c>
      <c r="H3258" s="1" t="str">
        <f>"62"</f>
        <v>62</v>
      </c>
      <c r="I3258" s="1" t="str">
        <f>"163.2"</f>
        <v>163.2</v>
      </c>
      <c r="J3258" s="1" t="str">
        <f t="shared" ref="J3258:N3258" si="2153">"0"</f>
        <v>0</v>
      </c>
      <c r="K3258" s="1" t="str">
        <f t="shared" si="2117"/>
        <v>103</v>
      </c>
      <c r="L3258" s="1" t="str">
        <f t="shared" si="2118"/>
        <v>47</v>
      </c>
      <c r="M3258" s="1" t="str">
        <f t="shared" si="2153"/>
        <v>0</v>
      </c>
      <c r="N3258" s="1" t="str">
        <f t="shared" si="2153"/>
        <v>0</v>
      </c>
      <c r="O3258" s="1" t="str">
        <f>"13.2"</f>
        <v>13.2</v>
      </c>
    </row>
    <row r="3259" s="1" customFormat="1" spans="1:15">
      <c r="A3259" s="1" t="str">
        <f t="shared" si="2088"/>
        <v>202406</v>
      </c>
      <c r="B3259" s="1" t="str">
        <f t="shared" si="2089"/>
        <v>150525100</v>
      </c>
      <c r="C3259" s="1" t="str">
        <f>"1014563126"</f>
        <v>1014563126</v>
      </c>
      <c r="D3259" s="1" t="str">
        <f>"152326196404160417"</f>
        <v>152326196404160417</v>
      </c>
      <c r="E3259" s="1" t="s">
        <v>3330</v>
      </c>
      <c r="F3259" s="1" t="s">
        <v>25</v>
      </c>
      <c r="G3259" s="1" t="s">
        <v>17</v>
      </c>
      <c r="H3259" s="1" t="str">
        <f>"60"</f>
        <v>60</v>
      </c>
      <c r="I3259" s="1" t="str">
        <f>"166.84"</f>
        <v>166.84</v>
      </c>
      <c r="J3259" s="1" t="str">
        <f t="shared" ref="J3259:N3259" si="2154">"0"</f>
        <v>0</v>
      </c>
      <c r="K3259" s="1" t="str">
        <f t="shared" si="2117"/>
        <v>103</v>
      </c>
      <c r="L3259" s="1" t="str">
        <f t="shared" si="2118"/>
        <v>47</v>
      </c>
      <c r="M3259" s="1" t="str">
        <f t="shared" si="2154"/>
        <v>0</v>
      </c>
      <c r="N3259" s="1" t="str">
        <f t="shared" si="2154"/>
        <v>0</v>
      </c>
      <c r="O3259" s="1" t="str">
        <f>"16.84"</f>
        <v>16.84</v>
      </c>
    </row>
    <row r="3260" s="1" customFormat="1" spans="1:15">
      <c r="A3260" s="1" t="str">
        <f t="shared" si="2088"/>
        <v>202406</v>
      </c>
      <c r="B3260" s="1" t="str">
        <f t="shared" si="2089"/>
        <v>150525100</v>
      </c>
      <c r="C3260" s="1" t="str">
        <f>"1014549831"</f>
        <v>1014549831</v>
      </c>
      <c r="D3260" s="1" t="str">
        <f>"152326196011150664"</f>
        <v>152326196011150664</v>
      </c>
      <c r="E3260" s="1" t="s">
        <v>687</v>
      </c>
      <c r="F3260" s="1" t="s">
        <v>16</v>
      </c>
      <c r="G3260" s="1" t="s">
        <v>17</v>
      </c>
      <c r="H3260" s="1" t="str">
        <f>"64"</f>
        <v>64</v>
      </c>
      <c r="I3260" s="1" t="str">
        <f>"160.98"</f>
        <v>160.98</v>
      </c>
      <c r="J3260" s="1" t="str">
        <f t="shared" ref="J3260:N3260" si="2155">"0"</f>
        <v>0</v>
      </c>
      <c r="K3260" s="1" t="str">
        <f t="shared" si="2117"/>
        <v>103</v>
      </c>
      <c r="L3260" s="1" t="str">
        <f t="shared" si="2118"/>
        <v>47</v>
      </c>
      <c r="M3260" s="1" t="str">
        <f t="shared" si="2155"/>
        <v>0</v>
      </c>
      <c r="N3260" s="1" t="str">
        <f t="shared" si="2155"/>
        <v>0</v>
      </c>
      <c r="O3260" s="1" t="str">
        <f>"10.98"</f>
        <v>10.98</v>
      </c>
    </row>
    <row r="3261" s="1" customFormat="1" spans="1:15">
      <c r="A3261" s="1" t="str">
        <f t="shared" si="2088"/>
        <v>202406</v>
      </c>
      <c r="B3261" s="1" t="str">
        <f t="shared" si="2089"/>
        <v>150525100</v>
      </c>
      <c r="C3261" s="1" t="str">
        <f>"1014549841"</f>
        <v>1014549841</v>
      </c>
      <c r="D3261" s="1" t="str">
        <f>"152326196102210669"</f>
        <v>152326196102210669</v>
      </c>
      <c r="E3261" s="1" t="s">
        <v>3331</v>
      </c>
      <c r="F3261" s="1" t="s">
        <v>16</v>
      </c>
      <c r="G3261" s="1" t="s">
        <v>17</v>
      </c>
      <c r="H3261" s="1" t="str">
        <f>"63"</f>
        <v>63</v>
      </c>
      <c r="I3261" s="1" t="str">
        <f>"160.77"</f>
        <v>160.77</v>
      </c>
      <c r="J3261" s="1" t="str">
        <f t="shared" ref="J3261:N3261" si="2156">"0"</f>
        <v>0</v>
      </c>
      <c r="K3261" s="1" t="str">
        <f t="shared" si="2117"/>
        <v>103</v>
      </c>
      <c r="L3261" s="1" t="str">
        <f t="shared" si="2118"/>
        <v>47</v>
      </c>
      <c r="M3261" s="1" t="str">
        <f t="shared" si="2156"/>
        <v>0</v>
      </c>
      <c r="N3261" s="1" t="str">
        <f t="shared" si="2156"/>
        <v>0</v>
      </c>
      <c r="O3261" s="1" t="str">
        <f>"10.77"</f>
        <v>10.77</v>
      </c>
    </row>
    <row r="3262" s="1" customFormat="1" spans="1:15">
      <c r="A3262" s="1" t="str">
        <f t="shared" si="2088"/>
        <v>202406</v>
      </c>
      <c r="B3262" s="1" t="str">
        <f t="shared" si="2089"/>
        <v>150525100</v>
      </c>
      <c r="C3262" s="1" t="str">
        <f>"1014548936"</f>
        <v>1014548936</v>
      </c>
      <c r="D3262" s="1" t="str">
        <f>"152326196206073320"</f>
        <v>152326196206073320</v>
      </c>
      <c r="E3262" s="1" t="s">
        <v>3332</v>
      </c>
      <c r="F3262" s="1" t="s">
        <v>16</v>
      </c>
      <c r="G3262" s="1" t="s">
        <v>19</v>
      </c>
      <c r="H3262" s="1" t="str">
        <f>"62"</f>
        <v>62</v>
      </c>
      <c r="I3262" s="1" t="str">
        <f>"163.03"</f>
        <v>163.03</v>
      </c>
      <c r="J3262" s="1" t="str">
        <f t="shared" ref="J3262:N3262" si="2157">"0"</f>
        <v>0</v>
      </c>
      <c r="K3262" s="1" t="str">
        <f t="shared" si="2117"/>
        <v>103</v>
      </c>
      <c r="L3262" s="1" t="str">
        <f t="shared" si="2118"/>
        <v>47</v>
      </c>
      <c r="M3262" s="1" t="str">
        <f t="shared" si="2157"/>
        <v>0</v>
      </c>
      <c r="N3262" s="1" t="str">
        <f t="shared" si="2157"/>
        <v>0</v>
      </c>
      <c r="O3262" s="1" t="str">
        <f>"13.03"</f>
        <v>13.03</v>
      </c>
    </row>
    <row r="3263" s="1" customFormat="1" spans="1:15">
      <c r="A3263" s="1" t="str">
        <f t="shared" si="2088"/>
        <v>202406</v>
      </c>
      <c r="B3263" s="1" t="str">
        <f t="shared" si="2089"/>
        <v>150525100</v>
      </c>
      <c r="C3263" s="1" t="str">
        <f>"1014584893"</f>
        <v>1014584893</v>
      </c>
      <c r="D3263" s="1" t="s">
        <v>3333</v>
      </c>
      <c r="E3263" s="1" t="s">
        <v>3334</v>
      </c>
      <c r="F3263" s="1" t="s">
        <v>16</v>
      </c>
      <c r="G3263" s="1" t="s">
        <v>19</v>
      </c>
      <c r="H3263" s="1" t="str">
        <f>"70"</f>
        <v>70</v>
      </c>
      <c r="I3263" s="1" t="str">
        <f>"164.14"</f>
        <v>164.14</v>
      </c>
      <c r="J3263" s="1" t="str">
        <f t="shared" ref="J3263:N3263" si="2158">"0"</f>
        <v>0</v>
      </c>
      <c r="K3263" s="1" t="str">
        <f t="shared" si="2117"/>
        <v>103</v>
      </c>
      <c r="L3263" s="1" t="str">
        <f t="shared" si="2118"/>
        <v>47</v>
      </c>
      <c r="M3263" s="1" t="str">
        <f t="shared" si="2158"/>
        <v>0</v>
      </c>
      <c r="N3263" s="1" t="str">
        <f t="shared" si="2158"/>
        <v>0</v>
      </c>
      <c r="O3263" s="1" t="str">
        <f>"4.14"</f>
        <v>4.14</v>
      </c>
    </row>
    <row r="3264" s="1" customFormat="1" spans="1:15">
      <c r="A3264" s="1" t="str">
        <f t="shared" si="2088"/>
        <v>202406</v>
      </c>
      <c r="B3264" s="1" t="str">
        <f t="shared" si="2089"/>
        <v>150525100</v>
      </c>
      <c r="C3264" s="1" t="str">
        <f>"1014567700"</f>
        <v>1014567700</v>
      </c>
      <c r="D3264" s="1" t="str">
        <f>"152326195806233821"</f>
        <v>152326195806233821</v>
      </c>
      <c r="E3264" s="1" t="s">
        <v>3335</v>
      </c>
      <c r="F3264" s="1" t="s">
        <v>16</v>
      </c>
      <c r="G3264" s="1" t="s">
        <v>17</v>
      </c>
      <c r="H3264" s="1" t="str">
        <f t="shared" ref="H3264:H3268" si="2159">"66"</f>
        <v>66</v>
      </c>
      <c r="I3264" s="1" t="str">
        <f>"158.05"</f>
        <v>158.05</v>
      </c>
      <c r="J3264" s="1" t="str">
        <f t="shared" ref="J3264:N3264" si="2160">"0"</f>
        <v>0</v>
      </c>
      <c r="K3264" s="1" t="str">
        <f t="shared" si="2117"/>
        <v>103</v>
      </c>
      <c r="L3264" s="1" t="str">
        <f t="shared" si="2118"/>
        <v>47</v>
      </c>
      <c r="M3264" s="1" t="str">
        <f t="shared" si="2160"/>
        <v>0</v>
      </c>
      <c r="N3264" s="1" t="str">
        <f t="shared" si="2160"/>
        <v>0</v>
      </c>
      <c r="O3264" s="1" t="str">
        <f>"8.05"</f>
        <v>8.05</v>
      </c>
    </row>
    <row r="3265" s="1" customFormat="1" spans="1:15">
      <c r="A3265" s="1" t="str">
        <f t="shared" si="2088"/>
        <v>202406</v>
      </c>
      <c r="B3265" s="1" t="str">
        <f t="shared" si="2089"/>
        <v>150525100</v>
      </c>
      <c r="C3265" s="1" t="str">
        <f>"1014567702"</f>
        <v>1014567702</v>
      </c>
      <c r="D3265" s="1" t="str">
        <f>"152326195601013841"</f>
        <v>152326195601013841</v>
      </c>
      <c r="E3265" s="1" t="s">
        <v>3336</v>
      </c>
      <c r="F3265" s="1" t="s">
        <v>16</v>
      </c>
      <c r="G3265" s="1" t="s">
        <v>17</v>
      </c>
      <c r="H3265" s="1" t="str">
        <f>"69"</f>
        <v>69</v>
      </c>
      <c r="I3265" s="1" t="str">
        <f>"155.95"</f>
        <v>155.95</v>
      </c>
      <c r="J3265" s="1" t="str">
        <f t="shared" ref="J3265:N3265" si="2161">"0"</f>
        <v>0</v>
      </c>
      <c r="K3265" s="1" t="str">
        <f t="shared" si="2117"/>
        <v>103</v>
      </c>
      <c r="L3265" s="1" t="str">
        <f t="shared" si="2118"/>
        <v>47</v>
      </c>
      <c r="M3265" s="1" t="str">
        <f t="shared" si="2161"/>
        <v>0</v>
      </c>
      <c r="N3265" s="1" t="str">
        <f t="shared" si="2161"/>
        <v>0</v>
      </c>
      <c r="O3265" s="1" t="str">
        <f>"5.95"</f>
        <v>5.95</v>
      </c>
    </row>
    <row r="3266" s="1" customFormat="1" spans="1:15">
      <c r="A3266" s="1" t="str">
        <f t="shared" ref="A3266:A3329" si="2162">"202406"</f>
        <v>202406</v>
      </c>
      <c r="B3266" s="1" t="str">
        <f t="shared" ref="B3266:B3329" si="2163">"150525100"</f>
        <v>150525100</v>
      </c>
      <c r="C3266" s="1" t="str">
        <f>"1014562774"</f>
        <v>1014562774</v>
      </c>
      <c r="D3266" s="1" t="str">
        <f>"152326195811280411"</f>
        <v>152326195811280411</v>
      </c>
      <c r="E3266" s="1" t="s">
        <v>3337</v>
      </c>
      <c r="F3266" s="1" t="s">
        <v>25</v>
      </c>
      <c r="G3266" s="1" t="s">
        <v>17</v>
      </c>
      <c r="H3266" s="1" t="str">
        <f t="shared" si="2159"/>
        <v>66</v>
      </c>
      <c r="I3266" s="1" t="str">
        <f>"158.11"</f>
        <v>158.11</v>
      </c>
      <c r="J3266" s="1" t="str">
        <f t="shared" ref="J3266:N3266" si="2164">"0"</f>
        <v>0</v>
      </c>
      <c r="K3266" s="1" t="str">
        <f t="shared" si="2117"/>
        <v>103</v>
      </c>
      <c r="L3266" s="1" t="str">
        <f t="shared" si="2118"/>
        <v>47</v>
      </c>
      <c r="M3266" s="1" t="str">
        <f t="shared" si="2164"/>
        <v>0</v>
      </c>
      <c r="N3266" s="1" t="str">
        <f t="shared" si="2164"/>
        <v>0</v>
      </c>
      <c r="O3266" s="1" t="str">
        <f>"8.11"</f>
        <v>8.11</v>
      </c>
    </row>
    <row r="3267" s="1" customFormat="1" spans="1:15">
      <c r="A3267" s="1" t="str">
        <f t="shared" si="2162"/>
        <v>202406</v>
      </c>
      <c r="B3267" s="1" t="str">
        <f t="shared" si="2163"/>
        <v>150525100</v>
      </c>
      <c r="C3267" s="1" t="str">
        <f>"1014562792"</f>
        <v>1014562792</v>
      </c>
      <c r="D3267" s="1" t="str">
        <f>"152326196306180449"</f>
        <v>152326196306180449</v>
      </c>
      <c r="E3267" s="1" t="s">
        <v>3338</v>
      </c>
      <c r="F3267" s="1" t="s">
        <v>16</v>
      </c>
      <c r="G3267" s="1" t="s">
        <v>96</v>
      </c>
      <c r="H3267" s="1" t="str">
        <f>"61"</f>
        <v>61</v>
      </c>
      <c r="I3267" s="1" t="str">
        <f>"165.49"</f>
        <v>165.49</v>
      </c>
      <c r="J3267" s="1" t="str">
        <f t="shared" ref="J3267:N3267" si="2165">"0"</f>
        <v>0</v>
      </c>
      <c r="K3267" s="1" t="str">
        <f t="shared" si="2117"/>
        <v>103</v>
      </c>
      <c r="L3267" s="1" t="str">
        <f t="shared" si="2118"/>
        <v>47</v>
      </c>
      <c r="M3267" s="1" t="str">
        <f t="shared" si="2165"/>
        <v>0</v>
      </c>
      <c r="N3267" s="1" t="str">
        <f t="shared" si="2165"/>
        <v>0</v>
      </c>
      <c r="O3267" s="1" t="str">
        <f>"15.49"</f>
        <v>15.49</v>
      </c>
    </row>
    <row r="3268" s="1" customFormat="1" spans="1:15">
      <c r="A3268" s="1" t="str">
        <f t="shared" si="2162"/>
        <v>202406</v>
      </c>
      <c r="B3268" s="1" t="str">
        <f t="shared" si="2163"/>
        <v>150525100</v>
      </c>
      <c r="C3268" s="1" t="str">
        <f>"1014569584"</f>
        <v>1014569584</v>
      </c>
      <c r="D3268" s="1" t="str">
        <f>"152326195802220441"</f>
        <v>152326195802220441</v>
      </c>
      <c r="E3268" s="1" t="s">
        <v>3339</v>
      </c>
      <c r="F3268" s="1" t="s">
        <v>16</v>
      </c>
      <c r="G3268" s="1" t="s">
        <v>19</v>
      </c>
      <c r="H3268" s="1" t="str">
        <f t="shared" si="2159"/>
        <v>66</v>
      </c>
      <c r="I3268" s="1" t="str">
        <f>"157.07"</f>
        <v>157.07</v>
      </c>
      <c r="J3268" s="1" t="str">
        <f t="shared" ref="J3268:N3268" si="2166">"0"</f>
        <v>0</v>
      </c>
      <c r="K3268" s="1" t="str">
        <f t="shared" si="2117"/>
        <v>103</v>
      </c>
      <c r="L3268" s="1" t="str">
        <f t="shared" si="2118"/>
        <v>47</v>
      </c>
      <c r="M3268" s="1" t="str">
        <f t="shared" si="2166"/>
        <v>0</v>
      </c>
      <c r="N3268" s="1" t="str">
        <f t="shared" si="2166"/>
        <v>0</v>
      </c>
      <c r="O3268" s="1" t="str">
        <f>"7.07"</f>
        <v>7.07</v>
      </c>
    </row>
    <row r="3269" s="1" customFormat="1" spans="1:15">
      <c r="A3269" s="1" t="str">
        <f t="shared" si="2162"/>
        <v>202406</v>
      </c>
      <c r="B3269" s="1" t="str">
        <f t="shared" si="2163"/>
        <v>150525100</v>
      </c>
      <c r="C3269" s="1" t="str">
        <f>"1014569588"</f>
        <v>1014569588</v>
      </c>
      <c r="D3269" s="1" t="str">
        <f>"152326195904160427"</f>
        <v>152326195904160427</v>
      </c>
      <c r="E3269" s="1" t="s">
        <v>3340</v>
      </c>
      <c r="F3269" s="1" t="s">
        <v>16</v>
      </c>
      <c r="G3269" s="1" t="s">
        <v>19</v>
      </c>
      <c r="H3269" s="1" t="str">
        <f>"65"</f>
        <v>65</v>
      </c>
      <c r="I3269" s="1" t="str">
        <f>"158.13"</f>
        <v>158.13</v>
      </c>
      <c r="J3269" s="1" t="str">
        <f t="shared" ref="J3269:N3269" si="2167">"0"</f>
        <v>0</v>
      </c>
      <c r="K3269" s="1" t="str">
        <f t="shared" si="2117"/>
        <v>103</v>
      </c>
      <c r="L3269" s="1" t="str">
        <f t="shared" si="2118"/>
        <v>47</v>
      </c>
      <c r="M3269" s="1" t="str">
        <f t="shared" si="2167"/>
        <v>0</v>
      </c>
      <c r="N3269" s="1" t="str">
        <f t="shared" si="2167"/>
        <v>0</v>
      </c>
      <c r="O3269" s="1" t="str">
        <f>"8.13"</f>
        <v>8.13</v>
      </c>
    </row>
    <row r="3270" s="1" customFormat="1" spans="1:15">
      <c r="A3270" s="1" t="str">
        <f t="shared" si="2162"/>
        <v>202406</v>
      </c>
      <c r="B3270" s="1" t="str">
        <f t="shared" si="2163"/>
        <v>150525100</v>
      </c>
      <c r="C3270" s="1" t="str">
        <f>"1014569598"</f>
        <v>1014569598</v>
      </c>
      <c r="D3270" s="1" t="str">
        <f>"152326196012010428"</f>
        <v>152326196012010428</v>
      </c>
      <c r="E3270" s="1" t="s">
        <v>3341</v>
      </c>
      <c r="F3270" s="1" t="s">
        <v>16</v>
      </c>
      <c r="G3270" s="1" t="s">
        <v>19</v>
      </c>
      <c r="H3270" s="1" t="str">
        <f>"64"</f>
        <v>64</v>
      </c>
      <c r="I3270" s="1" t="str">
        <f>"159.31"</f>
        <v>159.31</v>
      </c>
      <c r="J3270" s="1" t="str">
        <f t="shared" ref="J3270:N3270" si="2168">"0"</f>
        <v>0</v>
      </c>
      <c r="K3270" s="1" t="str">
        <f t="shared" si="2117"/>
        <v>103</v>
      </c>
      <c r="L3270" s="1" t="str">
        <f t="shared" si="2118"/>
        <v>47</v>
      </c>
      <c r="M3270" s="1" t="str">
        <f t="shared" si="2168"/>
        <v>0</v>
      </c>
      <c r="N3270" s="1" t="str">
        <f t="shared" si="2168"/>
        <v>0</v>
      </c>
      <c r="O3270" s="1" t="str">
        <f>"9.31"</f>
        <v>9.31</v>
      </c>
    </row>
    <row r="3271" s="1" customFormat="1" spans="1:15">
      <c r="A3271" s="1" t="str">
        <f t="shared" si="2162"/>
        <v>202406</v>
      </c>
      <c r="B3271" s="1" t="str">
        <f t="shared" si="2163"/>
        <v>150525100</v>
      </c>
      <c r="C3271" s="1" t="str">
        <f>"1014583978"</f>
        <v>1014583978</v>
      </c>
      <c r="D3271" s="1" t="str">
        <f>"152326195911020676"</f>
        <v>152326195911020676</v>
      </c>
      <c r="E3271" s="1" t="s">
        <v>3342</v>
      </c>
      <c r="F3271" s="1" t="s">
        <v>25</v>
      </c>
      <c r="G3271" s="1" t="s">
        <v>17</v>
      </c>
      <c r="H3271" s="1" t="str">
        <f>"65"</f>
        <v>65</v>
      </c>
      <c r="I3271" s="1" t="str">
        <f>"161.35"</f>
        <v>161.35</v>
      </c>
      <c r="J3271" s="1" t="str">
        <f t="shared" ref="J3271:N3271" si="2169">"0"</f>
        <v>0</v>
      </c>
      <c r="K3271" s="1" t="str">
        <f t="shared" si="2117"/>
        <v>103</v>
      </c>
      <c r="L3271" s="1" t="str">
        <f t="shared" si="2118"/>
        <v>47</v>
      </c>
      <c r="M3271" s="1" t="str">
        <f t="shared" si="2169"/>
        <v>0</v>
      </c>
      <c r="N3271" s="1" t="str">
        <f t="shared" si="2169"/>
        <v>0</v>
      </c>
      <c r="O3271" s="1" t="str">
        <f>"11.35"</f>
        <v>11.35</v>
      </c>
    </row>
    <row r="3272" s="1" customFormat="1" spans="1:15">
      <c r="A3272" s="1" t="str">
        <f t="shared" si="2162"/>
        <v>202406</v>
      </c>
      <c r="B3272" s="1" t="str">
        <f t="shared" si="2163"/>
        <v>150525100</v>
      </c>
      <c r="C3272" s="1" t="str">
        <f>"1014549850"</f>
        <v>1014549850</v>
      </c>
      <c r="D3272" s="1" t="str">
        <f>"152326196110030668"</f>
        <v>152326196110030668</v>
      </c>
      <c r="E3272" s="1" t="s">
        <v>3343</v>
      </c>
      <c r="F3272" s="1" t="s">
        <v>16</v>
      </c>
      <c r="G3272" s="1" t="s">
        <v>17</v>
      </c>
      <c r="H3272" s="1" t="str">
        <f>"63"</f>
        <v>63</v>
      </c>
      <c r="I3272" s="1" t="str">
        <f>"161.91"</f>
        <v>161.91</v>
      </c>
      <c r="J3272" s="1" t="str">
        <f t="shared" ref="J3272:N3272" si="2170">"0"</f>
        <v>0</v>
      </c>
      <c r="K3272" s="1" t="str">
        <f t="shared" si="2117"/>
        <v>103</v>
      </c>
      <c r="L3272" s="1" t="str">
        <f t="shared" si="2118"/>
        <v>47</v>
      </c>
      <c r="M3272" s="1" t="str">
        <f t="shared" si="2170"/>
        <v>0</v>
      </c>
      <c r="N3272" s="1" t="str">
        <f t="shared" si="2170"/>
        <v>0</v>
      </c>
      <c r="O3272" s="1" t="str">
        <f>"11.91"</f>
        <v>11.91</v>
      </c>
    </row>
    <row r="3273" s="1" customFormat="1" spans="1:15">
      <c r="A3273" s="1" t="str">
        <f t="shared" si="2162"/>
        <v>202406</v>
      </c>
      <c r="B3273" s="1" t="str">
        <f t="shared" si="2163"/>
        <v>150525100</v>
      </c>
      <c r="C3273" s="1" t="str">
        <f>"1014549863"</f>
        <v>1014549863</v>
      </c>
      <c r="D3273" s="1" t="str">
        <f>"152326196205250663"</f>
        <v>152326196205250663</v>
      </c>
      <c r="E3273" s="1" t="s">
        <v>3344</v>
      </c>
      <c r="F3273" s="1" t="s">
        <v>16</v>
      </c>
      <c r="G3273" s="1" t="s">
        <v>17</v>
      </c>
      <c r="H3273" s="1" t="str">
        <f>"62"</f>
        <v>62</v>
      </c>
      <c r="I3273" s="1" t="str">
        <f>"166.36"</f>
        <v>166.36</v>
      </c>
      <c r="J3273" s="1" t="str">
        <f t="shared" ref="J3273:N3273" si="2171">"0"</f>
        <v>0</v>
      </c>
      <c r="K3273" s="1" t="str">
        <f t="shared" si="2117"/>
        <v>103</v>
      </c>
      <c r="L3273" s="1" t="str">
        <f t="shared" si="2118"/>
        <v>47</v>
      </c>
      <c r="M3273" s="1" t="str">
        <f t="shared" si="2171"/>
        <v>0</v>
      </c>
      <c r="N3273" s="1" t="str">
        <f t="shared" si="2171"/>
        <v>0</v>
      </c>
      <c r="O3273" s="1" t="str">
        <f>"16.36"</f>
        <v>16.36</v>
      </c>
    </row>
    <row r="3274" s="1" customFormat="1" spans="1:15">
      <c r="A3274" s="1" t="str">
        <f t="shared" si="2162"/>
        <v>202406</v>
      </c>
      <c r="B3274" s="1" t="str">
        <f t="shared" si="2163"/>
        <v>150525100</v>
      </c>
      <c r="C3274" s="1" t="str">
        <f>"1014549869"</f>
        <v>1014549869</v>
      </c>
      <c r="D3274" s="1" t="str">
        <f>"152326196207250675"</f>
        <v>152326196207250675</v>
      </c>
      <c r="E3274" s="1" t="s">
        <v>3345</v>
      </c>
      <c r="F3274" s="1" t="s">
        <v>25</v>
      </c>
      <c r="G3274" s="1" t="s">
        <v>19</v>
      </c>
      <c r="H3274" s="1" t="str">
        <f>"62"</f>
        <v>62</v>
      </c>
      <c r="I3274" s="1" t="str">
        <f>"163.07"</f>
        <v>163.07</v>
      </c>
      <c r="J3274" s="1" t="str">
        <f t="shared" ref="J3274:N3274" si="2172">"0"</f>
        <v>0</v>
      </c>
      <c r="K3274" s="1" t="str">
        <f t="shared" si="2117"/>
        <v>103</v>
      </c>
      <c r="L3274" s="1" t="str">
        <f t="shared" si="2118"/>
        <v>47</v>
      </c>
      <c r="M3274" s="1" t="str">
        <f t="shared" si="2172"/>
        <v>0</v>
      </c>
      <c r="N3274" s="1" t="str">
        <f t="shared" si="2172"/>
        <v>0</v>
      </c>
      <c r="O3274" s="1" t="str">
        <f>"13.07"</f>
        <v>13.07</v>
      </c>
    </row>
    <row r="3275" s="1" customFormat="1" spans="1:15">
      <c r="A3275" s="1" t="str">
        <f t="shared" si="2162"/>
        <v>202406</v>
      </c>
      <c r="B3275" s="1" t="str">
        <f t="shared" si="2163"/>
        <v>150525100</v>
      </c>
      <c r="C3275" s="1" t="str">
        <f>"1014550382"</f>
        <v>1014550382</v>
      </c>
      <c r="D3275" s="1" t="str">
        <f>"152326196309030673"</f>
        <v>152326196309030673</v>
      </c>
      <c r="E3275" s="1" t="s">
        <v>3346</v>
      </c>
      <c r="F3275" s="1" t="s">
        <v>25</v>
      </c>
      <c r="G3275" s="1" t="s">
        <v>96</v>
      </c>
      <c r="H3275" s="1" t="str">
        <f t="shared" ref="H3275:H3278" si="2173">"61"</f>
        <v>61</v>
      </c>
      <c r="I3275" s="1" t="str">
        <f>"165.09"</f>
        <v>165.09</v>
      </c>
      <c r="J3275" s="1" t="str">
        <f t="shared" ref="J3275:N3275" si="2174">"0"</f>
        <v>0</v>
      </c>
      <c r="K3275" s="1" t="str">
        <f t="shared" si="2117"/>
        <v>103</v>
      </c>
      <c r="L3275" s="1" t="str">
        <f t="shared" si="2118"/>
        <v>47</v>
      </c>
      <c r="M3275" s="1" t="str">
        <f t="shared" si="2174"/>
        <v>0</v>
      </c>
      <c r="N3275" s="1" t="str">
        <f t="shared" si="2174"/>
        <v>0</v>
      </c>
      <c r="O3275" s="1" t="str">
        <f>"15.09"</f>
        <v>15.09</v>
      </c>
    </row>
    <row r="3276" s="1" customFormat="1" spans="1:15">
      <c r="A3276" s="1" t="str">
        <f t="shared" si="2162"/>
        <v>202406</v>
      </c>
      <c r="B3276" s="1" t="str">
        <f t="shared" si="2163"/>
        <v>150525100</v>
      </c>
      <c r="C3276" s="1" t="str">
        <f>"1014550383"</f>
        <v>1014550383</v>
      </c>
      <c r="D3276" s="1" t="str">
        <f>"152326196309120695"</f>
        <v>152326196309120695</v>
      </c>
      <c r="E3276" s="1" t="s">
        <v>3347</v>
      </c>
      <c r="F3276" s="1" t="s">
        <v>25</v>
      </c>
      <c r="G3276" s="1" t="s">
        <v>17</v>
      </c>
      <c r="H3276" s="1" t="str">
        <f t="shared" si="2173"/>
        <v>61</v>
      </c>
      <c r="I3276" s="1" t="str">
        <f>"165.1"</f>
        <v>165.1</v>
      </c>
      <c r="J3276" s="1" t="str">
        <f t="shared" ref="J3276:N3276" si="2175">"0"</f>
        <v>0</v>
      </c>
      <c r="K3276" s="1" t="str">
        <f t="shared" si="2117"/>
        <v>103</v>
      </c>
      <c r="L3276" s="1" t="str">
        <f t="shared" si="2118"/>
        <v>47</v>
      </c>
      <c r="M3276" s="1" t="str">
        <f t="shared" si="2175"/>
        <v>0</v>
      </c>
      <c r="N3276" s="1" t="str">
        <f t="shared" si="2175"/>
        <v>0</v>
      </c>
      <c r="O3276" s="1" t="str">
        <f>"15.1"</f>
        <v>15.1</v>
      </c>
    </row>
    <row r="3277" s="1" customFormat="1" spans="1:15">
      <c r="A3277" s="1" t="str">
        <f t="shared" si="2162"/>
        <v>202406</v>
      </c>
      <c r="B3277" s="1" t="str">
        <f t="shared" si="2163"/>
        <v>150525100</v>
      </c>
      <c r="C3277" s="1" t="str">
        <f>"1040681591"</f>
        <v>1040681591</v>
      </c>
      <c r="D3277" s="1" t="str">
        <f>"152326195511260021"</f>
        <v>152326195511260021</v>
      </c>
      <c r="E3277" s="1" t="s">
        <v>3348</v>
      </c>
      <c r="F3277" s="1" t="s">
        <v>16</v>
      </c>
      <c r="G3277" s="1" t="s">
        <v>17</v>
      </c>
      <c r="H3277" s="1" t="str">
        <f>"69"</f>
        <v>69</v>
      </c>
      <c r="I3277" s="1" t="str">
        <f>"153.81"</f>
        <v>153.81</v>
      </c>
      <c r="J3277" s="1" t="str">
        <f t="shared" ref="J3277:N3277" si="2176">"0"</f>
        <v>0</v>
      </c>
      <c r="K3277" s="1" t="str">
        <f t="shared" si="2117"/>
        <v>103</v>
      </c>
      <c r="L3277" s="1" t="str">
        <f t="shared" si="2118"/>
        <v>47</v>
      </c>
      <c r="M3277" s="1" t="str">
        <f t="shared" si="2176"/>
        <v>0</v>
      </c>
      <c r="N3277" s="1" t="str">
        <f t="shared" si="2176"/>
        <v>0</v>
      </c>
      <c r="O3277" s="1" t="str">
        <f>"3.81"</f>
        <v>3.81</v>
      </c>
    </row>
    <row r="3278" s="1" customFormat="1" spans="1:15">
      <c r="A3278" s="1" t="str">
        <f t="shared" si="2162"/>
        <v>202406</v>
      </c>
      <c r="B3278" s="1" t="str">
        <f t="shared" si="2163"/>
        <v>150525100</v>
      </c>
      <c r="C3278" s="1" t="str">
        <f>"1040681594"</f>
        <v>1040681594</v>
      </c>
      <c r="D3278" s="1" t="str">
        <f>"152326196304120012"</f>
        <v>152326196304120012</v>
      </c>
      <c r="E3278" s="1" t="s">
        <v>3349</v>
      </c>
      <c r="F3278" s="1" t="s">
        <v>25</v>
      </c>
      <c r="G3278" s="1" t="s">
        <v>17</v>
      </c>
      <c r="H3278" s="1" t="str">
        <f t="shared" si="2173"/>
        <v>61</v>
      </c>
      <c r="I3278" s="1" t="str">
        <f>"228.98"</f>
        <v>228.98</v>
      </c>
      <c r="J3278" s="1" t="str">
        <f t="shared" ref="J3278:N3278" si="2177">"0"</f>
        <v>0</v>
      </c>
      <c r="K3278" s="1" t="str">
        <f t="shared" si="2117"/>
        <v>103</v>
      </c>
      <c r="L3278" s="1" t="str">
        <f t="shared" si="2118"/>
        <v>47</v>
      </c>
      <c r="M3278" s="1" t="str">
        <f t="shared" si="2177"/>
        <v>0</v>
      </c>
      <c r="N3278" s="1" t="str">
        <f t="shared" si="2177"/>
        <v>0</v>
      </c>
      <c r="O3278" s="1" t="str">
        <f>"78.98"</f>
        <v>78.98</v>
      </c>
    </row>
    <row r="3279" s="1" customFormat="1" spans="1:15">
      <c r="A3279" s="1" t="str">
        <f t="shared" si="2162"/>
        <v>202406</v>
      </c>
      <c r="B3279" s="1" t="str">
        <f t="shared" si="2163"/>
        <v>150525100</v>
      </c>
      <c r="C3279" s="1" t="str">
        <f>"1040681543"</f>
        <v>1040681543</v>
      </c>
      <c r="D3279" s="1" t="str">
        <f>"152326195401113071"</f>
        <v>152326195401113071</v>
      </c>
      <c r="E3279" s="1" t="s">
        <v>3350</v>
      </c>
      <c r="F3279" s="1" t="s">
        <v>25</v>
      </c>
      <c r="G3279" s="1" t="s">
        <v>17</v>
      </c>
      <c r="H3279" s="1" t="str">
        <f>"70"</f>
        <v>70</v>
      </c>
      <c r="I3279" s="1" t="str">
        <f>"162.94"</f>
        <v>162.94</v>
      </c>
      <c r="J3279" s="1" t="str">
        <f t="shared" ref="J3279:N3279" si="2178">"0"</f>
        <v>0</v>
      </c>
      <c r="K3279" s="1" t="str">
        <f t="shared" si="2117"/>
        <v>103</v>
      </c>
      <c r="L3279" s="1" t="str">
        <f t="shared" si="2118"/>
        <v>47</v>
      </c>
      <c r="M3279" s="1" t="str">
        <f t="shared" si="2178"/>
        <v>0</v>
      </c>
      <c r="N3279" s="1" t="str">
        <f t="shared" si="2178"/>
        <v>0</v>
      </c>
      <c r="O3279" s="1" t="str">
        <f>"2.94"</f>
        <v>2.94</v>
      </c>
    </row>
    <row r="3280" s="1" customFormat="1" spans="1:15">
      <c r="A3280" s="1" t="str">
        <f t="shared" si="2162"/>
        <v>202406</v>
      </c>
      <c r="B3280" s="1" t="str">
        <f t="shared" si="2163"/>
        <v>150525100</v>
      </c>
      <c r="C3280" s="1" t="str">
        <f>"1014613075"</f>
        <v>1014613075</v>
      </c>
      <c r="D3280" s="1" t="str">
        <f>"152326195112250416"</f>
        <v>152326195112250416</v>
      </c>
      <c r="E3280" s="1" t="s">
        <v>3351</v>
      </c>
      <c r="F3280" s="1" t="s">
        <v>25</v>
      </c>
      <c r="G3280" s="1" t="s">
        <v>17</v>
      </c>
      <c r="H3280" s="1" t="str">
        <f t="shared" ref="H3280:H3282" si="2179">"73"</f>
        <v>73</v>
      </c>
      <c r="I3280" s="1" t="str">
        <f t="shared" ref="I3280:I3283" si="2180">"160"</f>
        <v>160</v>
      </c>
      <c r="J3280" s="1" t="str">
        <f t="shared" ref="J3280:O3280" si="2181">"0"</f>
        <v>0</v>
      </c>
      <c r="K3280" s="1" t="str">
        <f t="shared" si="2117"/>
        <v>103</v>
      </c>
      <c r="L3280" s="1" t="str">
        <f t="shared" si="2118"/>
        <v>47</v>
      </c>
      <c r="M3280" s="1" t="str">
        <f t="shared" si="2181"/>
        <v>0</v>
      </c>
      <c r="N3280" s="1" t="str">
        <f t="shared" si="2181"/>
        <v>0</v>
      </c>
      <c r="O3280" s="1" t="str">
        <f t="shared" si="2181"/>
        <v>0</v>
      </c>
    </row>
    <row r="3281" s="1" customFormat="1" spans="1:15">
      <c r="A3281" s="1" t="str">
        <f t="shared" si="2162"/>
        <v>202406</v>
      </c>
      <c r="B3281" s="1" t="str">
        <f t="shared" si="2163"/>
        <v>150525100</v>
      </c>
      <c r="C3281" s="1" t="str">
        <f>"1014613080"</f>
        <v>1014613080</v>
      </c>
      <c r="D3281" s="1" t="str">
        <f>"152326195110150411"</f>
        <v>152326195110150411</v>
      </c>
      <c r="E3281" s="1" t="s">
        <v>3352</v>
      </c>
      <c r="F3281" s="1" t="s">
        <v>25</v>
      </c>
      <c r="G3281" s="1" t="s">
        <v>17</v>
      </c>
      <c r="H3281" s="1" t="str">
        <f t="shared" si="2179"/>
        <v>73</v>
      </c>
      <c r="I3281" s="1" t="str">
        <f t="shared" si="2180"/>
        <v>160</v>
      </c>
      <c r="J3281" s="1" t="str">
        <f t="shared" ref="J3281:O3281" si="2182">"0"</f>
        <v>0</v>
      </c>
      <c r="K3281" s="1" t="str">
        <f t="shared" si="2117"/>
        <v>103</v>
      </c>
      <c r="L3281" s="1" t="str">
        <f t="shared" si="2118"/>
        <v>47</v>
      </c>
      <c r="M3281" s="1" t="str">
        <f t="shared" si="2182"/>
        <v>0</v>
      </c>
      <c r="N3281" s="1" t="str">
        <f t="shared" si="2182"/>
        <v>0</v>
      </c>
      <c r="O3281" s="1" t="str">
        <f t="shared" si="2182"/>
        <v>0</v>
      </c>
    </row>
    <row r="3282" s="1" customFormat="1" spans="1:15">
      <c r="A3282" s="1" t="str">
        <f t="shared" si="2162"/>
        <v>202406</v>
      </c>
      <c r="B3282" s="1" t="str">
        <f t="shared" si="2163"/>
        <v>150525100</v>
      </c>
      <c r="C3282" s="1" t="str">
        <f>"1014613091"</f>
        <v>1014613091</v>
      </c>
      <c r="D3282" s="1" t="str">
        <f>"152326195101260416"</f>
        <v>152326195101260416</v>
      </c>
      <c r="E3282" s="1" t="s">
        <v>3353</v>
      </c>
      <c r="F3282" s="1" t="s">
        <v>25</v>
      </c>
      <c r="G3282" s="1" t="s">
        <v>17</v>
      </c>
      <c r="H3282" s="1" t="str">
        <f t="shared" si="2179"/>
        <v>73</v>
      </c>
      <c r="I3282" s="1" t="str">
        <f t="shared" si="2180"/>
        <v>160</v>
      </c>
      <c r="J3282" s="1" t="str">
        <f t="shared" ref="J3282:O3282" si="2183">"0"</f>
        <v>0</v>
      </c>
      <c r="K3282" s="1" t="str">
        <f t="shared" si="2117"/>
        <v>103</v>
      </c>
      <c r="L3282" s="1" t="str">
        <f t="shared" si="2118"/>
        <v>47</v>
      </c>
      <c r="M3282" s="1" t="str">
        <f t="shared" si="2183"/>
        <v>0</v>
      </c>
      <c r="N3282" s="1" t="str">
        <f t="shared" si="2183"/>
        <v>0</v>
      </c>
      <c r="O3282" s="1" t="str">
        <f t="shared" si="2183"/>
        <v>0</v>
      </c>
    </row>
    <row r="3283" s="1" customFormat="1" spans="1:15">
      <c r="A3283" s="1" t="str">
        <f t="shared" si="2162"/>
        <v>202406</v>
      </c>
      <c r="B3283" s="1" t="str">
        <f t="shared" si="2163"/>
        <v>150525100</v>
      </c>
      <c r="C3283" s="1" t="str">
        <f>"1014622129"</f>
        <v>1014622129</v>
      </c>
      <c r="D3283" s="1" t="str">
        <f>"152326195002020660"</f>
        <v>152326195002020660</v>
      </c>
      <c r="E3283" s="1" t="s">
        <v>3354</v>
      </c>
      <c r="F3283" s="1" t="s">
        <v>16</v>
      </c>
      <c r="G3283" s="1" t="s">
        <v>17</v>
      </c>
      <c r="H3283" s="1" t="str">
        <f>"74"</f>
        <v>74</v>
      </c>
      <c r="I3283" s="1" t="str">
        <f t="shared" si="2180"/>
        <v>160</v>
      </c>
      <c r="J3283" s="1" t="str">
        <f t="shared" ref="J3283:O3283" si="2184">"0"</f>
        <v>0</v>
      </c>
      <c r="K3283" s="1" t="str">
        <f t="shared" si="2117"/>
        <v>103</v>
      </c>
      <c r="L3283" s="1" t="str">
        <f t="shared" si="2118"/>
        <v>47</v>
      </c>
      <c r="M3283" s="1" t="str">
        <f t="shared" si="2184"/>
        <v>0</v>
      </c>
      <c r="N3283" s="1" t="str">
        <f t="shared" si="2184"/>
        <v>0</v>
      </c>
      <c r="O3283" s="1" t="str">
        <f t="shared" si="2184"/>
        <v>0</v>
      </c>
    </row>
    <row r="3284" s="1" customFormat="1" spans="1:15">
      <c r="A3284" s="1" t="str">
        <f t="shared" si="2162"/>
        <v>202406</v>
      </c>
      <c r="B3284" s="1" t="str">
        <f t="shared" si="2163"/>
        <v>150525100</v>
      </c>
      <c r="C3284" s="1" t="str">
        <f>"1014622516"</f>
        <v>1014622516</v>
      </c>
      <c r="D3284" s="1" t="str">
        <f>"152326194110183323"</f>
        <v>152326194110183323</v>
      </c>
      <c r="E3284" s="1" t="s">
        <v>3355</v>
      </c>
      <c r="F3284" s="1" t="s">
        <v>16</v>
      </c>
      <c r="G3284" s="1" t="s">
        <v>19</v>
      </c>
      <c r="H3284" s="1" t="str">
        <f>"83"</f>
        <v>83</v>
      </c>
      <c r="I3284" s="1" t="str">
        <f>"170"</f>
        <v>170</v>
      </c>
      <c r="J3284" s="1" t="str">
        <f t="shared" ref="J3284:O3284" si="2185">"0"</f>
        <v>0</v>
      </c>
      <c r="K3284" s="1" t="str">
        <f t="shared" si="2117"/>
        <v>103</v>
      </c>
      <c r="L3284" s="1" t="str">
        <f t="shared" si="2118"/>
        <v>47</v>
      </c>
      <c r="M3284" s="1" t="str">
        <f t="shared" si="2185"/>
        <v>0</v>
      </c>
      <c r="N3284" s="1" t="str">
        <f t="shared" si="2185"/>
        <v>0</v>
      </c>
      <c r="O3284" s="1" t="str">
        <f t="shared" si="2185"/>
        <v>0</v>
      </c>
    </row>
    <row r="3285" s="1" customFormat="1" spans="1:15">
      <c r="A3285" s="1" t="str">
        <f t="shared" si="2162"/>
        <v>202406</v>
      </c>
      <c r="B3285" s="1" t="str">
        <f t="shared" si="2163"/>
        <v>150525100</v>
      </c>
      <c r="C3285" s="1" t="str">
        <f>"1014623914"</f>
        <v>1014623914</v>
      </c>
      <c r="D3285" s="1" t="str">
        <f>"152326195108140660"</f>
        <v>152326195108140660</v>
      </c>
      <c r="E3285" s="1" t="s">
        <v>3356</v>
      </c>
      <c r="F3285" s="1" t="s">
        <v>16</v>
      </c>
      <c r="G3285" s="1" t="s">
        <v>17</v>
      </c>
      <c r="H3285" s="1" t="str">
        <f>"73"</f>
        <v>73</v>
      </c>
      <c r="I3285" s="1" t="str">
        <f t="shared" ref="I3285:I3290" si="2186">"160"</f>
        <v>160</v>
      </c>
      <c r="J3285" s="1" t="str">
        <f t="shared" ref="J3285:O3285" si="2187">"0"</f>
        <v>0</v>
      </c>
      <c r="K3285" s="1" t="str">
        <f t="shared" si="2117"/>
        <v>103</v>
      </c>
      <c r="L3285" s="1" t="str">
        <f t="shared" si="2118"/>
        <v>47</v>
      </c>
      <c r="M3285" s="1" t="str">
        <f t="shared" si="2187"/>
        <v>0</v>
      </c>
      <c r="N3285" s="1" t="str">
        <f t="shared" si="2187"/>
        <v>0</v>
      </c>
      <c r="O3285" s="1" t="str">
        <f t="shared" si="2187"/>
        <v>0</v>
      </c>
    </row>
    <row r="3286" s="1" customFormat="1" spans="1:15">
      <c r="A3286" s="1" t="str">
        <f t="shared" si="2162"/>
        <v>202406</v>
      </c>
      <c r="B3286" s="1" t="str">
        <f t="shared" si="2163"/>
        <v>150525100</v>
      </c>
      <c r="C3286" s="1" t="str">
        <f>"1014624391"</f>
        <v>1014624391</v>
      </c>
      <c r="D3286" s="1" t="str">
        <f>"152326194812080927"</f>
        <v>152326194812080927</v>
      </c>
      <c r="E3286" s="1" t="s">
        <v>3357</v>
      </c>
      <c r="F3286" s="1" t="s">
        <v>16</v>
      </c>
      <c r="G3286" s="1" t="s">
        <v>19</v>
      </c>
      <c r="H3286" s="1" t="str">
        <f>"76"</f>
        <v>76</v>
      </c>
      <c r="I3286" s="1" t="str">
        <f t="shared" si="2186"/>
        <v>160</v>
      </c>
      <c r="J3286" s="1" t="str">
        <f t="shared" ref="J3286:O3286" si="2188">"0"</f>
        <v>0</v>
      </c>
      <c r="K3286" s="1" t="str">
        <f t="shared" si="2117"/>
        <v>103</v>
      </c>
      <c r="L3286" s="1" t="str">
        <f t="shared" si="2118"/>
        <v>47</v>
      </c>
      <c r="M3286" s="1" t="str">
        <f t="shared" si="2188"/>
        <v>0</v>
      </c>
      <c r="N3286" s="1" t="str">
        <f t="shared" si="2188"/>
        <v>0</v>
      </c>
      <c r="O3286" s="1" t="str">
        <f t="shared" si="2188"/>
        <v>0</v>
      </c>
    </row>
    <row r="3287" s="1" customFormat="1" spans="1:15">
      <c r="A3287" s="1" t="str">
        <f t="shared" si="2162"/>
        <v>202406</v>
      </c>
      <c r="B3287" s="1" t="str">
        <f t="shared" si="2163"/>
        <v>150525100</v>
      </c>
      <c r="C3287" s="1" t="str">
        <f>"1014619355"</f>
        <v>1014619355</v>
      </c>
      <c r="D3287" s="1" t="str">
        <f>"152326194009200678"</f>
        <v>152326194009200678</v>
      </c>
      <c r="E3287" s="1" t="s">
        <v>3358</v>
      </c>
      <c r="F3287" s="1" t="s">
        <v>25</v>
      </c>
      <c r="G3287" s="1" t="s">
        <v>17</v>
      </c>
      <c r="H3287" s="1" t="str">
        <f>"84"</f>
        <v>84</v>
      </c>
      <c r="I3287" s="1" t="str">
        <f>"170"</f>
        <v>170</v>
      </c>
      <c r="J3287" s="1" t="str">
        <f t="shared" ref="J3287:O3287" si="2189">"0"</f>
        <v>0</v>
      </c>
      <c r="K3287" s="1" t="str">
        <f t="shared" si="2117"/>
        <v>103</v>
      </c>
      <c r="L3287" s="1" t="str">
        <f t="shared" si="2118"/>
        <v>47</v>
      </c>
      <c r="M3287" s="1" t="str">
        <f t="shared" si="2189"/>
        <v>0</v>
      </c>
      <c r="N3287" s="1" t="str">
        <f t="shared" si="2189"/>
        <v>0</v>
      </c>
      <c r="O3287" s="1" t="str">
        <f t="shared" si="2189"/>
        <v>0</v>
      </c>
    </row>
    <row r="3288" s="1" customFormat="1" spans="1:15">
      <c r="A3288" s="1" t="str">
        <f t="shared" si="2162"/>
        <v>202406</v>
      </c>
      <c r="B3288" s="1" t="str">
        <f t="shared" si="2163"/>
        <v>150525100</v>
      </c>
      <c r="C3288" s="1" t="str">
        <f>"1014619379"</f>
        <v>1014619379</v>
      </c>
      <c r="D3288" s="1" t="str">
        <f>"152326194910010674"</f>
        <v>152326194910010674</v>
      </c>
      <c r="E3288" s="1" t="s">
        <v>3359</v>
      </c>
      <c r="F3288" s="1" t="s">
        <v>25</v>
      </c>
      <c r="G3288" s="1" t="s">
        <v>17</v>
      </c>
      <c r="H3288" s="1" t="str">
        <f t="shared" ref="H3288:H3293" si="2190">"75"</f>
        <v>75</v>
      </c>
      <c r="I3288" s="1" t="str">
        <f>"960"</f>
        <v>960</v>
      </c>
      <c r="J3288" s="1" t="str">
        <f>"800"</f>
        <v>800</v>
      </c>
      <c r="K3288" s="1" t="str">
        <f>"618"</f>
        <v>618</v>
      </c>
      <c r="L3288" s="1" t="str">
        <f>"282"</f>
        <v>282</v>
      </c>
      <c r="M3288" s="1" t="str">
        <f t="shared" ref="M3288:O3288" si="2191">"0"</f>
        <v>0</v>
      </c>
      <c r="N3288" s="1" t="str">
        <f t="shared" si="2191"/>
        <v>0</v>
      </c>
      <c r="O3288" s="1" t="str">
        <f t="shared" si="2191"/>
        <v>0</v>
      </c>
    </row>
    <row r="3289" s="1" customFormat="1" spans="1:15">
      <c r="A3289" s="1" t="str">
        <f t="shared" si="2162"/>
        <v>202406</v>
      </c>
      <c r="B3289" s="1" t="str">
        <f t="shared" si="2163"/>
        <v>150525100</v>
      </c>
      <c r="C3289" s="1" t="str">
        <f>"1014619381"</f>
        <v>1014619381</v>
      </c>
      <c r="D3289" s="1" t="str">
        <f>"152326194907120696"</f>
        <v>152326194907120696</v>
      </c>
      <c r="E3289" s="1" t="s">
        <v>3360</v>
      </c>
      <c r="F3289" s="1" t="s">
        <v>25</v>
      </c>
      <c r="G3289" s="1" t="s">
        <v>17</v>
      </c>
      <c r="H3289" s="1" t="str">
        <f t="shared" si="2190"/>
        <v>75</v>
      </c>
      <c r="I3289" s="1" t="str">
        <f t="shared" si="2186"/>
        <v>160</v>
      </c>
      <c r="J3289" s="1" t="str">
        <f t="shared" ref="J3289:O3289" si="2192">"0"</f>
        <v>0</v>
      </c>
      <c r="K3289" s="1" t="str">
        <f t="shared" ref="K3289:K3311" si="2193">"103"</f>
        <v>103</v>
      </c>
      <c r="L3289" s="1" t="str">
        <f t="shared" ref="L3289:L3311" si="2194">"47"</f>
        <v>47</v>
      </c>
      <c r="M3289" s="1" t="str">
        <f t="shared" si="2192"/>
        <v>0</v>
      </c>
      <c r="N3289" s="1" t="str">
        <f t="shared" si="2192"/>
        <v>0</v>
      </c>
      <c r="O3289" s="1" t="str">
        <f t="shared" si="2192"/>
        <v>0</v>
      </c>
    </row>
    <row r="3290" s="1" customFormat="1" spans="1:15">
      <c r="A3290" s="1" t="str">
        <f t="shared" si="2162"/>
        <v>202406</v>
      </c>
      <c r="B3290" s="1" t="str">
        <f t="shared" si="2163"/>
        <v>150525100</v>
      </c>
      <c r="C3290" s="1" t="str">
        <f>"1014619922"</f>
        <v>1014619922</v>
      </c>
      <c r="D3290" s="1" t="str">
        <f>"152326195110050664"</f>
        <v>152326195110050664</v>
      </c>
      <c r="E3290" s="1" t="s">
        <v>307</v>
      </c>
      <c r="F3290" s="1" t="s">
        <v>16</v>
      </c>
      <c r="G3290" s="1" t="s">
        <v>17</v>
      </c>
      <c r="H3290" s="1" t="str">
        <f>"73"</f>
        <v>73</v>
      </c>
      <c r="I3290" s="1" t="str">
        <f t="shared" si="2186"/>
        <v>160</v>
      </c>
      <c r="J3290" s="1" t="str">
        <f t="shared" ref="J3290:O3290" si="2195">"0"</f>
        <v>0</v>
      </c>
      <c r="K3290" s="1" t="str">
        <f t="shared" si="2193"/>
        <v>103</v>
      </c>
      <c r="L3290" s="1" t="str">
        <f t="shared" si="2194"/>
        <v>47</v>
      </c>
      <c r="M3290" s="1" t="str">
        <f t="shared" si="2195"/>
        <v>0</v>
      </c>
      <c r="N3290" s="1" t="str">
        <f t="shared" si="2195"/>
        <v>0</v>
      </c>
      <c r="O3290" s="1" t="str">
        <f t="shared" si="2195"/>
        <v>0</v>
      </c>
    </row>
    <row r="3291" s="1" customFormat="1" spans="1:15">
      <c r="A3291" s="1" t="str">
        <f t="shared" si="2162"/>
        <v>202406</v>
      </c>
      <c r="B3291" s="1" t="str">
        <f t="shared" si="2163"/>
        <v>150525100</v>
      </c>
      <c r="C3291" s="1" t="str">
        <f>"1014629307"</f>
        <v>1014629307</v>
      </c>
      <c r="D3291" s="1" t="str">
        <f>"152326194010083827"</f>
        <v>152326194010083827</v>
      </c>
      <c r="E3291" s="1" t="s">
        <v>3361</v>
      </c>
      <c r="F3291" s="1" t="s">
        <v>16</v>
      </c>
      <c r="G3291" s="1" t="s">
        <v>17</v>
      </c>
      <c r="H3291" s="1" t="str">
        <f>"84"</f>
        <v>84</v>
      </c>
      <c r="I3291" s="1" t="str">
        <f>"170"</f>
        <v>170</v>
      </c>
      <c r="J3291" s="1" t="str">
        <f t="shared" ref="J3291:O3291" si="2196">"0"</f>
        <v>0</v>
      </c>
      <c r="K3291" s="1" t="str">
        <f t="shared" si="2193"/>
        <v>103</v>
      </c>
      <c r="L3291" s="1" t="str">
        <f t="shared" si="2194"/>
        <v>47</v>
      </c>
      <c r="M3291" s="1" t="str">
        <f t="shared" si="2196"/>
        <v>0</v>
      </c>
      <c r="N3291" s="1" t="str">
        <f t="shared" si="2196"/>
        <v>0</v>
      </c>
      <c r="O3291" s="1" t="str">
        <f t="shared" si="2196"/>
        <v>0</v>
      </c>
    </row>
    <row r="3292" s="1" customFormat="1" spans="1:15">
      <c r="A3292" s="1" t="str">
        <f t="shared" si="2162"/>
        <v>202406</v>
      </c>
      <c r="B3292" s="1" t="str">
        <f t="shared" si="2163"/>
        <v>150525100</v>
      </c>
      <c r="C3292" s="1" t="str">
        <f>"1014629322"</f>
        <v>1014629322</v>
      </c>
      <c r="D3292" s="1" t="str">
        <f>"152326194810023822"</f>
        <v>152326194810023822</v>
      </c>
      <c r="E3292" s="1" t="s">
        <v>3341</v>
      </c>
      <c r="F3292" s="1" t="s">
        <v>16</v>
      </c>
      <c r="G3292" s="1" t="s">
        <v>17</v>
      </c>
      <c r="H3292" s="1" t="str">
        <f>"76"</f>
        <v>76</v>
      </c>
      <c r="I3292" s="1" t="str">
        <f t="shared" ref="I3292:I3296" si="2197">"160"</f>
        <v>160</v>
      </c>
      <c r="J3292" s="1" t="str">
        <f t="shared" ref="J3292:O3292" si="2198">"0"</f>
        <v>0</v>
      </c>
      <c r="K3292" s="1" t="str">
        <f t="shared" si="2193"/>
        <v>103</v>
      </c>
      <c r="L3292" s="1" t="str">
        <f t="shared" si="2194"/>
        <v>47</v>
      </c>
      <c r="M3292" s="1" t="str">
        <f t="shared" si="2198"/>
        <v>0</v>
      </c>
      <c r="N3292" s="1" t="str">
        <f t="shared" si="2198"/>
        <v>0</v>
      </c>
      <c r="O3292" s="1" t="str">
        <f t="shared" si="2198"/>
        <v>0</v>
      </c>
    </row>
    <row r="3293" s="1" customFormat="1" spans="1:15">
      <c r="A3293" s="1" t="str">
        <f t="shared" si="2162"/>
        <v>202406</v>
      </c>
      <c r="B3293" s="1" t="str">
        <f t="shared" si="2163"/>
        <v>150525100</v>
      </c>
      <c r="C3293" s="1" t="str">
        <f>"1014629326"</f>
        <v>1014629326</v>
      </c>
      <c r="D3293" s="1" t="s">
        <v>3362</v>
      </c>
      <c r="E3293" s="1" t="s">
        <v>3363</v>
      </c>
      <c r="F3293" s="1" t="s">
        <v>16</v>
      </c>
      <c r="G3293" s="1" t="s">
        <v>17</v>
      </c>
      <c r="H3293" s="1" t="str">
        <f t="shared" si="2190"/>
        <v>75</v>
      </c>
      <c r="I3293" s="1" t="str">
        <f t="shared" si="2197"/>
        <v>160</v>
      </c>
      <c r="J3293" s="1" t="str">
        <f t="shared" ref="J3293:O3293" si="2199">"0"</f>
        <v>0</v>
      </c>
      <c r="K3293" s="1" t="str">
        <f t="shared" si="2193"/>
        <v>103</v>
      </c>
      <c r="L3293" s="1" t="str">
        <f t="shared" si="2194"/>
        <v>47</v>
      </c>
      <c r="M3293" s="1" t="str">
        <f t="shared" si="2199"/>
        <v>0</v>
      </c>
      <c r="N3293" s="1" t="str">
        <f t="shared" si="2199"/>
        <v>0</v>
      </c>
      <c r="O3293" s="1" t="str">
        <f t="shared" si="2199"/>
        <v>0</v>
      </c>
    </row>
    <row r="3294" s="1" customFormat="1" spans="1:15">
      <c r="A3294" s="1" t="str">
        <f t="shared" si="2162"/>
        <v>202406</v>
      </c>
      <c r="B3294" s="1" t="str">
        <f t="shared" si="2163"/>
        <v>150525100</v>
      </c>
      <c r="C3294" s="1" t="str">
        <f>"1014629389"</f>
        <v>1014629389</v>
      </c>
      <c r="D3294" s="1" t="str">
        <f>"152326195006260012"</f>
        <v>152326195006260012</v>
      </c>
      <c r="E3294" s="1" t="s">
        <v>3364</v>
      </c>
      <c r="F3294" s="1" t="s">
        <v>25</v>
      </c>
      <c r="G3294" s="1" t="s">
        <v>17</v>
      </c>
      <c r="H3294" s="1" t="str">
        <f>"74"</f>
        <v>74</v>
      </c>
      <c r="I3294" s="1" t="str">
        <f t="shared" si="2197"/>
        <v>160</v>
      </c>
      <c r="J3294" s="1" t="str">
        <f t="shared" ref="J3294:O3294" si="2200">"0"</f>
        <v>0</v>
      </c>
      <c r="K3294" s="1" t="str">
        <f t="shared" si="2193"/>
        <v>103</v>
      </c>
      <c r="L3294" s="1" t="str">
        <f t="shared" si="2194"/>
        <v>47</v>
      </c>
      <c r="M3294" s="1" t="str">
        <f t="shared" si="2200"/>
        <v>0</v>
      </c>
      <c r="N3294" s="1" t="str">
        <f t="shared" si="2200"/>
        <v>0</v>
      </c>
      <c r="O3294" s="1" t="str">
        <f t="shared" si="2200"/>
        <v>0</v>
      </c>
    </row>
    <row r="3295" s="1" customFormat="1" spans="1:15">
      <c r="A3295" s="1" t="str">
        <f t="shared" si="2162"/>
        <v>202406</v>
      </c>
      <c r="B3295" s="1" t="str">
        <f t="shared" si="2163"/>
        <v>150525100</v>
      </c>
      <c r="C3295" s="1" t="str">
        <f>"1014629437"</f>
        <v>1014629437</v>
      </c>
      <c r="D3295" s="1" t="str">
        <f>"152326194411113820"</f>
        <v>152326194411113820</v>
      </c>
      <c r="E3295" s="1" t="s">
        <v>3365</v>
      </c>
      <c r="F3295" s="1" t="s">
        <v>16</v>
      </c>
      <c r="G3295" s="1" t="s">
        <v>19</v>
      </c>
      <c r="H3295" s="1" t="str">
        <f>"80"</f>
        <v>80</v>
      </c>
      <c r="I3295" s="1" t="str">
        <f t="shared" si="2197"/>
        <v>160</v>
      </c>
      <c r="J3295" s="1" t="str">
        <f t="shared" ref="J3295:O3295" si="2201">"0"</f>
        <v>0</v>
      </c>
      <c r="K3295" s="1" t="str">
        <f t="shared" si="2193"/>
        <v>103</v>
      </c>
      <c r="L3295" s="1" t="str">
        <f t="shared" si="2194"/>
        <v>47</v>
      </c>
      <c r="M3295" s="1" t="str">
        <f t="shared" si="2201"/>
        <v>0</v>
      </c>
      <c r="N3295" s="1" t="str">
        <f t="shared" si="2201"/>
        <v>0</v>
      </c>
      <c r="O3295" s="1" t="str">
        <f t="shared" si="2201"/>
        <v>0</v>
      </c>
    </row>
    <row r="3296" s="1" customFormat="1" spans="1:15">
      <c r="A3296" s="1" t="str">
        <f t="shared" si="2162"/>
        <v>202406</v>
      </c>
      <c r="B3296" s="1" t="str">
        <f t="shared" si="2163"/>
        <v>150525100</v>
      </c>
      <c r="C3296" s="1" t="str">
        <f>"1014612829"</f>
        <v>1014612829</v>
      </c>
      <c r="D3296" s="1" t="str">
        <f>"152326195006270421"</f>
        <v>152326195006270421</v>
      </c>
      <c r="E3296" s="1" t="s">
        <v>3366</v>
      </c>
      <c r="F3296" s="1" t="s">
        <v>16</v>
      </c>
      <c r="G3296" s="1" t="s">
        <v>17</v>
      </c>
      <c r="H3296" s="1" t="str">
        <f>"74"</f>
        <v>74</v>
      </c>
      <c r="I3296" s="1" t="str">
        <f t="shared" si="2197"/>
        <v>160</v>
      </c>
      <c r="J3296" s="1" t="str">
        <f t="shared" ref="J3296:O3296" si="2202">"0"</f>
        <v>0</v>
      </c>
      <c r="K3296" s="1" t="str">
        <f t="shared" si="2193"/>
        <v>103</v>
      </c>
      <c r="L3296" s="1" t="str">
        <f t="shared" si="2194"/>
        <v>47</v>
      </c>
      <c r="M3296" s="1" t="str">
        <f t="shared" si="2202"/>
        <v>0</v>
      </c>
      <c r="N3296" s="1" t="str">
        <f t="shared" si="2202"/>
        <v>0</v>
      </c>
      <c r="O3296" s="1" t="str">
        <f t="shared" si="2202"/>
        <v>0</v>
      </c>
    </row>
    <row r="3297" s="1" customFormat="1" spans="1:15">
      <c r="A3297" s="1" t="str">
        <f t="shared" si="2162"/>
        <v>202406</v>
      </c>
      <c r="B3297" s="1" t="str">
        <f t="shared" si="2163"/>
        <v>150525100</v>
      </c>
      <c r="C3297" s="1" t="str">
        <f>"1014613108"</f>
        <v>1014613108</v>
      </c>
      <c r="D3297" s="1" t="str">
        <f>"152326193112150416"</f>
        <v>152326193112150416</v>
      </c>
      <c r="E3297" s="1" t="s">
        <v>3367</v>
      </c>
      <c r="F3297" s="1" t="s">
        <v>25</v>
      </c>
      <c r="G3297" s="1" t="s">
        <v>17</v>
      </c>
      <c r="H3297" s="1" t="str">
        <f>"93"</f>
        <v>93</v>
      </c>
      <c r="I3297" s="1" t="str">
        <f t="shared" ref="I3297:I3299" si="2203">"170"</f>
        <v>170</v>
      </c>
      <c r="J3297" s="1" t="str">
        <f t="shared" ref="J3297:O3297" si="2204">"0"</f>
        <v>0</v>
      </c>
      <c r="K3297" s="1" t="str">
        <f t="shared" si="2193"/>
        <v>103</v>
      </c>
      <c r="L3297" s="1" t="str">
        <f t="shared" si="2194"/>
        <v>47</v>
      </c>
      <c r="M3297" s="1" t="str">
        <f t="shared" si="2204"/>
        <v>0</v>
      </c>
      <c r="N3297" s="1" t="str">
        <f t="shared" si="2204"/>
        <v>0</v>
      </c>
      <c r="O3297" s="1" t="str">
        <f t="shared" si="2204"/>
        <v>0</v>
      </c>
    </row>
    <row r="3298" s="1" customFormat="1" spans="1:15">
      <c r="A3298" s="1" t="str">
        <f t="shared" si="2162"/>
        <v>202406</v>
      </c>
      <c r="B3298" s="1" t="str">
        <f t="shared" si="2163"/>
        <v>150525100</v>
      </c>
      <c r="C3298" s="1" t="str">
        <f>"1014622565"</f>
        <v>1014622565</v>
      </c>
      <c r="D3298" s="1" t="str">
        <f>"152326193506200666"</f>
        <v>152326193506200666</v>
      </c>
      <c r="E3298" s="1" t="s">
        <v>3368</v>
      </c>
      <c r="F3298" s="1" t="s">
        <v>16</v>
      </c>
      <c r="G3298" s="1" t="s">
        <v>19</v>
      </c>
      <c r="H3298" s="1" t="str">
        <f>"89"</f>
        <v>89</v>
      </c>
      <c r="I3298" s="1" t="str">
        <f t="shared" si="2203"/>
        <v>170</v>
      </c>
      <c r="J3298" s="1" t="str">
        <f t="shared" ref="J3298:O3298" si="2205">"0"</f>
        <v>0</v>
      </c>
      <c r="K3298" s="1" t="str">
        <f t="shared" si="2193"/>
        <v>103</v>
      </c>
      <c r="L3298" s="1" t="str">
        <f t="shared" si="2194"/>
        <v>47</v>
      </c>
      <c r="M3298" s="1" t="str">
        <f t="shared" si="2205"/>
        <v>0</v>
      </c>
      <c r="N3298" s="1" t="str">
        <f t="shared" si="2205"/>
        <v>0</v>
      </c>
      <c r="O3298" s="1" t="str">
        <f t="shared" si="2205"/>
        <v>0</v>
      </c>
    </row>
    <row r="3299" s="1" customFormat="1" spans="1:15">
      <c r="A3299" s="1" t="str">
        <f t="shared" si="2162"/>
        <v>202406</v>
      </c>
      <c r="B3299" s="1" t="str">
        <f t="shared" si="2163"/>
        <v>150525100</v>
      </c>
      <c r="C3299" s="1" t="str">
        <f>"1014623938"</f>
        <v>1014623938</v>
      </c>
      <c r="D3299" s="1" t="str">
        <f>"152326194301170672"</f>
        <v>152326194301170672</v>
      </c>
      <c r="E3299" s="1" t="s">
        <v>3369</v>
      </c>
      <c r="F3299" s="1" t="s">
        <v>25</v>
      </c>
      <c r="G3299" s="1" t="s">
        <v>17</v>
      </c>
      <c r="H3299" s="1" t="str">
        <f>"81"</f>
        <v>81</v>
      </c>
      <c r="I3299" s="1" t="str">
        <f t="shared" si="2203"/>
        <v>170</v>
      </c>
      <c r="J3299" s="1" t="str">
        <f t="shared" ref="J3299:O3299" si="2206">"0"</f>
        <v>0</v>
      </c>
      <c r="K3299" s="1" t="str">
        <f t="shared" si="2193"/>
        <v>103</v>
      </c>
      <c r="L3299" s="1" t="str">
        <f t="shared" si="2194"/>
        <v>47</v>
      </c>
      <c r="M3299" s="1" t="str">
        <f t="shared" si="2206"/>
        <v>0</v>
      </c>
      <c r="N3299" s="1" t="str">
        <f t="shared" si="2206"/>
        <v>0</v>
      </c>
      <c r="O3299" s="1" t="str">
        <f t="shared" si="2206"/>
        <v>0</v>
      </c>
    </row>
    <row r="3300" s="1" customFormat="1" spans="1:15">
      <c r="A3300" s="1" t="str">
        <f t="shared" si="2162"/>
        <v>202406</v>
      </c>
      <c r="B3300" s="1" t="str">
        <f t="shared" si="2163"/>
        <v>150525100</v>
      </c>
      <c r="C3300" s="1" t="str">
        <f>"1014624402"</f>
        <v>1014624402</v>
      </c>
      <c r="D3300" s="1" t="str">
        <f>"152326195007220661"</f>
        <v>152326195007220661</v>
      </c>
      <c r="E3300" s="1" t="s">
        <v>3370</v>
      </c>
      <c r="F3300" s="1" t="s">
        <v>16</v>
      </c>
      <c r="G3300" s="1" t="s">
        <v>17</v>
      </c>
      <c r="H3300" s="1" t="str">
        <f>"74"</f>
        <v>74</v>
      </c>
      <c r="I3300" s="1" t="str">
        <f t="shared" ref="I3300:I3304" si="2207">"160"</f>
        <v>160</v>
      </c>
      <c r="J3300" s="1" t="str">
        <f t="shared" ref="J3300:O3300" si="2208">"0"</f>
        <v>0</v>
      </c>
      <c r="K3300" s="1" t="str">
        <f t="shared" si="2193"/>
        <v>103</v>
      </c>
      <c r="L3300" s="1" t="str">
        <f t="shared" si="2194"/>
        <v>47</v>
      </c>
      <c r="M3300" s="1" t="str">
        <f t="shared" si="2208"/>
        <v>0</v>
      </c>
      <c r="N3300" s="1" t="str">
        <f t="shared" si="2208"/>
        <v>0</v>
      </c>
      <c r="O3300" s="1" t="str">
        <f t="shared" si="2208"/>
        <v>0</v>
      </c>
    </row>
    <row r="3301" s="1" customFormat="1" spans="1:15">
      <c r="A3301" s="1" t="str">
        <f t="shared" si="2162"/>
        <v>202406</v>
      </c>
      <c r="B3301" s="1" t="str">
        <f t="shared" si="2163"/>
        <v>150525100</v>
      </c>
      <c r="C3301" s="1" t="str">
        <f>"1014624405"</f>
        <v>1014624405</v>
      </c>
      <c r="D3301" s="1" t="str">
        <f>"152326194808060667"</f>
        <v>152326194808060667</v>
      </c>
      <c r="E3301" s="1" t="s">
        <v>3371</v>
      </c>
      <c r="F3301" s="1" t="s">
        <v>16</v>
      </c>
      <c r="G3301" s="1" t="s">
        <v>17</v>
      </c>
      <c r="H3301" s="1" t="str">
        <f>"76"</f>
        <v>76</v>
      </c>
      <c r="I3301" s="1" t="str">
        <f t="shared" si="2207"/>
        <v>160</v>
      </c>
      <c r="J3301" s="1" t="str">
        <f t="shared" ref="J3301:O3301" si="2209">"0"</f>
        <v>0</v>
      </c>
      <c r="K3301" s="1" t="str">
        <f t="shared" si="2193"/>
        <v>103</v>
      </c>
      <c r="L3301" s="1" t="str">
        <f t="shared" si="2194"/>
        <v>47</v>
      </c>
      <c r="M3301" s="1" t="str">
        <f t="shared" si="2209"/>
        <v>0</v>
      </c>
      <c r="N3301" s="1" t="str">
        <f t="shared" si="2209"/>
        <v>0</v>
      </c>
      <c r="O3301" s="1" t="str">
        <f t="shared" si="2209"/>
        <v>0</v>
      </c>
    </row>
    <row r="3302" s="1" customFormat="1" spans="1:15">
      <c r="A3302" s="1" t="str">
        <f t="shared" si="2162"/>
        <v>202406</v>
      </c>
      <c r="B3302" s="1" t="str">
        <f t="shared" si="2163"/>
        <v>150525100</v>
      </c>
      <c r="C3302" s="1" t="str">
        <f>"1014624426"</f>
        <v>1014624426</v>
      </c>
      <c r="D3302" s="1" t="s">
        <v>3372</v>
      </c>
      <c r="E3302" s="1" t="s">
        <v>3373</v>
      </c>
      <c r="F3302" s="1" t="s">
        <v>25</v>
      </c>
      <c r="G3302" s="1" t="s">
        <v>17</v>
      </c>
      <c r="H3302" s="1" t="str">
        <f>"94"</f>
        <v>94</v>
      </c>
      <c r="I3302" s="1" t="str">
        <f t="shared" ref="I3302:I3305" si="2210">"170"</f>
        <v>170</v>
      </c>
      <c r="J3302" s="1" t="str">
        <f t="shared" ref="J3302:O3302" si="2211">"0"</f>
        <v>0</v>
      </c>
      <c r="K3302" s="1" t="str">
        <f t="shared" si="2193"/>
        <v>103</v>
      </c>
      <c r="L3302" s="1" t="str">
        <f t="shared" si="2194"/>
        <v>47</v>
      </c>
      <c r="M3302" s="1" t="str">
        <f t="shared" si="2211"/>
        <v>0</v>
      </c>
      <c r="N3302" s="1" t="str">
        <f t="shared" si="2211"/>
        <v>0</v>
      </c>
      <c r="O3302" s="1" t="str">
        <f t="shared" si="2211"/>
        <v>0</v>
      </c>
    </row>
    <row r="3303" s="1" customFormat="1" spans="1:15">
      <c r="A3303" s="1" t="str">
        <f t="shared" si="2162"/>
        <v>202406</v>
      </c>
      <c r="B3303" s="1" t="str">
        <f t="shared" si="2163"/>
        <v>150525100</v>
      </c>
      <c r="C3303" s="1" t="str">
        <f>"1014619389"</f>
        <v>1014619389</v>
      </c>
      <c r="D3303" s="1" t="str">
        <f>"152326194110030677"</f>
        <v>152326194110030677</v>
      </c>
      <c r="E3303" s="1" t="s">
        <v>3374</v>
      </c>
      <c r="F3303" s="1" t="s">
        <v>25</v>
      </c>
      <c r="G3303" s="1" t="s">
        <v>17</v>
      </c>
      <c r="H3303" s="1" t="str">
        <f>"83"</f>
        <v>83</v>
      </c>
      <c r="I3303" s="1" t="str">
        <f t="shared" si="2210"/>
        <v>170</v>
      </c>
      <c r="J3303" s="1" t="str">
        <f t="shared" ref="J3303:O3303" si="2212">"0"</f>
        <v>0</v>
      </c>
      <c r="K3303" s="1" t="str">
        <f t="shared" si="2193"/>
        <v>103</v>
      </c>
      <c r="L3303" s="1" t="str">
        <f t="shared" si="2194"/>
        <v>47</v>
      </c>
      <c r="M3303" s="1" t="str">
        <f t="shared" si="2212"/>
        <v>0</v>
      </c>
      <c r="N3303" s="1" t="str">
        <f t="shared" si="2212"/>
        <v>0</v>
      </c>
      <c r="O3303" s="1" t="str">
        <f t="shared" si="2212"/>
        <v>0</v>
      </c>
    </row>
    <row r="3304" s="1" customFormat="1" spans="1:15">
      <c r="A3304" s="1" t="str">
        <f t="shared" si="2162"/>
        <v>202406</v>
      </c>
      <c r="B3304" s="1" t="str">
        <f t="shared" si="2163"/>
        <v>150525100</v>
      </c>
      <c r="C3304" s="1" t="str">
        <f>"1014622924"</f>
        <v>1014622924</v>
      </c>
      <c r="D3304" s="1" t="str">
        <f>"152326194801170425"</f>
        <v>152326194801170425</v>
      </c>
      <c r="E3304" s="1" t="s">
        <v>3375</v>
      </c>
      <c r="F3304" s="1" t="s">
        <v>16</v>
      </c>
      <c r="G3304" s="1" t="s">
        <v>17</v>
      </c>
      <c r="H3304" s="1" t="str">
        <f>"76"</f>
        <v>76</v>
      </c>
      <c r="I3304" s="1" t="str">
        <f t="shared" si="2207"/>
        <v>160</v>
      </c>
      <c r="J3304" s="1" t="str">
        <f t="shared" ref="J3304:O3304" si="2213">"0"</f>
        <v>0</v>
      </c>
      <c r="K3304" s="1" t="str">
        <f t="shared" si="2193"/>
        <v>103</v>
      </c>
      <c r="L3304" s="1" t="str">
        <f t="shared" si="2194"/>
        <v>47</v>
      </c>
      <c r="M3304" s="1" t="str">
        <f t="shared" si="2213"/>
        <v>0</v>
      </c>
      <c r="N3304" s="1" t="str">
        <f t="shared" si="2213"/>
        <v>0</v>
      </c>
      <c r="O3304" s="1" t="str">
        <f t="shared" si="2213"/>
        <v>0</v>
      </c>
    </row>
    <row r="3305" s="1" customFormat="1" spans="1:15">
      <c r="A3305" s="1" t="str">
        <f t="shared" si="2162"/>
        <v>202406</v>
      </c>
      <c r="B3305" s="1" t="str">
        <f t="shared" si="2163"/>
        <v>150525100</v>
      </c>
      <c r="C3305" s="1" t="str">
        <f>"1014623418"</f>
        <v>1014623418</v>
      </c>
      <c r="D3305" s="1" t="str">
        <f>"152326194311230421"</f>
        <v>152326194311230421</v>
      </c>
      <c r="E3305" s="1" t="s">
        <v>3376</v>
      </c>
      <c r="F3305" s="1" t="s">
        <v>16</v>
      </c>
      <c r="G3305" s="1" t="s">
        <v>17</v>
      </c>
      <c r="H3305" s="1" t="str">
        <f>"81"</f>
        <v>81</v>
      </c>
      <c r="I3305" s="1" t="str">
        <f t="shared" si="2210"/>
        <v>170</v>
      </c>
      <c r="J3305" s="1" t="str">
        <f t="shared" ref="J3305:O3305" si="2214">"0"</f>
        <v>0</v>
      </c>
      <c r="K3305" s="1" t="str">
        <f t="shared" si="2193"/>
        <v>103</v>
      </c>
      <c r="L3305" s="1" t="str">
        <f t="shared" si="2194"/>
        <v>47</v>
      </c>
      <c r="M3305" s="1" t="str">
        <f t="shared" si="2214"/>
        <v>0</v>
      </c>
      <c r="N3305" s="1" t="str">
        <f t="shared" si="2214"/>
        <v>0</v>
      </c>
      <c r="O3305" s="1" t="str">
        <f t="shared" si="2214"/>
        <v>0</v>
      </c>
    </row>
    <row r="3306" s="1" customFormat="1" spans="1:15">
      <c r="A3306" s="1" t="str">
        <f t="shared" si="2162"/>
        <v>202406</v>
      </c>
      <c r="B3306" s="1" t="str">
        <f t="shared" si="2163"/>
        <v>150525100</v>
      </c>
      <c r="C3306" s="1" t="str">
        <f>"1014630159"</f>
        <v>1014630159</v>
      </c>
      <c r="D3306" s="1" t="str">
        <f>"152326194904140413"</f>
        <v>152326194904140413</v>
      </c>
      <c r="E3306" s="1" t="s">
        <v>3377</v>
      </c>
      <c r="F3306" s="1" t="s">
        <v>25</v>
      </c>
      <c r="G3306" s="1" t="s">
        <v>17</v>
      </c>
      <c r="H3306" s="1" t="str">
        <f>"75"</f>
        <v>75</v>
      </c>
      <c r="I3306" s="1" t="str">
        <f t="shared" ref="I3306:I3310" si="2215">"160"</f>
        <v>160</v>
      </c>
      <c r="J3306" s="1" t="str">
        <f t="shared" ref="J3306:O3306" si="2216">"0"</f>
        <v>0</v>
      </c>
      <c r="K3306" s="1" t="str">
        <f t="shared" si="2193"/>
        <v>103</v>
      </c>
      <c r="L3306" s="1" t="str">
        <f t="shared" si="2194"/>
        <v>47</v>
      </c>
      <c r="M3306" s="1" t="str">
        <f t="shared" si="2216"/>
        <v>0</v>
      </c>
      <c r="N3306" s="1" t="str">
        <f t="shared" si="2216"/>
        <v>0</v>
      </c>
      <c r="O3306" s="1" t="str">
        <f t="shared" si="2216"/>
        <v>0</v>
      </c>
    </row>
    <row r="3307" s="1" customFormat="1" spans="1:15">
      <c r="A3307" s="1" t="str">
        <f t="shared" si="2162"/>
        <v>202406</v>
      </c>
      <c r="B3307" s="1" t="str">
        <f t="shared" si="2163"/>
        <v>150525100</v>
      </c>
      <c r="C3307" s="1" t="str">
        <f>"1014629970"</f>
        <v>1014629970</v>
      </c>
      <c r="D3307" s="1" t="str">
        <f>"152326194309180023"</f>
        <v>152326194309180023</v>
      </c>
      <c r="E3307" s="1" t="s">
        <v>3378</v>
      </c>
      <c r="F3307" s="1" t="s">
        <v>16</v>
      </c>
      <c r="G3307" s="1" t="s">
        <v>19</v>
      </c>
      <c r="H3307" s="1" t="str">
        <f>"81"</f>
        <v>81</v>
      </c>
      <c r="I3307" s="1" t="str">
        <f>"170"</f>
        <v>170</v>
      </c>
      <c r="J3307" s="1" t="str">
        <f t="shared" ref="J3307:O3307" si="2217">"0"</f>
        <v>0</v>
      </c>
      <c r="K3307" s="1" t="str">
        <f t="shared" si="2193"/>
        <v>103</v>
      </c>
      <c r="L3307" s="1" t="str">
        <f t="shared" si="2194"/>
        <v>47</v>
      </c>
      <c r="M3307" s="1" t="str">
        <f t="shared" si="2217"/>
        <v>0</v>
      </c>
      <c r="N3307" s="1" t="str">
        <f t="shared" si="2217"/>
        <v>0</v>
      </c>
      <c r="O3307" s="1" t="str">
        <f t="shared" si="2217"/>
        <v>0</v>
      </c>
    </row>
    <row r="3308" s="1" customFormat="1" spans="1:15">
      <c r="A3308" s="1" t="str">
        <f t="shared" si="2162"/>
        <v>202406</v>
      </c>
      <c r="B3308" s="1" t="str">
        <f t="shared" si="2163"/>
        <v>150525100</v>
      </c>
      <c r="C3308" s="1" t="str">
        <f>"1014629976"</f>
        <v>1014629976</v>
      </c>
      <c r="D3308" s="1" t="str">
        <f>"152326194711093817"</f>
        <v>152326194711093817</v>
      </c>
      <c r="E3308" s="1" t="s">
        <v>3379</v>
      </c>
      <c r="F3308" s="1" t="s">
        <v>25</v>
      </c>
      <c r="G3308" s="1" t="s">
        <v>17</v>
      </c>
      <c r="H3308" s="1" t="str">
        <f>"77"</f>
        <v>77</v>
      </c>
      <c r="I3308" s="1" t="str">
        <f t="shared" si="2215"/>
        <v>160</v>
      </c>
      <c r="J3308" s="1" t="str">
        <f t="shared" ref="J3308:O3308" si="2218">"0"</f>
        <v>0</v>
      </c>
      <c r="K3308" s="1" t="str">
        <f t="shared" si="2193"/>
        <v>103</v>
      </c>
      <c r="L3308" s="1" t="str">
        <f t="shared" si="2194"/>
        <v>47</v>
      </c>
      <c r="M3308" s="1" t="str">
        <f t="shared" si="2218"/>
        <v>0</v>
      </c>
      <c r="N3308" s="1" t="str">
        <f t="shared" si="2218"/>
        <v>0</v>
      </c>
      <c r="O3308" s="1" t="str">
        <f t="shared" si="2218"/>
        <v>0</v>
      </c>
    </row>
    <row r="3309" s="1" customFormat="1" spans="1:15">
      <c r="A3309" s="1" t="str">
        <f t="shared" si="2162"/>
        <v>202406</v>
      </c>
      <c r="B3309" s="1" t="str">
        <f t="shared" si="2163"/>
        <v>150525100</v>
      </c>
      <c r="C3309" s="1" t="str">
        <f>"1014629984"</f>
        <v>1014629984</v>
      </c>
      <c r="D3309" s="1" t="str">
        <f>"152326195105263825"</f>
        <v>152326195105263825</v>
      </c>
      <c r="E3309" s="1" t="s">
        <v>3380</v>
      </c>
      <c r="F3309" s="1" t="s">
        <v>16</v>
      </c>
      <c r="G3309" s="1" t="s">
        <v>17</v>
      </c>
      <c r="H3309" s="1" t="str">
        <f>"73"</f>
        <v>73</v>
      </c>
      <c r="I3309" s="1" t="str">
        <f t="shared" si="2215"/>
        <v>160</v>
      </c>
      <c r="J3309" s="1" t="str">
        <f t="shared" ref="J3309:O3309" si="2219">"0"</f>
        <v>0</v>
      </c>
      <c r="K3309" s="1" t="str">
        <f t="shared" si="2193"/>
        <v>103</v>
      </c>
      <c r="L3309" s="1" t="str">
        <f t="shared" si="2194"/>
        <v>47</v>
      </c>
      <c r="M3309" s="1" t="str">
        <f t="shared" si="2219"/>
        <v>0</v>
      </c>
      <c r="N3309" s="1" t="str">
        <f t="shared" si="2219"/>
        <v>0</v>
      </c>
      <c r="O3309" s="1" t="str">
        <f t="shared" si="2219"/>
        <v>0</v>
      </c>
    </row>
    <row r="3310" s="1" customFormat="1" spans="1:15">
      <c r="A3310" s="1" t="str">
        <f t="shared" si="2162"/>
        <v>202406</v>
      </c>
      <c r="B3310" s="1" t="str">
        <f t="shared" si="2163"/>
        <v>150525100</v>
      </c>
      <c r="C3310" s="1" t="str">
        <f>"1014629991"</f>
        <v>1014629991</v>
      </c>
      <c r="D3310" s="1" t="str">
        <f>"152326194909163817"</f>
        <v>152326194909163817</v>
      </c>
      <c r="E3310" s="1" t="s">
        <v>3381</v>
      </c>
      <c r="F3310" s="1" t="s">
        <v>25</v>
      </c>
      <c r="G3310" s="1" t="s">
        <v>17</v>
      </c>
      <c r="H3310" s="1" t="str">
        <f>"75"</f>
        <v>75</v>
      </c>
      <c r="I3310" s="1" t="str">
        <f t="shared" si="2215"/>
        <v>160</v>
      </c>
      <c r="J3310" s="1" t="str">
        <f t="shared" ref="J3310:O3310" si="2220">"0"</f>
        <v>0</v>
      </c>
      <c r="K3310" s="1" t="str">
        <f t="shared" si="2193"/>
        <v>103</v>
      </c>
      <c r="L3310" s="1" t="str">
        <f t="shared" si="2194"/>
        <v>47</v>
      </c>
      <c r="M3310" s="1" t="str">
        <f t="shared" si="2220"/>
        <v>0</v>
      </c>
      <c r="N3310" s="1" t="str">
        <f t="shared" si="2220"/>
        <v>0</v>
      </c>
      <c r="O3310" s="1" t="str">
        <f t="shared" si="2220"/>
        <v>0</v>
      </c>
    </row>
    <row r="3311" s="1" customFormat="1" spans="1:15">
      <c r="A3311" s="1" t="str">
        <f t="shared" si="2162"/>
        <v>202406</v>
      </c>
      <c r="B3311" s="1" t="str">
        <f t="shared" si="2163"/>
        <v>150525100</v>
      </c>
      <c r="C3311" s="1" t="str">
        <f>"1014588995"</f>
        <v>1014588995</v>
      </c>
      <c r="D3311" s="1" t="str">
        <f>"152326195810050411"</f>
        <v>152326195810050411</v>
      </c>
      <c r="E3311" s="1" t="s">
        <v>3382</v>
      </c>
      <c r="F3311" s="1" t="s">
        <v>25</v>
      </c>
      <c r="G3311" s="1" t="s">
        <v>17</v>
      </c>
      <c r="H3311" s="1" t="str">
        <f>"66"</f>
        <v>66</v>
      </c>
      <c r="I3311" s="1" t="str">
        <f>"157.14"</f>
        <v>157.14</v>
      </c>
      <c r="J3311" s="1" t="str">
        <f t="shared" ref="J3311:N3311" si="2221">"0"</f>
        <v>0</v>
      </c>
      <c r="K3311" s="1" t="str">
        <f t="shared" si="2193"/>
        <v>103</v>
      </c>
      <c r="L3311" s="1" t="str">
        <f t="shared" si="2194"/>
        <v>47</v>
      </c>
      <c r="M3311" s="1" t="str">
        <f t="shared" si="2221"/>
        <v>0</v>
      </c>
      <c r="N3311" s="1" t="str">
        <f t="shared" si="2221"/>
        <v>0</v>
      </c>
      <c r="O3311" s="1" t="str">
        <f>"7.14"</f>
        <v>7.14</v>
      </c>
    </row>
    <row r="3312" s="1" customFormat="1" spans="1:15">
      <c r="A3312" s="1" t="str">
        <f t="shared" si="2162"/>
        <v>202406</v>
      </c>
      <c r="B3312" s="1" t="str">
        <f t="shared" si="2163"/>
        <v>150525100</v>
      </c>
      <c r="C3312" s="1" t="str">
        <f>"1014589007"</f>
        <v>1014589007</v>
      </c>
      <c r="D3312" s="1" t="str">
        <f>"152326195909180427"</f>
        <v>152326195909180427</v>
      </c>
      <c r="E3312" s="1" t="s">
        <v>3383</v>
      </c>
      <c r="F3312" s="1" t="s">
        <v>16</v>
      </c>
      <c r="G3312" s="1" t="s">
        <v>17</v>
      </c>
      <c r="H3312" s="1" t="str">
        <f>"65"</f>
        <v>65</v>
      </c>
      <c r="I3312" s="1" t="str">
        <f>"1898.28"</f>
        <v>1898.28</v>
      </c>
      <c r="J3312" s="1" t="str">
        <f>"1740.09"</f>
        <v>1740.09</v>
      </c>
      <c r="K3312" s="1" t="str">
        <f>"1236"</f>
        <v>1236</v>
      </c>
      <c r="L3312" s="1" t="str">
        <f>"564"</f>
        <v>564</v>
      </c>
      <c r="M3312" s="1" t="str">
        <f>"0"</f>
        <v>0</v>
      </c>
      <c r="N3312" s="1" t="str">
        <f>"0"</f>
        <v>0</v>
      </c>
      <c r="O3312" s="1" t="str">
        <f>"98.28"</f>
        <v>98.28</v>
      </c>
    </row>
    <row r="3313" s="1" customFormat="1" spans="1:15">
      <c r="A3313" s="1" t="str">
        <f t="shared" si="2162"/>
        <v>202406</v>
      </c>
      <c r="B3313" s="1" t="str">
        <f t="shared" si="2163"/>
        <v>150525100</v>
      </c>
      <c r="C3313" s="1" t="str">
        <f>"1014589030"</f>
        <v>1014589030</v>
      </c>
      <c r="D3313" s="1" t="str">
        <f>"152326196312170423"</f>
        <v>152326196312170423</v>
      </c>
      <c r="E3313" s="1" t="s">
        <v>3384</v>
      </c>
      <c r="F3313" s="1" t="s">
        <v>16</v>
      </c>
      <c r="G3313" s="1" t="s">
        <v>17</v>
      </c>
      <c r="H3313" s="1" t="str">
        <f>"61"</f>
        <v>61</v>
      </c>
      <c r="I3313" s="1" t="str">
        <f>"164.82"</f>
        <v>164.82</v>
      </c>
      <c r="J3313" s="1" t="str">
        <f t="shared" ref="J3313:N3313" si="2222">"0"</f>
        <v>0</v>
      </c>
      <c r="K3313" s="1" t="str">
        <f t="shared" ref="K3313:K3376" si="2223">"103"</f>
        <v>103</v>
      </c>
      <c r="L3313" s="1" t="str">
        <f t="shared" ref="L3313:L3376" si="2224">"47"</f>
        <v>47</v>
      </c>
      <c r="M3313" s="1" t="str">
        <f t="shared" si="2222"/>
        <v>0</v>
      </c>
      <c r="N3313" s="1" t="str">
        <f t="shared" si="2222"/>
        <v>0</v>
      </c>
      <c r="O3313" s="1" t="str">
        <f>"14.82"</f>
        <v>14.82</v>
      </c>
    </row>
    <row r="3314" s="1" customFormat="1" spans="1:15">
      <c r="A3314" s="1" t="str">
        <f t="shared" si="2162"/>
        <v>202406</v>
      </c>
      <c r="B3314" s="1" t="str">
        <f t="shared" si="2163"/>
        <v>150525100</v>
      </c>
      <c r="C3314" s="1" t="str">
        <f>"1014612878"</f>
        <v>1014612878</v>
      </c>
      <c r="D3314" s="1" t="str">
        <f>"152326194010250429"</f>
        <v>152326194010250429</v>
      </c>
      <c r="E3314" s="1" t="s">
        <v>1177</v>
      </c>
      <c r="F3314" s="1" t="s">
        <v>16</v>
      </c>
      <c r="G3314" s="1" t="s">
        <v>17</v>
      </c>
      <c r="H3314" s="1" t="str">
        <f t="shared" ref="H3314:H3317" si="2225">"84"</f>
        <v>84</v>
      </c>
      <c r="I3314" s="1" t="str">
        <f t="shared" ref="I3314:I3317" si="2226">"170"</f>
        <v>170</v>
      </c>
      <c r="J3314" s="1" t="str">
        <f t="shared" ref="J3314:O3314" si="2227">"0"</f>
        <v>0</v>
      </c>
      <c r="K3314" s="1" t="str">
        <f t="shared" si="2223"/>
        <v>103</v>
      </c>
      <c r="L3314" s="1" t="str">
        <f t="shared" si="2224"/>
        <v>47</v>
      </c>
      <c r="M3314" s="1" t="str">
        <f t="shared" si="2227"/>
        <v>0</v>
      </c>
      <c r="N3314" s="1" t="str">
        <f t="shared" si="2227"/>
        <v>0</v>
      </c>
      <c r="O3314" s="1" t="str">
        <f t="shared" si="2227"/>
        <v>0</v>
      </c>
    </row>
    <row r="3315" s="1" customFormat="1" spans="1:15">
      <c r="A3315" s="1" t="str">
        <f t="shared" si="2162"/>
        <v>202406</v>
      </c>
      <c r="B3315" s="1" t="str">
        <f t="shared" si="2163"/>
        <v>150525100</v>
      </c>
      <c r="C3315" s="1" t="str">
        <f>"1014613179"</f>
        <v>1014613179</v>
      </c>
      <c r="D3315" s="1" t="str">
        <f>"152326194003030911"</f>
        <v>152326194003030911</v>
      </c>
      <c r="E3315" s="1" t="s">
        <v>3385</v>
      </c>
      <c r="F3315" s="1" t="s">
        <v>25</v>
      </c>
      <c r="G3315" s="1" t="s">
        <v>19</v>
      </c>
      <c r="H3315" s="1" t="str">
        <f t="shared" si="2225"/>
        <v>84</v>
      </c>
      <c r="I3315" s="1" t="str">
        <f t="shared" si="2226"/>
        <v>170</v>
      </c>
      <c r="J3315" s="1" t="str">
        <f t="shared" ref="J3315:O3315" si="2228">"0"</f>
        <v>0</v>
      </c>
      <c r="K3315" s="1" t="str">
        <f t="shared" si="2223"/>
        <v>103</v>
      </c>
      <c r="L3315" s="1" t="str">
        <f t="shared" si="2224"/>
        <v>47</v>
      </c>
      <c r="M3315" s="1" t="str">
        <f t="shared" si="2228"/>
        <v>0</v>
      </c>
      <c r="N3315" s="1" t="str">
        <f t="shared" si="2228"/>
        <v>0</v>
      </c>
      <c r="O3315" s="1" t="str">
        <f t="shared" si="2228"/>
        <v>0</v>
      </c>
    </row>
    <row r="3316" s="1" customFormat="1" spans="1:15">
      <c r="A3316" s="1" t="str">
        <f t="shared" si="2162"/>
        <v>202406</v>
      </c>
      <c r="B3316" s="1" t="str">
        <f t="shared" si="2163"/>
        <v>150525100</v>
      </c>
      <c r="C3316" s="1" t="str">
        <f>"1014622221"</f>
        <v>1014622221</v>
      </c>
      <c r="D3316" s="1" t="str">
        <f>"152326194705160673"</f>
        <v>152326194705160673</v>
      </c>
      <c r="E3316" s="1" t="s">
        <v>3386</v>
      </c>
      <c r="F3316" s="1" t="s">
        <v>25</v>
      </c>
      <c r="G3316" s="1" t="s">
        <v>17</v>
      </c>
      <c r="H3316" s="1" t="str">
        <f>"77"</f>
        <v>77</v>
      </c>
      <c r="I3316" s="1" t="str">
        <f t="shared" ref="I3316:I3319" si="2229">"160"</f>
        <v>160</v>
      </c>
      <c r="J3316" s="1" t="str">
        <f t="shared" ref="J3316:O3316" si="2230">"0"</f>
        <v>0</v>
      </c>
      <c r="K3316" s="1" t="str">
        <f t="shared" si="2223"/>
        <v>103</v>
      </c>
      <c r="L3316" s="1" t="str">
        <f t="shared" si="2224"/>
        <v>47</v>
      </c>
      <c r="M3316" s="1" t="str">
        <f t="shared" si="2230"/>
        <v>0</v>
      </c>
      <c r="N3316" s="1" t="str">
        <f t="shared" si="2230"/>
        <v>0</v>
      </c>
      <c r="O3316" s="1" t="str">
        <f t="shared" si="2230"/>
        <v>0</v>
      </c>
    </row>
    <row r="3317" s="1" customFormat="1" spans="1:15">
      <c r="A3317" s="1" t="str">
        <f t="shared" si="2162"/>
        <v>202406</v>
      </c>
      <c r="B3317" s="1" t="str">
        <f t="shared" si="2163"/>
        <v>150525100</v>
      </c>
      <c r="C3317" s="1" t="str">
        <f>"1014622230"</f>
        <v>1014622230</v>
      </c>
      <c r="D3317" s="1" t="str">
        <f>"152326194005173318"</f>
        <v>152326194005173318</v>
      </c>
      <c r="E3317" s="1" t="s">
        <v>3387</v>
      </c>
      <c r="F3317" s="1" t="s">
        <v>25</v>
      </c>
      <c r="G3317" s="1" t="s">
        <v>19</v>
      </c>
      <c r="H3317" s="1" t="str">
        <f t="shared" si="2225"/>
        <v>84</v>
      </c>
      <c r="I3317" s="1" t="str">
        <f t="shared" si="2226"/>
        <v>170</v>
      </c>
      <c r="J3317" s="1" t="str">
        <f t="shared" ref="J3317:O3317" si="2231">"0"</f>
        <v>0</v>
      </c>
      <c r="K3317" s="1" t="str">
        <f t="shared" si="2223"/>
        <v>103</v>
      </c>
      <c r="L3317" s="1" t="str">
        <f t="shared" si="2224"/>
        <v>47</v>
      </c>
      <c r="M3317" s="1" t="str">
        <f t="shared" si="2231"/>
        <v>0</v>
      </c>
      <c r="N3317" s="1" t="str">
        <f t="shared" si="2231"/>
        <v>0</v>
      </c>
      <c r="O3317" s="1" t="str">
        <f t="shared" si="2231"/>
        <v>0</v>
      </c>
    </row>
    <row r="3318" s="1" customFormat="1" spans="1:15">
      <c r="A3318" s="1" t="str">
        <f t="shared" si="2162"/>
        <v>202406</v>
      </c>
      <c r="B3318" s="1" t="str">
        <f t="shared" si="2163"/>
        <v>150525100</v>
      </c>
      <c r="C3318" s="1" t="str">
        <f>"1014622608"</f>
        <v>1014622608</v>
      </c>
      <c r="D3318" s="1" t="s">
        <v>3388</v>
      </c>
      <c r="E3318" s="1" t="s">
        <v>3389</v>
      </c>
      <c r="F3318" s="1" t="s">
        <v>25</v>
      </c>
      <c r="G3318" s="1" t="s">
        <v>17</v>
      </c>
      <c r="H3318" s="1" t="str">
        <f>"74"</f>
        <v>74</v>
      </c>
      <c r="I3318" s="1" t="str">
        <f t="shared" si="2229"/>
        <v>160</v>
      </c>
      <c r="J3318" s="1" t="str">
        <f t="shared" ref="J3318:O3318" si="2232">"0"</f>
        <v>0</v>
      </c>
      <c r="K3318" s="1" t="str">
        <f t="shared" si="2223"/>
        <v>103</v>
      </c>
      <c r="L3318" s="1" t="str">
        <f t="shared" si="2224"/>
        <v>47</v>
      </c>
      <c r="M3318" s="1" t="str">
        <f t="shared" si="2232"/>
        <v>0</v>
      </c>
      <c r="N3318" s="1" t="str">
        <f t="shared" si="2232"/>
        <v>0</v>
      </c>
      <c r="O3318" s="1" t="str">
        <f t="shared" si="2232"/>
        <v>0</v>
      </c>
    </row>
    <row r="3319" s="1" customFormat="1" spans="1:15">
      <c r="A3319" s="1" t="str">
        <f t="shared" si="2162"/>
        <v>202406</v>
      </c>
      <c r="B3319" s="1" t="str">
        <f t="shared" si="2163"/>
        <v>150525100</v>
      </c>
      <c r="C3319" s="1" t="str">
        <f>"1014622625"</f>
        <v>1014622625</v>
      </c>
      <c r="D3319" s="1" t="str">
        <f>"152326194911150679"</f>
        <v>152326194911150679</v>
      </c>
      <c r="E3319" s="1" t="s">
        <v>3390</v>
      </c>
      <c r="F3319" s="1" t="s">
        <v>25</v>
      </c>
      <c r="G3319" s="1" t="s">
        <v>17</v>
      </c>
      <c r="H3319" s="1" t="str">
        <f>"75"</f>
        <v>75</v>
      </c>
      <c r="I3319" s="1" t="str">
        <f t="shared" si="2229"/>
        <v>160</v>
      </c>
      <c r="J3319" s="1" t="str">
        <f t="shared" ref="J3319:O3319" si="2233">"0"</f>
        <v>0</v>
      </c>
      <c r="K3319" s="1" t="str">
        <f t="shared" si="2223"/>
        <v>103</v>
      </c>
      <c r="L3319" s="1" t="str">
        <f t="shared" si="2224"/>
        <v>47</v>
      </c>
      <c r="M3319" s="1" t="str">
        <f t="shared" si="2233"/>
        <v>0</v>
      </c>
      <c r="N3319" s="1" t="str">
        <f t="shared" si="2233"/>
        <v>0</v>
      </c>
      <c r="O3319" s="1" t="str">
        <f t="shared" si="2233"/>
        <v>0</v>
      </c>
    </row>
    <row r="3320" s="1" customFormat="1" spans="1:15">
      <c r="A3320" s="1" t="str">
        <f t="shared" si="2162"/>
        <v>202406</v>
      </c>
      <c r="B3320" s="1" t="str">
        <f t="shared" si="2163"/>
        <v>150525100</v>
      </c>
      <c r="C3320" s="1" t="str">
        <f>"1014622628"</f>
        <v>1014622628</v>
      </c>
      <c r="D3320" s="1" t="str">
        <f>"152326194009120678"</f>
        <v>152326194009120678</v>
      </c>
      <c r="E3320" s="1" t="s">
        <v>3391</v>
      </c>
      <c r="F3320" s="1" t="s">
        <v>25</v>
      </c>
      <c r="G3320" s="1" t="s">
        <v>17</v>
      </c>
      <c r="H3320" s="1" t="str">
        <f>"84"</f>
        <v>84</v>
      </c>
      <c r="I3320" s="1" t="str">
        <f>"170"</f>
        <v>170</v>
      </c>
      <c r="J3320" s="1" t="str">
        <f t="shared" ref="J3320:O3320" si="2234">"0"</f>
        <v>0</v>
      </c>
      <c r="K3320" s="1" t="str">
        <f t="shared" si="2223"/>
        <v>103</v>
      </c>
      <c r="L3320" s="1" t="str">
        <f t="shared" si="2224"/>
        <v>47</v>
      </c>
      <c r="M3320" s="1" t="str">
        <f t="shared" si="2234"/>
        <v>0</v>
      </c>
      <c r="N3320" s="1" t="str">
        <f t="shared" si="2234"/>
        <v>0</v>
      </c>
      <c r="O3320" s="1" t="str">
        <f t="shared" si="2234"/>
        <v>0</v>
      </c>
    </row>
    <row r="3321" s="1" customFormat="1" spans="1:15">
      <c r="A3321" s="1" t="str">
        <f t="shared" si="2162"/>
        <v>202406</v>
      </c>
      <c r="B3321" s="1" t="str">
        <f t="shared" si="2163"/>
        <v>150525100</v>
      </c>
      <c r="C3321" s="1" t="str">
        <f>"1014623989"</f>
        <v>1014623989</v>
      </c>
      <c r="D3321" s="1" t="str">
        <f>"152326194709240670"</f>
        <v>152326194709240670</v>
      </c>
      <c r="E3321" s="1" t="s">
        <v>3392</v>
      </c>
      <c r="F3321" s="1" t="s">
        <v>25</v>
      </c>
      <c r="G3321" s="1" t="s">
        <v>17</v>
      </c>
      <c r="H3321" s="1" t="str">
        <f>"77"</f>
        <v>77</v>
      </c>
      <c r="I3321" s="1" t="str">
        <f t="shared" ref="I3321:I3324" si="2235">"160"</f>
        <v>160</v>
      </c>
      <c r="J3321" s="1" t="str">
        <f t="shared" ref="J3321:O3321" si="2236">"0"</f>
        <v>0</v>
      </c>
      <c r="K3321" s="1" t="str">
        <f t="shared" si="2223"/>
        <v>103</v>
      </c>
      <c r="L3321" s="1" t="str">
        <f t="shared" si="2224"/>
        <v>47</v>
      </c>
      <c r="M3321" s="1" t="str">
        <f t="shared" si="2236"/>
        <v>0</v>
      </c>
      <c r="N3321" s="1" t="str">
        <f t="shared" si="2236"/>
        <v>0</v>
      </c>
      <c r="O3321" s="1" t="str">
        <f t="shared" si="2236"/>
        <v>0</v>
      </c>
    </row>
    <row r="3322" s="1" customFormat="1" spans="1:15">
      <c r="A3322" s="1" t="str">
        <f t="shared" si="2162"/>
        <v>202406</v>
      </c>
      <c r="B3322" s="1" t="str">
        <f t="shared" si="2163"/>
        <v>150525100</v>
      </c>
      <c r="C3322" s="1" t="str">
        <f>"1014624005"</f>
        <v>1014624005</v>
      </c>
      <c r="D3322" s="1" t="str">
        <f>"152326194809183079"</f>
        <v>152326194809183079</v>
      </c>
      <c r="E3322" s="1" t="s">
        <v>3393</v>
      </c>
      <c r="F3322" s="1" t="s">
        <v>25</v>
      </c>
      <c r="G3322" s="1" t="s">
        <v>17</v>
      </c>
      <c r="H3322" s="1" t="str">
        <f>"76"</f>
        <v>76</v>
      </c>
      <c r="I3322" s="1" t="str">
        <f t="shared" si="2235"/>
        <v>160</v>
      </c>
      <c r="J3322" s="1" t="str">
        <f t="shared" ref="J3322:O3322" si="2237">"0"</f>
        <v>0</v>
      </c>
      <c r="K3322" s="1" t="str">
        <f t="shared" si="2223"/>
        <v>103</v>
      </c>
      <c r="L3322" s="1" t="str">
        <f t="shared" si="2224"/>
        <v>47</v>
      </c>
      <c r="M3322" s="1" t="str">
        <f t="shared" si="2237"/>
        <v>0</v>
      </c>
      <c r="N3322" s="1" t="str">
        <f t="shared" si="2237"/>
        <v>0</v>
      </c>
      <c r="O3322" s="1" t="str">
        <f t="shared" si="2237"/>
        <v>0</v>
      </c>
    </row>
    <row r="3323" s="1" customFormat="1" spans="1:15">
      <c r="A3323" s="1" t="str">
        <f t="shared" si="2162"/>
        <v>202406</v>
      </c>
      <c r="B3323" s="1" t="str">
        <f t="shared" si="2163"/>
        <v>150525100</v>
      </c>
      <c r="C3323" s="1" t="str">
        <f>"1014624466"</f>
        <v>1014624466</v>
      </c>
      <c r="D3323" s="1" t="str">
        <f>"152326195111110921"</f>
        <v>152326195111110921</v>
      </c>
      <c r="E3323" s="1" t="s">
        <v>3394</v>
      </c>
      <c r="F3323" s="1" t="s">
        <v>16</v>
      </c>
      <c r="G3323" s="1" t="s">
        <v>19</v>
      </c>
      <c r="H3323" s="1" t="str">
        <f>"73"</f>
        <v>73</v>
      </c>
      <c r="I3323" s="1" t="str">
        <f t="shared" si="2235"/>
        <v>160</v>
      </c>
      <c r="J3323" s="1" t="str">
        <f t="shared" ref="J3323:O3323" si="2238">"0"</f>
        <v>0</v>
      </c>
      <c r="K3323" s="1" t="str">
        <f t="shared" si="2223"/>
        <v>103</v>
      </c>
      <c r="L3323" s="1" t="str">
        <f t="shared" si="2224"/>
        <v>47</v>
      </c>
      <c r="M3323" s="1" t="str">
        <f t="shared" si="2238"/>
        <v>0</v>
      </c>
      <c r="N3323" s="1" t="str">
        <f t="shared" si="2238"/>
        <v>0</v>
      </c>
      <c r="O3323" s="1" t="str">
        <f t="shared" si="2238"/>
        <v>0</v>
      </c>
    </row>
    <row r="3324" s="1" customFormat="1" spans="1:15">
      <c r="A3324" s="1" t="str">
        <f t="shared" si="2162"/>
        <v>202406</v>
      </c>
      <c r="B3324" s="1" t="str">
        <f t="shared" si="2163"/>
        <v>150525100</v>
      </c>
      <c r="C3324" s="1" t="str">
        <f>"1014624469"</f>
        <v>1014624469</v>
      </c>
      <c r="D3324" s="1" t="str">
        <f>"152326194711090915"</f>
        <v>152326194711090915</v>
      </c>
      <c r="E3324" s="1" t="s">
        <v>3395</v>
      </c>
      <c r="F3324" s="1" t="s">
        <v>25</v>
      </c>
      <c r="G3324" s="1" t="s">
        <v>19</v>
      </c>
      <c r="H3324" s="1" t="str">
        <f>"77"</f>
        <v>77</v>
      </c>
      <c r="I3324" s="1" t="str">
        <f t="shared" si="2235"/>
        <v>160</v>
      </c>
      <c r="J3324" s="1" t="str">
        <f t="shared" ref="J3324:O3324" si="2239">"0"</f>
        <v>0</v>
      </c>
      <c r="K3324" s="1" t="str">
        <f t="shared" si="2223"/>
        <v>103</v>
      </c>
      <c r="L3324" s="1" t="str">
        <f t="shared" si="2224"/>
        <v>47</v>
      </c>
      <c r="M3324" s="1" t="str">
        <f t="shared" si="2239"/>
        <v>0</v>
      </c>
      <c r="N3324" s="1" t="str">
        <f t="shared" si="2239"/>
        <v>0</v>
      </c>
      <c r="O3324" s="1" t="str">
        <f t="shared" si="2239"/>
        <v>0</v>
      </c>
    </row>
    <row r="3325" s="1" customFormat="1" spans="1:15">
      <c r="A3325" s="1" t="str">
        <f t="shared" si="2162"/>
        <v>202406</v>
      </c>
      <c r="B3325" s="1" t="str">
        <f t="shared" si="2163"/>
        <v>150525100</v>
      </c>
      <c r="C3325" s="1" t="str">
        <f>"1014624474"</f>
        <v>1014624474</v>
      </c>
      <c r="D3325" s="1" t="str">
        <f>"152326193804080914"</f>
        <v>152326193804080914</v>
      </c>
      <c r="E3325" s="1" t="s">
        <v>3396</v>
      </c>
      <c r="F3325" s="1" t="s">
        <v>25</v>
      </c>
      <c r="G3325" s="1" t="s">
        <v>19</v>
      </c>
      <c r="H3325" s="1" t="str">
        <f>"86"</f>
        <v>86</v>
      </c>
      <c r="I3325" s="1" t="str">
        <f t="shared" ref="I3325:I3331" si="2240">"170"</f>
        <v>170</v>
      </c>
      <c r="J3325" s="1" t="str">
        <f t="shared" ref="J3325:O3325" si="2241">"0"</f>
        <v>0</v>
      </c>
      <c r="K3325" s="1" t="str">
        <f t="shared" si="2223"/>
        <v>103</v>
      </c>
      <c r="L3325" s="1" t="str">
        <f t="shared" si="2224"/>
        <v>47</v>
      </c>
      <c r="M3325" s="1" t="str">
        <f t="shared" si="2241"/>
        <v>0</v>
      </c>
      <c r="N3325" s="1" t="str">
        <f t="shared" si="2241"/>
        <v>0</v>
      </c>
      <c r="O3325" s="1" t="str">
        <f t="shared" si="2241"/>
        <v>0</v>
      </c>
    </row>
    <row r="3326" s="1" customFormat="1" spans="1:15">
      <c r="A3326" s="1" t="str">
        <f t="shared" si="2162"/>
        <v>202406</v>
      </c>
      <c r="B3326" s="1" t="str">
        <f t="shared" si="2163"/>
        <v>150525100</v>
      </c>
      <c r="C3326" s="1" t="str">
        <f>"1014624489"</f>
        <v>1014624489</v>
      </c>
      <c r="D3326" s="1" t="str">
        <f>"152326195111030673"</f>
        <v>152326195111030673</v>
      </c>
      <c r="E3326" s="1" t="s">
        <v>3397</v>
      </c>
      <c r="F3326" s="1" t="s">
        <v>25</v>
      </c>
      <c r="G3326" s="1" t="s">
        <v>19</v>
      </c>
      <c r="H3326" s="1" t="str">
        <f>"73"</f>
        <v>73</v>
      </c>
      <c r="I3326" s="1" t="str">
        <f>"160"</f>
        <v>160</v>
      </c>
      <c r="J3326" s="1" t="str">
        <f t="shared" ref="J3326:O3326" si="2242">"0"</f>
        <v>0</v>
      </c>
      <c r="K3326" s="1" t="str">
        <f t="shared" si="2223"/>
        <v>103</v>
      </c>
      <c r="L3326" s="1" t="str">
        <f t="shared" si="2224"/>
        <v>47</v>
      </c>
      <c r="M3326" s="1" t="str">
        <f t="shared" si="2242"/>
        <v>0</v>
      </c>
      <c r="N3326" s="1" t="str">
        <f t="shared" si="2242"/>
        <v>0</v>
      </c>
      <c r="O3326" s="1" t="str">
        <f t="shared" si="2242"/>
        <v>0</v>
      </c>
    </row>
    <row r="3327" s="1" customFormat="1" spans="1:15">
      <c r="A3327" s="1" t="str">
        <f t="shared" si="2162"/>
        <v>202406</v>
      </c>
      <c r="B3327" s="1" t="str">
        <f t="shared" si="2163"/>
        <v>150525100</v>
      </c>
      <c r="C3327" s="1" t="str">
        <f>"1014619461"</f>
        <v>1014619461</v>
      </c>
      <c r="D3327" s="1" t="str">
        <f>"152326194908160673"</f>
        <v>152326194908160673</v>
      </c>
      <c r="E3327" s="1" t="s">
        <v>3398</v>
      </c>
      <c r="F3327" s="1" t="s">
        <v>25</v>
      </c>
      <c r="G3327" s="1" t="s">
        <v>17</v>
      </c>
      <c r="H3327" s="1" t="str">
        <f>"75"</f>
        <v>75</v>
      </c>
      <c r="I3327" s="1" t="str">
        <f>"160"</f>
        <v>160</v>
      </c>
      <c r="J3327" s="1" t="str">
        <f t="shared" ref="J3327:O3327" si="2243">"0"</f>
        <v>0</v>
      </c>
      <c r="K3327" s="1" t="str">
        <f t="shared" si="2223"/>
        <v>103</v>
      </c>
      <c r="L3327" s="1" t="str">
        <f t="shared" si="2224"/>
        <v>47</v>
      </c>
      <c r="M3327" s="1" t="str">
        <f t="shared" si="2243"/>
        <v>0</v>
      </c>
      <c r="N3327" s="1" t="str">
        <f t="shared" si="2243"/>
        <v>0</v>
      </c>
      <c r="O3327" s="1" t="str">
        <f t="shared" si="2243"/>
        <v>0</v>
      </c>
    </row>
    <row r="3328" s="1" customFormat="1" spans="1:15">
      <c r="A3328" s="1" t="str">
        <f t="shared" si="2162"/>
        <v>202406</v>
      </c>
      <c r="B3328" s="1" t="str">
        <f t="shared" si="2163"/>
        <v>150525100</v>
      </c>
      <c r="C3328" s="1" t="str">
        <f>"1014619462"</f>
        <v>1014619462</v>
      </c>
      <c r="D3328" s="1" t="s">
        <v>3399</v>
      </c>
      <c r="E3328" s="1" t="s">
        <v>3400</v>
      </c>
      <c r="F3328" s="1" t="s">
        <v>25</v>
      </c>
      <c r="G3328" s="1" t="s">
        <v>17</v>
      </c>
      <c r="H3328" s="1" t="str">
        <f>"81"</f>
        <v>81</v>
      </c>
      <c r="I3328" s="1" t="str">
        <f t="shared" si="2240"/>
        <v>170</v>
      </c>
      <c r="J3328" s="1" t="str">
        <f t="shared" ref="J3328:O3328" si="2244">"0"</f>
        <v>0</v>
      </c>
      <c r="K3328" s="1" t="str">
        <f t="shared" si="2223"/>
        <v>103</v>
      </c>
      <c r="L3328" s="1" t="str">
        <f t="shared" si="2224"/>
        <v>47</v>
      </c>
      <c r="M3328" s="1" t="str">
        <f t="shared" si="2244"/>
        <v>0</v>
      </c>
      <c r="N3328" s="1" t="str">
        <f t="shared" si="2244"/>
        <v>0</v>
      </c>
      <c r="O3328" s="1" t="str">
        <f t="shared" si="2244"/>
        <v>0</v>
      </c>
    </row>
    <row r="3329" s="1" customFormat="1" spans="1:15">
      <c r="A3329" s="1" t="str">
        <f t="shared" si="2162"/>
        <v>202406</v>
      </c>
      <c r="B3329" s="1" t="str">
        <f t="shared" si="2163"/>
        <v>150525100</v>
      </c>
      <c r="C3329" s="1" t="str">
        <f>"1014619464"</f>
        <v>1014619464</v>
      </c>
      <c r="D3329" s="1" t="str">
        <f>"152326193906120673"</f>
        <v>152326193906120673</v>
      </c>
      <c r="E3329" s="1" t="s">
        <v>3401</v>
      </c>
      <c r="F3329" s="1" t="s">
        <v>25</v>
      </c>
      <c r="G3329" s="1" t="s">
        <v>17</v>
      </c>
      <c r="H3329" s="1" t="str">
        <f>"85"</f>
        <v>85</v>
      </c>
      <c r="I3329" s="1" t="str">
        <f t="shared" si="2240"/>
        <v>170</v>
      </c>
      <c r="J3329" s="1" t="str">
        <f t="shared" ref="J3329:O3329" si="2245">"0"</f>
        <v>0</v>
      </c>
      <c r="K3329" s="1" t="str">
        <f t="shared" si="2223"/>
        <v>103</v>
      </c>
      <c r="L3329" s="1" t="str">
        <f t="shared" si="2224"/>
        <v>47</v>
      </c>
      <c r="M3329" s="1" t="str">
        <f t="shared" si="2245"/>
        <v>0</v>
      </c>
      <c r="N3329" s="1" t="str">
        <f t="shared" si="2245"/>
        <v>0</v>
      </c>
      <c r="O3329" s="1" t="str">
        <f t="shared" si="2245"/>
        <v>0</v>
      </c>
    </row>
    <row r="3330" s="1" customFormat="1" spans="1:15">
      <c r="A3330" s="1" t="str">
        <f t="shared" ref="A3330:A3393" si="2246">"202406"</f>
        <v>202406</v>
      </c>
      <c r="B3330" s="1" t="str">
        <f t="shared" ref="B3330:B3393" si="2247">"150525100"</f>
        <v>150525100</v>
      </c>
      <c r="C3330" s="1" t="str">
        <f>"1014619468"</f>
        <v>1014619468</v>
      </c>
      <c r="D3330" s="1" t="str">
        <f>"152326193612056119"</f>
        <v>152326193612056119</v>
      </c>
      <c r="E3330" s="1" t="s">
        <v>3402</v>
      </c>
      <c r="F3330" s="1" t="s">
        <v>25</v>
      </c>
      <c r="G3330" s="1" t="s">
        <v>17</v>
      </c>
      <c r="H3330" s="1" t="str">
        <f>"88"</f>
        <v>88</v>
      </c>
      <c r="I3330" s="1" t="str">
        <f t="shared" si="2240"/>
        <v>170</v>
      </c>
      <c r="J3330" s="1" t="str">
        <f t="shared" ref="J3330:O3330" si="2248">"0"</f>
        <v>0</v>
      </c>
      <c r="K3330" s="1" t="str">
        <f t="shared" si="2223"/>
        <v>103</v>
      </c>
      <c r="L3330" s="1" t="str">
        <f t="shared" si="2224"/>
        <v>47</v>
      </c>
      <c r="M3330" s="1" t="str">
        <f t="shared" si="2248"/>
        <v>0</v>
      </c>
      <c r="N3330" s="1" t="str">
        <f t="shared" si="2248"/>
        <v>0</v>
      </c>
      <c r="O3330" s="1" t="str">
        <f t="shared" si="2248"/>
        <v>0</v>
      </c>
    </row>
    <row r="3331" s="1" customFormat="1" spans="1:15">
      <c r="A3331" s="1" t="str">
        <f t="shared" si="2246"/>
        <v>202406</v>
      </c>
      <c r="B3331" s="1" t="str">
        <f t="shared" si="2247"/>
        <v>150525100</v>
      </c>
      <c r="C3331" s="1" t="str">
        <f>"1014622975"</f>
        <v>1014622975</v>
      </c>
      <c r="D3331" s="1" t="str">
        <f>"152326193210260424"</f>
        <v>152326193210260424</v>
      </c>
      <c r="E3331" s="1" t="s">
        <v>3403</v>
      </c>
      <c r="F3331" s="1" t="s">
        <v>16</v>
      </c>
      <c r="G3331" s="1" t="s">
        <v>17</v>
      </c>
      <c r="H3331" s="1" t="str">
        <f>"92"</f>
        <v>92</v>
      </c>
      <c r="I3331" s="1" t="str">
        <f t="shared" si="2240"/>
        <v>170</v>
      </c>
      <c r="J3331" s="1" t="str">
        <f t="shared" ref="J3331:O3331" si="2249">"0"</f>
        <v>0</v>
      </c>
      <c r="K3331" s="1" t="str">
        <f t="shared" si="2223"/>
        <v>103</v>
      </c>
      <c r="L3331" s="1" t="str">
        <f t="shared" si="2224"/>
        <v>47</v>
      </c>
      <c r="M3331" s="1" t="str">
        <f t="shared" si="2249"/>
        <v>0</v>
      </c>
      <c r="N3331" s="1" t="str">
        <f t="shared" si="2249"/>
        <v>0</v>
      </c>
      <c r="O3331" s="1" t="str">
        <f t="shared" si="2249"/>
        <v>0</v>
      </c>
    </row>
    <row r="3332" s="1" customFormat="1" spans="1:15">
      <c r="A3332" s="1" t="str">
        <f t="shared" si="2246"/>
        <v>202406</v>
      </c>
      <c r="B3332" s="1" t="str">
        <f t="shared" si="2247"/>
        <v>150525100</v>
      </c>
      <c r="C3332" s="1" t="str">
        <f>"1014622976"</f>
        <v>1014622976</v>
      </c>
      <c r="D3332" s="1" t="str">
        <f>"152326195003220429"</f>
        <v>152326195003220429</v>
      </c>
      <c r="E3332" s="1" t="s">
        <v>3404</v>
      </c>
      <c r="F3332" s="1" t="s">
        <v>16</v>
      </c>
      <c r="G3332" s="1" t="s">
        <v>17</v>
      </c>
      <c r="H3332" s="1" t="str">
        <f>"74"</f>
        <v>74</v>
      </c>
      <c r="I3332" s="1" t="str">
        <f t="shared" ref="I3332:I3335" si="2250">"160"</f>
        <v>160</v>
      </c>
      <c r="J3332" s="1" t="str">
        <f t="shared" ref="J3332:O3332" si="2251">"0"</f>
        <v>0</v>
      </c>
      <c r="K3332" s="1" t="str">
        <f t="shared" si="2223"/>
        <v>103</v>
      </c>
      <c r="L3332" s="1" t="str">
        <f t="shared" si="2224"/>
        <v>47</v>
      </c>
      <c r="M3332" s="1" t="str">
        <f t="shared" si="2251"/>
        <v>0</v>
      </c>
      <c r="N3332" s="1" t="str">
        <f t="shared" si="2251"/>
        <v>0</v>
      </c>
      <c r="O3332" s="1" t="str">
        <f t="shared" si="2251"/>
        <v>0</v>
      </c>
    </row>
    <row r="3333" s="1" customFormat="1" spans="1:15">
      <c r="A3333" s="1" t="str">
        <f t="shared" si="2246"/>
        <v>202406</v>
      </c>
      <c r="B3333" s="1" t="str">
        <f t="shared" si="2247"/>
        <v>150525100</v>
      </c>
      <c r="C3333" s="1" t="str">
        <f>"1014622982"</f>
        <v>1014622982</v>
      </c>
      <c r="D3333" s="1" t="str">
        <f>"152326194901150448"</f>
        <v>152326194901150448</v>
      </c>
      <c r="E3333" s="1" t="s">
        <v>3405</v>
      </c>
      <c r="F3333" s="1" t="s">
        <v>16</v>
      </c>
      <c r="G3333" s="1" t="s">
        <v>17</v>
      </c>
      <c r="H3333" s="1" t="str">
        <f>"75"</f>
        <v>75</v>
      </c>
      <c r="I3333" s="1" t="str">
        <f t="shared" si="2250"/>
        <v>160</v>
      </c>
      <c r="J3333" s="1" t="str">
        <f t="shared" ref="J3333:O3333" si="2252">"0"</f>
        <v>0</v>
      </c>
      <c r="K3333" s="1" t="str">
        <f t="shared" si="2223"/>
        <v>103</v>
      </c>
      <c r="L3333" s="1" t="str">
        <f t="shared" si="2224"/>
        <v>47</v>
      </c>
      <c r="M3333" s="1" t="str">
        <f t="shared" si="2252"/>
        <v>0</v>
      </c>
      <c r="N3333" s="1" t="str">
        <f t="shared" si="2252"/>
        <v>0</v>
      </c>
      <c r="O3333" s="1" t="str">
        <f t="shared" si="2252"/>
        <v>0</v>
      </c>
    </row>
    <row r="3334" s="1" customFormat="1" spans="1:15">
      <c r="A3334" s="1" t="str">
        <f t="shared" si="2246"/>
        <v>202406</v>
      </c>
      <c r="B3334" s="1" t="str">
        <f t="shared" si="2247"/>
        <v>150525100</v>
      </c>
      <c r="C3334" s="1" t="str">
        <f>"1014622998"</f>
        <v>1014622998</v>
      </c>
      <c r="D3334" s="1" t="s">
        <v>3406</v>
      </c>
      <c r="E3334" s="1" t="s">
        <v>3407</v>
      </c>
      <c r="F3334" s="1" t="s">
        <v>16</v>
      </c>
      <c r="G3334" s="1" t="s">
        <v>17</v>
      </c>
      <c r="H3334" s="1" t="str">
        <f>"80"</f>
        <v>80</v>
      </c>
      <c r="I3334" s="1" t="str">
        <f t="shared" si="2250"/>
        <v>160</v>
      </c>
      <c r="J3334" s="1" t="str">
        <f t="shared" ref="J3334:O3334" si="2253">"0"</f>
        <v>0</v>
      </c>
      <c r="K3334" s="1" t="str">
        <f t="shared" si="2223"/>
        <v>103</v>
      </c>
      <c r="L3334" s="1" t="str">
        <f t="shared" si="2224"/>
        <v>47</v>
      </c>
      <c r="M3334" s="1" t="str">
        <f t="shared" si="2253"/>
        <v>0</v>
      </c>
      <c r="N3334" s="1" t="str">
        <f t="shared" si="2253"/>
        <v>0</v>
      </c>
      <c r="O3334" s="1" t="str">
        <f t="shared" si="2253"/>
        <v>0</v>
      </c>
    </row>
    <row r="3335" s="1" customFormat="1" spans="1:15">
      <c r="A3335" s="1" t="str">
        <f t="shared" si="2246"/>
        <v>202406</v>
      </c>
      <c r="B3335" s="1" t="str">
        <f t="shared" si="2247"/>
        <v>150525100</v>
      </c>
      <c r="C3335" s="1" t="str">
        <f>"1014623484"</f>
        <v>1014623484</v>
      </c>
      <c r="D3335" s="1" t="str">
        <f>"152326195101103824"</f>
        <v>152326195101103824</v>
      </c>
      <c r="E3335" s="1" t="s">
        <v>3408</v>
      </c>
      <c r="F3335" s="1" t="s">
        <v>16</v>
      </c>
      <c r="G3335" s="1" t="s">
        <v>19</v>
      </c>
      <c r="H3335" s="1" t="str">
        <f>"73"</f>
        <v>73</v>
      </c>
      <c r="I3335" s="1" t="str">
        <f t="shared" si="2250"/>
        <v>160</v>
      </c>
      <c r="J3335" s="1" t="str">
        <f t="shared" ref="J3335:O3335" si="2254">"0"</f>
        <v>0</v>
      </c>
      <c r="K3335" s="1" t="str">
        <f t="shared" si="2223"/>
        <v>103</v>
      </c>
      <c r="L3335" s="1" t="str">
        <f t="shared" si="2224"/>
        <v>47</v>
      </c>
      <c r="M3335" s="1" t="str">
        <f t="shared" si="2254"/>
        <v>0</v>
      </c>
      <c r="N3335" s="1" t="str">
        <f t="shared" si="2254"/>
        <v>0</v>
      </c>
      <c r="O3335" s="1" t="str">
        <f t="shared" si="2254"/>
        <v>0</v>
      </c>
    </row>
    <row r="3336" s="1" customFormat="1" spans="1:15">
      <c r="A3336" s="1" t="str">
        <f t="shared" si="2246"/>
        <v>202406</v>
      </c>
      <c r="B3336" s="1" t="str">
        <f t="shared" si="2247"/>
        <v>150525100</v>
      </c>
      <c r="C3336" s="1" t="str">
        <f>"1014623486"</f>
        <v>1014623486</v>
      </c>
      <c r="D3336" s="1" t="str">
        <f>"152326193605053841"</f>
        <v>152326193605053841</v>
      </c>
      <c r="E3336" s="1" t="s">
        <v>3409</v>
      </c>
      <c r="F3336" s="1" t="s">
        <v>16</v>
      </c>
      <c r="G3336" s="1" t="s">
        <v>19</v>
      </c>
      <c r="H3336" s="1" t="str">
        <f>"88"</f>
        <v>88</v>
      </c>
      <c r="I3336" s="1" t="str">
        <f t="shared" ref="I3336:I3340" si="2255">"170"</f>
        <v>170</v>
      </c>
      <c r="J3336" s="1" t="str">
        <f t="shared" ref="J3336:O3336" si="2256">"0"</f>
        <v>0</v>
      </c>
      <c r="K3336" s="1" t="str">
        <f t="shared" si="2223"/>
        <v>103</v>
      </c>
      <c r="L3336" s="1" t="str">
        <f t="shared" si="2224"/>
        <v>47</v>
      </c>
      <c r="M3336" s="1" t="str">
        <f t="shared" si="2256"/>
        <v>0</v>
      </c>
      <c r="N3336" s="1" t="str">
        <f t="shared" si="2256"/>
        <v>0</v>
      </c>
      <c r="O3336" s="1" t="str">
        <f t="shared" si="2256"/>
        <v>0</v>
      </c>
    </row>
    <row r="3337" s="1" customFormat="1" spans="1:15">
      <c r="A3337" s="1" t="str">
        <f t="shared" si="2246"/>
        <v>202406</v>
      </c>
      <c r="B3337" s="1" t="str">
        <f t="shared" si="2247"/>
        <v>150525100</v>
      </c>
      <c r="C3337" s="1" t="str">
        <f>"1014623500"</f>
        <v>1014623500</v>
      </c>
      <c r="D3337" s="1" t="str">
        <f>"152326193511120425"</f>
        <v>152326193511120425</v>
      </c>
      <c r="E3337" s="1" t="s">
        <v>2428</v>
      </c>
      <c r="F3337" s="1" t="s">
        <v>16</v>
      </c>
      <c r="G3337" s="1" t="s">
        <v>17</v>
      </c>
      <c r="H3337" s="1" t="str">
        <f>"89"</f>
        <v>89</v>
      </c>
      <c r="I3337" s="1" t="str">
        <f t="shared" si="2255"/>
        <v>170</v>
      </c>
      <c r="J3337" s="1" t="str">
        <f t="shared" ref="J3337:O3337" si="2257">"0"</f>
        <v>0</v>
      </c>
      <c r="K3337" s="1" t="str">
        <f t="shared" si="2223"/>
        <v>103</v>
      </c>
      <c r="L3337" s="1" t="str">
        <f t="shared" si="2224"/>
        <v>47</v>
      </c>
      <c r="M3337" s="1" t="str">
        <f t="shared" si="2257"/>
        <v>0</v>
      </c>
      <c r="N3337" s="1" t="str">
        <f t="shared" si="2257"/>
        <v>0</v>
      </c>
      <c r="O3337" s="1" t="str">
        <f t="shared" si="2257"/>
        <v>0</v>
      </c>
    </row>
    <row r="3338" s="1" customFormat="1" spans="1:15">
      <c r="A3338" s="1" t="str">
        <f t="shared" si="2246"/>
        <v>202406</v>
      </c>
      <c r="B3338" s="1" t="str">
        <f t="shared" si="2247"/>
        <v>150525100</v>
      </c>
      <c r="C3338" s="1" t="str">
        <f>"1014629673"</f>
        <v>1014629673</v>
      </c>
      <c r="D3338" s="1" t="s">
        <v>3410</v>
      </c>
      <c r="E3338" s="1" t="s">
        <v>3411</v>
      </c>
      <c r="F3338" s="1" t="s">
        <v>16</v>
      </c>
      <c r="G3338" s="1" t="s">
        <v>17</v>
      </c>
      <c r="H3338" s="1" t="str">
        <f>"74"</f>
        <v>74</v>
      </c>
      <c r="I3338" s="1" t="str">
        <f t="shared" ref="I3338:I3356" si="2258">"160"</f>
        <v>160</v>
      </c>
      <c r="J3338" s="1" t="str">
        <f t="shared" ref="J3338:O3338" si="2259">"0"</f>
        <v>0</v>
      </c>
      <c r="K3338" s="1" t="str">
        <f t="shared" si="2223"/>
        <v>103</v>
      </c>
      <c r="L3338" s="1" t="str">
        <f t="shared" si="2224"/>
        <v>47</v>
      </c>
      <c r="M3338" s="1" t="str">
        <f t="shared" si="2259"/>
        <v>0</v>
      </c>
      <c r="N3338" s="1" t="str">
        <f t="shared" si="2259"/>
        <v>0</v>
      </c>
      <c r="O3338" s="1" t="str">
        <f t="shared" si="2259"/>
        <v>0</v>
      </c>
    </row>
    <row r="3339" s="1" customFormat="1" spans="1:15">
      <c r="A3339" s="1" t="str">
        <f t="shared" si="2246"/>
        <v>202406</v>
      </c>
      <c r="B3339" s="1" t="str">
        <f t="shared" si="2247"/>
        <v>150525100</v>
      </c>
      <c r="C3339" s="1" t="str">
        <f>"1014589061"</f>
        <v>1014589061</v>
      </c>
      <c r="D3339" s="1" t="str">
        <f>"152326195505110449"</f>
        <v>152326195505110449</v>
      </c>
      <c r="E3339" s="1" t="s">
        <v>3412</v>
      </c>
      <c r="F3339" s="1" t="s">
        <v>16</v>
      </c>
      <c r="G3339" s="1" t="s">
        <v>17</v>
      </c>
      <c r="H3339" s="1" t="str">
        <f>"69"</f>
        <v>69</v>
      </c>
      <c r="I3339" s="1" t="str">
        <f>"155.1"</f>
        <v>155.1</v>
      </c>
      <c r="J3339" s="1" t="str">
        <f t="shared" ref="J3339:N3339" si="2260">"0"</f>
        <v>0</v>
      </c>
      <c r="K3339" s="1" t="str">
        <f t="shared" si="2223"/>
        <v>103</v>
      </c>
      <c r="L3339" s="1" t="str">
        <f t="shared" si="2224"/>
        <v>47</v>
      </c>
      <c r="M3339" s="1" t="str">
        <f t="shared" si="2260"/>
        <v>0</v>
      </c>
      <c r="N3339" s="1" t="str">
        <f t="shared" si="2260"/>
        <v>0</v>
      </c>
      <c r="O3339" s="1" t="str">
        <f>"5.1"</f>
        <v>5.1</v>
      </c>
    </row>
    <row r="3340" s="1" customFormat="1" spans="1:15">
      <c r="A3340" s="1" t="str">
        <f t="shared" si="2246"/>
        <v>202406</v>
      </c>
      <c r="B3340" s="1" t="str">
        <f t="shared" si="2247"/>
        <v>150525100</v>
      </c>
      <c r="C3340" s="1" t="str">
        <f>"1014612978"</f>
        <v>1014612978</v>
      </c>
      <c r="D3340" s="1" t="str">
        <f>"152326194109100922"</f>
        <v>152326194109100922</v>
      </c>
      <c r="E3340" s="1" t="s">
        <v>3413</v>
      </c>
      <c r="F3340" s="1" t="s">
        <v>16</v>
      </c>
      <c r="G3340" s="1" t="s">
        <v>19</v>
      </c>
      <c r="H3340" s="1" t="str">
        <f>"83"</f>
        <v>83</v>
      </c>
      <c r="I3340" s="1" t="str">
        <f t="shared" si="2255"/>
        <v>170</v>
      </c>
      <c r="J3340" s="1" t="str">
        <f t="shared" ref="J3340:O3340" si="2261">"0"</f>
        <v>0</v>
      </c>
      <c r="K3340" s="1" t="str">
        <f t="shared" si="2223"/>
        <v>103</v>
      </c>
      <c r="L3340" s="1" t="str">
        <f t="shared" si="2224"/>
        <v>47</v>
      </c>
      <c r="M3340" s="1" t="str">
        <f t="shared" si="2261"/>
        <v>0</v>
      </c>
      <c r="N3340" s="1" t="str">
        <f t="shared" si="2261"/>
        <v>0</v>
      </c>
      <c r="O3340" s="1" t="str">
        <f t="shared" si="2261"/>
        <v>0</v>
      </c>
    </row>
    <row r="3341" s="1" customFormat="1" spans="1:15">
      <c r="A3341" s="1" t="str">
        <f t="shared" si="2246"/>
        <v>202406</v>
      </c>
      <c r="B3341" s="1" t="str">
        <f t="shared" si="2247"/>
        <v>150525100</v>
      </c>
      <c r="C3341" s="1" t="str">
        <f>"1014622320"</f>
        <v>1014622320</v>
      </c>
      <c r="D3341" s="1" t="str">
        <f>"152326195012140666"</f>
        <v>152326195012140666</v>
      </c>
      <c r="E3341" s="1" t="s">
        <v>3414</v>
      </c>
      <c r="F3341" s="1" t="s">
        <v>16</v>
      </c>
      <c r="G3341" s="1" t="s">
        <v>17</v>
      </c>
      <c r="H3341" s="1" t="str">
        <f>"74"</f>
        <v>74</v>
      </c>
      <c r="I3341" s="1" t="str">
        <f t="shared" si="2258"/>
        <v>160</v>
      </c>
      <c r="J3341" s="1" t="str">
        <f t="shared" ref="J3341:O3341" si="2262">"0"</f>
        <v>0</v>
      </c>
      <c r="K3341" s="1" t="str">
        <f t="shared" si="2223"/>
        <v>103</v>
      </c>
      <c r="L3341" s="1" t="str">
        <f t="shared" si="2224"/>
        <v>47</v>
      </c>
      <c r="M3341" s="1" t="str">
        <f t="shared" si="2262"/>
        <v>0</v>
      </c>
      <c r="N3341" s="1" t="str">
        <f t="shared" si="2262"/>
        <v>0</v>
      </c>
      <c r="O3341" s="1" t="str">
        <f t="shared" si="2262"/>
        <v>0</v>
      </c>
    </row>
    <row r="3342" s="1" customFormat="1" spans="1:15">
      <c r="A3342" s="1" t="str">
        <f t="shared" si="2246"/>
        <v>202406</v>
      </c>
      <c r="B3342" s="1" t="str">
        <f t="shared" si="2247"/>
        <v>150525100</v>
      </c>
      <c r="C3342" s="1" t="str">
        <f>"1014622704"</f>
        <v>1014622704</v>
      </c>
      <c r="D3342" s="1" t="str">
        <f>"152326194312150669"</f>
        <v>152326194312150669</v>
      </c>
      <c r="E3342" s="1" t="s">
        <v>3415</v>
      </c>
      <c r="F3342" s="1" t="s">
        <v>16</v>
      </c>
      <c r="G3342" s="1" t="s">
        <v>17</v>
      </c>
      <c r="H3342" s="1" t="str">
        <f>"81"</f>
        <v>81</v>
      </c>
      <c r="I3342" s="1" t="str">
        <f>"170"</f>
        <v>170</v>
      </c>
      <c r="J3342" s="1" t="str">
        <f t="shared" ref="J3342:O3342" si="2263">"0"</f>
        <v>0</v>
      </c>
      <c r="K3342" s="1" t="str">
        <f t="shared" si="2223"/>
        <v>103</v>
      </c>
      <c r="L3342" s="1" t="str">
        <f t="shared" si="2224"/>
        <v>47</v>
      </c>
      <c r="M3342" s="1" t="str">
        <f t="shared" si="2263"/>
        <v>0</v>
      </c>
      <c r="N3342" s="1" t="str">
        <f t="shared" si="2263"/>
        <v>0</v>
      </c>
      <c r="O3342" s="1" t="str">
        <f t="shared" si="2263"/>
        <v>0</v>
      </c>
    </row>
    <row r="3343" s="1" customFormat="1" spans="1:15">
      <c r="A3343" s="1" t="str">
        <f t="shared" si="2246"/>
        <v>202406</v>
      </c>
      <c r="B3343" s="1" t="str">
        <f t="shared" si="2247"/>
        <v>150525100</v>
      </c>
      <c r="C3343" s="1" t="str">
        <f>"1014622707"</f>
        <v>1014622707</v>
      </c>
      <c r="D3343" s="1" t="str">
        <f>"152326194512040026"</f>
        <v>152326194512040026</v>
      </c>
      <c r="E3343" s="1" t="s">
        <v>3416</v>
      </c>
      <c r="F3343" s="1" t="s">
        <v>16</v>
      </c>
      <c r="G3343" s="1" t="s">
        <v>17</v>
      </c>
      <c r="H3343" s="1" t="str">
        <f>"79"</f>
        <v>79</v>
      </c>
      <c r="I3343" s="1" t="str">
        <f t="shared" si="2258"/>
        <v>160</v>
      </c>
      <c r="J3343" s="1" t="str">
        <f t="shared" ref="J3343:O3343" si="2264">"0"</f>
        <v>0</v>
      </c>
      <c r="K3343" s="1" t="str">
        <f t="shared" si="2223"/>
        <v>103</v>
      </c>
      <c r="L3343" s="1" t="str">
        <f t="shared" si="2224"/>
        <v>47</v>
      </c>
      <c r="M3343" s="1" t="str">
        <f t="shared" si="2264"/>
        <v>0</v>
      </c>
      <c r="N3343" s="1" t="str">
        <f t="shared" si="2264"/>
        <v>0</v>
      </c>
      <c r="O3343" s="1" t="str">
        <f t="shared" si="2264"/>
        <v>0</v>
      </c>
    </row>
    <row r="3344" s="1" customFormat="1" spans="1:15">
      <c r="A3344" s="1" t="str">
        <f t="shared" si="2246"/>
        <v>202406</v>
      </c>
      <c r="B3344" s="1" t="str">
        <f t="shared" si="2247"/>
        <v>150525100</v>
      </c>
      <c r="C3344" s="1" t="str">
        <f>"1014622717"</f>
        <v>1014622717</v>
      </c>
      <c r="D3344" s="1" t="str">
        <f>"152326194810113326"</f>
        <v>152326194810113326</v>
      </c>
      <c r="E3344" s="1" t="s">
        <v>3417</v>
      </c>
      <c r="F3344" s="1" t="s">
        <v>16</v>
      </c>
      <c r="G3344" s="1" t="s">
        <v>17</v>
      </c>
      <c r="H3344" s="1" t="str">
        <f>"76"</f>
        <v>76</v>
      </c>
      <c r="I3344" s="1" t="str">
        <f t="shared" si="2258"/>
        <v>160</v>
      </c>
      <c r="J3344" s="1" t="str">
        <f t="shared" ref="J3344:O3344" si="2265">"0"</f>
        <v>0</v>
      </c>
      <c r="K3344" s="1" t="str">
        <f t="shared" si="2223"/>
        <v>103</v>
      </c>
      <c r="L3344" s="1" t="str">
        <f t="shared" si="2224"/>
        <v>47</v>
      </c>
      <c r="M3344" s="1" t="str">
        <f t="shared" si="2265"/>
        <v>0</v>
      </c>
      <c r="N3344" s="1" t="str">
        <f t="shared" si="2265"/>
        <v>0</v>
      </c>
      <c r="O3344" s="1" t="str">
        <f t="shared" si="2265"/>
        <v>0</v>
      </c>
    </row>
    <row r="3345" s="1" customFormat="1" spans="1:15">
      <c r="A3345" s="1" t="str">
        <f t="shared" si="2246"/>
        <v>202406</v>
      </c>
      <c r="B3345" s="1" t="str">
        <f t="shared" si="2247"/>
        <v>150525100</v>
      </c>
      <c r="C3345" s="1" t="str">
        <f>"1014624573"</f>
        <v>1014624573</v>
      </c>
      <c r="D3345" s="1" t="str">
        <f>"152326194803020666"</f>
        <v>152326194803020666</v>
      </c>
      <c r="E3345" s="1" t="s">
        <v>1584</v>
      </c>
      <c r="F3345" s="1" t="s">
        <v>16</v>
      </c>
      <c r="G3345" s="1" t="s">
        <v>19</v>
      </c>
      <c r="H3345" s="1" t="str">
        <f>"76"</f>
        <v>76</v>
      </c>
      <c r="I3345" s="1" t="str">
        <f t="shared" si="2258"/>
        <v>160</v>
      </c>
      <c r="J3345" s="1" t="str">
        <f t="shared" ref="J3345:O3345" si="2266">"0"</f>
        <v>0</v>
      </c>
      <c r="K3345" s="1" t="str">
        <f t="shared" si="2223"/>
        <v>103</v>
      </c>
      <c r="L3345" s="1" t="str">
        <f t="shared" si="2224"/>
        <v>47</v>
      </c>
      <c r="M3345" s="1" t="str">
        <f t="shared" si="2266"/>
        <v>0</v>
      </c>
      <c r="N3345" s="1" t="str">
        <f t="shared" si="2266"/>
        <v>0</v>
      </c>
      <c r="O3345" s="1" t="str">
        <f t="shared" si="2266"/>
        <v>0</v>
      </c>
    </row>
    <row r="3346" s="1" customFormat="1" spans="1:15">
      <c r="A3346" s="1" t="str">
        <f t="shared" si="2246"/>
        <v>202406</v>
      </c>
      <c r="B3346" s="1" t="str">
        <f t="shared" si="2247"/>
        <v>150525100</v>
      </c>
      <c r="C3346" s="1" t="str">
        <f>"1014624576"</f>
        <v>1014624576</v>
      </c>
      <c r="D3346" s="1" t="str">
        <f>"152326195001193084"</f>
        <v>152326195001193084</v>
      </c>
      <c r="E3346" s="1" t="s">
        <v>3418</v>
      </c>
      <c r="F3346" s="1" t="s">
        <v>16</v>
      </c>
      <c r="G3346" s="1" t="s">
        <v>19</v>
      </c>
      <c r="H3346" s="1" t="str">
        <f>"74"</f>
        <v>74</v>
      </c>
      <c r="I3346" s="1" t="str">
        <f t="shared" si="2258"/>
        <v>160</v>
      </c>
      <c r="J3346" s="1" t="str">
        <f t="shared" ref="J3346:O3346" si="2267">"0"</f>
        <v>0</v>
      </c>
      <c r="K3346" s="1" t="str">
        <f t="shared" si="2223"/>
        <v>103</v>
      </c>
      <c r="L3346" s="1" t="str">
        <f t="shared" si="2224"/>
        <v>47</v>
      </c>
      <c r="M3346" s="1" t="str">
        <f t="shared" si="2267"/>
        <v>0</v>
      </c>
      <c r="N3346" s="1" t="str">
        <f t="shared" si="2267"/>
        <v>0</v>
      </c>
      <c r="O3346" s="1" t="str">
        <f t="shared" si="2267"/>
        <v>0</v>
      </c>
    </row>
    <row r="3347" s="1" customFormat="1" spans="1:15">
      <c r="A3347" s="1" t="str">
        <f t="shared" si="2246"/>
        <v>202406</v>
      </c>
      <c r="B3347" s="1" t="str">
        <f t="shared" si="2247"/>
        <v>150525100</v>
      </c>
      <c r="C3347" s="1" t="str">
        <f>"1014619549"</f>
        <v>1014619549</v>
      </c>
      <c r="D3347" s="1" t="str">
        <f>"152326195111220661"</f>
        <v>152326195111220661</v>
      </c>
      <c r="E3347" s="1" t="s">
        <v>3419</v>
      </c>
      <c r="F3347" s="1" t="s">
        <v>16</v>
      </c>
      <c r="G3347" s="1" t="s">
        <v>17</v>
      </c>
      <c r="H3347" s="1" t="str">
        <f>"73"</f>
        <v>73</v>
      </c>
      <c r="I3347" s="1" t="str">
        <f t="shared" si="2258"/>
        <v>160</v>
      </c>
      <c r="J3347" s="1" t="str">
        <f t="shared" ref="J3347:O3347" si="2268">"0"</f>
        <v>0</v>
      </c>
      <c r="K3347" s="1" t="str">
        <f t="shared" si="2223"/>
        <v>103</v>
      </c>
      <c r="L3347" s="1" t="str">
        <f t="shared" si="2224"/>
        <v>47</v>
      </c>
      <c r="M3347" s="1" t="str">
        <f t="shared" si="2268"/>
        <v>0</v>
      </c>
      <c r="N3347" s="1" t="str">
        <f t="shared" si="2268"/>
        <v>0</v>
      </c>
      <c r="O3347" s="1" t="str">
        <f t="shared" si="2268"/>
        <v>0</v>
      </c>
    </row>
    <row r="3348" s="1" customFormat="1" spans="1:15">
      <c r="A3348" s="1" t="str">
        <f t="shared" si="2246"/>
        <v>202406</v>
      </c>
      <c r="B3348" s="1" t="str">
        <f t="shared" si="2247"/>
        <v>150525100</v>
      </c>
      <c r="C3348" s="1" t="str">
        <f>"1014619561"</f>
        <v>1014619561</v>
      </c>
      <c r="D3348" s="1" t="str">
        <f>"152326194509120666"</f>
        <v>152326194509120666</v>
      </c>
      <c r="E3348" s="1" t="s">
        <v>390</v>
      </c>
      <c r="F3348" s="1" t="s">
        <v>16</v>
      </c>
      <c r="G3348" s="1" t="s">
        <v>17</v>
      </c>
      <c r="H3348" s="1" t="str">
        <f>"79"</f>
        <v>79</v>
      </c>
      <c r="I3348" s="1" t="str">
        <f t="shared" si="2258"/>
        <v>160</v>
      </c>
      <c r="J3348" s="1" t="str">
        <f t="shared" ref="J3348:O3348" si="2269">"0"</f>
        <v>0</v>
      </c>
      <c r="K3348" s="1" t="str">
        <f t="shared" si="2223"/>
        <v>103</v>
      </c>
      <c r="L3348" s="1" t="str">
        <f t="shared" si="2224"/>
        <v>47</v>
      </c>
      <c r="M3348" s="1" t="str">
        <f t="shared" si="2269"/>
        <v>0</v>
      </c>
      <c r="N3348" s="1" t="str">
        <f t="shared" si="2269"/>
        <v>0</v>
      </c>
      <c r="O3348" s="1" t="str">
        <f t="shared" si="2269"/>
        <v>0</v>
      </c>
    </row>
    <row r="3349" s="1" customFormat="1" spans="1:15">
      <c r="A3349" s="1" t="str">
        <f t="shared" si="2246"/>
        <v>202406</v>
      </c>
      <c r="B3349" s="1" t="str">
        <f t="shared" si="2247"/>
        <v>150525100</v>
      </c>
      <c r="C3349" s="1" t="str">
        <f>"1014619567"</f>
        <v>1014619567</v>
      </c>
      <c r="D3349" s="1" t="str">
        <f>"152326194903186380"</f>
        <v>152326194903186380</v>
      </c>
      <c r="E3349" s="1" t="s">
        <v>3420</v>
      </c>
      <c r="F3349" s="1" t="s">
        <v>16</v>
      </c>
      <c r="G3349" s="1" t="s">
        <v>17</v>
      </c>
      <c r="H3349" s="1" t="str">
        <f>"75"</f>
        <v>75</v>
      </c>
      <c r="I3349" s="1" t="str">
        <f t="shared" si="2258"/>
        <v>160</v>
      </c>
      <c r="J3349" s="1" t="str">
        <f t="shared" ref="J3349:O3349" si="2270">"0"</f>
        <v>0</v>
      </c>
      <c r="K3349" s="1" t="str">
        <f t="shared" si="2223"/>
        <v>103</v>
      </c>
      <c r="L3349" s="1" t="str">
        <f t="shared" si="2224"/>
        <v>47</v>
      </c>
      <c r="M3349" s="1" t="str">
        <f t="shared" si="2270"/>
        <v>0</v>
      </c>
      <c r="N3349" s="1" t="str">
        <f t="shared" si="2270"/>
        <v>0</v>
      </c>
      <c r="O3349" s="1" t="str">
        <f t="shared" si="2270"/>
        <v>0</v>
      </c>
    </row>
    <row r="3350" s="1" customFormat="1" spans="1:15">
      <c r="A3350" s="1" t="str">
        <f t="shared" si="2246"/>
        <v>202406</v>
      </c>
      <c r="B3350" s="1" t="str">
        <f t="shared" si="2247"/>
        <v>150525100</v>
      </c>
      <c r="C3350" s="1" t="str">
        <f>"1014619729"</f>
        <v>1014619729</v>
      </c>
      <c r="D3350" s="1" t="str">
        <f>"152326194903126388"</f>
        <v>152326194903126388</v>
      </c>
      <c r="E3350" s="1" t="s">
        <v>1989</v>
      </c>
      <c r="F3350" s="1" t="s">
        <v>16</v>
      </c>
      <c r="G3350" s="1" t="s">
        <v>19</v>
      </c>
      <c r="H3350" s="1" t="str">
        <f>"75"</f>
        <v>75</v>
      </c>
      <c r="I3350" s="1" t="str">
        <f t="shared" si="2258"/>
        <v>160</v>
      </c>
      <c r="J3350" s="1" t="str">
        <f t="shared" ref="J3350:O3350" si="2271">"0"</f>
        <v>0</v>
      </c>
      <c r="K3350" s="1" t="str">
        <f t="shared" si="2223"/>
        <v>103</v>
      </c>
      <c r="L3350" s="1" t="str">
        <f t="shared" si="2224"/>
        <v>47</v>
      </c>
      <c r="M3350" s="1" t="str">
        <f t="shared" si="2271"/>
        <v>0</v>
      </c>
      <c r="N3350" s="1" t="str">
        <f t="shared" si="2271"/>
        <v>0</v>
      </c>
      <c r="O3350" s="1" t="str">
        <f t="shared" si="2271"/>
        <v>0</v>
      </c>
    </row>
    <row r="3351" s="1" customFormat="1" spans="1:15">
      <c r="A3351" s="1" t="str">
        <f t="shared" si="2246"/>
        <v>202406</v>
      </c>
      <c r="B3351" s="1" t="str">
        <f t="shared" si="2247"/>
        <v>150525100</v>
      </c>
      <c r="C3351" s="1" t="str">
        <f>"1014619732"</f>
        <v>1014619732</v>
      </c>
      <c r="D3351" s="1" t="str">
        <f>"152326195009096123"</f>
        <v>152326195009096123</v>
      </c>
      <c r="E3351" s="1" t="s">
        <v>700</v>
      </c>
      <c r="F3351" s="1" t="s">
        <v>16</v>
      </c>
      <c r="G3351" s="1" t="s">
        <v>19</v>
      </c>
      <c r="H3351" s="1" t="str">
        <f t="shared" ref="H3351:H3356" si="2272">"74"</f>
        <v>74</v>
      </c>
      <c r="I3351" s="1" t="str">
        <f t="shared" si="2258"/>
        <v>160</v>
      </c>
      <c r="J3351" s="1" t="str">
        <f t="shared" ref="J3351:O3351" si="2273">"0"</f>
        <v>0</v>
      </c>
      <c r="K3351" s="1" t="str">
        <f t="shared" si="2223"/>
        <v>103</v>
      </c>
      <c r="L3351" s="1" t="str">
        <f t="shared" si="2224"/>
        <v>47</v>
      </c>
      <c r="M3351" s="1" t="str">
        <f t="shared" si="2273"/>
        <v>0</v>
      </c>
      <c r="N3351" s="1" t="str">
        <f t="shared" si="2273"/>
        <v>0</v>
      </c>
      <c r="O3351" s="1" t="str">
        <f t="shared" si="2273"/>
        <v>0</v>
      </c>
    </row>
    <row r="3352" s="1" customFormat="1" spans="1:15">
      <c r="A3352" s="1" t="str">
        <f t="shared" si="2246"/>
        <v>202406</v>
      </c>
      <c r="B3352" s="1" t="str">
        <f t="shared" si="2247"/>
        <v>150525100</v>
      </c>
      <c r="C3352" s="1" t="str">
        <f>"1014629602"</f>
        <v>1014629602</v>
      </c>
      <c r="D3352" s="1" t="str">
        <f>"152326194502260025"</f>
        <v>152326194502260025</v>
      </c>
      <c r="E3352" s="1" t="s">
        <v>3421</v>
      </c>
      <c r="F3352" s="1" t="s">
        <v>16</v>
      </c>
      <c r="G3352" s="1" t="s">
        <v>17</v>
      </c>
      <c r="H3352" s="1" t="str">
        <f>"79"</f>
        <v>79</v>
      </c>
      <c r="I3352" s="1" t="str">
        <f t="shared" si="2258"/>
        <v>160</v>
      </c>
      <c r="J3352" s="1" t="str">
        <f t="shared" ref="J3352:O3352" si="2274">"0"</f>
        <v>0</v>
      </c>
      <c r="K3352" s="1" t="str">
        <f t="shared" si="2223"/>
        <v>103</v>
      </c>
      <c r="L3352" s="1" t="str">
        <f t="shared" si="2224"/>
        <v>47</v>
      </c>
      <c r="M3352" s="1" t="str">
        <f t="shared" si="2274"/>
        <v>0</v>
      </c>
      <c r="N3352" s="1" t="str">
        <f t="shared" si="2274"/>
        <v>0</v>
      </c>
      <c r="O3352" s="1" t="str">
        <f t="shared" si="2274"/>
        <v>0</v>
      </c>
    </row>
    <row r="3353" s="1" customFormat="1" spans="1:15">
      <c r="A3353" s="1" t="str">
        <f t="shared" si="2246"/>
        <v>202406</v>
      </c>
      <c r="B3353" s="1" t="str">
        <f t="shared" si="2247"/>
        <v>150525100</v>
      </c>
      <c r="C3353" s="1" t="str">
        <f>"1014623602"</f>
        <v>1014623602</v>
      </c>
      <c r="D3353" s="1" t="str">
        <f>"152326195004140412"</f>
        <v>152326195004140412</v>
      </c>
      <c r="E3353" s="1" t="s">
        <v>3422</v>
      </c>
      <c r="F3353" s="1" t="s">
        <v>25</v>
      </c>
      <c r="G3353" s="1" t="s">
        <v>17</v>
      </c>
      <c r="H3353" s="1" t="str">
        <f t="shared" si="2272"/>
        <v>74</v>
      </c>
      <c r="I3353" s="1" t="str">
        <f t="shared" si="2258"/>
        <v>160</v>
      </c>
      <c r="J3353" s="1" t="str">
        <f t="shared" ref="J3353:O3353" si="2275">"0"</f>
        <v>0</v>
      </c>
      <c r="K3353" s="1" t="str">
        <f t="shared" si="2223"/>
        <v>103</v>
      </c>
      <c r="L3353" s="1" t="str">
        <f t="shared" si="2224"/>
        <v>47</v>
      </c>
      <c r="M3353" s="1" t="str">
        <f t="shared" si="2275"/>
        <v>0</v>
      </c>
      <c r="N3353" s="1" t="str">
        <f t="shared" si="2275"/>
        <v>0</v>
      </c>
      <c r="O3353" s="1" t="str">
        <f t="shared" si="2275"/>
        <v>0</v>
      </c>
    </row>
    <row r="3354" s="1" customFormat="1" spans="1:15">
      <c r="A3354" s="1" t="str">
        <f t="shared" si="2246"/>
        <v>202406</v>
      </c>
      <c r="B3354" s="1" t="str">
        <f t="shared" si="2247"/>
        <v>150525100</v>
      </c>
      <c r="C3354" s="1" t="str">
        <f>"1014630001"</f>
        <v>1014630001</v>
      </c>
      <c r="D3354" s="1" t="str">
        <f>"152326195111260022"</f>
        <v>152326195111260022</v>
      </c>
      <c r="E3354" s="1" t="s">
        <v>63</v>
      </c>
      <c r="F3354" s="1" t="s">
        <v>16</v>
      </c>
      <c r="G3354" s="1" t="s">
        <v>17</v>
      </c>
      <c r="H3354" s="1" t="str">
        <f>"73"</f>
        <v>73</v>
      </c>
      <c r="I3354" s="1" t="str">
        <f t="shared" si="2258"/>
        <v>160</v>
      </c>
      <c r="J3354" s="1" t="str">
        <f t="shared" ref="J3354:O3354" si="2276">"0"</f>
        <v>0</v>
      </c>
      <c r="K3354" s="1" t="str">
        <f t="shared" si="2223"/>
        <v>103</v>
      </c>
      <c r="L3354" s="1" t="str">
        <f t="shared" si="2224"/>
        <v>47</v>
      </c>
      <c r="M3354" s="1" t="str">
        <f t="shared" si="2276"/>
        <v>0</v>
      </c>
      <c r="N3354" s="1" t="str">
        <f t="shared" si="2276"/>
        <v>0</v>
      </c>
      <c r="O3354" s="1" t="str">
        <f t="shared" si="2276"/>
        <v>0</v>
      </c>
    </row>
    <row r="3355" s="1" customFormat="1" spans="1:15">
      <c r="A3355" s="1" t="str">
        <f t="shared" si="2246"/>
        <v>202406</v>
      </c>
      <c r="B3355" s="1" t="str">
        <f t="shared" si="2247"/>
        <v>150525100</v>
      </c>
      <c r="C3355" s="1" t="str">
        <f>"1014630009"</f>
        <v>1014630009</v>
      </c>
      <c r="D3355" s="1" t="str">
        <f>"152326195110290027"</f>
        <v>152326195110290027</v>
      </c>
      <c r="E3355" s="1" t="s">
        <v>3423</v>
      </c>
      <c r="F3355" s="1" t="s">
        <v>16</v>
      </c>
      <c r="G3355" s="1" t="s">
        <v>17</v>
      </c>
      <c r="H3355" s="1" t="str">
        <f>"73"</f>
        <v>73</v>
      </c>
      <c r="I3355" s="1" t="str">
        <f t="shared" si="2258"/>
        <v>160</v>
      </c>
      <c r="J3355" s="1" t="str">
        <f t="shared" ref="J3355:O3355" si="2277">"0"</f>
        <v>0</v>
      </c>
      <c r="K3355" s="1" t="str">
        <f t="shared" si="2223"/>
        <v>103</v>
      </c>
      <c r="L3355" s="1" t="str">
        <f t="shared" si="2224"/>
        <v>47</v>
      </c>
      <c r="M3355" s="1" t="str">
        <f t="shared" si="2277"/>
        <v>0</v>
      </c>
      <c r="N3355" s="1" t="str">
        <f t="shared" si="2277"/>
        <v>0</v>
      </c>
      <c r="O3355" s="1" t="str">
        <f t="shared" si="2277"/>
        <v>0</v>
      </c>
    </row>
    <row r="3356" s="1" customFormat="1" spans="1:15">
      <c r="A3356" s="1" t="str">
        <f t="shared" si="2246"/>
        <v>202406</v>
      </c>
      <c r="B3356" s="1" t="str">
        <f t="shared" si="2247"/>
        <v>150525100</v>
      </c>
      <c r="C3356" s="1" t="str">
        <f>"1014630015"</f>
        <v>1014630015</v>
      </c>
      <c r="D3356" s="1" t="str">
        <f>"152326195011010026"</f>
        <v>152326195011010026</v>
      </c>
      <c r="E3356" s="1" t="s">
        <v>3424</v>
      </c>
      <c r="F3356" s="1" t="s">
        <v>16</v>
      </c>
      <c r="G3356" s="1" t="s">
        <v>17</v>
      </c>
      <c r="H3356" s="1" t="str">
        <f t="shared" si="2272"/>
        <v>74</v>
      </c>
      <c r="I3356" s="1" t="str">
        <f t="shared" si="2258"/>
        <v>160</v>
      </c>
      <c r="J3356" s="1" t="str">
        <f t="shared" ref="J3356:O3356" si="2278">"0"</f>
        <v>0</v>
      </c>
      <c r="K3356" s="1" t="str">
        <f t="shared" si="2223"/>
        <v>103</v>
      </c>
      <c r="L3356" s="1" t="str">
        <f t="shared" si="2224"/>
        <v>47</v>
      </c>
      <c r="M3356" s="1" t="str">
        <f t="shared" si="2278"/>
        <v>0</v>
      </c>
      <c r="N3356" s="1" t="str">
        <f t="shared" si="2278"/>
        <v>0</v>
      </c>
      <c r="O3356" s="1" t="str">
        <f t="shared" si="2278"/>
        <v>0</v>
      </c>
    </row>
    <row r="3357" s="1" customFormat="1" spans="1:15">
      <c r="A3357" s="1" t="str">
        <f t="shared" si="2246"/>
        <v>202406</v>
      </c>
      <c r="B3357" s="1" t="str">
        <f t="shared" si="2247"/>
        <v>150525100</v>
      </c>
      <c r="C3357" s="1" t="str">
        <f>"1014630017"</f>
        <v>1014630017</v>
      </c>
      <c r="D3357" s="1" t="str">
        <f>"152326194305110028"</f>
        <v>152326194305110028</v>
      </c>
      <c r="E3357" s="1" t="s">
        <v>3425</v>
      </c>
      <c r="F3357" s="1" t="s">
        <v>16</v>
      </c>
      <c r="G3357" s="1" t="s">
        <v>17</v>
      </c>
      <c r="H3357" s="1" t="str">
        <f>"81"</f>
        <v>81</v>
      </c>
      <c r="I3357" s="1" t="str">
        <f t="shared" ref="I3357:I3361" si="2279">"170"</f>
        <v>170</v>
      </c>
      <c r="J3357" s="1" t="str">
        <f t="shared" ref="J3357:O3357" si="2280">"0"</f>
        <v>0</v>
      </c>
      <c r="K3357" s="1" t="str">
        <f t="shared" si="2223"/>
        <v>103</v>
      </c>
      <c r="L3357" s="1" t="str">
        <f t="shared" si="2224"/>
        <v>47</v>
      </c>
      <c r="M3357" s="1" t="str">
        <f t="shared" si="2280"/>
        <v>0</v>
      </c>
      <c r="N3357" s="1" t="str">
        <f t="shared" si="2280"/>
        <v>0</v>
      </c>
      <c r="O3357" s="1" t="str">
        <f t="shared" si="2280"/>
        <v>0</v>
      </c>
    </row>
    <row r="3358" s="1" customFormat="1" spans="1:15">
      <c r="A3358" s="1" t="str">
        <f t="shared" si="2246"/>
        <v>202406</v>
      </c>
      <c r="B3358" s="1" t="str">
        <f t="shared" si="2247"/>
        <v>150525100</v>
      </c>
      <c r="C3358" s="1" t="str">
        <f>"1014630029"</f>
        <v>1014630029</v>
      </c>
      <c r="D3358" s="1" t="str">
        <f>"152326195004180676"</f>
        <v>152326195004180676</v>
      </c>
      <c r="E3358" s="1" t="s">
        <v>3426</v>
      </c>
      <c r="F3358" s="1" t="s">
        <v>25</v>
      </c>
      <c r="G3358" s="1" t="s">
        <v>17</v>
      </c>
      <c r="H3358" s="1" t="str">
        <f>"74"</f>
        <v>74</v>
      </c>
      <c r="I3358" s="1" t="str">
        <f t="shared" ref="I3358:I3364" si="2281">"160"</f>
        <v>160</v>
      </c>
      <c r="J3358" s="1" t="str">
        <f t="shared" ref="J3358:O3358" si="2282">"0"</f>
        <v>0</v>
      </c>
      <c r="K3358" s="1" t="str">
        <f t="shared" si="2223"/>
        <v>103</v>
      </c>
      <c r="L3358" s="1" t="str">
        <f t="shared" si="2224"/>
        <v>47</v>
      </c>
      <c r="M3358" s="1" t="str">
        <f t="shared" si="2282"/>
        <v>0</v>
      </c>
      <c r="N3358" s="1" t="str">
        <f t="shared" si="2282"/>
        <v>0</v>
      </c>
      <c r="O3358" s="1" t="str">
        <f t="shared" si="2282"/>
        <v>0</v>
      </c>
    </row>
    <row r="3359" s="1" customFormat="1" spans="1:15">
      <c r="A3359" s="1" t="str">
        <f t="shared" si="2246"/>
        <v>202406</v>
      </c>
      <c r="B3359" s="1" t="str">
        <f t="shared" si="2247"/>
        <v>150525100</v>
      </c>
      <c r="C3359" s="1" t="str">
        <f>"1014630044"</f>
        <v>1014630044</v>
      </c>
      <c r="D3359" s="1" t="str">
        <f>"152326194901133082"</f>
        <v>152326194901133082</v>
      </c>
      <c r="E3359" s="1" t="s">
        <v>3427</v>
      </c>
      <c r="F3359" s="1" t="s">
        <v>16</v>
      </c>
      <c r="G3359" s="1" t="s">
        <v>17</v>
      </c>
      <c r="H3359" s="1" t="str">
        <f>"75"</f>
        <v>75</v>
      </c>
      <c r="I3359" s="1" t="str">
        <f t="shared" si="2281"/>
        <v>160</v>
      </c>
      <c r="J3359" s="1" t="str">
        <f t="shared" ref="J3359:O3359" si="2283">"0"</f>
        <v>0</v>
      </c>
      <c r="K3359" s="1" t="str">
        <f t="shared" si="2223"/>
        <v>103</v>
      </c>
      <c r="L3359" s="1" t="str">
        <f t="shared" si="2224"/>
        <v>47</v>
      </c>
      <c r="M3359" s="1" t="str">
        <f t="shared" si="2283"/>
        <v>0</v>
      </c>
      <c r="N3359" s="1" t="str">
        <f t="shared" si="2283"/>
        <v>0</v>
      </c>
      <c r="O3359" s="1" t="str">
        <f t="shared" si="2283"/>
        <v>0</v>
      </c>
    </row>
    <row r="3360" s="1" customFormat="1" spans="1:15">
      <c r="A3360" s="1" t="str">
        <f t="shared" si="2246"/>
        <v>202406</v>
      </c>
      <c r="B3360" s="1" t="str">
        <f t="shared" si="2247"/>
        <v>150525100</v>
      </c>
      <c r="C3360" s="1" t="str">
        <f>"1014630059"</f>
        <v>1014630059</v>
      </c>
      <c r="D3360" s="1" t="str">
        <f>"152326193905013075"</f>
        <v>152326193905013075</v>
      </c>
      <c r="E3360" s="1" t="s">
        <v>3428</v>
      </c>
      <c r="F3360" s="1" t="s">
        <v>25</v>
      </c>
      <c r="G3360" s="1" t="s">
        <v>17</v>
      </c>
      <c r="H3360" s="1" t="str">
        <f>"85"</f>
        <v>85</v>
      </c>
      <c r="I3360" s="1" t="str">
        <f t="shared" si="2279"/>
        <v>170</v>
      </c>
      <c r="J3360" s="1" t="str">
        <f t="shared" ref="J3360:O3360" si="2284">"0"</f>
        <v>0</v>
      </c>
      <c r="K3360" s="1" t="str">
        <f t="shared" si="2223"/>
        <v>103</v>
      </c>
      <c r="L3360" s="1" t="str">
        <f t="shared" si="2224"/>
        <v>47</v>
      </c>
      <c r="M3360" s="1" t="str">
        <f t="shared" si="2284"/>
        <v>0</v>
      </c>
      <c r="N3360" s="1" t="str">
        <f t="shared" si="2284"/>
        <v>0</v>
      </c>
      <c r="O3360" s="1" t="str">
        <f t="shared" si="2284"/>
        <v>0</v>
      </c>
    </row>
    <row r="3361" s="1" customFormat="1" spans="1:15">
      <c r="A3361" s="1" t="str">
        <f t="shared" si="2246"/>
        <v>202406</v>
      </c>
      <c r="B3361" s="1" t="str">
        <f t="shared" si="2247"/>
        <v>150525100</v>
      </c>
      <c r="C3361" s="1" t="str">
        <f>"1014630067"</f>
        <v>1014630067</v>
      </c>
      <c r="D3361" s="1" t="str">
        <f>"152326194207050674"</f>
        <v>152326194207050674</v>
      </c>
      <c r="E3361" s="1" t="s">
        <v>3429</v>
      </c>
      <c r="F3361" s="1" t="s">
        <v>25</v>
      </c>
      <c r="G3361" s="1" t="s">
        <v>17</v>
      </c>
      <c r="H3361" s="1" t="str">
        <f>"82"</f>
        <v>82</v>
      </c>
      <c r="I3361" s="1" t="str">
        <f t="shared" si="2279"/>
        <v>170</v>
      </c>
      <c r="J3361" s="1" t="str">
        <f t="shared" ref="J3361:O3361" si="2285">"0"</f>
        <v>0</v>
      </c>
      <c r="K3361" s="1" t="str">
        <f t="shared" si="2223"/>
        <v>103</v>
      </c>
      <c r="L3361" s="1" t="str">
        <f t="shared" si="2224"/>
        <v>47</v>
      </c>
      <c r="M3361" s="1" t="str">
        <f t="shared" si="2285"/>
        <v>0</v>
      </c>
      <c r="N3361" s="1" t="str">
        <f t="shared" si="2285"/>
        <v>0</v>
      </c>
      <c r="O3361" s="1" t="str">
        <f t="shared" si="2285"/>
        <v>0</v>
      </c>
    </row>
    <row r="3362" s="1" customFormat="1" spans="1:15">
      <c r="A3362" s="1" t="str">
        <f t="shared" si="2246"/>
        <v>202406</v>
      </c>
      <c r="B3362" s="1" t="str">
        <f t="shared" si="2247"/>
        <v>150525100</v>
      </c>
      <c r="C3362" s="1" t="str">
        <f>"1014630092"</f>
        <v>1014630092</v>
      </c>
      <c r="D3362" s="1" t="str">
        <f>"152326194803303076"</f>
        <v>152326194803303076</v>
      </c>
      <c r="E3362" s="1" t="s">
        <v>3430</v>
      </c>
      <c r="F3362" s="1" t="s">
        <v>25</v>
      </c>
      <c r="G3362" s="1" t="s">
        <v>17</v>
      </c>
      <c r="H3362" s="1" t="str">
        <f>"76"</f>
        <v>76</v>
      </c>
      <c r="I3362" s="1" t="str">
        <f t="shared" si="2281"/>
        <v>160</v>
      </c>
      <c r="J3362" s="1" t="str">
        <f t="shared" ref="J3362:O3362" si="2286">"0"</f>
        <v>0</v>
      </c>
      <c r="K3362" s="1" t="str">
        <f t="shared" si="2223"/>
        <v>103</v>
      </c>
      <c r="L3362" s="1" t="str">
        <f t="shared" si="2224"/>
        <v>47</v>
      </c>
      <c r="M3362" s="1" t="str">
        <f t="shared" si="2286"/>
        <v>0</v>
      </c>
      <c r="N3362" s="1" t="str">
        <f t="shared" si="2286"/>
        <v>0</v>
      </c>
      <c r="O3362" s="1" t="str">
        <f t="shared" si="2286"/>
        <v>0</v>
      </c>
    </row>
    <row r="3363" s="1" customFormat="1" spans="1:15">
      <c r="A3363" s="1" t="str">
        <f t="shared" si="2246"/>
        <v>202406</v>
      </c>
      <c r="B3363" s="1" t="str">
        <f t="shared" si="2247"/>
        <v>150525100</v>
      </c>
      <c r="C3363" s="1" t="str">
        <f>"1014612934"</f>
        <v>1014612934</v>
      </c>
      <c r="D3363" s="1" t="s">
        <v>3431</v>
      </c>
      <c r="E3363" s="1" t="s">
        <v>3432</v>
      </c>
      <c r="F3363" s="1" t="s">
        <v>16</v>
      </c>
      <c r="G3363" s="1" t="s">
        <v>17</v>
      </c>
      <c r="H3363" s="1" t="str">
        <f>"77"</f>
        <v>77</v>
      </c>
      <c r="I3363" s="1" t="str">
        <f t="shared" si="2281"/>
        <v>160</v>
      </c>
      <c r="J3363" s="1" t="str">
        <f t="shared" ref="J3363:O3363" si="2287">"0"</f>
        <v>0</v>
      </c>
      <c r="K3363" s="1" t="str">
        <f t="shared" si="2223"/>
        <v>103</v>
      </c>
      <c r="L3363" s="1" t="str">
        <f t="shared" si="2224"/>
        <v>47</v>
      </c>
      <c r="M3363" s="1" t="str">
        <f t="shared" si="2287"/>
        <v>0</v>
      </c>
      <c r="N3363" s="1" t="str">
        <f t="shared" si="2287"/>
        <v>0</v>
      </c>
      <c r="O3363" s="1" t="str">
        <f t="shared" si="2287"/>
        <v>0</v>
      </c>
    </row>
    <row r="3364" s="1" customFormat="1" spans="1:15">
      <c r="A3364" s="1" t="str">
        <f t="shared" si="2246"/>
        <v>202406</v>
      </c>
      <c r="B3364" s="1" t="str">
        <f t="shared" si="2247"/>
        <v>150525100</v>
      </c>
      <c r="C3364" s="1" t="str">
        <f>"1014613206"</f>
        <v>1014613206</v>
      </c>
      <c r="D3364" s="1" t="str">
        <f>"152326195106010918"</f>
        <v>152326195106010918</v>
      </c>
      <c r="E3364" s="1" t="s">
        <v>3433</v>
      </c>
      <c r="F3364" s="1" t="s">
        <v>25</v>
      </c>
      <c r="G3364" s="1" t="s">
        <v>19</v>
      </c>
      <c r="H3364" s="1" t="str">
        <f>"73"</f>
        <v>73</v>
      </c>
      <c r="I3364" s="1" t="str">
        <f t="shared" si="2281"/>
        <v>160</v>
      </c>
      <c r="J3364" s="1" t="str">
        <f t="shared" ref="J3364:O3364" si="2288">"0"</f>
        <v>0</v>
      </c>
      <c r="K3364" s="1" t="str">
        <f t="shared" si="2223"/>
        <v>103</v>
      </c>
      <c r="L3364" s="1" t="str">
        <f t="shared" si="2224"/>
        <v>47</v>
      </c>
      <c r="M3364" s="1" t="str">
        <f t="shared" si="2288"/>
        <v>0</v>
      </c>
      <c r="N3364" s="1" t="str">
        <f t="shared" si="2288"/>
        <v>0</v>
      </c>
      <c r="O3364" s="1" t="str">
        <f t="shared" si="2288"/>
        <v>0</v>
      </c>
    </row>
    <row r="3365" s="1" customFormat="1" spans="1:15">
      <c r="A3365" s="1" t="str">
        <f t="shared" si="2246"/>
        <v>202406</v>
      </c>
      <c r="B3365" s="1" t="str">
        <f t="shared" si="2247"/>
        <v>150525100</v>
      </c>
      <c r="C3365" s="1" t="str">
        <f>"1014613212"</f>
        <v>1014613212</v>
      </c>
      <c r="D3365" s="1" t="str">
        <f>"152326193105190428"</f>
        <v>152326193105190428</v>
      </c>
      <c r="E3365" s="1" t="s">
        <v>710</v>
      </c>
      <c r="F3365" s="1" t="s">
        <v>16</v>
      </c>
      <c r="G3365" s="1" t="s">
        <v>17</v>
      </c>
      <c r="H3365" s="1" t="str">
        <f>"93"</f>
        <v>93</v>
      </c>
      <c r="I3365" s="1" t="str">
        <f>"170"</f>
        <v>170</v>
      </c>
      <c r="J3365" s="1" t="str">
        <f t="shared" ref="J3365:O3365" si="2289">"0"</f>
        <v>0</v>
      </c>
      <c r="K3365" s="1" t="str">
        <f t="shared" si="2223"/>
        <v>103</v>
      </c>
      <c r="L3365" s="1" t="str">
        <f t="shared" si="2224"/>
        <v>47</v>
      </c>
      <c r="M3365" s="1" t="str">
        <f t="shared" si="2289"/>
        <v>0</v>
      </c>
      <c r="N3365" s="1" t="str">
        <f t="shared" si="2289"/>
        <v>0</v>
      </c>
      <c r="O3365" s="1" t="str">
        <f t="shared" si="2289"/>
        <v>0</v>
      </c>
    </row>
    <row r="3366" s="1" customFormat="1" spans="1:15">
      <c r="A3366" s="1" t="str">
        <f t="shared" si="2246"/>
        <v>202406</v>
      </c>
      <c r="B3366" s="1" t="str">
        <f t="shared" si="2247"/>
        <v>150525100</v>
      </c>
      <c r="C3366" s="1" t="str">
        <f>"1014613214"</f>
        <v>1014613214</v>
      </c>
      <c r="D3366" s="1" t="str">
        <f>"152326194901220426"</f>
        <v>152326194901220426</v>
      </c>
      <c r="E3366" s="1" t="s">
        <v>3434</v>
      </c>
      <c r="F3366" s="1" t="s">
        <v>16</v>
      </c>
      <c r="G3366" s="1" t="s">
        <v>19</v>
      </c>
      <c r="H3366" s="1" t="str">
        <f>"75"</f>
        <v>75</v>
      </c>
      <c r="I3366" s="1" t="str">
        <f t="shared" ref="I3366:I3373" si="2290">"160"</f>
        <v>160</v>
      </c>
      <c r="J3366" s="1" t="str">
        <f t="shared" ref="J3366:O3366" si="2291">"0"</f>
        <v>0</v>
      </c>
      <c r="K3366" s="1" t="str">
        <f t="shared" si="2223"/>
        <v>103</v>
      </c>
      <c r="L3366" s="1" t="str">
        <f t="shared" si="2224"/>
        <v>47</v>
      </c>
      <c r="M3366" s="1" t="str">
        <f t="shared" si="2291"/>
        <v>0</v>
      </c>
      <c r="N3366" s="1" t="str">
        <f t="shared" si="2291"/>
        <v>0</v>
      </c>
      <c r="O3366" s="1" t="str">
        <f t="shared" si="2291"/>
        <v>0</v>
      </c>
    </row>
    <row r="3367" s="1" customFormat="1" spans="1:15">
      <c r="A3367" s="1" t="str">
        <f t="shared" si="2246"/>
        <v>202406</v>
      </c>
      <c r="B3367" s="1" t="str">
        <f t="shared" si="2247"/>
        <v>150525100</v>
      </c>
      <c r="C3367" s="1" t="str">
        <f>"1014621867"</f>
        <v>1014621867</v>
      </c>
      <c r="D3367" s="1" t="str">
        <f>"152326195005183318"</f>
        <v>152326195005183318</v>
      </c>
      <c r="E3367" s="1" t="s">
        <v>3435</v>
      </c>
      <c r="F3367" s="1" t="s">
        <v>25</v>
      </c>
      <c r="G3367" s="1" t="s">
        <v>19</v>
      </c>
      <c r="H3367" s="1" t="str">
        <f>"74"</f>
        <v>74</v>
      </c>
      <c r="I3367" s="1" t="str">
        <f t="shared" si="2290"/>
        <v>160</v>
      </c>
      <c r="J3367" s="1" t="str">
        <f t="shared" ref="J3367:O3367" si="2292">"0"</f>
        <v>0</v>
      </c>
      <c r="K3367" s="1" t="str">
        <f t="shared" si="2223"/>
        <v>103</v>
      </c>
      <c r="L3367" s="1" t="str">
        <f t="shared" si="2224"/>
        <v>47</v>
      </c>
      <c r="M3367" s="1" t="str">
        <f t="shared" si="2292"/>
        <v>0</v>
      </c>
      <c r="N3367" s="1" t="str">
        <f t="shared" si="2292"/>
        <v>0</v>
      </c>
      <c r="O3367" s="1" t="str">
        <f t="shared" si="2292"/>
        <v>0</v>
      </c>
    </row>
    <row r="3368" s="1" customFormat="1" spans="1:15">
      <c r="A3368" s="1" t="str">
        <f t="shared" si="2246"/>
        <v>202406</v>
      </c>
      <c r="B3368" s="1" t="str">
        <f t="shared" si="2247"/>
        <v>150525100</v>
      </c>
      <c r="C3368" s="1" t="str">
        <f>"1014624019"</f>
        <v>1014624019</v>
      </c>
      <c r="D3368" s="1" t="str">
        <f>"152326194909203073"</f>
        <v>152326194909203073</v>
      </c>
      <c r="E3368" s="1" t="s">
        <v>3436</v>
      </c>
      <c r="F3368" s="1" t="s">
        <v>25</v>
      </c>
      <c r="G3368" s="1" t="s">
        <v>17</v>
      </c>
      <c r="H3368" s="1" t="str">
        <f>"75"</f>
        <v>75</v>
      </c>
      <c r="I3368" s="1" t="str">
        <f t="shared" si="2290"/>
        <v>160</v>
      </c>
      <c r="J3368" s="1" t="str">
        <f t="shared" ref="J3368:O3368" si="2293">"0"</f>
        <v>0</v>
      </c>
      <c r="K3368" s="1" t="str">
        <f t="shared" si="2223"/>
        <v>103</v>
      </c>
      <c r="L3368" s="1" t="str">
        <f t="shared" si="2224"/>
        <v>47</v>
      </c>
      <c r="M3368" s="1" t="str">
        <f t="shared" si="2293"/>
        <v>0</v>
      </c>
      <c r="N3368" s="1" t="str">
        <f t="shared" si="2293"/>
        <v>0</v>
      </c>
      <c r="O3368" s="1" t="str">
        <f t="shared" si="2293"/>
        <v>0</v>
      </c>
    </row>
    <row r="3369" s="1" customFormat="1" spans="1:15">
      <c r="A3369" s="1" t="str">
        <f t="shared" si="2246"/>
        <v>202406</v>
      </c>
      <c r="B3369" s="1" t="str">
        <f t="shared" si="2247"/>
        <v>150525100</v>
      </c>
      <c r="C3369" s="1" t="str">
        <f>"1014619649"</f>
        <v>1014619649</v>
      </c>
      <c r="D3369" s="1" t="str">
        <f>"152326195107060669"</f>
        <v>152326195107060669</v>
      </c>
      <c r="E3369" s="1" t="s">
        <v>3437</v>
      </c>
      <c r="F3369" s="1" t="s">
        <v>16</v>
      </c>
      <c r="G3369" s="1" t="s">
        <v>96</v>
      </c>
      <c r="H3369" s="1" t="str">
        <f>"73"</f>
        <v>73</v>
      </c>
      <c r="I3369" s="1" t="str">
        <f t="shared" si="2290"/>
        <v>160</v>
      </c>
      <c r="J3369" s="1" t="str">
        <f t="shared" ref="J3369:O3369" si="2294">"0"</f>
        <v>0</v>
      </c>
      <c r="K3369" s="1" t="str">
        <f t="shared" si="2223"/>
        <v>103</v>
      </c>
      <c r="L3369" s="1" t="str">
        <f t="shared" si="2224"/>
        <v>47</v>
      </c>
      <c r="M3369" s="1" t="str">
        <f t="shared" si="2294"/>
        <v>0</v>
      </c>
      <c r="N3369" s="1" t="str">
        <f t="shared" si="2294"/>
        <v>0</v>
      </c>
      <c r="O3369" s="1" t="str">
        <f t="shared" si="2294"/>
        <v>0</v>
      </c>
    </row>
    <row r="3370" s="1" customFormat="1" spans="1:15">
      <c r="A3370" s="1" t="str">
        <f t="shared" si="2246"/>
        <v>202406</v>
      </c>
      <c r="B3370" s="1" t="str">
        <f t="shared" si="2247"/>
        <v>150525100</v>
      </c>
      <c r="C3370" s="1" t="str">
        <f>"1014623004"</f>
        <v>1014623004</v>
      </c>
      <c r="D3370" s="1" t="str">
        <f>"152326194510083081"</f>
        <v>152326194510083081</v>
      </c>
      <c r="E3370" s="1" t="s">
        <v>3438</v>
      </c>
      <c r="F3370" s="1" t="s">
        <v>16</v>
      </c>
      <c r="G3370" s="1" t="s">
        <v>17</v>
      </c>
      <c r="H3370" s="1" t="str">
        <f>"79"</f>
        <v>79</v>
      </c>
      <c r="I3370" s="1" t="str">
        <f t="shared" si="2290"/>
        <v>160</v>
      </c>
      <c r="J3370" s="1" t="str">
        <f t="shared" ref="J3370:O3370" si="2295">"0"</f>
        <v>0</v>
      </c>
      <c r="K3370" s="1" t="str">
        <f t="shared" si="2223"/>
        <v>103</v>
      </c>
      <c r="L3370" s="1" t="str">
        <f t="shared" si="2224"/>
        <v>47</v>
      </c>
      <c r="M3370" s="1" t="str">
        <f t="shared" si="2295"/>
        <v>0</v>
      </c>
      <c r="N3370" s="1" t="str">
        <f t="shared" si="2295"/>
        <v>0</v>
      </c>
      <c r="O3370" s="1" t="str">
        <f t="shared" si="2295"/>
        <v>0</v>
      </c>
    </row>
    <row r="3371" s="1" customFormat="1" spans="1:15">
      <c r="A3371" s="1" t="str">
        <f t="shared" si="2246"/>
        <v>202406</v>
      </c>
      <c r="B3371" s="1" t="str">
        <f t="shared" si="2247"/>
        <v>150525100</v>
      </c>
      <c r="C3371" s="1" t="str">
        <f>"1014629465"</f>
        <v>1014629465</v>
      </c>
      <c r="D3371" s="1" t="str">
        <f>"152326194611233819"</f>
        <v>152326194611233819</v>
      </c>
      <c r="E3371" s="1" t="s">
        <v>3439</v>
      </c>
      <c r="F3371" s="1" t="s">
        <v>25</v>
      </c>
      <c r="G3371" s="1" t="s">
        <v>19</v>
      </c>
      <c r="H3371" s="1" t="str">
        <f>"78"</f>
        <v>78</v>
      </c>
      <c r="I3371" s="1" t="str">
        <f t="shared" si="2290"/>
        <v>160</v>
      </c>
      <c r="J3371" s="1" t="str">
        <f t="shared" ref="J3371:O3371" si="2296">"0"</f>
        <v>0</v>
      </c>
      <c r="K3371" s="1" t="str">
        <f t="shared" si="2223"/>
        <v>103</v>
      </c>
      <c r="L3371" s="1" t="str">
        <f t="shared" si="2224"/>
        <v>47</v>
      </c>
      <c r="M3371" s="1" t="str">
        <f t="shared" si="2296"/>
        <v>0</v>
      </c>
      <c r="N3371" s="1" t="str">
        <f t="shared" si="2296"/>
        <v>0</v>
      </c>
      <c r="O3371" s="1" t="str">
        <f t="shared" si="2296"/>
        <v>0</v>
      </c>
    </row>
    <row r="3372" s="1" customFormat="1" spans="1:15">
      <c r="A3372" s="1" t="str">
        <f t="shared" si="2246"/>
        <v>202406</v>
      </c>
      <c r="B3372" s="1" t="str">
        <f t="shared" si="2247"/>
        <v>150525100</v>
      </c>
      <c r="C3372" s="1" t="str">
        <f>"1014629490"</f>
        <v>1014629490</v>
      </c>
      <c r="D3372" s="1" t="str">
        <f>"152326194406133819"</f>
        <v>152326194406133819</v>
      </c>
      <c r="E3372" s="1" t="s">
        <v>3440</v>
      </c>
      <c r="F3372" s="1" t="s">
        <v>25</v>
      </c>
      <c r="G3372" s="1" t="s">
        <v>19</v>
      </c>
      <c r="H3372" s="1" t="str">
        <f>"80"</f>
        <v>80</v>
      </c>
      <c r="I3372" s="1" t="str">
        <f t="shared" si="2290"/>
        <v>160</v>
      </c>
      <c r="J3372" s="1" t="str">
        <f t="shared" ref="J3372:O3372" si="2297">"0"</f>
        <v>0</v>
      </c>
      <c r="K3372" s="1" t="str">
        <f t="shared" si="2223"/>
        <v>103</v>
      </c>
      <c r="L3372" s="1" t="str">
        <f t="shared" si="2224"/>
        <v>47</v>
      </c>
      <c r="M3372" s="1" t="str">
        <f t="shared" si="2297"/>
        <v>0</v>
      </c>
      <c r="N3372" s="1" t="str">
        <f t="shared" si="2297"/>
        <v>0</v>
      </c>
      <c r="O3372" s="1" t="str">
        <f t="shared" si="2297"/>
        <v>0</v>
      </c>
    </row>
    <row r="3373" s="1" customFormat="1" spans="1:15">
      <c r="A3373" s="1" t="str">
        <f t="shared" si="2246"/>
        <v>202406</v>
      </c>
      <c r="B3373" s="1" t="str">
        <f t="shared" si="2247"/>
        <v>150525100</v>
      </c>
      <c r="C3373" s="1" t="str">
        <f>"1014613231"</f>
        <v>1014613231</v>
      </c>
      <c r="D3373" s="1" t="str">
        <f>"152326194508100428"</f>
        <v>152326194508100428</v>
      </c>
      <c r="E3373" s="1" t="s">
        <v>3441</v>
      </c>
      <c r="F3373" s="1" t="s">
        <v>16</v>
      </c>
      <c r="G3373" s="1" t="s">
        <v>17</v>
      </c>
      <c r="H3373" s="1" t="str">
        <f>"79"</f>
        <v>79</v>
      </c>
      <c r="I3373" s="1" t="str">
        <f t="shared" si="2290"/>
        <v>160</v>
      </c>
      <c r="J3373" s="1" t="str">
        <f t="shared" ref="J3373:O3373" si="2298">"0"</f>
        <v>0</v>
      </c>
      <c r="K3373" s="1" t="str">
        <f t="shared" si="2223"/>
        <v>103</v>
      </c>
      <c r="L3373" s="1" t="str">
        <f t="shared" si="2224"/>
        <v>47</v>
      </c>
      <c r="M3373" s="1" t="str">
        <f t="shared" si="2298"/>
        <v>0</v>
      </c>
      <c r="N3373" s="1" t="str">
        <f t="shared" si="2298"/>
        <v>0</v>
      </c>
      <c r="O3373" s="1" t="str">
        <f t="shared" si="2298"/>
        <v>0</v>
      </c>
    </row>
    <row r="3374" s="1" customFormat="1" spans="1:15">
      <c r="A3374" s="1" t="str">
        <f t="shared" si="2246"/>
        <v>202406</v>
      </c>
      <c r="B3374" s="1" t="str">
        <f t="shared" si="2247"/>
        <v>150525100</v>
      </c>
      <c r="C3374" s="1" t="str">
        <f>"1014613233"</f>
        <v>1014613233</v>
      </c>
      <c r="D3374" s="1" t="str">
        <f>"152326194004170422"</f>
        <v>152326194004170422</v>
      </c>
      <c r="E3374" s="1" t="s">
        <v>3442</v>
      </c>
      <c r="F3374" s="1" t="s">
        <v>16</v>
      </c>
      <c r="G3374" s="1" t="s">
        <v>17</v>
      </c>
      <c r="H3374" s="1" t="str">
        <f>"84"</f>
        <v>84</v>
      </c>
      <c r="I3374" s="1" t="str">
        <f>"170"</f>
        <v>170</v>
      </c>
      <c r="J3374" s="1" t="str">
        <f t="shared" ref="J3374:O3374" si="2299">"0"</f>
        <v>0</v>
      </c>
      <c r="K3374" s="1" t="str">
        <f t="shared" si="2223"/>
        <v>103</v>
      </c>
      <c r="L3374" s="1" t="str">
        <f t="shared" si="2224"/>
        <v>47</v>
      </c>
      <c r="M3374" s="1" t="str">
        <f t="shared" si="2299"/>
        <v>0</v>
      </c>
      <c r="N3374" s="1" t="str">
        <f t="shared" si="2299"/>
        <v>0</v>
      </c>
      <c r="O3374" s="1" t="str">
        <f t="shared" si="2299"/>
        <v>0</v>
      </c>
    </row>
    <row r="3375" s="1" customFormat="1" spans="1:15">
      <c r="A3375" s="1" t="str">
        <f t="shared" si="2246"/>
        <v>202406</v>
      </c>
      <c r="B3375" s="1" t="str">
        <f t="shared" si="2247"/>
        <v>150525100</v>
      </c>
      <c r="C3375" s="1" t="str">
        <f>"1014622275"</f>
        <v>1014622275</v>
      </c>
      <c r="D3375" s="1" t="str">
        <f>"152326194907130667"</f>
        <v>152326194907130667</v>
      </c>
      <c r="E3375" s="1" t="s">
        <v>2112</v>
      </c>
      <c r="F3375" s="1" t="s">
        <v>16</v>
      </c>
      <c r="G3375" s="1" t="s">
        <v>19</v>
      </c>
      <c r="H3375" s="1" t="str">
        <f>"75"</f>
        <v>75</v>
      </c>
      <c r="I3375" s="1" t="str">
        <f t="shared" ref="I3375:I3377" si="2300">"160"</f>
        <v>160</v>
      </c>
      <c r="J3375" s="1" t="str">
        <f t="shared" ref="J3375:O3375" si="2301">"0"</f>
        <v>0</v>
      </c>
      <c r="K3375" s="1" t="str">
        <f t="shared" si="2223"/>
        <v>103</v>
      </c>
      <c r="L3375" s="1" t="str">
        <f t="shared" si="2224"/>
        <v>47</v>
      </c>
      <c r="M3375" s="1" t="str">
        <f t="shared" si="2301"/>
        <v>0</v>
      </c>
      <c r="N3375" s="1" t="str">
        <f t="shared" si="2301"/>
        <v>0</v>
      </c>
      <c r="O3375" s="1" t="str">
        <f t="shared" si="2301"/>
        <v>0</v>
      </c>
    </row>
    <row r="3376" s="1" customFormat="1" spans="1:15">
      <c r="A3376" s="1" t="str">
        <f t="shared" si="2246"/>
        <v>202406</v>
      </c>
      <c r="B3376" s="1" t="str">
        <f t="shared" si="2247"/>
        <v>150525100</v>
      </c>
      <c r="C3376" s="1" t="str">
        <f>"1014622278"</f>
        <v>1014622278</v>
      </c>
      <c r="D3376" s="1" t="str">
        <f>"152326195109060443"</f>
        <v>152326195109060443</v>
      </c>
      <c r="E3376" s="1" t="s">
        <v>587</v>
      </c>
      <c r="F3376" s="1" t="s">
        <v>16</v>
      </c>
      <c r="G3376" s="1" t="s">
        <v>17</v>
      </c>
      <c r="H3376" s="1" t="str">
        <f>"73"</f>
        <v>73</v>
      </c>
      <c r="I3376" s="1" t="str">
        <f t="shared" si="2300"/>
        <v>160</v>
      </c>
      <c r="J3376" s="1" t="str">
        <f t="shared" ref="J3376:O3376" si="2302">"0"</f>
        <v>0</v>
      </c>
      <c r="K3376" s="1" t="str">
        <f t="shared" si="2223"/>
        <v>103</v>
      </c>
      <c r="L3376" s="1" t="str">
        <f t="shared" si="2224"/>
        <v>47</v>
      </c>
      <c r="M3376" s="1" t="str">
        <f t="shared" si="2302"/>
        <v>0</v>
      </c>
      <c r="N3376" s="1" t="str">
        <f t="shared" si="2302"/>
        <v>0</v>
      </c>
      <c r="O3376" s="1" t="str">
        <f t="shared" si="2302"/>
        <v>0</v>
      </c>
    </row>
    <row r="3377" s="1" customFormat="1" spans="1:15">
      <c r="A3377" s="1" t="str">
        <f t="shared" si="2246"/>
        <v>202406</v>
      </c>
      <c r="B3377" s="1" t="str">
        <f t="shared" si="2247"/>
        <v>150525100</v>
      </c>
      <c r="C3377" s="1" t="str">
        <f>"1014622663"</f>
        <v>1014622663</v>
      </c>
      <c r="D3377" s="1" t="s">
        <v>3443</v>
      </c>
      <c r="E3377" s="1" t="s">
        <v>3444</v>
      </c>
      <c r="F3377" s="1" t="s">
        <v>16</v>
      </c>
      <c r="G3377" s="1" t="s">
        <v>17</v>
      </c>
      <c r="H3377" s="1" t="str">
        <f>"76"</f>
        <v>76</v>
      </c>
      <c r="I3377" s="1" t="str">
        <f t="shared" si="2300"/>
        <v>160</v>
      </c>
      <c r="J3377" s="1" t="str">
        <f t="shared" ref="J3377:O3377" si="2303">"0"</f>
        <v>0</v>
      </c>
      <c r="K3377" s="1" t="str">
        <f t="shared" ref="K3377:K3380" si="2304">"103"</f>
        <v>103</v>
      </c>
      <c r="L3377" s="1" t="str">
        <f t="shared" ref="L3377:L3380" si="2305">"47"</f>
        <v>47</v>
      </c>
      <c r="M3377" s="1" t="str">
        <f t="shared" si="2303"/>
        <v>0</v>
      </c>
      <c r="N3377" s="1" t="str">
        <f t="shared" si="2303"/>
        <v>0</v>
      </c>
      <c r="O3377" s="1" t="str">
        <f t="shared" si="2303"/>
        <v>0</v>
      </c>
    </row>
    <row r="3378" s="1" customFormat="1" spans="1:15">
      <c r="A3378" s="1" t="str">
        <f t="shared" si="2246"/>
        <v>202406</v>
      </c>
      <c r="B3378" s="1" t="str">
        <f t="shared" si="2247"/>
        <v>150525100</v>
      </c>
      <c r="C3378" s="1" t="str">
        <f>"1014624061"</f>
        <v>1014624061</v>
      </c>
      <c r="D3378" s="1" t="s">
        <v>3445</v>
      </c>
      <c r="E3378" s="1" t="s">
        <v>3446</v>
      </c>
      <c r="F3378" s="1" t="s">
        <v>25</v>
      </c>
      <c r="G3378" s="1" t="s">
        <v>17</v>
      </c>
      <c r="H3378" s="1" t="str">
        <f>"80"</f>
        <v>80</v>
      </c>
      <c r="I3378" s="1" t="str">
        <f>"1800"</f>
        <v>1800</v>
      </c>
      <c r="J3378" s="1" t="str">
        <f t="shared" ref="J3378:O3378" si="2306">"0"</f>
        <v>0</v>
      </c>
      <c r="K3378" s="1" t="str">
        <f t="shared" si="2306"/>
        <v>0</v>
      </c>
      <c r="L3378" s="1" t="str">
        <f t="shared" si="2306"/>
        <v>0</v>
      </c>
      <c r="M3378" s="1" t="str">
        <f t="shared" si="2306"/>
        <v>0</v>
      </c>
      <c r="N3378" s="1" t="str">
        <f t="shared" si="2306"/>
        <v>0</v>
      </c>
      <c r="O3378" s="1" t="str">
        <f t="shared" si="2306"/>
        <v>0</v>
      </c>
    </row>
    <row r="3379" s="1" customFormat="1" spans="1:15">
      <c r="A3379" s="1" t="str">
        <f t="shared" si="2246"/>
        <v>202406</v>
      </c>
      <c r="B3379" s="1" t="str">
        <f t="shared" si="2247"/>
        <v>150525100</v>
      </c>
      <c r="C3379" s="1" t="str">
        <f>"1014619518"</f>
        <v>1014619518</v>
      </c>
      <c r="D3379" s="1" t="str">
        <f>"152326194607053073"</f>
        <v>152326194607053073</v>
      </c>
      <c r="E3379" s="1" t="s">
        <v>3447</v>
      </c>
      <c r="F3379" s="1" t="s">
        <v>25</v>
      </c>
      <c r="G3379" s="1" t="s">
        <v>17</v>
      </c>
      <c r="H3379" s="1" t="str">
        <f>"78"</f>
        <v>78</v>
      </c>
      <c r="I3379" s="1" t="str">
        <f t="shared" ref="I3379:I3387" si="2307">"160"</f>
        <v>160</v>
      </c>
      <c r="J3379" s="1" t="str">
        <f t="shared" ref="J3379:O3379" si="2308">"0"</f>
        <v>0</v>
      </c>
      <c r="K3379" s="1" t="str">
        <f t="shared" si="2304"/>
        <v>103</v>
      </c>
      <c r="L3379" s="1" t="str">
        <f t="shared" si="2305"/>
        <v>47</v>
      </c>
      <c r="M3379" s="1" t="str">
        <f t="shared" si="2308"/>
        <v>0</v>
      </c>
      <c r="N3379" s="1" t="str">
        <f t="shared" si="2308"/>
        <v>0</v>
      </c>
      <c r="O3379" s="1" t="str">
        <f t="shared" si="2308"/>
        <v>0</v>
      </c>
    </row>
    <row r="3380" s="1" customFormat="1" spans="1:15">
      <c r="A3380" s="1" t="str">
        <f t="shared" si="2246"/>
        <v>202406</v>
      </c>
      <c r="B3380" s="1" t="str">
        <f t="shared" si="2247"/>
        <v>150525100</v>
      </c>
      <c r="C3380" s="1" t="str">
        <f>"1014619537"</f>
        <v>1014619537</v>
      </c>
      <c r="D3380" s="1" t="str">
        <f>"152326195008260673"</f>
        <v>152326195008260673</v>
      </c>
      <c r="E3380" s="1" t="s">
        <v>3448</v>
      </c>
      <c r="F3380" s="1" t="s">
        <v>25</v>
      </c>
      <c r="G3380" s="1" t="s">
        <v>96</v>
      </c>
      <c r="H3380" s="1" t="str">
        <f t="shared" ref="H3380:H3385" si="2309">"74"</f>
        <v>74</v>
      </c>
      <c r="I3380" s="1" t="str">
        <f t="shared" si="2307"/>
        <v>160</v>
      </c>
      <c r="J3380" s="1" t="str">
        <f t="shared" ref="J3380:O3380" si="2310">"0"</f>
        <v>0</v>
      </c>
      <c r="K3380" s="1" t="str">
        <f t="shared" si="2304"/>
        <v>103</v>
      </c>
      <c r="L3380" s="1" t="str">
        <f t="shared" si="2305"/>
        <v>47</v>
      </c>
      <c r="M3380" s="1" t="str">
        <f t="shared" si="2310"/>
        <v>0</v>
      </c>
      <c r="N3380" s="1" t="str">
        <f t="shared" si="2310"/>
        <v>0</v>
      </c>
      <c r="O3380" s="1" t="str">
        <f t="shared" si="2310"/>
        <v>0</v>
      </c>
    </row>
    <row r="3381" s="1" customFormat="1" spans="1:15">
      <c r="A3381" s="1" t="str">
        <f t="shared" si="2246"/>
        <v>202406</v>
      </c>
      <c r="B3381" s="1" t="str">
        <f t="shared" si="2247"/>
        <v>150525100</v>
      </c>
      <c r="C3381" s="1" t="str">
        <f>"1014619675"</f>
        <v>1014619675</v>
      </c>
      <c r="D3381" s="1" t="str">
        <f>"152326193812053078"</f>
        <v>152326193812053078</v>
      </c>
      <c r="E3381" s="1" t="s">
        <v>3449</v>
      </c>
      <c r="F3381" s="1" t="s">
        <v>25</v>
      </c>
      <c r="G3381" s="1" t="s">
        <v>17</v>
      </c>
      <c r="H3381" s="1" t="str">
        <f>"86"</f>
        <v>86</v>
      </c>
      <c r="I3381" s="1" t="str">
        <f>"1700"</f>
        <v>1700</v>
      </c>
      <c r="J3381" s="1" t="str">
        <f>"1530"</f>
        <v>1530</v>
      </c>
      <c r="K3381" s="1" t="str">
        <f>"1030"</f>
        <v>1030</v>
      </c>
      <c r="L3381" s="1" t="str">
        <f>"470"</f>
        <v>470</v>
      </c>
      <c r="M3381" s="1" t="str">
        <f t="shared" ref="M3381:O3381" si="2311">"0"</f>
        <v>0</v>
      </c>
      <c r="N3381" s="1" t="str">
        <f t="shared" si="2311"/>
        <v>0</v>
      </c>
      <c r="O3381" s="1" t="str">
        <f t="shared" si="2311"/>
        <v>0</v>
      </c>
    </row>
    <row r="3382" s="1" customFormat="1" spans="1:15">
      <c r="A3382" s="1" t="str">
        <f t="shared" si="2246"/>
        <v>202406</v>
      </c>
      <c r="B3382" s="1" t="str">
        <f t="shared" si="2247"/>
        <v>150525100</v>
      </c>
      <c r="C3382" s="1" t="str">
        <f>"1014619700"</f>
        <v>1014619700</v>
      </c>
      <c r="D3382" s="1" t="str">
        <f>"152326194311120660"</f>
        <v>152326194311120660</v>
      </c>
      <c r="E3382" s="1" t="s">
        <v>3450</v>
      </c>
      <c r="F3382" s="1" t="s">
        <v>16</v>
      </c>
      <c r="G3382" s="1" t="s">
        <v>19</v>
      </c>
      <c r="H3382" s="1" t="str">
        <f>"81"</f>
        <v>81</v>
      </c>
      <c r="I3382" s="1" t="str">
        <f>"170"</f>
        <v>170</v>
      </c>
      <c r="J3382" s="1" t="str">
        <f t="shared" ref="J3382:O3382" si="2312">"0"</f>
        <v>0</v>
      </c>
      <c r="K3382" s="1" t="str">
        <f t="shared" ref="K3382:K3420" si="2313">"103"</f>
        <v>103</v>
      </c>
      <c r="L3382" s="1" t="str">
        <f t="shared" ref="L3382:L3420" si="2314">"47"</f>
        <v>47</v>
      </c>
      <c r="M3382" s="1" t="str">
        <f t="shared" si="2312"/>
        <v>0</v>
      </c>
      <c r="N3382" s="1" t="str">
        <f t="shared" si="2312"/>
        <v>0</v>
      </c>
      <c r="O3382" s="1" t="str">
        <f t="shared" si="2312"/>
        <v>0</v>
      </c>
    </row>
    <row r="3383" s="1" customFormat="1" spans="1:15">
      <c r="A3383" s="1" t="str">
        <f t="shared" si="2246"/>
        <v>202406</v>
      </c>
      <c r="B3383" s="1" t="str">
        <f t="shared" si="2247"/>
        <v>150525100</v>
      </c>
      <c r="C3383" s="1" t="str">
        <f>"1014619702"</f>
        <v>1014619702</v>
      </c>
      <c r="D3383" s="1" t="str">
        <f>"152326194908200663"</f>
        <v>152326194908200663</v>
      </c>
      <c r="E3383" s="1" t="s">
        <v>3451</v>
      </c>
      <c r="F3383" s="1" t="s">
        <v>16</v>
      </c>
      <c r="G3383" s="1" t="s">
        <v>19</v>
      </c>
      <c r="H3383" s="1" t="str">
        <f>"75"</f>
        <v>75</v>
      </c>
      <c r="I3383" s="1" t="str">
        <f t="shared" si="2307"/>
        <v>160</v>
      </c>
      <c r="J3383" s="1" t="str">
        <f t="shared" ref="J3383:O3383" si="2315">"0"</f>
        <v>0</v>
      </c>
      <c r="K3383" s="1" t="str">
        <f t="shared" si="2313"/>
        <v>103</v>
      </c>
      <c r="L3383" s="1" t="str">
        <f t="shared" si="2314"/>
        <v>47</v>
      </c>
      <c r="M3383" s="1" t="str">
        <f t="shared" si="2315"/>
        <v>0</v>
      </c>
      <c r="N3383" s="1" t="str">
        <f t="shared" si="2315"/>
        <v>0</v>
      </c>
      <c r="O3383" s="1" t="str">
        <f t="shared" si="2315"/>
        <v>0</v>
      </c>
    </row>
    <row r="3384" s="1" customFormat="1" spans="1:15">
      <c r="A3384" s="1" t="str">
        <f t="shared" si="2246"/>
        <v>202406</v>
      </c>
      <c r="B3384" s="1" t="str">
        <f t="shared" si="2247"/>
        <v>150525100</v>
      </c>
      <c r="C3384" s="1" t="str">
        <f>"1014623040"</f>
        <v>1014623040</v>
      </c>
      <c r="D3384" s="1" t="str">
        <f>"152326195006080425"</f>
        <v>152326195006080425</v>
      </c>
      <c r="E3384" s="1" t="s">
        <v>3452</v>
      </c>
      <c r="F3384" s="1" t="s">
        <v>16</v>
      </c>
      <c r="G3384" s="1" t="s">
        <v>17</v>
      </c>
      <c r="H3384" s="1" t="str">
        <f t="shared" si="2309"/>
        <v>74</v>
      </c>
      <c r="I3384" s="1" t="str">
        <f t="shared" si="2307"/>
        <v>160</v>
      </c>
      <c r="J3384" s="1" t="str">
        <f t="shared" ref="J3384:O3384" si="2316">"0"</f>
        <v>0</v>
      </c>
      <c r="K3384" s="1" t="str">
        <f t="shared" si="2313"/>
        <v>103</v>
      </c>
      <c r="L3384" s="1" t="str">
        <f t="shared" si="2314"/>
        <v>47</v>
      </c>
      <c r="M3384" s="1" t="str">
        <f t="shared" si="2316"/>
        <v>0</v>
      </c>
      <c r="N3384" s="1" t="str">
        <f t="shared" si="2316"/>
        <v>0</v>
      </c>
      <c r="O3384" s="1" t="str">
        <f t="shared" si="2316"/>
        <v>0</v>
      </c>
    </row>
    <row r="3385" s="1" customFormat="1" spans="1:15">
      <c r="A3385" s="1" t="str">
        <f t="shared" si="2246"/>
        <v>202406</v>
      </c>
      <c r="B3385" s="1" t="str">
        <f t="shared" si="2247"/>
        <v>150525100</v>
      </c>
      <c r="C3385" s="1" t="str">
        <f>"1014623041"</f>
        <v>1014623041</v>
      </c>
      <c r="D3385" s="1" t="s">
        <v>3453</v>
      </c>
      <c r="E3385" s="1" t="s">
        <v>187</v>
      </c>
      <c r="F3385" s="1" t="s">
        <v>16</v>
      </c>
      <c r="G3385" s="1" t="s">
        <v>17</v>
      </c>
      <c r="H3385" s="1" t="str">
        <f t="shared" si="2309"/>
        <v>74</v>
      </c>
      <c r="I3385" s="1" t="str">
        <f t="shared" si="2307"/>
        <v>160</v>
      </c>
      <c r="J3385" s="1" t="str">
        <f t="shared" ref="J3385:O3385" si="2317">"0"</f>
        <v>0</v>
      </c>
      <c r="K3385" s="1" t="str">
        <f t="shared" si="2313"/>
        <v>103</v>
      </c>
      <c r="L3385" s="1" t="str">
        <f t="shared" si="2314"/>
        <v>47</v>
      </c>
      <c r="M3385" s="1" t="str">
        <f t="shared" si="2317"/>
        <v>0</v>
      </c>
      <c r="N3385" s="1" t="str">
        <f t="shared" si="2317"/>
        <v>0</v>
      </c>
      <c r="O3385" s="1" t="str">
        <f t="shared" si="2317"/>
        <v>0</v>
      </c>
    </row>
    <row r="3386" s="1" customFormat="1" spans="1:15">
      <c r="A3386" s="1" t="str">
        <f t="shared" si="2246"/>
        <v>202406</v>
      </c>
      <c r="B3386" s="1" t="str">
        <f t="shared" si="2247"/>
        <v>150525100</v>
      </c>
      <c r="C3386" s="1" t="str">
        <f>"1014623050"</f>
        <v>1014623050</v>
      </c>
      <c r="D3386" s="1" t="str">
        <f>"152326194904190429"</f>
        <v>152326194904190429</v>
      </c>
      <c r="E3386" s="1" t="s">
        <v>3454</v>
      </c>
      <c r="F3386" s="1" t="s">
        <v>16</v>
      </c>
      <c r="G3386" s="1" t="s">
        <v>17</v>
      </c>
      <c r="H3386" s="1" t="str">
        <f>"75"</f>
        <v>75</v>
      </c>
      <c r="I3386" s="1" t="str">
        <f t="shared" si="2307"/>
        <v>160</v>
      </c>
      <c r="J3386" s="1" t="str">
        <f t="shared" ref="J3386:O3386" si="2318">"0"</f>
        <v>0</v>
      </c>
      <c r="K3386" s="1" t="str">
        <f t="shared" si="2313"/>
        <v>103</v>
      </c>
      <c r="L3386" s="1" t="str">
        <f t="shared" si="2314"/>
        <v>47</v>
      </c>
      <c r="M3386" s="1" t="str">
        <f t="shared" si="2318"/>
        <v>0</v>
      </c>
      <c r="N3386" s="1" t="str">
        <f t="shared" si="2318"/>
        <v>0</v>
      </c>
      <c r="O3386" s="1" t="str">
        <f t="shared" si="2318"/>
        <v>0</v>
      </c>
    </row>
    <row r="3387" s="1" customFormat="1" spans="1:15">
      <c r="A3387" s="1" t="str">
        <f t="shared" si="2246"/>
        <v>202406</v>
      </c>
      <c r="B3387" s="1" t="str">
        <f t="shared" si="2247"/>
        <v>150525100</v>
      </c>
      <c r="C3387" s="1" t="str">
        <f>"1014623053"</f>
        <v>1014623053</v>
      </c>
      <c r="D3387" s="1" t="str">
        <f>"152326195002170423"</f>
        <v>152326195002170423</v>
      </c>
      <c r="E3387" s="1" t="s">
        <v>3455</v>
      </c>
      <c r="F3387" s="1" t="s">
        <v>16</v>
      </c>
      <c r="G3387" s="1" t="s">
        <v>17</v>
      </c>
      <c r="H3387" s="1" t="str">
        <f>"74"</f>
        <v>74</v>
      </c>
      <c r="I3387" s="1" t="str">
        <f t="shared" si="2307"/>
        <v>160</v>
      </c>
      <c r="J3387" s="1" t="str">
        <f t="shared" ref="J3387:O3387" si="2319">"0"</f>
        <v>0</v>
      </c>
      <c r="K3387" s="1" t="str">
        <f t="shared" si="2313"/>
        <v>103</v>
      </c>
      <c r="L3387" s="1" t="str">
        <f t="shared" si="2314"/>
        <v>47</v>
      </c>
      <c r="M3387" s="1" t="str">
        <f t="shared" si="2319"/>
        <v>0</v>
      </c>
      <c r="N3387" s="1" t="str">
        <f t="shared" si="2319"/>
        <v>0</v>
      </c>
      <c r="O3387" s="1" t="str">
        <f t="shared" si="2319"/>
        <v>0</v>
      </c>
    </row>
    <row r="3388" s="1" customFormat="1" spans="1:15">
      <c r="A3388" s="1" t="str">
        <f t="shared" si="2246"/>
        <v>202406</v>
      </c>
      <c r="B3388" s="1" t="str">
        <f t="shared" si="2247"/>
        <v>150525100</v>
      </c>
      <c r="C3388" s="1" t="str">
        <f>"1014623057"</f>
        <v>1014623057</v>
      </c>
      <c r="D3388" s="1" t="str">
        <f>"152326194402140421"</f>
        <v>152326194402140421</v>
      </c>
      <c r="E3388" s="1" t="s">
        <v>3456</v>
      </c>
      <c r="F3388" s="1" t="s">
        <v>16</v>
      </c>
      <c r="G3388" s="1" t="s">
        <v>17</v>
      </c>
      <c r="H3388" s="1" t="str">
        <f>"80"</f>
        <v>80</v>
      </c>
      <c r="I3388" s="1" t="str">
        <f>"170"</f>
        <v>170</v>
      </c>
      <c r="J3388" s="1" t="str">
        <f t="shared" ref="J3388:O3388" si="2320">"0"</f>
        <v>0</v>
      </c>
      <c r="K3388" s="1" t="str">
        <f t="shared" si="2313"/>
        <v>103</v>
      </c>
      <c r="L3388" s="1" t="str">
        <f t="shared" si="2314"/>
        <v>47</v>
      </c>
      <c r="M3388" s="1" t="str">
        <f t="shared" si="2320"/>
        <v>0</v>
      </c>
      <c r="N3388" s="1" t="str">
        <f t="shared" si="2320"/>
        <v>0</v>
      </c>
      <c r="O3388" s="1" t="str">
        <f t="shared" si="2320"/>
        <v>0</v>
      </c>
    </row>
    <row r="3389" s="1" customFormat="1" spans="1:15">
      <c r="A3389" s="1" t="str">
        <f t="shared" si="2246"/>
        <v>202406</v>
      </c>
      <c r="B3389" s="1" t="str">
        <f t="shared" si="2247"/>
        <v>150525100</v>
      </c>
      <c r="C3389" s="1" t="str">
        <f>"1014623550"</f>
        <v>1014623550</v>
      </c>
      <c r="D3389" s="1" t="str">
        <f>"152326194902243822"</f>
        <v>152326194902243822</v>
      </c>
      <c r="E3389" s="1" t="s">
        <v>3457</v>
      </c>
      <c r="F3389" s="1" t="s">
        <v>16</v>
      </c>
      <c r="G3389" s="1" t="s">
        <v>19</v>
      </c>
      <c r="H3389" s="1" t="str">
        <f>"75"</f>
        <v>75</v>
      </c>
      <c r="I3389" s="1" t="str">
        <f>"160"</f>
        <v>160</v>
      </c>
      <c r="J3389" s="1" t="str">
        <f t="shared" ref="J3389:O3389" si="2321">"0"</f>
        <v>0</v>
      </c>
      <c r="K3389" s="1" t="str">
        <f t="shared" si="2313"/>
        <v>103</v>
      </c>
      <c r="L3389" s="1" t="str">
        <f t="shared" si="2314"/>
        <v>47</v>
      </c>
      <c r="M3389" s="1" t="str">
        <f t="shared" si="2321"/>
        <v>0</v>
      </c>
      <c r="N3389" s="1" t="str">
        <f t="shared" si="2321"/>
        <v>0</v>
      </c>
      <c r="O3389" s="1" t="str">
        <f t="shared" si="2321"/>
        <v>0</v>
      </c>
    </row>
    <row r="3390" s="1" customFormat="1" spans="1:15">
      <c r="A3390" s="1" t="str">
        <f t="shared" si="2246"/>
        <v>202406</v>
      </c>
      <c r="B3390" s="1" t="str">
        <f t="shared" si="2247"/>
        <v>150525100</v>
      </c>
      <c r="C3390" s="1" t="str">
        <f>"1014629274"</f>
        <v>1014629274</v>
      </c>
      <c r="D3390" s="1" t="str">
        <f>"152326194410173848"</f>
        <v>152326194410173848</v>
      </c>
      <c r="E3390" s="1" t="s">
        <v>3458</v>
      </c>
      <c r="F3390" s="1" t="s">
        <v>16</v>
      </c>
      <c r="G3390" s="1" t="s">
        <v>19</v>
      </c>
      <c r="H3390" s="1" t="str">
        <f>"80"</f>
        <v>80</v>
      </c>
      <c r="I3390" s="1" t="str">
        <f>"160"</f>
        <v>160</v>
      </c>
      <c r="J3390" s="1" t="str">
        <f t="shared" ref="J3390:O3390" si="2322">"0"</f>
        <v>0</v>
      </c>
      <c r="K3390" s="1" t="str">
        <f t="shared" si="2313"/>
        <v>103</v>
      </c>
      <c r="L3390" s="1" t="str">
        <f t="shared" si="2314"/>
        <v>47</v>
      </c>
      <c r="M3390" s="1" t="str">
        <f t="shared" si="2322"/>
        <v>0</v>
      </c>
      <c r="N3390" s="1" t="str">
        <f t="shared" si="2322"/>
        <v>0</v>
      </c>
      <c r="O3390" s="1" t="str">
        <f t="shared" si="2322"/>
        <v>0</v>
      </c>
    </row>
    <row r="3391" s="1" customFormat="1" spans="1:15">
      <c r="A3391" s="1" t="str">
        <f t="shared" si="2246"/>
        <v>202406</v>
      </c>
      <c r="B3391" s="1" t="str">
        <f t="shared" si="2247"/>
        <v>150525100</v>
      </c>
      <c r="C3391" s="1" t="str">
        <f>"1014589117"</f>
        <v>1014589117</v>
      </c>
      <c r="D3391" s="1" t="str">
        <f>"152326195808100424"</f>
        <v>152326195808100424</v>
      </c>
      <c r="E3391" s="1" t="s">
        <v>3459</v>
      </c>
      <c r="F3391" s="1" t="s">
        <v>16</v>
      </c>
      <c r="G3391" s="1" t="s">
        <v>17</v>
      </c>
      <c r="H3391" s="1" t="str">
        <f>"66"</f>
        <v>66</v>
      </c>
      <c r="I3391" s="1" t="str">
        <f>"157.12"</f>
        <v>157.12</v>
      </c>
      <c r="J3391" s="1" t="str">
        <f t="shared" ref="J3391:N3391" si="2323">"0"</f>
        <v>0</v>
      </c>
      <c r="K3391" s="1" t="str">
        <f t="shared" si="2313"/>
        <v>103</v>
      </c>
      <c r="L3391" s="1" t="str">
        <f t="shared" si="2314"/>
        <v>47</v>
      </c>
      <c r="M3391" s="1" t="str">
        <f t="shared" si="2323"/>
        <v>0</v>
      </c>
      <c r="N3391" s="1" t="str">
        <f t="shared" si="2323"/>
        <v>0</v>
      </c>
      <c r="O3391" s="1" t="str">
        <f>"7.12"</f>
        <v>7.12</v>
      </c>
    </row>
    <row r="3392" s="1" customFormat="1" spans="1:15">
      <c r="A3392" s="1" t="str">
        <f t="shared" si="2246"/>
        <v>202406</v>
      </c>
      <c r="B3392" s="1" t="str">
        <f t="shared" si="2247"/>
        <v>150525100</v>
      </c>
      <c r="C3392" s="1" t="str">
        <f>"1014589120"</f>
        <v>1014589120</v>
      </c>
      <c r="D3392" s="1" t="str">
        <f>"152326195601170417"</f>
        <v>152326195601170417</v>
      </c>
      <c r="E3392" s="1" t="s">
        <v>3460</v>
      </c>
      <c r="F3392" s="1" t="s">
        <v>25</v>
      </c>
      <c r="G3392" s="1" t="s">
        <v>17</v>
      </c>
      <c r="H3392" s="1" t="str">
        <f>"68"</f>
        <v>68</v>
      </c>
      <c r="I3392" s="1" t="str">
        <f>"156.02"</f>
        <v>156.02</v>
      </c>
      <c r="J3392" s="1" t="str">
        <f t="shared" ref="J3392:N3392" si="2324">"0"</f>
        <v>0</v>
      </c>
      <c r="K3392" s="1" t="str">
        <f t="shared" si="2313"/>
        <v>103</v>
      </c>
      <c r="L3392" s="1" t="str">
        <f t="shared" si="2314"/>
        <v>47</v>
      </c>
      <c r="M3392" s="1" t="str">
        <f t="shared" si="2324"/>
        <v>0</v>
      </c>
      <c r="N3392" s="1" t="str">
        <f t="shared" si="2324"/>
        <v>0</v>
      </c>
      <c r="O3392" s="1" t="str">
        <f>"6.02"</f>
        <v>6.02</v>
      </c>
    </row>
    <row r="3393" s="1" customFormat="1" spans="1:15">
      <c r="A3393" s="1" t="str">
        <f t="shared" si="2246"/>
        <v>202406</v>
      </c>
      <c r="B3393" s="1" t="str">
        <f t="shared" si="2247"/>
        <v>150525100</v>
      </c>
      <c r="C3393" s="1" t="str">
        <f>"1014589129"</f>
        <v>1014589129</v>
      </c>
      <c r="D3393" s="1" t="str">
        <f>"152326195510200449"</f>
        <v>152326195510200449</v>
      </c>
      <c r="E3393" s="1" t="s">
        <v>3461</v>
      </c>
      <c r="F3393" s="1" t="s">
        <v>16</v>
      </c>
      <c r="G3393" s="1" t="s">
        <v>17</v>
      </c>
      <c r="H3393" s="1" t="str">
        <f>"69"</f>
        <v>69</v>
      </c>
      <c r="I3393" s="1" t="str">
        <f>"155.1"</f>
        <v>155.1</v>
      </c>
      <c r="J3393" s="1" t="str">
        <f t="shared" ref="J3393:N3393" si="2325">"0"</f>
        <v>0</v>
      </c>
      <c r="K3393" s="1" t="str">
        <f t="shared" si="2313"/>
        <v>103</v>
      </c>
      <c r="L3393" s="1" t="str">
        <f t="shared" si="2314"/>
        <v>47</v>
      </c>
      <c r="M3393" s="1" t="str">
        <f t="shared" si="2325"/>
        <v>0</v>
      </c>
      <c r="N3393" s="1" t="str">
        <f t="shared" si="2325"/>
        <v>0</v>
      </c>
      <c r="O3393" s="1" t="str">
        <f>"5.1"</f>
        <v>5.1</v>
      </c>
    </row>
    <row r="3394" s="1" customFormat="1" spans="1:15">
      <c r="A3394" s="1" t="str">
        <f t="shared" ref="A3394:A3457" si="2326">"202406"</f>
        <v>202406</v>
      </c>
      <c r="B3394" s="1" t="str">
        <f t="shared" ref="B3394:B3457" si="2327">"150525100"</f>
        <v>150525100</v>
      </c>
      <c r="C3394" s="1" t="str">
        <f>"1014589134"</f>
        <v>1014589134</v>
      </c>
      <c r="D3394" s="1" t="str">
        <f>"152326195708130415"</f>
        <v>152326195708130415</v>
      </c>
      <c r="E3394" s="1" t="s">
        <v>3462</v>
      </c>
      <c r="F3394" s="1" t="s">
        <v>25</v>
      </c>
      <c r="G3394" s="1" t="s">
        <v>17</v>
      </c>
      <c r="H3394" s="1" t="str">
        <f>"67"</f>
        <v>67</v>
      </c>
      <c r="I3394" s="1" t="str">
        <f>"156.08"</f>
        <v>156.08</v>
      </c>
      <c r="J3394" s="1" t="str">
        <f t="shared" ref="J3394:N3394" si="2328">"0"</f>
        <v>0</v>
      </c>
      <c r="K3394" s="1" t="str">
        <f t="shared" si="2313"/>
        <v>103</v>
      </c>
      <c r="L3394" s="1" t="str">
        <f t="shared" si="2314"/>
        <v>47</v>
      </c>
      <c r="M3394" s="1" t="str">
        <f t="shared" si="2328"/>
        <v>0</v>
      </c>
      <c r="N3394" s="1" t="str">
        <f t="shared" si="2328"/>
        <v>0</v>
      </c>
      <c r="O3394" s="1" t="str">
        <f>"6.08"</f>
        <v>6.08</v>
      </c>
    </row>
    <row r="3395" s="1" customFormat="1" spans="1:15">
      <c r="A3395" s="1" t="str">
        <f t="shared" si="2326"/>
        <v>202406</v>
      </c>
      <c r="B3395" s="1" t="str">
        <f t="shared" si="2327"/>
        <v>150525100</v>
      </c>
      <c r="C3395" s="1" t="str">
        <f>"1014613015"</f>
        <v>1014613015</v>
      </c>
      <c r="D3395" s="1" t="str">
        <f>"152326195110190923"</f>
        <v>152326195110190923</v>
      </c>
      <c r="E3395" s="1" t="s">
        <v>3463</v>
      </c>
      <c r="F3395" s="1" t="s">
        <v>16</v>
      </c>
      <c r="G3395" s="1" t="s">
        <v>19</v>
      </c>
      <c r="H3395" s="1" t="str">
        <f>"73"</f>
        <v>73</v>
      </c>
      <c r="I3395" s="1" t="str">
        <f t="shared" ref="I3395:I3398" si="2329">"160"</f>
        <v>160</v>
      </c>
      <c r="J3395" s="1" t="str">
        <f t="shared" ref="J3395:O3395" si="2330">"0"</f>
        <v>0</v>
      </c>
      <c r="K3395" s="1" t="str">
        <f t="shared" si="2313"/>
        <v>103</v>
      </c>
      <c r="L3395" s="1" t="str">
        <f t="shared" si="2314"/>
        <v>47</v>
      </c>
      <c r="M3395" s="1" t="str">
        <f t="shared" si="2330"/>
        <v>0</v>
      </c>
      <c r="N3395" s="1" t="str">
        <f t="shared" si="2330"/>
        <v>0</v>
      </c>
      <c r="O3395" s="1" t="str">
        <f t="shared" si="2330"/>
        <v>0</v>
      </c>
    </row>
    <row r="3396" s="1" customFormat="1" spans="1:15">
      <c r="A3396" s="1" t="str">
        <f t="shared" si="2326"/>
        <v>202406</v>
      </c>
      <c r="B3396" s="1" t="str">
        <f t="shared" si="2327"/>
        <v>150525100</v>
      </c>
      <c r="C3396" s="1" t="str">
        <f>"1014613027"</f>
        <v>1014613027</v>
      </c>
      <c r="D3396" s="1" t="str">
        <f>"152326195107150920"</f>
        <v>152326195107150920</v>
      </c>
      <c r="E3396" s="1" t="s">
        <v>3464</v>
      </c>
      <c r="F3396" s="1" t="s">
        <v>16</v>
      </c>
      <c r="G3396" s="1" t="s">
        <v>19</v>
      </c>
      <c r="H3396" s="1" t="str">
        <f>"73"</f>
        <v>73</v>
      </c>
      <c r="I3396" s="1" t="str">
        <f t="shared" si="2329"/>
        <v>160</v>
      </c>
      <c r="J3396" s="1" t="str">
        <f t="shared" ref="J3396:O3396" si="2331">"0"</f>
        <v>0</v>
      </c>
      <c r="K3396" s="1" t="str">
        <f t="shared" si="2313"/>
        <v>103</v>
      </c>
      <c r="L3396" s="1" t="str">
        <f t="shared" si="2314"/>
        <v>47</v>
      </c>
      <c r="M3396" s="1" t="str">
        <f t="shared" si="2331"/>
        <v>0</v>
      </c>
      <c r="N3396" s="1" t="str">
        <f t="shared" si="2331"/>
        <v>0</v>
      </c>
      <c r="O3396" s="1" t="str">
        <f t="shared" si="2331"/>
        <v>0</v>
      </c>
    </row>
    <row r="3397" s="1" customFormat="1" spans="1:15">
      <c r="A3397" s="1" t="str">
        <f t="shared" si="2326"/>
        <v>202406</v>
      </c>
      <c r="B3397" s="1" t="str">
        <f t="shared" si="2327"/>
        <v>150525100</v>
      </c>
      <c r="C3397" s="1" t="str">
        <f>"1014621941"</f>
        <v>1014621941</v>
      </c>
      <c r="D3397" s="1" t="str">
        <f>"152326194912270672"</f>
        <v>152326194912270672</v>
      </c>
      <c r="E3397" s="1" t="s">
        <v>3465</v>
      </c>
      <c r="F3397" s="1" t="s">
        <v>25</v>
      </c>
      <c r="G3397" s="1" t="s">
        <v>19</v>
      </c>
      <c r="H3397" s="1" t="str">
        <f>"75"</f>
        <v>75</v>
      </c>
      <c r="I3397" s="1" t="str">
        <f t="shared" si="2329"/>
        <v>160</v>
      </c>
      <c r="J3397" s="1" t="str">
        <f t="shared" ref="J3397:O3397" si="2332">"0"</f>
        <v>0</v>
      </c>
      <c r="K3397" s="1" t="str">
        <f t="shared" si="2313"/>
        <v>103</v>
      </c>
      <c r="L3397" s="1" t="str">
        <f t="shared" si="2314"/>
        <v>47</v>
      </c>
      <c r="M3397" s="1" t="str">
        <f t="shared" si="2332"/>
        <v>0</v>
      </c>
      <c r="N3397" s="1" t="str">
        <f t="shared" si="2332"/>
        <v>0</v>
      </c>
      <c r="O3397" s="1" t="str">
        <f t="shared" si="2332"/>
        <v>0</v>
      </c>
    </row>
    <row r="3398" s="1" customFormat="1" spans="1:15">
      <c r="A3398" s="1" t="str">
        <f t="shared" si="2326"/>
        <v>202406</v>
      </c>
      <c r="B3398" s="1" t="str">
        <f t="shared" si="2327"/>
        <v>150525100</v>
      </c>
      <c r="C3398" s="1" t="str">
        <f>"1014621954"</f>
        <v>1014621954</v>
      </c>
      <c r="D3398" s="1" t="str">
        <f>"152326194707200675"</f>
        <v>152326194707200675</v>
      </c>
      <c r="E3398" s="1" t="s">
        <v>3466</v>
      </c>
      <c r="F3398" s="1" t="s">
        <v>25</v>
      </c>
      <c r="G3398" s="1" t="s">
        <v>19</v>
      </c>
      <c r="H3398" s="1" t="str">
        <f>"77"</f>
        <v>77</v>
      </c>
      <c r="I3398" s="1" t="str">
        <f t="shared" si="2329"/>
        <v>160</v>
      </c>
      <c r="J3398" s="1" t="str">
        <f t="shared" ref="J3398:O3398" si="2333">"0"</f>
        <v>0</v>
      </c>
      <c r="K3398" s="1" t="str">
        <f t="shared" si="2313"/>
        <v>103</v>
      </c>
      <c r="L3398" s="1" t="str">
        <f t="shared" si="2314"/>
        <v>47</v>
      </c>
      <c r="M3398" s="1" t="str">
        <f t="shared" si="2333"/>
        <v>0</v>
      </c>
      <c r="N3398" s="1" t="str">
        <f t="shared" si="2333"/>
        <v>0</v>
      </c>
      <c r="O3398" s="1" t="str">
        <f t="shared" si="2333"/>
        <v>0</v>
      </c>
    </row>
    <row r="3399" s="1" customFormat="1" spans="1:15">
      <c r="A3399" s="1" t="str">
        <f t="shared" si="2326"/>
        <v>202406</v>
      </c>
      <c r="B3399" s="1" t="str">
        <f t="shared" si="2327"/>
        <v>150525100</v>
      </c>
      <c r="C3399" s="1" t="str">
        <f>"1014621957"</f>
        <v>1014621957</v>
      </c>
      <c r="D3399" s="1" t="str">
        <f>"152326194109166139"</f>
        <v>152326194109166139</v>
      </c>
      <c r="E3399" s="1" t="s">
        <v>3467</v>
      </c>
      <c r="F3399" s="1" t="s">
        <v>25</v>
      </c>
      <c r="G3399" s="1" t="s">
        <v>17</v>
      </c>
      <c r="H3399" s="1" t="str">
        <f>"83"</f>
        <v>83</v>
      </c>
      <c r="I3399" s="1" t="str">
        <f>"170"</f>
        <v>170</v>
      </c>
      <c r="J3399" s="1" t="str">
        <f t="shared" ref="J3399:O3399" si="2334">"0"</f>
        <v>0</v>
      </c>
      <c r="K3399" s="1" t="str">
        <f t="shared" si="2313"/>
        <v>103</v>
      </c>
      <c r="L3399" s="1" t="str">
        <f t="shared" si="2314"/>
        <v>47</v>
      </c>
      <c r="M3399" s="1" t="str">
        <f t="shared" si="2334"/>
        <v>0</v>
      </c>
      <c r="N3399" s="1" t="str">
        <f t="shared" si="2334"/>
        <v>0</v>
      </c>
      <c r="O3399" s="1" t="str">
        <f t="shared" si="2334"/>
        <v>0</v>
      </c>
    </row>
    <row r="3400" s="1" customFormat="1" spans="1:15">
      <c r="A3400" s="1" t="str">
        <f t="shared" si="2326"/>
        <v>202406</v>
      </c>
      <c r="B3400" s="1" t="str">
        <f t="shared" si="2327"/>
        <v>150525100</v>
      </c>
      <c r="C3400" s="1" t="str">
        <f>"1014622332"</f>
        <v>1014622332</v>
      </c>
      <c r="D3400" s="1" t="str">
        <f>"152326194912150662"</f>
        <v>152326194912150662</v>
      </c>
      <c r="E3400" s="1" t="s">
        <v>3468</v>
      </c>
      <c r="F3400" s="1" t="s">
        <v>16</v>
      </c>
      <c r="G3400" s="1" t="s">
        <v>17</v>
      </c>
      <c r="H3400" s="1" t="str">
        <f>"75"</f>
        <v>75</v>
      </c>
      <c r="I3400" s="1" t="str">
        <f t="shared" ref="I3400:I3408" si="2335">"160"</f>
        <v>160</v>
      </c>
      <c r="J3400" s="1" t="str">
        <f t="shared" ref="J3400:O3400" si="2336">"0"</f>
        <v>0</v>
      </c>
      <c r="K3400" s="1" t="str">
        <f t="shared" si="2313"/>
        <v>103</v>
      </c>
      <c r="L3400" s="1" t="str">
        <f t="shared" si="2314"/>
        <v>47</v>
      </c>
      <c r="M3400" s="1" t="str">
        <f t="shared" si="2336"/>
        <v>0</v>
      </c>
      <c r="N3400" s="1" t="str">
        <f t="shared" si="2336"/>
        <v>0</v>
      </c>
      <c r="O3400" s="1" t="str">
        <f t="shared" si="2336"/>
        <v>0</v>
      </c>
    </row>
    <row r="3401" s="1" customFormat="1" spans="1:15">
      <c r="A3401" s="1" t="str">
        <f t="shared" si="2326"/>
        <v>202406</v>
      </c>
      <c r="B3401" s="1" t="str">
        <f t="shared" si="2327"/>
        <v>150525100</v>
      </c>
      <c r="C3401" s="1" t="str">
        <f>"1014622725"</f>
        <v>1014622725</v>
      </c>
      <c r="D3401" s="1" t="s">
        <v>3469</v>
      </c>
      <c r="E3401" s="1" t="s">
        <v>3470</v>
      </c>
      <c r="F3401" s="1" t="s">
        <v>16</v>
      </c>
      <c r="G3401" s="1" t="s">
        <v>17</v>
      </c>
      <c r="H3401" s="1" t="str">
        <f>"82"</f>
        <v>82</v>
      </c>
      <c r="I3401" s="1" t="str">
        <f>"170"</f>
        <v>170</v>
      </c>
      <c r="J3401" s="1" t="str">
        <f t="shared" ref="J3401:O3401" si="2337">"0"</f>
        <v>0</v>
      </c>
      <c r="K3401" s="1" t="str">
        <f t="shared" si="2313"/>
        <v>103</v>
      </c>
      <c r="L3401" s="1" t="str">
        <f t="shared" si="2314"/>
        <v>47</v>
      </c>
      <c r="M3401" s="1" t="str">
        <f t="shared" si="2337"/>
        <v>0</v>
      </c>
      <c r="N3401" s="1" t="str">
        <f t="shared" si="2337"/>
        <v>0</v>
      </c>
      <c r="O3401" s="1" t="str">
        <f t="shared" si="2337"/>
        <v>0</v>
      </c>
    </row>
    <row r="3402" s="1" customFormat="1" spans="1:15">
      <c r="A3402" s="1" t="str">
        <f t="shared" si="2326"/>
        <v>202406</v>
      </c>
      <c r="B3402" s="1" t="str">
        <f t="shared" si="2327"/>
        <v>150525100</v>
      </c>
      <c r="C3402" s="1" t="str">
        <f>"1014624099"</f>
        <v>1014624099</v>
      </c>
      <c r="D3402" s="1" t="str">
        <f>"152326195007173076"</f>
        <v>152326195007173076</v>
      </c>
      <c r="E3402" s="1" t="s">
        <v>3471</v>
      </c>
      <c r="F3402" s="1" t="s">
        <v>25</v>
      </c>
      <c r="G3402" s="1" t="s">
        <v>17</v>
      </c>
      <c r="H3402" s="1" t="str">
        <f>"74"</f>
        <v>74</v>
      </c>
      <c r="I3402" s="1" t="str">
        <f t="shared" si="2335"/>
        <v>160</v>
      </c>
      <c r="J3402" s="1" t="str">
        <f t="shared" ref="J3402:O3402" si="2338">"0"</f>
        <v>0</v>
      </c>
      <c r="K3402" s="1" t="str">
        <f t="shared" si="2313"/>
        <v>103</v>
      </c>
      <c r="L3402" s="1" t="str">
        <f t="shared" si="2314"/>
        <v>47</v>
      </c>
      <c r="M3402" s="1" t="str">
        <f t="shared" si="2338"/>
        <v>0</v>
      </c>
      <c r="N3402" s="1" t="str">
        <f t="shared" si="2338"/>
        <v>0</v>
      </c>
      <c r="O3402" s="1" t="str">
        <f t="shared" si="2338"/>
        <v>0</v>
      </c>
    </row>
    <row r="3403" s="1" customFormat="1" spans="1:15">
      <c r="A3403" s="1" t="str">
        <f t="shared" si="2326"/>
        <v>202406</v>
      </c>
      <c r="B3403" s="1" t="str">
        <f t="shared" si="2327"/>
        <v>150525100</v>
      </c>
      <c r="C3403" s="1" t="str">
        <f>"1014624106"</f>
        <v>1014624106</v>
      </c>
      <c r="D3403" s="1" t="str">
        <f>"152326194609253087"</f>
        <v>152326194609253087</v>
      </c>
      <c r="E3403" s="1" t="s">
        <v>3472</v>
      </c>
      <c r="F3403" s="1" t="s">
        <v>16</v>
      </c>
      <c r="G3403" s="1" t="s">
        <v>17</v>
      </c>
      <c r="H3403" s="1" t="str">
        <f>"78"</f>
        <v>78</v>
      </c>
      <c r="I3403" s="1" t="str">
        <f t="shared" si="2335"/>
        <v>160</v>
      </c>
      <c r="J3403" s="1" t="str">
        <f t="shared" ref="J3403:O3403" si="2339">"0"</f>
        <v>0</v>
      </c>
      <c r="K3403" s="1" t="str">
        <f t="shared" si="2313"/>
        <v>103</v>
      </c>
      <c r="L3403" s="1" t="str">
        <f t="shared" si="2314"/>
        <v>47</v>
      </c>
      <c r="M3403" s="1" t="str">
        <f t="shared" si="2339"/>
        <v>0</v>
      </c>
      <c r="N3403" s="1" t="str">
        <f t="shared" si="2339"/>
        <v>0</v>
      </c>
      <c r="O3403" s="1" t="str">
        <f t="shared" si="2339"/>
        <v>0</v>
      </c>
    </row>
    <row r="3404" s="1" customFormat="1" spans="1:15">
      <c r="A3404" s="1" t="str">
        <f t="shared" si="2326"/>
        <v>202406</v>
      </c>
      <c r="B3404" s="1" t="str">
        <f t="shared" si="2327"/>
        <v>150525100</v>
      </c>
      <c r="C3404" s="1" t="str">
        <f>"1014629267"</f>
        <v>1014629267</v>
      </c>
      <c r="D3404" s="1" t="s">
        <v>3473</v>
      </c>
      <c r="E3404" s="1" t="s">
        <v>3474</v>
      </c>
      <c r="F3404" s="1" t="s">
        <v>16</v>
      </c>
      <c r="G3404" s="1" t="s">
        <v>19</v>
      </c>
      <c r="H3404" s="1" t="str">
        <f>"74"</f>
        <v>74</v>
      </c>
      <c r="I3404" s="1" t="str">
        <f t="shared" si="2335"/>
        <v>160</v>
      </c>
      <c r="J3404" s="1" t="str">
        <f t="shared" ref="J3404:O3404" si="2340">"0"</f>
        <v>0</v>
      </c>
      <c r="K3404" s="1" t="str">
        <f t="shared" si="2313"/>
        <v>103</v>
      </c>
      <c r="L3404" s="1" t="str">
        <f t="shared" si="2314"/>
        <v>47</v>
      </c>
      <c r="M3404" s="1" t="str">
        <f t="shared" si="2340"/>
        <v>0</v>
      </c>
      <c r="N3404" s="1" t="str">
        <f t="shared" si="2340"/>
        <v>0</v>
      </c>
      <c r="O3404" s="1" t="str">
        <f t="shared" si="2340"/>
        <v>0</v>
      </c>
    </row>
    <row r="3405" s="1" customFormat="1" spans="1:15">
      <c r="A3405" s="1" t="str">
        <f t="shared" si="2326"/>
        <v>202406</v>
      </c>
      <c r="B3405" s="1" t="str">
        <f t="shared" si="2327"/>
        <v>150525100</v>
      </c>
      <c r="C3405" s="1" t="str">
        <f>"1014619585"</f>
        <v>1014619585</v>
      </c>
      <c r="D3405" s="1" t="str">
        <f>"152326194909080421"</f>
        <v>152326194909080421</v>
      </c>
      <c r="E3405" s="1" t="s">
        <v>3475</v>
      </c>
      <c r="F3405" s="1" t="s">
        <v>16</v>
      </c>
      <c r="G3405" s="1" t="s">
        <v>17</v>
      </c>
      <c r="H3405" s="1" t="str">
        <f t="shared" ref="H3405:H3408" si="2341">"75"</f>
        <v>75</v>
      </c>
      <c r="I3405" s="1" t="str">
        <f t="shared" si="2335"/>
        <v>160</v>
      </c>
      <c r="J3405" s="1" t="str">
        <f t="shared" ref="J3405:O3405" si="2342">"0"</f>
        <v>0</v>
      </c>
      <c r="K3405" s="1" t="str">
        <f t="shared" si="2313"/>
        <v>103</v>
      </c>
      <c r="L3405" s="1" t="str">
        <f t="shared" si="2314"/>
        <v>47</v>
      </c>
      <c r="M3405" s="1" t="str">
        <f t="shared" si="2342"/>
        <v>0</v>
      </c>
      <c r="N3405" s="1" t="str">
        <f t="shared" si="2342"/>
        <v>0</v>
      </c>
      <c r="O3405" s="1" t="str">
        <f t="shared" si="2342"/>
        <v>0</v>
      </c>
    </row>
    <row r="3406" s="1" customFormat="1" spans="1:15">
      <c r="A3406" s="1" t="str">
        <f t="shared" si="2326"/>
        <v>202406</v>
      </c>
      <c r="B3406" s="1" t="str">
        <f t="shared" si="2327"/>
        <v>150525100</v>
      </c>
      <c r="C3406" s="1" t="str">
        <f>"1014619604"</f>
        <v>1014619604</v>
      </c>
      <c r="D3406" s="1" t="str">
        <f>"152326194610153083"</f>
        <v>152326194610153083</v>
      </c>
      <c r="E3406" s="1" t="s">
        <v>3476</v>
      </c>
      <c r="F3406" s="1" t="s">
        <v>16</v>
      </c>
      <c r="G3406" s="1" t="s">
        <v>17</v>
      </c>
      <c r="H3406" s="1" t="str">
        <f>"78"</f>
        <v>78</v>
      </c>
      <c r="I3406" s="1" t="str">
        <f t="shared" si="2335"/>
        <v>160</v>
      </c>
      <c r="J3406" s="1" t="str">
        <f t="shared" ref="J3406:O3406" si="2343">"0"</f>
        <v>0</v>
      </c>
      <c r="K3406" s="1" t="str">
        <f t="shared" si="2313"/>
        <v>103</v>
      </c>
      <c r="L3406" s="1" t="str">
        <f t="shared" si="2314"/>
        <v>47</v>
      </c>
      <c r="M3406" s="1" t="str">
        <f t="shared" si="2343"/>
        <v>0</v>
      </c>
      <c r="N3406" s="1" t="str">
        <f t="shared" si="2343"/>
        <v>0</v>
      </c>
      <c r="O3406" s="1" t="str">
        <f t="shared" si="2343"/>
        <v>0</v>
      </c>
    </row>
    <row r="3407" s="1" customFormat="1" spans="1:15">
      <c r="A3407" s="1" t="str">
        <f t="shared" si="2326"/>
        <v>202406</v>
      </c>
      <c r="B3407" s="1" t="str">
        <f t="shared" si="2327"/>
        <v>150525100</v>
      </c>
      <c r="C3407" s="1" t="str">
        <f>"1014619742"</f>
        <v>1014619742</v>
      </c>
      <c r="D3407" s="1" t="str">
        <f>"152326194901263813"</f>
        <v>152326194901263813</v>
      </c>
      <c r="E3407" s="1" t="s">
        <v>3477</v>
      </c>
      <c r="F3407" s="1" t="s">
        <v>25</v>
      </c>
      <c r="G3407" s="1" t="s">
        <v>17</v>
      </c>
      <c r="H3407" s="1" t="str">
        <f t="shared" si="2341"/>
        <v>75</v>
      </c>
      <c r="I3407" s="1" t="str">
        <f t="shared" si="2335"/>
        <v>160</v>
      </c>
      <c r="J3407" s="1" t="str">
        <f t="shared" ref="J3407:O3407" si="2344">"0"</f>
        <v>0</v>
      </c>
      <c r="K3407" s="1" t="str">
        <f t="shared" si="2313"/>
        <v>103</v>
      </c>
      <c r="L3407" s="1" t="str">
        <f t="shared" si="2314"/>
        <v>47</v>
      </c>
      <c r="M3407" s="1" t="str">
        <f t="shared" si="2344"/>
        <v>0</v>
      </c>
      <c r="N3407" s="1" t="str">
        <f t="shared" si="2344"/>
        <v>0</v>
      </c>
      <c r="O3407" s="1" t="str">
        <f t="shared" si="2344"/>
        <v>0</v>
      </c>
    </row>
    <row r="3408" s="1" customFormat="1" spans="1:15">
      <c r="A3408" s="1" t="str">
        <f t="shared" si="2326"/>
        <v>202406</v>
      </c>
      <c r="B3408" s="1" t="str">
        <f t="shared" si="2327"/>
        <v>150525100</v>
      </c>
      <c r="C3408" s="1" t="str">
        <f>"1014619762"</f>
        <v>1014619762</v>
      </c>
      <c r="D3408" s="1" t="str">
        <f>"152326194903023071"</f>
        <v>152326194903023071</v>
      </c>
      <c r="E3408" s="1" t="s">
        <v>3478</v>
      </c>
      <c r="F3408" s="1" t="s">
        <v>25</v>
      </c>
      <c r="G3408" s="1" t="s">
        <v>17</v>
      </c>
      <c r="H3408" s="1" t="str">
        <f t="shared" si="2341"/>
        <v>75</v>
      </c>
      <c r="I3408" s="1" t="str">
        <f t="shared" si="2335"/>
        <v>160</v>
      </c>
      <c r="J3408" s="1" t="str">
        <f t="shared" ref="J3408:O3408" si="2345">"0"</f>
        <v>0</v>
      </c>
      <c r="K3408" s="1" t="str">
        <f t="shared" si="2313"/>
        <v>103</v>
      </c>
      <c r="L3408" s="1" t="str">
        <f t="shared" si="2314"/>
        <v>47</v>
      </c>
      <c r="M3408" s="1" t="str">
        <f t="shared" si="2345"/>
        <v>0</v>
      </c>
      <c r="N3408" s="1" t="str">
        <f t="shared" si="2345"/>
        <v>0</v>
      </c>
      <c r="O3408" s="1" t="str">
        <f t="shared" si="2345"/>
        <v>0</v>
      </c>
    </row>
    <row r="3409" s="1" customFormat="1" spans="1:15">
      <c r="A3409" s="1" t="str">
        <f t="shared" si="2326"/>
        <v>202406</v>
      </c>
      <c r="B3409" s="1" t="str">
        <f t="shared" si="2327"/>
        <v>150525100</v>
      </c>
      <c r="C3409" s="1" t="str">
        <f>"1014629365"</f>
        <v>1014629365</v>
      </c>
      <c r="D3409" s="1" t="str">
        <f>"152326194310270042"</f>
        <v>152326194310270042</v>
      </c>
      <c r="E3409" s="1" t="s">
        <v>1269</v>
      </c>
      <c r="F3409" s="1" t="s">
        <v>16</v>
      </c>
      <c r="G3409" s="1" t="s">
        <v>17</v>
      </c>
      <c r="H3409" s="1" t="str">
        <f>"81"</f>
        <v>81</v>
      </c>
      <c r="I3409" s="1" t="str">
        <f>"170"</f>
        <v>170</v>
      </c>
      <c r="J3409" s="1" t="str">
        <f t="shared" ref="J3409:O3409" si="2346">"0"</f>
        <v>0</v>
      </c>
      <c r="K3409" s="1" t="str">
        <f t="shared" si="2313"/>
        <v>103</v>
      </c>
      <c r="L3409" s="1" t="str">
        <f t="shared" si="2314"/>
        <v>47</v>
      </c>
      <c r="M3409" s="1" t="str">
        <f t="shared" si="2346"/>
        <v>0</v>
      </c>
      <c r="N3409" s="1" t="str">
        <f t="shared" si="2346"/>
        <v>0</v>
      </c>
      <c r="O3409" s="1" t="str">
        <f t="shared" si="2346"/>
        <v>0</v>
      </c>
    </row>
    <row r="3410" s="1" customFormat="1" spans="1:15">
      <c r="A3410" s="1" t="str">
        <f t="shared" si="2326"/>
        <v>202406</v>
      </c>
      <c r="B3410" s="1" t="str">
        <f t="shared" si="2327"/>
        <v>150525100</v>
      </c>
      <c r="C3410" s="1" t="str">
        <f>"1014623109"</f>
        <v>1014623109</v>
      </c>
      <c r="D3410" s="1" t="str">
        <f>"152326195112110421"</f>
        <v>152326195112110421</v>
      </c>
      <c r="E3410" s="1" t="s">
        <v>3479</v>
      </c>
      <c r="F3410" s="1" t="s">
        <v>16</v>
      </c>
      <c r="G3410" s="1" t="s">
        <v>17</v>
      </c>
      <c r="H3410" s="1" t="str">
        <f>"73"</f>
        <v>73</v>
      </c>
      <c r="I3410" s="1" t="str">
        <f t="shared" ref="I3410:I3416" si="2347">"160"</f>
        <v>160</v>
      </c>
      <c r="J3410" s="1" t="str">
        <f t="shared" ref="J3410:O3410" si="2348">"0"</f>
        <v>0</v>
      </c>
      <c r="K3410" s="1" t="str">
        <f t="shared" si="2313"/>
        <v>103</v>
      </c>
      <c r="L3410" s="1" t="str">
        <f t="shared" si="2314"/>
        <v>47</v>
      </c>
      <c r="M3410" s="1" t="str">
        <f t="shared" si="2348"/>
        <v>0</v>
      </c>
      <c r="N3410" s="1" t="str">
        <f t="shared" si="2348"/>
        <v>0</v>
      </c>
      <c r="O3410" s="1" t="str">
        <f t="shared" si="2348"/>
        <v>0</v>
      </c>
    </row>
    <row r="3411" s="1" customFormat="1" spans="1:15">
      <c r="A3411" s="1" t="str">
        <f t="shared" si="2326"/>
        <v>202406</v>
      </c>
      <c r="B3411" s="1" t="str">
        <f t="shared" si="2327"/>
        <v>150525100</v>
      </c>
      <c r="C3411" s="1" t="str">
        <f>"1014623625"</f>
        <v>1014623625</v>
      </c>
      <c r="D3411" s="1" t="str">
        <f>"152326194609290419"</f>
        <v>152326194609290419</v>
      </c>
      <c r="E3411" s="1" t="s">
        <v>1136</v>
      </c>
      <c r="F3411" s="1" t="s">
        <v>25</v>
      </c>
      <c r="G3411" s="1" t="s">
        <v>17</v>
      </c>
      <c r="H3411" s="1" t="str">
        <f t="shared" ref="H3411:H3416" si="2349">"78"</f>
        <v>78</v>
      </c>
      <c r="I3411" s="1" t="str">
        <f t="shared" si="2347"/>
        <v>160</v>
      </c>
      <c r="J3411" s="1" t="str">
        <f t="shared" ref="J3411:O3411" si="2350">"0"</f>
        <v>0</v>
      </c>
      <c r="K3411" s="1" t="str">
        <f t="shared" si="2313"/>
        <v>103</v>
      </c>
      <c r="L3411" s="1" t="str">
        <f t="shared" si="2314"/>
        <v>47</v>
      </c>
      <c r="M3411" s="1" t="str">
        <f t="shared" si="2350"/>
        <v>0</v>
      </c>
      <c r="N3411" s="1" t="str">
        <f t="shared" si="2350"/>
        <v>0</v>
      </c>
      <c r="O3411" s="1" t="str">
        <f t="shared" si="2350"/>
        <v>0</v>
      </c>
    </row>
    <row r="3412" s="1" customFormat="1" spans="1:15">
      <c r="A3412" s="1" t="str">
        <f t="shared" si="2326"/>
        <v>202406</v>
      </c>
      <c r="B3412" s="1" t="str">
        <f t="shared" si="2327"/>
        <v>150525100</v>
      </c>
      <c r="C3412" s="1" t="str">
        <f>"1014623628"</f>
        <v>1014623628</v>
      </c>
      <c r="D3412" s="1" t="str">
        <f>"152326194906130411"</f>
        <v>152326194906130411</v>
      </c>
      <c r="E3412" s="1" t="s">
        <v>3480</v>
      </c>
      <c r="F3412" s="1" t="s">
        <v>25</v>
      </c>
      <c r="G3412" s="1" t="s">
        <v>17</v>
      </c>
      <c r="H3412" s="1" t="str">
        <f>"75"</f>
        <v>75</v>
      </c>
      <c r="I3412" s="1" t="str">
        <f t="shared" si="2347"/>
        <v>160</v>
      </c>
      <c r="J3412" s="1" t="str">
        <f t="shared" ref="J3412:O3412" si="2351">"0"</f>
        <v>0</v>
      </c>
      <c r="K3412" s="1" t="str">
        <f t="shared" si="2313"/>
        <v>103</v>
      </c>
      <c r="L3412" s="1" t="str">
        <f t="shared" si="2314"/>
        <v>47</v>
      </c>
      <c r="M3412" s="1" t="str">
        <f t="shared" si="2351"/>
        <v>0</v>
      </c>
      <c r="N3412" s="1" t="str">
        <f t="shared" si="2351"/>
        <v>0</v>
      </c>
      <c r="O3412" s="1" t="str">
        <f t="shared" si="2351"/>
        <v>0</v>
      </c>
    </row>
    <row r="3413" s="1" customFormat="1" spans="1:15">
      <c r="A3413" s="1" t="str">
        <f t="shared" si="2326"/>
        <v>202406</v>
      </c>
      <c r="B3413" s="1" t="str">
        <f t="shared" si="2327"/>
        <v>150525100</v>
      </c>
      <c r="C3413" s="1" t="str">
        <f>"1014629744"</f>
        <v>1014629744</v>
      </c>
      <c r="D3413" s="1" t="str">
        <f>"152326194509233812"</f>
        <v>152326194509233812</v>
      </c>
      <c r="E3413" s="1" t="s">
        <v>3481</v>
      </c>
      <c r="F3413" s="1" t="s">
        <v>25</v>
      </c>
      <c r="G3413" s="1" t="s">
        <v>17</v>
      </c>
      <c r="H3413" s="1" t="str">
        <f>"79"</f>
        <v>79</v>
      </c>
      <c r="I3413" s="1" t="str">
        <f t="shared" si="2347"/>
        <v>160</v>
      </c>
      <c r="J3413" s="1" t="str">
        <f t="shared" ref="J3413:O3413" si="2352">"0"</f>
        <v>0</v>
      </c>
      <c r="K3413" s="1" t="str">
        <f t="shared" si="2313"/>
        <v>103</v>
      </c>
      <c r="L3413" s="1" t="str">
        <f t="shared" si="2314"/>
        <v>47</v>
      </c>
      <c r="M3413" s="1" t="str">
        <f t="shared" si="2352"/>
        <v>0</v>
      </c>
      <c r="N3413" s="1" t="str">
        <f t="shared" si="2352"/>
        <v>0</v>
      </c>
      <c r="O3413" s="1" t="str">
        <f t="shared" si="2352"/>
        <v>0</v>
      </c>
    </row>
    <row r="3414" s="1" customFormat="1" spans="1:15">
      <c r="A3414" s="1" t="str">
        <f t="shared" si="2326"/>
        <v>202406</v>
      </c>
      <c r="B3414" s="1" t="str">
        <f t="shared" si="2327"/>
        <v>150525100</v>
      </c>
      <c r="C3414" s="1" t="str">
        <f>"1014629756"</f>
        <v>1014629756</v>
      </c>
      <c r="D3414" s="1" t="str">
        <f>"152326194610113815"</f>
        <v>152326194610113815</v>
      </c>
      <c r="E3414" s="1" t="s">
        <v>3482</v>
      </c>
      <c r="F3414" s="1" t="s">
        <v>25</v>
      </c>
      <c r="G3414" s="1" t="s">
        <v>17</v>
      </c>
      <c r="H3414" s="1" t="str">
        <f t="shared" si="2349"/>
        <v>78</v>
      </c>
      <c r="I3414" s="1" t="str">
        <f t="shared" si="2347"/>
        <v>160</v>
      </c>
      <c r="J3414" s="1" t="str">
        <f t="shared" ref="J3414:O3414" si="2353">"0"</f>
        <v>0</v>
      </c>
      <c r="K3414" s="1" t="str">
        <f t="shared" si="2313"/>
        <v>103</v>
      </c>
      <c r="L3414" s="1" t="str">
        <f t="shared" si="2314"/>
        <v>47</v>
      </c>
      <c r="M3414" s="1" t="str">
        <f t="shared" si="2353"/>
        <v>0</v>
      </c>
      <c r="N3414" s="1" t="str">
        <f t="shared" si="2353"/>
        <v>0</v>
      </c>
      <c r="O3414" s="1" t="str">
        <f t="shared" si="2353"/>
        <v>0</v>
      </c>
    </row>
    <row r="3415" s="1" customFormat="1" spans="1:15">
      <c r="A3415" s="1" t="str">
        <f t="shared" si="2326"/>
        <v>202406</v>
      </c>
      <c r="B3415" s="1" t="str">
        <f t="shared" si="2327"/>
        <v>150525100</v>
      </c>
      <c r="C3415" s="1" t="str">
        <f>"1014629770"</f>
        <v>1014629770</v>
      </c>
      <c r="D3415" s="1" t="str">
        <f>"152326195105233829"</f>
        <v>152326195105233829</v>
      </c>
      <c r="E3415" s="1" t="s">
        <v>3483</v>
      </c>
      <c r="F3415" s="1" t="s">
        <v>16</v>
      </c>
      <c r="G3415" s="1" t="s">
        <v>17</v>
      </c>
      <c r="H3415" s="1" t="str">
        <f>"73"</f>
        <v>73</v>
      </c>
      <c r="I3415" s="1" t="str">
        <f t="shared" si="2347"/>
        <v>160</v>
      </c>
      <c r="J3415" s="1" t="str">
        <f t="shared" ref="J3415:O3415" si="2354">"0"</f>
        <v>0</v>
      </c>
      <c r="K3415" s="1" t="str">
        <f t="shared" si="2313"/>
        <v>103</v>
      </c>
      <c r="L3415" s="1" t="str">
        <f t="shared" si="2314"/>
        <v>47</v>
      </c>
      <c r="M3415" s="1" t="str">
        <f t="shared" si="2354"/>
        <v>0</v>
      </c>
      <c r="N3415" s="1" t="str">
        <f t="shared" si="2354"/>
        <v>0</v>
      </c>
      <c r="O3415" s="1" t="str">
        <f t="shared" si="2354"/>
        <v>0</v>
      </c>
    </row>
    <row r="3416" s="1" customFormat="1" spans="1:15">
      <c r="A3416" s="1" t="str">
        <f t="shared" si="2326"/>
        <v>202406</v>
      </c>
      <c r="B3416" s="1" t="str">
        <f t="shared" si="2327"/>
        <v>150525100</v>
      </c>
      <c r="C3416" s="1" t="str">
        <f>"1014629781"</f>
        <v>1014629781</v>
      </c>
      <c r="D3416" s="1" t="str">
        <f>"152326194612113085"</f>
        <v>152326194612113085</v>
      </c>
      <c r="E3416" s="1" t="s">
        <v>3484</v>
      </c>
      <c r="F3416" s="1" t="s">
        <v>16</v>
      </c>
      <c r="G3416" s="1" t="s">
        <v>17</v>
      </c>
      <c r="H3416" s="1" t="str">
        <f t="shared" si="2349"/>
        <v>78</v>
      </c>
      <c r="I3416" s="1" t="str">
        <f t="shared" si="2347"/>
        <v>160</v>
      </c>
      <c r="J3416" s="1" t="str">
        <f t="shared" ref="J3416:O3416" si="2355">"0"</f>
        <v>0</v>
      </c>
      <c r="K3416" s="1" t="str">
        <f t="shared" si="2313"/>
        <v>103</v>
      </c>
      <c r="L3416" s="1" t="str">
        <f t="shared" si="2314"/>
        <v>47</v>
      </c>
      <c r="M3416" s="1" t="str">
        <f t="shared" si="2355"/>
        <v>0</v>
      </c>
      <c r="N3416" s="1" t="str">
        <f t="shared" si="2355"/>
        <v>0</v>
      </c>
      <c r="O3416" s="1" t="str">
        <f t="shared" si="2355"/>
        <v>0</v>
      </c>
    </row>
    <row r="3417" s="1" customFormat="1" spans="1:15">
      <c r="A3417" s="1" t="str">
        <f t="shared" si="2326"/>
        <v>202406</v>
      </c>
      <c r="B3417" s="1" t="str">
        <f t="shared" si="2327"/>
        <v>150525100</v>
      </c>
      <c r="C3417" s="1" t="str">
        <f>"1014629812"</f>
        <v>1014629812</v>
      </c>
      <c r="D3417" s="1" t="str">
        <f>"152326194311010023"</f>
        <v>152326194311010023</v>
      </c>
      <c r="E3417" s="1" t="s">
        <v>3485</v>
      </c>
      <c r="F3417" s="1" t="s">
        <v>16</v>
      </c>
      <c r="G3417" s="1" t="s">
        <v>17</v>
      </c>
      <c r="H3417" s="1" t="str">
        <f>"81"</f>
        <v>81</v>
      </c>
      <c r="I3417" s="1" t="str">
        <f>"170"</f>
        <v>170</v>
      </c>
      <c r="J3417" s="1" t="str">
        <f t="shared" ref="J3417:O3417" si="2356">"0"</f>
        <v>0</v>
      </c>
      <c r="K3417" s="1" t="str">
        <f t="shared" si="2313"/>
        <v>103</v>
      </c>
      <c r="L3417" s="1" t="str">
        <f t="shared" si="2314"/>
        <v>47</v>
      </c>
      <c r="M3417" s="1" t="str">
        <f t="shared" si="2356"/>
        <v>0</v>
      </c>
      <c r="N3417" s="1" t="str">
        <f t="shared" si="2356"/>
        <v>0</v>
      </c>
      <c r="O3417" s="1" t="str">
        <f t="shared" si="2356"/>
        <v>0</v>
      </c>
    </row>
    <row r="3418" s="1" customFormat="1" spans="1:15">
      <c r="A3418" s="1" t="str">
        <f t="shared" si="2326"/>
        <v>202406</v>
      </c>
      <c r="B3418" s="1" t="str">
        <f t="shared" si="2327"/>
        <v>150525100</v>
      </c>
      <c r="C3418" s="1" t="str">
        <f>"1014629862"</f>
        <v>1014629862</v>
      </c>
      <c r="D3418" s="1" t="str">
        <f>"152326194503263084"</f>
        <v>152326194503263084</v>
      </c>
      <c r="E3418" s="1" t="s">
        <v>3486</v>
      </c>
      <c r="F3418" s="1" t="s">
        <v>16</v>
      </c>
      <c r="G3418" s="1" t="s">
        <v>17</v>
      </c>
      <c r="H3418" s="1" t="str">
        <f>"79"</f>
        <v>79</v>
      </c>
      <c r="I3418" s="1" t="str">
        <f t="shared" ref="I3418:I3425" si="2357">"160"</f>
        <v>160</v>
      </c>
      <c r="J3418" s="1" t="str">
        <f t="shared" ref="J3418:O3418" si="2358">"0"</f>
        <v>0</v>
      </c>
      <c r="K3418" s="1" t="str">
        <f t="shared" si="2313"/>
        <v>103</v>
      </c>
      <c r="L3418" s="1" t="str">
        <f t="shared" si="2314"/>
        <v>47</v>
      </c>
      <c r="M3418" s="1" t="str">
        <f t="shared" si="2358"/>
        <v>0</v>
      </c>
      <c r="N3418" s="1" t="str">
        <f t="shared" si="2358"/>
        <v>0</v>
      </c>
      <c r="O3418" s="1" t="str">
        <f t="shared" si="2358"/>
        <v>0</v>
      </c>
    </row>
    <row r="3419" s="1" customFormat="1" spans="1:15">
      <c r="A3419" s="1" t="str">
        <f t="shared" si="2326"/>
        <v>202406</v>
      </c>
      <c r="B3419" s="1" t="str">
        <f t="shared" si="2327"/>
        <v>150525100</v>
      </c>
      <c r="C3419" s="1" t="str">
        <f>"1014589183"</f>
        <v>1014589183</v>
      </c>
      <c r="D3419" s="1" t="str">
        <f>"152326195601130415"</f>
        <v>152326195601130415</v>
      </c>
      <c r="E3419" s="1" t="s">
        <v>3487</v>
      </c>
      <c r="F3419" s="1" t="s">
        <v>25</v>
      </c>
      <c r="G3419" s="1" t="s">
        <v>17</v>
      </c>
      <c r="H3419" s="1" t="str">
        <f>"68"</f>
        <v>68</v>
      </c>
      <c r="I3419" s="1" t="str">
        <f>"156.02"</f>
        <v>156.02</v>
      </c>
      <c r="J3419" s="1" t="str">
        <f t="shared" ref="J3419:N3419" si="2359">"0"</f>
        <v>0</v>
      </c>
      <c r="K3419" s="1" t="str">
        <f t="shared" si="2313"/>
        <v>103</v>
      </c>
      <c r="L3419" s="1" t="str">
        <f t="shared" si="2314"/>
        <v>47</v>
      </c>
      <c r="M3419" s="1" t="str">
        <f t="shared" si="2359"/>
        <v>0</v>
      </c>
      <c r="N3419" s="1" t="str">
        <f t="shared" si="2359"/>
        <v>0</v>
      </c>
      <c r="O3419" s="1" t="str">
        <f>"6.02"</f>
        <v>6.02</v>
      </c>
    </row>
    <row r="3420" s="1" customFormat="1" spans="1:15">
      <c r="A3420" s="1" t="str">
        <f t="shared" si="2326"/>
        <v>202406</v>
      </c>
      <c r="B3420" s="1" t="str">
        <f t="shared" si="2327"/>
        <v>150525100</v>
      </c>
      <c r="C3420" s="1" t="str">
        <f>"1014625320"</f>
        <v>1014625320</v>
      </c>
      <c r="D3420" s="1" t="str">
        <f>"152326195108183329"</f>
        <v>152326195108183329</v>
      </c>
      <c r="E3420" s="1" t="s">
        <v>3488</v>
      </c>
      <c r="F3420" s="1" t="s">
        <v>16</v>
      </c>
      <c r="G3420" s="1" t="s">
        <v>19</v>
      </c>
      <c r="H3420" s="1" t="str">
        <f>"73"</f>
        <v>73</v>
      </c>
      <c r="I3420" s="1" t="str">
        <f t="shared" si="2357"/>
        <v>160</v>
      </c>
      <c r="J3420" s="1" t="str">
        <f t="shared" ref="J3420:O3420" si="2360">"0"</f>
        <v>0</v>
      </c>
      <c r="K3420" s="1" t="str">
        <f t="shared" si="2313"/>
        <v>103</v>
      </c>
      <c r="L3420" s="1" t="str">
        <f t="shared" si="2314"/>
        <v>47</v>
      </c>
      <c r="M3420" s="1" t="str">
        <f t="shared" si="2360"/>
        <v>0</v>
      </c>
      <c r="N3420" s="1" t="str">
        <f t="shared" si="2360"/>
        <v>0</v>
      </c>
      <c r="O3420" s="1" t="str">
        <f t="shared" si="2360"/>
        <v>0</v>
      </c>
    </row>
    <row r="3421" s="1" customFormat="1" spans="1:15">
      <c r="A3421" s="1" t="str">
        <f t="shared" si="2326"/>
        <v>202406</v>
      </c>
      <c r="B3421" s="1" t="str">
        <f t="shared" si="2327"/>
        <v>150525100</v>
      </c>
      <c r="C3421" s="1" t="str">
        <f>"1014625321"</f>
        <v>1014625321</v>
      </c>
      <c r="D3421" s="1" t="str">
        <f>"152326193805143323"</f>
        <v>152326193805143323</v>
      </c>
      <c r="E3421" s="1" t="s">
        <v>3489</v>
      </c>
      <c r="F3421" s="1" t="s">
        <v>16</v>
      </c>
      <c r="G3421" s="1" t="s">
        <v>19</v>
      </c>
      <c r="H3421" s="1" t="str">
        <f>"86"</f>
        <v>86</v>
      </c>
      <c r="I3421" s="1" t="str">
        <f>"680"</f>
        <v>680</v>
      </c>
      <c r="J3421" s="1" t="str">
        <f>"510"</f>
        <v>510</v>
      </c>
      <c r="K3421" s="1" t="str">
        <f>"412"</f>
        <v>412</v>
      </c>
      <c r="L3421" s="1" t="str">
        <f>"188"</f>
        <v>188</v>
      </c>
      <c r="M3421" s="1" t="str">
        <f t="shared" ref="M3421:O3421" si="2361">"0"</f>
        <v>0</v>
      </c>
      <c r="N3421" s="1" t="str">
        <f t="shared" si="2361"/>
        <v>0</v>
      </c>
      <c r="O3421" s="1" t="str">
        <f t="shared" si="2361"/>
        <v>0</v>
      </c>
    </row>
    <row r="3422" s="1" customFormat="1" spans="1:15">
      <c r="A3422" s="1" t="str">
        <f t="shared" si="2326"/>
        <v>202406</v>
      </c>
      <c r="B3422" s="1" t="str">
        <f t="shared" si="2327"/>
        <v>150525100</v>
      </c>
      <c r="C3422" s="1" t="str">
        <f>"1014624843"</f>
        <v>1014624843</v>
      </c>
      <c r="D3422" s="1" t="str">
        <f>"152326193609150665"</f>
        <v>152326193609150665</v>
      </c>
      <c r="E3422" s="1" t="s">
        <v>3490</v>
      </c>
      <c r="F3422" s="1" t="s">
        <v>16</v>
      </c>
      <c r="G3422" s="1" t="s">
        <v>17</v>
      </c>
      <c r="H3422" s="1" t="str">
        <f>"88"</f>
        <v>88</v>
      </c>
      <c r="I3422" s="1" t="str">
        <f>"170"</f>
        <v>170</v>
      </c>
      <c r="J3422" s="1" t="str">
        <f t="shared" ref="J3422:O3422" si="2362">"0"</f>
        <v>0</v>
      </c>
      <c r="K3422" s="1" t="str">
        <f t="shared" ref="K3422:K3425" si="2363">"103"</f>
        <v>103</v>
      </c>
      <c r="L3422" s="1" t="str">
        <f t="shared" ref="L3422:L3425" si="2364">"47"</f>
        <v>47</v>
      </c>
      <c r="M3422" s="1" t="str">
        <f t="shared" si="2362"/>
        <v>0</v>
      </c>
      <c r="N3422" s="1" t="str">
        <f t="shared" si="2362"/>
        <v>0</v>
      </c>
      <c r="O3422" s="1" t="str">
        <f t="shared" si="2362"/>
        <v>0</v>
      </c>
    </row>
    <row r="3423" s="1" customFormat="1" spans="1:15">
      <c r="A3423" s="1" t="str">
        <f t="shared" si="2326"/>
        <v>202406</v>
      </c>
      <c r="B3423" s="1" t="str">
        <f t="shared" si="2327"/>
        <v>150525100</v>
      </c>
      <c r="C3423" s="1" t="str">
        <f>"1014624850"</f>
        <v>1014624850</v>
      </c>
      <c r="D3423" s="1" t="str">
        <f>"152326194612213326"</f>
        <v>152326194612213326</v>
      </c>
      <c r="E3423" s="1" t="s">
        <v>3491</v>
      </c>
      <c r="F3423" s="1" t="s">
        <v>16</v>
      </c>
      <c r="G3423" s="1" t="s">
        <v>19</v>
      </c>
      <c r="H3423" s="1" t="str">
        <f>"78"</f>
        <v>78</v>
      </c>
      <c r="I3423" s="1" t="str">
        <f t="shared" si="2357"/>
        <v>160</v>
      </c>
      <c r="J3423" s="1" t="str">
        <f t="shared" ref="J3423:O3423" si="2365">"0"</f>
        <v>0</v>
      </c>
      <c r="K3423" s="1" t="str">
        <f t="shared" si="2363"/>
        <v>103</v>
      </c>
      <c r="L3423" s="1" t="str">
        <f t="shared" si="2364"/>
        <v>47</v>
      </c>
      <c r="M3423" s="1" t="str">
        <f t="shared" si="2365"/>
        <v>0</v>
      </c>
      <c r="N3423" s="1" t="str">
        <f t="shared" si="2365"/>
        <v>0</v>
      </c>
      <c r="O3423" s="1" t="str">
        <f t="shared" si="2365"/>
        <v>0</v>
      </c>
    </row>
    <row r="3424" s="1" customFormat="1" spans="1:15">
      <c r="A3424" s="1" t="str">
        <f t="shared" si="2326"/>
        <v>202406</v>
      </c>
      <c r="B3424" s="1" t="str">
        <f t="shared" si="2327"/>
        <v>150525100</v>
      </c>
      <c r="C3424" s="1" t="str">
        <f>"1014624851"</f>
        <v>1014624851</v>
      </c>
      <c r="D3424" s="1" t="str">
        <f>"152326194701163324"</f>
        <v>152326194701163324</v>
      </c>
      <c r="E3424" s="1" t="s">
        <v>3492</v>
      </c>
      <c r="F3424" s="1" t="s">
        <v>16</v>
      </c>
      <c r="G3424" s="1" t="s">
        <v>19</v>
      </c>
      <c r="H3424" s="1" t="str">
        <f>"77"</f>
        <v>77</v>
      </c>
      <c r="I3424" s="1" t="str">
        <f t="shared" si="2357"/>
        <v>160</v>
      </c>
      <c r="J3424" s="1" t="str">
        <f t="shared" ref="J3424:O3424" si="2366">"0"</f>
        <v>0</v>
      </c>
      <c r="K3424" s="1" t="str">
        <f t="shared" si="2363"/>
        <v>103</v>
      </c>
      <c r="L3424" s="1" t="str">
        <f t="shared" si="2364"/>
        <v>47</v>
      </c>
      <c r="M3424" s="1" t="str">
        <f t="shared" si="2366"/>
        <v>0</v>
      </c>
      <c r="N3424" s="1" t="str">
        <f t="shared" si="2366"/>
        <v>0</v>
      </c>
      <c r="O3424" s="1" t="str">
        <f t="shared" si="2366"/>
        <v>0</v>
      </c>
    </row>
    <row r="3425" s="1" customFormat="1" spans="1:15">
      <c r="A3425" s="1" t="str">
        <f t="shared" si="2326"/>
        <v>202406</v>
      </c>
      <c r="B3425" s="1" t="str">
        <f t="shared" si="2327"/>
        <v>150525100</v>
      </c>
      <c r="C3425" s="1" t="str">
        <f>"1014624663"</f>
        <v>1014624663</v>
      </c>
      <c r="D3425" s="1" t="str">
        <f>"152326195104240672"</f>
        <v>152326195104240672</v>
      </c>
      <c r="E3425" s="1" t="s">
        <v>3493</v>
      </c>
      <c r="F3425" s="1" t="s">
        <v>25</v>
      </c>
      <c r="G3425" s="1" t="s">
        <v>96</v>
      </c>
      <c r="H3425" s="1" t="str">
        <f>"73"</f>
        <v>73</v>
      </c>
      <c r="I3425" s="1" t="str">
        <f t="shared" si="2357"/>
        <v>160</v>
      </c>
      <c r="J3425" s="1" t="str">
        <f t="shared" ref="J3425:O3425" si="2367">"0"</f>
        <v>0</v>
      </c>
      <c r="K3425" s="1" t="str">
        <f t="shared" si="2363"/>
        <v>103</v>
      </c>
      <c r="L3425" s="1" t="str">
        <f t="shared" si="2364"/>
        <v>47</v>
      </c>
      <c r="M3425" s="1" t="str">
        <f t="shared" si="2367"/>
        <v>0</v>
      </c>
      <c r="N3425" s="1" t="str">
        <f t="shared" si="2367"/>
        <v>0</v>
      </c>
      <c r="O3425" s="1" t="str">
        <f t="shared" si="2367"/>
        <v>0</v>
      </c>
    </row>
    <row r="3426" s="1" customFormat="1" spans="1:15">
      <c r="A3426" s="1" t="str">
        <f t="shared" si="2326"/>
        <v>202406</v>
      </c>
      <c r="B3426" s="1" t="str">
        <f t="shared" si="2327"/>
        <v>150525100</v>
      </c>
      <c r="C3426" s="1" t="str">
        <f>"1014624915"</f>
        <v>1014624915</v>
      </c>
      <c r="D3426" s="1" t="str">
        <f>"152326194908110414"</f>
        <v>152326194908110414</v>
      </c>
      <c r="E3426" s="1" t="s">
        <v>3494</v>
      </c>
      <c r="F3426" s="1" t="s">
        <v>25</v>
      </c>
      <c r="G3426" s="1" t="s">
        <v>17</v>
      </c>
      <c r="H3426" s="1" t="str">
        <f>"75"</f>
        <v>75</v>
      </c>
      <c r="I3426" s="1" t="str">
        <f>"1600"</f>
        <v>1600</v>
      </c>
      <c r="J3426" s="1" t="str">
        <f>"1440"</f>
        <v>1440</v>
      </c>
      <c r="K3426" s="1" t="str">
        <f>"1030"</f>
        <v>1030</v>
      </c>
      <c r="L3426" s="1" t="str">
        <f>"470"</f>
        <v>470</v>
      </c>
      <c r="M3426" s="1" t="str">
        <f t="shared" ref="M3426:O3426" si="2368">"0"</f>
        <v>0</v>
      </c>
      <c r="N3426" s="1" t="str">
        <f t="shared" si="2368"/>
        <v>0</v>
      </c>
      <c r="O3426" s="1" t="str">
        <f t="shared" si="2368"/>
        <v>0</v>
      </c>
    </row>
    <row r="3427" s="1" customFormat="1" spans="1:15">
      <c r="A3427" s="1" t="str">
        <f t="shared" si="2326"/>
        <v>202406</v>
      </c>
      <c r="B3427" s="1" t="str">
        <f t="shared" si="2327"/>
        <v>150525100</v>
      </c>
      <c r="C3427" s="1" t="str">
        <f>"1014625355"</f>
        <v>1014625355</v>
      </c>
      <c r="D3427" s="1" t="str">
        <f>"152326194805273819"</f>
        <v>152326194805273819</v>
      </c>
      <c r="E3427" s="1" t="s">
        <v>2575</v>
      </c>
      <c r="F3427" s="1" t="s">
        <v>25</v>
      </c>
      <c r="G3427" s="1" t="s">
        <v>17</v>
      </c>
      <c r="H3427" s="1" t="str">
        <f>"76"</f>
        <v>76</v>
      </c>
      <c r="I3427" s="1" t="str">
        <f>"160"</f>
        <v>160</v>
      </c>
      <c r="J3427" s="1" t="str">
        <f t="shared" ref="J3427:O3427" si="2369">"0"</f>
        <v>0</v>
      </c>
      <c r="K3427" s="1" t="str">
        <f t="shared" ref="K3427:K3475" si="2370">"103"</f>
        <v>103</v>
      </c>
      <c r="L3427" s="1" t="str">
        <f t="shared" ref="L3427:L3475" si="2371">"47"</f>
        <v>47</v>
      </c>
      <c r="M3427" s="1" t="str">
        <f t="shared" si="2369"/>
        <v>0</v>
      </c>
      <c r="N3427" s="1" t="str">
        <f t="shared" si="2369"/>
        <v>0</v>
      </c>
      <c r="O3427" s="1" t="str">
        <f t="shared" si="2369"/>
        <v>0</v>
      </c>
    </row>
    <row r="3428" s="1" customFormat="1" spans="1:15">
      <c r="A3428" s="1" t="str">
        <f t="shared" si="2326"/>
        <v>202406</v>
      </c>
      <c r="B3428" s="1" t="str">
        <f t="shared" si="2327"/>
        <v>150525100</v>
      </c>
      <c r="C3428" s="1" t="str">
        <f>"1014619079"</f>
        <v>1014619079</v>
      </c>
      <c r="D3428" s="1" t="str">
        <f>"152326194107073828"</f>
        <v>152326194107073828</v>
      </c>
      <c r="E3428" s="1" t="s">
        <v>3495</v>
      </c>
      <c r="F3428" s="1" t="s">
        <v>16</v>
      </c>
      <c r="G3428" s="1" t="s">
        <v>19</v>
      </c>
      <c r="H3428" s="1" t="str">
        <f>"83"</f>
        <v>83</v>
      </c>
      <c r="I3428" s="1" t="str">
        <f>"170"</f>
        <v>170</v>
      </c>
      <c r="J3428" s="1" t="str">
        <f t="shared" ref="J3428:O3428" si="2372">"0"</f>
        <v>0</v>
      </c>
      <c r="K3428" s="1" t="str">
        <f t="shared" si="2370"/>
        <v>103</v>
      </c>
      <c r="L3428" s="1" t="str">
        <f t="shared" si="2371"/>
        <v>47</v>
      </c>
      <c r="M3428" s="1" t="str">
        <f t="shared" si="2372"/>
        <v>0</v>
      </c>
      <c r="N3428" s="1" t="str">
        <f t="shared" si="2372"/>
        <v>0</v>
      </c>
      <c r="O3428" s="1" t="str">
        <f t="shared" si="2372"/>
        <v>0</v>
      </c>
    </row>
    <row r="3429" s="1" customFormat="1" spans="1:15">
      <c r="A3429" s="1" t="str">
        <f t="shared" si="2326"/>
        <v>202406</v>
      </c>
      <c r="B3429" s="1" t="str">
        <f t="shared" si="2327"/>
        <v>150525100</v>
      </c>
      <c r="C3429" s="1" t="str">
        <f>"1014641112"</f>
        <v>1014641112</v>
      </c>
      <c r="D3429" s="1" t="str">
        <f>"152326196304160460"</f>
        <v>152326196304160460</v>
      </c>
      <c r="E3429" s="1" t="s">
        <v>3496</v>
      </c>
      <c r="F3429" s="1" t="s">
        <v>16</v>
      </c>
      <c r="G3429" s="1" t="s">
        <v>19</v>
      </c>
      <c r="H3429" s="1" t="str">
        <f>"61"</f>
        <v>61</v>
      </c>
      <c r="I3429" s="1" t="str">
        <f>"164.99"</f>
        <v>164.99</v>
      </c>
      <c r="J3429" s="1" t="str">
        <f t="shared" ref="J3429:N3429" si="2373">"0"</f>
        <v>0</v>
      </c>
      <c r="K3429" s="1" t="str">
        <f t="shared" si="2370"/>
        <v>103</v>
      </c>
      <c r="L3429" s="1" t="str">
        <f t="shared" si="2371"/>
        <v>47</v>
      </c>
      <c r="M3429" s="1" t="str">
        <f t="shared" si="2373"/>
        <v>0</v>
      </c>
      <c r="N3429" s="1" t="str">
        <f t="shared" si="2373"/>
        <v>0</v>
      </c>
      <c r="O3429" s="1" t="str">
        <f>"14.99"</f>
        <v>14.99</v>
      </c>
    </row>
    <row r="3430" s="1" customFormat="1" spans="1:15">
      <c r="A3430" s="1" t="str">
        <f t="shared" si="2326"/>
        <v>202406</v>
      </c>
      <c r="B3430" s="1" t="str">
        <f t="shared" si="2327"/>
        <v>150525100</v>
      </c>
      <c r="C3430" s="1" t="str">
        <f>"1014641122"</f>
        <v>1014641122</v>
      </c>
      <c r="D3430" s="1" t="str">
        <f>"152326195405160422"</f>
        <v>152326195405160422</v>
      </c>
      <c r="E3430" s="1" t="s">
        <v>3497</v>
      </c>
      <c r="F3430" s="1" t="s">
        <v>16</v>
      </c>
      <c r="G3430" s="1" t="s">
        <v>17</v>
      </c>
      <c r="H3430" s="1" t="str">
        <f>"70"</f>
        <v>70</v>
      </c>
      <c r="I3430" s="1" t="str">
        <f>"164.15"</f>
        <v>164.15</v>
      </c>
      <c r="J3430" s="1" t="str">
        <f t="shared" ref="J3430:N3430" si="2374">"0"</f>
        <v>0</v>
      </c>
      <c r="K3430" s="1" t="str">
        <f t="shared" si="2370"/>
        <v>103</v>
      </c>
      <c r="L3430" s="1" t="str">
        <f t="shared" si="2371"/>
        <v>47</v>
      </c>
      <c r="M3430" s="1" t="str">
        <f t="shared" si="2374"/>
        <v>0</v>
      </c>
      <c r="N3430" s="1" t="str">
        <f t="shared" si="2374"/>
        <v>0</v>
      </c>
      <c r="O3430" s="1" t="str">
        <f>"4.15"</f>
        <v>4.15</v>
      </c>
    </row>
    <row r="3431" s="1" customFormat="1" spans="1:15">
      <c r="A3431" s="1" t="str">
        <f t="shared" si="2326"/>
        <v>202406</v>
      </c>
      <c r="B3431" s="1" t="str">
        <f t="shared" si="2327"/>
        <v>150525100</v>
      </c>
      <c r="C3431" s="1" t="str">
        <f>"1014625450"</f>
        <v>1014625450</v>
      </c>
      <c r="D3431" s="1" t="str">
        <f>"152326194409200423"</f>
        <v>152326194409200423</v>
      </c>
      <c r="E3431" s="1" t="s">
        <v>3498</v>
      </c>
      <c r="F3431" s="1" t="s">
        <v>16</v>
      </c>
      <c r="G3431" s="1" t="s">
        <v>17</v>
      </c>
      <c r="H3431" s="1" t="str">
        <f>"80"</f>
        <v>80</v>
      </c>
      <c r="I3431" s="1" t="str">
        <f>"160"</f>
        <v>160</v>
      </c>
      <c r="J3431" s="1" t="str">
        <f t="shared" ref="J3431:O3431" si="2375">"0"</f>
        <v>0</v>
      </c>
      <c r="K3431" s="1" t="str">
        <f t="shared" si="2370"/>
        <v>103</v>
      </c>
      <c r="L3431" s="1" t="str">
        <f t="shared" si="2371"/>
        <v>47</v>
      </c>
      <c r="M3431" s="1" t="str">
        <f t="shared" si="2375"/>
        <v>0</v>
      </c>
      <c r="N3431" s="1" t="str">
        <f t="shared" si="2375"/>
        <v>0</v>
      </c>
      <c r="O3431" s="1" t="str">
        <f t="shared" si="2375"/>
        <v>0</v>
      </c>
    </row>
    <row r="3432" s="1" customFormat="1" spans="1:15">
      <c r="A3432" s="1" t="str">
        <f t="shared" si="2326"/>
        <v>202406</v>
      </c>
      <c r="B3432" s="1" t="str">
        <f t="shared" si="2327"/>
        <v>150525100</v>
      </c>
      <c r="C3432" s="1" t="str">
        <f>"1014625467"</f>
        <v>1014625467</v>
      </c>
      <c r="D3432" s="1" t="str">
        <f>"152326195111053314"</f>
        <v>152326195111053314</v>
      </c>
      <c r="E3432" s="1" t="s">
        <v>3499</v>
      </c>
      <c r="F3432" s="1" t="s">
        <v>25</v>
      </c>
      <c r="G3432" s="1" t="s">
        <v>17</v>
      </c>
      <c r="H3432" s="1" t="str">
        <f>"73"</f>
        <v>73</v>
      </c>
      <c r="I3432" s="1" t="str">
        <f>"160.94"</f>
        <v>160.94</v>
      </c>
      <c r="J3432" s="1" t="str">
        <f t="shared" ref="J3432:N3432" si="2376">"0"</f>
        <v>0</v>
      </c>
      <c r="K3432" s="1" t="str">
        <f t="shared" si="2370"/>
        <v>103</v>
      </c>
      <c r="L3432" s="1" t="str">
        <f t="shared" si="2371"/>
        <v>47</v>
      </c>
      <c r="M3432" s="1" t="str">
        <f t="shared" si="2376"/>
        <v>0</v>
      </c>
      <c r="N3432" s="1" t="str">
        <f t="shared" si="2376"/>
        <v>0</v>
      </c>
      <c r="O3432" s="1" t="str">
        <f>"0.94"</f>
        <v>0.94</v>
      </c>
    </row>
    <row r="3433" s="1" customFormat="1" spans="1:15">
      <c r="A3433" s="1" t="str">
        <f t="shared" si="2326"/>
        <v>202406</v>
      </c>
      <c r="B3433" s="1" t="str">
        <f t="shared" si="2327"/>
        <v>150525100</v>
      </c>
      <c r="C3433" s="1" t="str">
        <f>"1014642610"</f>
        <v>1014642610</v>
      </c>
      <c r="D3433" s="1" t="str">
        <f>"152326196212153087"</f>
        <v>152326196212153087</v>
      </c>
      <c r="E3433" s="1" t="s">
        <v>3500</v>
      </c>
      <c r="F3433" s="1" t="s">
        <v>16</v>
      </c>
      <c r="G3433" s="1" t="s">
        <v>17</v>
      </c>
      <c r="H3433" s="1" t="str">
        <f>"62"</f>
        <v>62</v>
      </c>
      <c r="I3433" s="1" t="str">
        <f>"169.81"</f>
        <v>169.81</v>
      </c>
      <c r="J3433" s="1" t="str">
        <f t="shared" ref="J3433:N3433" si="2377">"0"</f>
        <v>0</v>
      </c>
      <c r="K3433" s="1" t="str">
        <f t="shared" si="2370"/>
        <v>103</v>
      </c>
      <c r="L3433" s="1" t="str">
        <f t="shared" si="2371"/>
        <v>47</v>
      </c>
      <c r="M3433" s="1" t="str">
        <f t="shared" si="2377"/>
        <v>0</v>
      </c>
      <c r="N3433" s="1" t="str">
        <f t="shared" si="2377"/>
        <v>0</v>
      </c>
      <c r="O3433" s="1" t="str">
        <f>"19.81"</f>
        <v>19.81</v>
      </c>
    </row>
    <row r="3434" s="1" customFormat="1" spans="1:15">
      <c r="A3434" s="1" t="str">
        <f t="shared" si="2326"/>
        <v>202406</v>
      </c>
      <c r="B3434" s="1" t="str">
        <f t="shared" si="2327"/>
        <v>150525100</v>
      </c>
      <c r="C3434" s="1" t="str">
        <f>"1014642618"</f>
        <v>1014642618</v>
      </c>
      <c r="D3434" s="1" t="str">
        <f>"152326196106253826"</f>
        <v>152326196106253826</v>
      </c>
      <c r="E3434" s="1" t="s">
        <v>3501</v>
      </c>
      <c r="F3434" s="1" t="s">
        <v>16</v>
      </c>
      <c r="G3434" s="1" t="s">
        <v>17</v>
      </c>
      <c r="H3434" s="1" t="str">
        <f>"63"</f>
        <v>63</v>
      </c>
      <c r="I3434" s="1" t="str">
        <f>"161.08"</f>
        <v>161.08</v>
      </c>
      <c r="J3434" s="1" t="str">
        <f t="shared" ref="J3434:N3434" si="2378">"0"</f>
        <v>0</v>
      </c>
      <c r="K3434" s="1" t="str">
        <f t="shared" si="2370"/>
        <v>103</v>
      </c>
      <c r="L3434" s="1" t="str">
        <f t="shared" si="2371"/>
        <v>47</v>
      </c>
      <c r="M3434" s="1" t="str">
        <f t="shared" si="2378"/>
        <v>0</v>
      </c>
      <c r="N3434" s="1" t="str">
        <f t="shared" si="2378"/>
        <v>0</v>
      </c>
      <c r="O3434" s="1" t="str">
        <f>"11.08"</f>
        <v>11.08</v>
      </c>
    </row>
    <row r="3435" s="1" customFormat="1" spans="1:15">
      <c r="A3435" s="1" t="str">
        <f t="shared" si="2326"/>
        <v>202406</v>
      </c>
      <c r="B3435" s="1" t="str">
        <f t="shared" si="2327"/>
        <v>150525100</v>
      </c>
      <c r="C3435" s="1" t="str">
        <f>"1014642624"</f>
        <v>1014642624</v>
      </c>
      <c r="D3435" s="1" t="str">
        <f>"152326195908086113"</f>
        <v>152326195908086113</v>
      </c>
      <c r="E3435" s="1" t="s">
        <v>3502</v>
      </c>
      <c r="F3435" s="1" t="s">
        <v>25</v>
      </c>
      <c r="G3435" s="1" t="s">
        <v>96</v>
      </c>
      <c r="H3435" s="1" t="str">
        <f>"65"</f>
        <v>65</v>
      </c>
      <c r="I3435" s="1" t="str">
        <f>"157.91"</f>
        <v>157.91</v>
      </c>
      <c r="J3435" s="1" t="str">
        <f t="shared" ref="J3435:N3435" si="2379">"0"</f>
        <v>0</v>
      </c>
      <c r="K3435" s="1" t="str">
        <f t="shared" si="2370"/>
        <v>103</v>
      </c>
      <c r="L3435" s="1" t="str">
        <f t="shared" si="2371"/>
        <v>47</v>
      </c>
      <c r="M3435" s="1" t="str">
        <f t="shared" si="2379"/>
        <v>0</v>
      </c>
      <c r="N3435" s="1" t="str">
        <f t="shared" si="2379"/>
        <v>0</v>
      </c>
      <c r="O3435" s="1" t="str">
        <f>"7.91"</f>
        <v>7.91</v>
      </c>
    </row>
    <row r="3436" s="1" customFormat="1" spans="1:15">
      <c r="A3436" s="1" t="str">
        <f t="shared" si="2326"/>
        <v>202406</v>
      </c>
      <c r="B3436" s="1" t="str">
        <f t="shared" si="2327"/>
        <v>150525100</v>
      </c>
      <c r="C3436" s="1" t="str">
        <f>"1014642604"</f>
        <v>1014642604</v>
      </c>
      <c r="D3436" s="1" t="str">
        <f>"152326195807203827"</f>
        <v>152326195807203827</v>
      </c>
      <c r="E3436" s="1" t="s">
        <v>211</v>
      </c>
      <c r="F3436" s="1" t="s">
        <v>16</v>
      </c>
      <c r="G3436" s="1" t="s">
        <v>17</v>
      </c>
      <c r="H3436" s="1" t="str">
        <f>"66"</f>
        <v>66</v>
      </c>
      <c r="I3436" s="1" t="str">
        <f>"156.44"</f>
        <v>156.44</v>
      </c>
      <c r="J3436" s="1" t="str">
        <f t="shared" ref="J3436:N3436" si="2380">"0"</f>
        <v>0</v>
      </c>
      <c r="K3436" s="1" t="str">
        <f t="shared" si="2370"/>
        <v>103</v>
      </c>
      <c r="L3436" s="1" t="str">
        <f t="shared" si="2371"/>
        <v>47</v>
      </c>
      <c r="M3436" s="1" t="str">
        <f t="shared" si="2380"/>
        <v>0</v>
      </c>
      <c r="N3436" s="1" t="str">
        <f t="shared" si="2380"/>
        <v>0</v>
      </c>
      <c r="O3436" s="1" t="str">
        <f>"6.44"</f>
        <v>6.44</v>
      </c>
    </row>
    <row r="3437" s="1" customFormat="1" spans="1:15">
      <c r="A3437" s="1" t="str">
        <f t="shared" si="2326"/>
        <v>202406</v>
      </c>
      <c r="B3437" s="1" t="str">
        <f t="shared" si="2327"/>
        <v>150525100</v>
      </c>
      <c r="C3437" s="1" t="str">
        <f>"1014660542"</f>
        <v>1014660542</v>
      </c>
      <c r="D3437" s="1" t="str">
        <f>"152326196212180667"</f>
        <v>152326196212180667</v>
      </c>
      <c r="E3437" s="1" t="s">
        <v>3503</v>
      </c>
      <c r="F3437" s="1" t="s">
        <v>16</v>
      </c>
      <c r="G3437" s="1" t="s">
        <v>19</v>
      </c>
      <c r="H3437" s="1" t="str">
        <f>"62"</f>
        <v>62</v>
      </c>
      <c r="I3437" s="1" t="str">
        <f>"162.92"</f>
        <v>162.92</v>
      </c>
      <c r="J3437" s="1" t="str">
        <f t="shared" ref="J3437:N3437" si="2381">"0"</f>
        <v>0</v>
      </c>
      <c r="K3437" s="1" t="str">
        <f t="shared" si="2370"/>
        <v>103</v>
      </c>
      <c r="L3437" s="1" t="str">
        <f t="shared" si="2371"/>
        <v>47</v>
      </c>
      <c r="M3437" s="1" t="str">
        <f t="shared" si="2381"/>
        <v>0</v>
      </c>
      <c r="N3437" s="1" t="str">
        <f t="shared" si="2381"/>
        <v>0</v>
      </c>
      <c r="O3437" s="1" t="str">
        <f>"12.92"</f>
        <v>12.92</v>
      </c>
    </row>
    <row r="3438" s="1" customFormat="1" spans="1:15">
      <c r="A3438" s="1" t="str">
        <f t="shared" si="2326"/>
        <v>202406</v>
      </c>
      <c r="B3438" s="1" t="str">
        <f t="shared" si="2327"/>
        <v>150525100</v>
      </c>
      <c r="C3438" s="1" t="str">
        <f>"1014666233"</f>
        <v>1014666233</v>
      </c>
      <c r="D3438" s="1" t="str">
        <f>"152326196303140425"</f>
        <v>152326196303140425</v>
      </c>
      <c r="E3438" s="1" t="s">
        <v>3504</v>
      </c>
      <c r="F3438" s="1" t="s">
        <v>16</v>
      </c>
      <c r="G3438" s="1" t="s">
        <v>19</v>
      </c>
      <c r="H3438" s="1" t="str">
        <f>"61"</f>
        <v>61</v>
      </c>
      <c r="I3438" s="1" t="str">
        <f>"164.37"</f>
        <v>164.37</v>
      </c>
      <c r="J3438" s="1" t="str">
        <f t="shared" ref="J3438:N3438" si="2382">"0"</f>
        <v>0</v>
      </c>
      <c r="K3438" s="1" t="str">
        <f t="shared" si="2370"/>
        <v>103</v>
      </c>
      <c r="L3438" s="1" t="str">
        <f t="shared" si="2371"/>
        <v>47</v>
      </c>
      <c r="M3438" s="1" t="str">
        <f t="shared" si="2382"/>
        <v>0</v>
      </c>
      <c r="N3438" s="1" t="str">
        <f t="shared" si="2382"/>
        <v>0</v>
      </c>
      <c r="O3438" s="1" t="str">
        <f>"14.37"</f>
        <v>14.37</v>
      </c>
    </row>
    <row r="3439" s="1" customFormat="1" spans="1:15">
      <c r="A3439" s="1" t="str">
        <f t="shared" si="2326"/>
        <v>202406</v>
      </c>
      <c r="B3439" s="1" t="str">
        <f t="shared" si="2327"/>
        <v>150525100</v>
      </c>
      <c r="C3439" s="1" t="str">
        <f>"1040681716"</f>
        <v>1040681716</v>
      </c>
      <c r="D3439" s="1" t="str">
        <f>"152326195604100414"</f>
        <v>152326195604100414</v>
      </c>
      <c r="E3439" s="1" t="s">
        <v>3505</v>
      </c>
      <c r="F3439" s="1" t="s">
        <v>25</v>
      </c>
      <c r="G3439" s="1" t="s">
        <v>17</v>
      </c>
      <c r="H3439" s="1" t="str">
        <f t="shared" ref="H3439:H3443" si="2383">"68"</f>
        <v>68</v>
      </c>
      <c r="I3439" s="1" t="str">
        <f>"154.81"</f>
        <v>154.81</v>
      </c>
      <c r="J3439" s="1" t="str">
        <f t="shared" ref="J3439:N3439" si="2384">"0"</f>
        <v>0</v>
      </c>
      <c r="K3439" s="1" t="str">
        <f t="shared" si="2370"/>
        <v>103</v>
      </c>
      <c r="L3439" s="1" t="str">
        <f t="shared" si="2371"/>
        <v>47</v>
      </c>
      <c r="M3439" s="1" t="str">
        <f t="shared" si="2384"/>
        <v>0</v>
      </c>
      <c r="N3439" s="1" t="str">
        <f t="shared" si="2384"/>
        <v>0</v>
      </c>
      <c r="O3439" s="1" t="str">
        <f>"4.81"</f>
        <v>4.81</v>
      </c>
    </row>
    <row r="3440" s="1" customFormat="1" spans="1:15">
      <c r="A3440" s="1" t="str">
        <f t="shared" si="2326"/>
        <v>202406</v>
      </c>
      <c r="B3440" s="1" t="str">
        <f t="shared" si="2327"/>
        <v>150525100</v>
      </c>
      <c r="C3440" s="1" t="str">
        <f>"1040681730"</f>
        <v>1040681730</v>
      </c>
      <c r="D3440" s="1" t="s">
        <v>3506</v>
      </c>
      <c r="E3440" s="1" t="s">
        <v>3507</v>
      </c>
      <c r="F3440" s="1" t="s">
        <v>16</v>
      </c>
      <c r="G3440" s="1" t="s">
        <v>17</v>
      </c>
      <c r="H3440" s="1" t="str">
        <f>"66"</f>
        <v>66</v>
      </c>
      <c r="I3440" s="1" t="str">
        <f>"155.87"</f>
        <v>155.87</v>
      </c>
      <c r="J3440" s="1" t="str">
        <f t="shared" ref="J3440:N3440" si="2385">"0"</f>
        <v>0</v>
      </c>
      <c r="K3440" s="1" t="str">
        <f t="shared" si="2370"/>
        <v>103</v>
      </c>
      <c r="L3440" s="1" t="str">
        <f t="shared" si="2371"/>
        <v>47</v>
      </c>
      <c r="M3440" s="1" t="str">
        <f t="shared" si="2385"/>
        <v>0</v>
      </c>
      <c r="N3440" s="1" t="str">
        <f t="shared" si="2385"/>
        <v>0</v>
      </c>
      <c r="O3440" s="1" t="str">
        <f>"5.87"</f>
        <v>5.87</v>
      </c>
    </row>
    <row r="3441" s="1" customFormat="1" spans="1:15">
      <c r="A3441" s="1" t="str">
        <f t="shared" si="2326"/>
        <v>202406</v>
      </c>
      <c r="B3441" s="1" t="str">
        <f t="shared" si="2327"/>
        <v>150525100</v>
      </c>
      <c r="C3441" s="1" t="str">
        <f>"1040681756"</f>
        <v>1040681756</v>
      </c>
      <c r="D3441" s="1" t="str">
        <f>"152326195601193344"</f>
        <v>152326195601193344</v>
      </c>
      <c r="E3441" s="1" t="s">
        <v>3508</v>
      </c>
      <c r="F3441" s="1" t="s">
        <v>16</v>
      </c>
      <c r="G3441" s="1" t="s">
        <v>17</v>
      </c>
      <c r="H3441" s="1" t="str">
        <f t="shared" si="2383"/>
        <v>68</v>
      </c>
      <c r="I3441" s="1" t="str">
        <f>"154.85"</f>
        <v>154.85</v>
      </c>
      <c r="J3441" s="1" t="str">
        <f t="shared" ref="J3441:N3441" si="2386">"0"</f>
        <v>0</v>
      </c>
      <c r="K3441" s="1" t="str">
        <f t="shared" si="2370"/>
        <v>103</v>
      </c>
      <c r="L3441" s="1" t="str">
        <f t="shared" si="2371"/>
        <v>47</v>
      </c>
      <c r="M3441" s="1" t="str">
        <f t="shared" si="2386"/>
        <v>0</v>
      </c>
      <c r="N3441" s="1" t="str">
        <f t="shared" si="2386"/>
        <v>0</v>
      </c>
      <c r="O3441" s="1" t="str">
        <f>"4.85"</f>
        <v>4.85</v>
      </c>
    </row>
    <row r="3442" s="1" customFormat="1" spans="1:15">
      <c r="A3442" s="1" t="str">
        <f t="shared" si="2326"/>
        <v>202406</v>
      </c>
      <c r="B3442" s="1" t="str">
        <f t="shared" si="2327"/>
        <v>150525100</v>
      </c>
      <c r="C3442" s="1" t="str">
        <f>"1040681674"</f>
        <v>1040681674</v>
      </c>
      <c r="D3442" s="1" t="str">
        <f>"152326195809043310"</f>
        <v>152326195809043310</v>
      </c>
      <c r="E3442" s="1" t="s">
        <v>3509</v>
      </c>
      <c r="F3442" s="1" t="s">
        <v>25</v>
      </c>
      <c r="G3442" s="1" t="s">
        <v>19</v>
      </c>
      <c r="H3442" s="1" t="str">
        <f t="shared" ref="H3442:H3447" si="2387">"66"</f>
        <v>66</v>
      </c>
      <c r="I3442" s="1" t="str">
        <f>"155.9"</f>
        <v>155.9</v>
      </c>
      <c r="J3442" s="1" t="str">
        <f t="shared" ref="J3442:N3442" si="2388">"0"</f>
        <v>0</v>
      </c>
      <c r="K3442" s="1" t="str">
        <f t="shared" si="2370"/>
        <v>103</v>
      </c>
      <c r="L3442" s="1" t="str">
        <f t="shared" si="2371"/>
        <v>47</v>
      </c>
      <c r="M3442" s="1" t="str">
        <f t="shared" si="2388"/>
        <v>0</v>
      </c>
      <c r="N3442" s="1" t="str">
        <f t="shared" si="2388"/>
        <v>0</v>
      </c>
      <c r="O3442" s="1" t="str">
        <f>"5.9"</f>
        <v>5.9</v>
      </c>
    </row>
    <row r="3443" s="1" customFormat="1" spans="1:15">
      <c r="A3443" s="1" t="str">
        <f t="shared" si="2326"/>
        <v>202406</v>
      </c>
      <c r="B3443" s="1" t="str">
        <f t="shared" si="2327"/>
        <v>150525100</v>
      </c>
      <c r="C3443" s="1" t="str">
        <f>"1040681676"</f>
        <v>1040681676</v>
      </c>
      <c r="D3443" s="1" t="str">
        <f>"152326195611113328"</f>
        <v>152326195611113328</v>
      </c>
      <c r="E3443" s="1" t="s">
        <v>3161</v>
      </c>
      <c r="F3443" s="1" t="s">
        <v>16</v>
      </c>
      <c r="G3443" s="1" t="s">
        <v>17</v>
      </c>
      <c r="H3443" s="1" t="str">
        <f t="shared" si="2383"/>
        <v>68</v>
      </c>
      <c r="I3443" s="1" t="str">
        <f>"154.82"</f>
        <v>154.82</v>
      </c>
      <c r="J3443" s="1" t="str">
        <f t="shared" ref="J3443:N3443" si="2389">"0"</f>
        <v>0</v>
      </c>
      <c r="K3443" s="1" t="str">
        <f t="shared" si="2370"/>
        <v>103</v>
      </c>
      <c r="L3443" s="1" t="str">
        <f t="shared" si="2371"/>
        <v>47</v>
      </c>
      <c r="M3443" s="1" t="str">
        <f t="shared" si="2389"/>
        <v>0</v>
      </c>
      <c r="N3443" s="1" t="str">
        <f t="shared" si="2389"/>
        <v>0</v>
      </c>
      <c r="O3443" s="1" t="str">
        <f>"4.82"</f>
        <v>4.82</v>
      </c>
    </row>
    <row r="3444" s="1" customFormat="1" spans="1:15">
      <c r="A3444" s="1" t="str">
        <f t="shared" si="2326"/>
        <v>202406</v>
      </c>
      <c r="B3444" s="1" t="str">
        <f t="shared" si="2327"/>
        <v>150525100</v>
      </c>
      <c r="C3444" s="1" t="str">
        <f>"1040681683"</f>
        <v>1040681683</v>
      </c>
      <c r="D3444" s="1" t="str">
        <f>"152326195512223329"</f>
        <v>152326195512223329</v>
      </c>
      <c r="E3444" s="1" t="s">
        <v>3510</v>
      </c>
      <c r="F3444" s="1" t="s">
        <v>16</v>
      </c>
      <c r="G3444" s="1" t="s">
        <v>19</v>
      </c>
      <c r="H3444" s="1" t="str">
        <f>"69"</f>
        <v>69</v>
      </c>
      <c r="I3444" s="1" t="str">
        <f>"153.89"</f>
        <v>153.89</v>
      </c>
      <c r="J3444" s="1" t="str">
        <f t="shared" ref="J3444:N3444" si="2390">"0"</f>
        <v>0</v>
      </c>
      <c r="K3444" s="1" t="str">
        <f t="shared" si="2370"/>
        <v>103</v>
      </c>
      <c r="L3444" s="1" t="str">
        <f t="shared" si="2371"/>
        <v>47</v>
      </c>
      <c r="M3444" s="1" t="str">
        <f t="shared" si="2390"/>
        <v>0</v>
      </c>
      <c r="N3444" s="1" t="str">
        <f t="shared" si="2390"/>
        <v>0</v>
      </c>
      <c r="O3444" s="1" t="str">
        <f>"3.89"</f>
        <v>3.89</v>
      </c>
    </row>
    <row r="3445" s="1" customFormat="1" spans="1:15">
      <c r="A3445" s="1" t="str">
        <f t="shared" si="2326"/>
        <v>202406</v>
      </c>
      <c r="B3445" s="1" t="str">
        <f t="shared" si="2327"/>
        <v>150525100</v>
      </c>
      <c r="C3445" s="1" t="str">
        <f>"1040681816"</f>
        <v>1040681816</v>
      </c>
      <c r="D3445" s="1" t="str">
        <f>"152326195404080666"</f>
        <v>152326195404080666</v>
      </c>
      <c r="E3445" s="1" t="s">
        <v>3511</v>
      </c>
      <c r="F3445" s="1" t="s">
        <v>16</v>
      </c>
      <c r="G3445" s="1" t="s">
        <v>17</v>
      </c>
      <c r="H3445" s="1" t="str">
        <f>"70"</f>
        <v>70</v>
      </c>
      <c r="I3445" s="1" t="str">
        <f>"162.93"</f>
        <v>162.93</v>
      </c>
      <c r="J3445" s="1" t="str">
        <f t="shared" ref="J3445:N3445" si="2391">"0"</f>
        <v>0</v>
      </c>
      <c r="K3445" s="1" t="str">
        <f t="shared" si="2370"/>
        <v>103</v>
      </c>
      <c r="L3445" s="1" t="str">
        <f t="shared" si="2371"/>
        <v>47</v>
      </c>
      <c r="M3445" s="1" t="str">
        <f t="shared" si="2391"/>
        <v>0</v>
      </c>
      <c r="N3445" s="1" t="str">
        <f t="shared" si="2391"/>
        <v>0</v>
      </c>
      <c r="O3445" s="1" t="str">
        <f>"2.93"</f>
        <v>2.93</v>
      </c>
    </row>
    <row r="3446" s="1" customFormat="1" spans="1:15">
      <c r="A3446" s="1" t="str">
        <f t="shared" si="2326"/>
        <v>202406</v>
      </c>
      <c r="B3446" s="1" t="str">
        <f t="shared" si="2327"/>
        <v>150525100</v>
      </c>
      <c r="C3446" s="1" t="str">
        <f>"1040682169"</f>
        <v>1040682169</v>
      </c>
      <c r="D3446" s="1" t="str">
        <f>"152326195802080418"</f>
        <v>152326195802080418</v>
      </c>
      <c r="E3446" s="1" t="s">
        <v>3512</v>
      </c>
      <c r="F3446" s="1" t="s">
        <v>25</v>
      </c>
      <c r="G3446" s="1" t="s">
        <v>17</v>
      </c>
      <c r="H3446" s="1" t="str">
        <f t="shared" si="2387"/>
        <v>66</v>
      </c>
      <c r="I3446" s="1" t="str">
        <f>"156.78"</f>
        <v>156.78</v>
      </c>
      <c r="J3446" s="1" t="str">
        <f t="shared" ref="J3446:N3446" si="2392">"0"</f>
        <v>0</v>
      </c>
      <c r="K3446" s="1" t="str">
        <f t="shared" si="2370"/>
        <v>103</v>
      </c>
      <c r="L3446" s="1" t="str">
        <f t="shared" si="2371"/>
        <v>47</v>
      </c>
      <c r="M3446" s="1" t="str">
        <f t="shared" si="2392"/>
        <v>0</v>
      </c>
      <c r="N3446" s="1" t="str">
        <f t="shared" si="2392"/>
        <v>0</v>
      </c>
      <c r="O3446" s="1" t="str">
        <f>"6.78"</f>
        <v>6.78</v>
      </c>
    </row>
    <row r="3447" s="1" customFormat="1" spans="1:15">
      <c r="A3447" s="1" t="str">
        <f t="shared" si="2326"/>
        <v>202406</v>
      </c>
      <c r="B3447" s="1" t="str">
        <f t="shared" si="2327"/>
        <v>150525100</v>
      </c>
      <c r="C3447" s="1" t="str">
        <f>"1040682171"</f>
        <v>1040682171</v>
      </c>
      <c r="D3447" s="1" t="str">
        <f>"152326195901020437"</f>
        <v>152326195901020437</v>
      </c>
      <c r="E3447" s="1" t="s">
        <v>3513</v>
      </c>
      <c r="F3447" s="1" t="s">
        <v>25</v>
      </c>
      <c r="G3447" s="1" t="s">
        <v>17</v>
      </c>
      <c r="H3447" s="1" t="str">
        <f t="shared" si="2387"/>
        <v>66</v>
      </c>
      <c r="I3447" s="1" t="str">
        <f>"156.87"</f>
        <v>156.87</v>
      </c>
      <c r="J3447" s="1" t="str">
        <f t="shared" ref="J3447:N3447" si="2393">"0"</f>
        <v>0</v>
      </c>
      <c r="K3447" s="1" t="str">
        <f t="shared" si="2370"/>
        <v>103</v>
      </c>
      <c r="L3447" s="1" t="str">
        <f t="shared" si="2371"/>
        <v>47</v>
      </c>
      <c r="M3447" s="1" t="str">
        <f t="shared" si="2393"/>
        <v>0</v>
      </c>
      <c r="N3447" s="1" t="str">
        <f t="shared" si="2393"/>
        <v>0</v>
      </c>
      <c r="O3447" s="1" t="str">
        <f>"6.87"</f>
        <v>6.87</v>
      </c>
    </row>
    <row r="3448" s="1" customFormat="1" spans="1:15">
      <c r="A3448" s="1" t="str">
        <f t="shared" si="2326"/>
        <v>202406</v>
      </c>
      <c r="B3448" s="1" t="str">
        <f t="shared" si="2327"/>
        <v>150525100</v>
      </c>
      <c r="C3448" s="1" t="str">
        <f>"1040681942"</f>
        <v>1040681942</v>
      </c>
      <c r="D3448" s="1" t="str">
        <f>"152326195611110928"</f>
        <v>152326195611110928</v>
      </c>
      <c r="E3448" s="1" t="s">
        <v>3514</v>
      </c>
      <c r="F3448" s="1" t="s">
        <v>16</v>
      </c>
      <c r="G3448" s="1" t="s">
        <v>19</v>
      </c>
      <c r="H3448" s="1" t="str">
        <f>"68"</f>
        <v>68</v>
      </c>
      <c r="I3448" s="1" t="str">
        <f>"153.88"</f>
        <v>153.88</v>
      </c>
      <c r="J3448" s="1" t="str">
        <f t="shared" ref="J3448:N3448" si="2394">"0"</f>
        <v>0</v>
      </c>
      <c r="K3448" s="1" t="str">
        <f t="shared" si="2370"/>
        <v>103</v>
      </c>
      <c r="L3448" s="1" t="str">
        <f t="shared" si="2371"/>
        <v>47</v>
      </c>
      <c r="M3448" s="1" t="str">
        <f t="shared" si="2394"/>
        <v>0</v>
      </c>
      <c r="N3448" s="1" t="str">
        <f t="shared" si="2394"/>
        <v>0</v>
      </c>
      <c r="O3448" s="1" t="str">
        <f>"3.88"</f>
        <v>3.88</v>
      </c>
    </row>
    <row r="3449" s="1" customFormat="1" spans="1:15">
      <c r="A3449" s="1" t="str">
        <f t="shared" si="2326"/>
        <v>202406</v>
      </c>
      <c r="B3449" s="1" t="str">
        <f t="shared" si="2327"/>
        <v>150525100</v>
      </c>
      <c r="C3449" s="1" t="str">
        <f>"1040682034"</f>
        <v>1040682034</v>
      </c>
      <c r="D3449" s="1" t="str">
        <f>"152326195711063313"</f>
        <v>152326195711063313</v>
      </c>
      <c r="E3449" s="1" t="s">
        <v>3515</v>
      </c>
      <c r="F3449" s="1" t="s">
        <v>25</v>
      </c>
      <c r="G3449" s="1" t="s">
        <v>17</v>
      </c>
      <c r="H3449" s="1" t="str">
        <f>"67"</f>
        <v>67</v>
      </c>
      <c r="I3449" s="1" t="str">
        <f>"154.91"</f>
        <v>154.91</v>
      </c>
      <c r="J3449" s="1" t="str">
        <f t="shared" ref="J3449:N3449" si="2395">"0"</f>
        <v>0</v>
      </c>
      <c r="K3449" s="1" t="str">
        <f t="shared" si="2370"/>
        <v>103</v>
      </c>
      <c r="L3449" s="1" t="str">
        <f t="shared" si="2371"/>
        <v>47</v>
      </c>
      <c r="M3449" s="1" t="str">
        <f t="shared" si="2395"/>
        <v>0</v>
      </c>
      <c r="N3449" s="1" t="str">
        <f t="shared" si="2395"/>
        <v>0</v>
      </c>
      <c r="O3449" s="1" t="str">
        <f>"4.91"</f>
        <v>4.91</v>
      </c>
    </row>
    <row r="3450" s="1" customFormat="1" spans="1:15">
      <c r="A3450" s="1" t="str">
        <f t="shared" si="2326"/>
        <v>202406</v>
      </c>
      <c r="B3450" s="1" t="str">
        <f t="shared" si="2327"/>
        <v>150525100</v>
      </c>
      <c r="C3450" s="1" t="str">
        <f>"1040681890"</f>
        <v>1040681890</v>
      </c>
      <c r="D3450" s="1" t="str">
        <f>"152326196205023081"</f>
        <v>152326196205023081</v>
      </c>
      <c r="E3450" s="1" t="s">
        <v>3516</v>
      </c>
      <c r="F3450" s="1" t="s">
        <v>16</v>
      </c>
      <c r="G3450" s="1" t="s">
        <v>19</v>
      </c>
      <c r="H3450" s="1" t="str">
        <f>"62"</f>
        <v>62</v>
      </c>
      <c r="I3450" s="1" t="str">
        <f>"161.69"</f>
        <v>161.69</v>
      </c>
      <c r="J3450" s="1" t="str">
        <f t="shared" ref="J3450:N3450" si="2396">"0"</f>
        <v>0</v>
      </c>
      <c r="K3450" s="1" t="str">
        <f t="shared" si="2370"/>
        <v>103</v>
      </c>
      <c r="L3450" s="1" t="str">
        <f t="shared" si="2371"/>
        <v>47</v>
      </c>
      <c r="M3450" s="1" t="str">
        <f t="shared" si="2396"/>
        <v>0</v>
      </c>
      <c r="N3450" s="1" t="str">
        <f t="shared" si="2396"/>
        <v>0</v>
      </c>
      <c r="O3450" s="1" t="str">
        <f>"11.69"</f>
        <v>11.69</v>
      </c>
    </row>
    <row r="3451" s="1" customFormat="1" spans="1:15">
      <c r="A3451" s="1" t="str">
        <f t="shared" si="2326"/>
        <v>202406</v>
      </c>
      <c r="B3451" s="1" t="str">
        <f t="shared" si="2327"/>
        <v>150525100</v>
      </c>
      <c r="C3451" s="1" t="str">
        <f>"1040681906"</f>
        <v>1040681906</v>
      </c>
      <c r="D3451" s="1" t="str">
        <f>"152326195904240670"</f>
        <v>152326195904240670</v>
      </c>
      <c r="E3451" s="1" t="s">
        <v>3517</v>
      </c>
      <c r="F3451" s="1" t="s">
        <v>25</v>
      </c>
      <c r="G3451" s="1" t="s">
        <v>17</v>
      </c>
      <c r="H3451" s="1" t="str">
        <f t="shared" ref="H3451:H3454" si="2397">"65"</f>
        <v>65</v>
      </c>
      <c r="I3451" s="1" t="str">
        <f>"156.88"</f>
        <v>156.88</v>
      </c>
      <c r="J3451" s="1" t="str">
        <f t="shared" ref="J3451:N3451" si="2398">"0"</f>
        <v>0</v>
      </c>
      <c r="K3451" s="1" t="str">
        <f t="shared" si="2370"/>
        <v>103</v>
      </c>
      <c r="L3451" s="1" t="str">
        <f t="shared" si="2371"/>
        <v>47</v>
      </c>
      <c r="M3451" s="1" t="str">
        <f t="shared" si="2398"/>
        <v>0</v>
      </c>
      <c r="N3451" s="1" t="str">
        <f t="shared" si="2398"/>
        <v>0</v>
      </c>
      <c r="O3451" s="1" t="str">
        <f>"6.88"</f>
        <v>6.88</v>
      </c>
    </row>
    <row r="3452" s="1" customFormat="1" spans="1:15">
      <c r="A3452" s="1" t="str">
        <f t="shared" si="2326"/>
        <v>202406</v>
      </c>
      <c r="B3452" s="1" t="str">
        <f t="shared" si="2327"/>
        <v>150525100</v>
      </c>
      <c r="C3452" s="1" t="str">
        <f>"1040681970"</f>
        <v>1040681970</v>
      </c>
      <c r="D3452" s="1" t="str">
        <f>"152326196308173816"</f>
        <v>152326196308173816</v>
      </c>
      <c r="E3452" s="1" t="s">
        <v>3518</v>
      </c>
      <c r="F3452" s="1" t="s">
        <v>25</v>
      </c>
      <c r="G3452" s="1" t="s">
        <v>17</v>
      </c>
      <c r="H3452" s="1" t="str">
        <f>"61"</f>
        <v>61</v>
      </c>
      <c r="I3452" s="1" t="str">
        <f>"163.72"</f>
        <v>163.72</v>
      </c>
      <c r="J3452" s="1" t="str">
        <f t="shared" ref="J3452:N3452" si="2399">"0"</f>
        <v>0</v>
      </c>
      <c r="K3452" s="1" t="str">
        <f t="shared" si="2370"/>
        <v>103</v>
      </c>
      <c r="L3452" s="1" t="str">
        <f t="shared" si="2371"/>
        <v>47</v>
      </c>
      <c r="M3452" s="1" t="str">
        <f t="shared" si="2399"/>
        <v>0</v>
      </c>
      <c r="N3452" s="1" t="str">
        <f t="shared" si="2399"/>
        <v>0</v>
      </c>
      <c r="O3452" s="1" t="str">
        <f>"13.72"</f>
        <v>13.72</v>
      </c>
    </row>
    <row r="3453" s="1" customFormat="1" spans="1:15">
      <c r="A3453" s="1" t="str">
        <f t="shared" si="2326"/>
        <v>202406</v>
      </c>
      <c r="B3453" s="1" t="str">
        <f t="shared" si="2327"/>
        <v>150525100</v>
      </c>
      <c r="C3453" s="1" t="str">
        <f>"1040681973"</f>
        <v>1040681973</v>
      </c>
      <c r="D3453" s="1" t="str">
        <f>"152326195905193829"</f>
        <v>152326195905193829</v>
      </c>
      <c r="E3453" s="1" t="s">
        <v>3519</v>
      </c>
      <c r="F3453" s="1" t="s">
        <v>16</v>
      </c>
      <c r="G3453" s="1" t="s">
        <v>17</v>
      </c>
      <c r="H3453" s="1" t="str">
        <f t="shared" si="2397"/>
        <v>65</v>
      </c>
      <c r="I3453" s="1" t="str">
        <f>"156.9"</f>
        <v>156.9</v>
      </c>
      <c r="J3453" s="1" t="str">
        <f t="shared" ref="J3453:N3453" si="2400">"0"</f>
        <v>0</v>
      </c>
      <c r="K3453" s="1" t="str">
        <f t="shared" si="2370"/>
        <v>103</v>
      </c>
      <c r="L3453" s="1" t="str">
        <f t="shared" si="2371"/>
        <v>47</v>
      </c>
      <c r="M3453" s="1" t="str">
        <f t="shared" si="2400"/>
        <v>0</v>
      </c>
      <c r="N3453" s="1" t="str">
        <f t="shared" si="2400"/>
        <v>0</v>
      </c>
      <c r="O3453" s="1" t="str">
        <f>"6.9"</f>
        <v>6.9</v>
      </c>
    </row>
    <row r="3454" s="1" customFormat="1" spans="1:15">
      <c r="A3454" s="1" t="str">
        <f t="shared" si="2326"/>
        <v>202406</v>
      </c>
      <c r="B3454" s="1" t="str">
        <f t="shared" si="2327"/>
        <v>150525100</v>
      </c>
      <c r="C3454" s="1" t="str">
        <f>"1040681976"</f>
        <v>1040681976</v>
      </c>
      <c r="D3454" s="1" t="str">
        <f>"152326195909283813"</f>
        <v>152326195909283813</v>
      </c>
      <c r="E3454" s="1" t="s">
        <v>3520</v>
      </c>
      <c r="F3454" s="1" t="s">
        <v>25</v>
      </c>
      <c r="G3454" s="1" t="s">
        <v>17</v>
      </c>
      <c r="H3454" s="1" t="str">
        <f t="shared" si="2397"/>
        <v>65</v>
      </c>
      <c r="I3454" s="1" t="str">
        <f>"156.94"</f>
        <v>156.94</v>
      </c>
      <c r="J3454" s="1" t="str">
        <f t="shared" ref="J3454:N3454" si="2401">"0"</f>
        <v>0</v>
      </c>
      <c r="K3454" s="1" t="str">
        <f t="shared" si="2370"/>
        <v>103</v>
      </c>
      <c r="L3454" s="1" t="str">
        <f t="shared" si="2371"/>
        <v>47</v>
      </c>
      <c r="M3454" s="1" t="str">
        <f t="shared" si="2401"/>
        <v>0</v>
      </c>
      <c r="N3454" s="1" t="str">
        <f t="shared" si="2401"/>
        <v>0</v>
      </c>
      <c r="O3454" s="1" t="str">
        <f>"6.94"</f>
        <v>6.94</v>
      </c>
    </row>
    <row r="3455" s="1" customFormat="1" spans="1:15">
      <c r="A3455" s="1" t="str">
        <f t="shared" si="2326"/>
        <v>202406</v>
      </c>
      <c r="B3455" s="1" t="str">
        <f t="shared" si="2327"/>
        <v>150525100</v>
      </c>
      <c r="C3455" s="1" t="str">
        <f>"1040681981"</f>
        <v>1040681981</v>
      </c>
      <c r="D3455" s="1" t="str">
        <f>"152326195712273814"</f>
        <v>152326195712273814</v>
      </c>
      <c r="E3455" s="1" t="s">
        <v>3521</v>
      </c>
      <c r="F3455" s="1" t="s">
        <v>25</v>
      </c>
      <c r="G3455" s="1" t="s">
        <v>17</v>
      </c>
      <c r="H3455" s="1" t="str">
        <f>"67"</f>
        <v>67</v>
      </c>
      <c r="I3455" s="1" t="str">
        <f>"154.89"</f>
        <v>154.89</v>
      </c>
      <c r="J3455" s="1" t="str">
        <f t="shared" ref="J3455:N3455" si="2402">"0"</f>
        <v>0</v>
      </c>
      <c r="K3455" s="1" t="str">
        <f t="shared" si="2370"/>
        <v>103</v>
      </c>
      <c r="L3455" s="1" t="str">
        <f t="shared" si="2371"/>
        <v>47</v>
      </c>
      <c r="M3455" s="1" t="str">
        <f t="shared" si="2402"/>
        <v>0</v>
      </c>
      <c r="N3455" s="1" t="str">
        <f t="shared" si="2402"/>
        <v>0</v>
      </c>
      <c r="O3455" s="1" t="str">
        <f>"4.89"</f>
        <v>4.89</v>
      </c>
    </row>
    <row r="3456" s="1" customFormat="1" spans="1:15">
      <c r="A3456" s="1" t="str">
        <f t="shared" si="2326"/>
        <v>202406</v>
      </c>
      <c r="B3456" s="1" t="str">
        <f t="shared" si="2327"/>
        <v>150525100</v>
      </c>
      <c r="C3456" s="1" t="str">
        <f>"1040681983"</f>
        <v>1040681983</v>
      </c>
      <c r="D3456" s="1" t="str">
        <f>"152326196101103810"</f>
        <v>152326196101103810</v>
      </c>
      <c r="E3456" s="1" t="s">
        <v>3522</v>
      </c>
      <c r="F3456" s="1" t="s">
        <v>25</v>
      </c>
      <c r="G3456" s="1" t="s">
        <v>19</v>
      </c>
      <c r="H3456" s="1" t="str">
        <f>"63"</f>
        <v>63</v>
      </c>
      <c r="I3456" s="1" t="str">
        <f>"170.73"</f>
        <v>170.73</v>
      </c>
      <c r="J3456" s="1" t="str">
        <f t="shared" ref="J3456:N3456" si="2403">"0"</f>
        <v>0</v>
      </c>
      <c r="K3456" s="1" t="str">
        <f t="shared" si="2370"/>
        <v>103</v>
      </c>
      <c r="L3456" s="1" t="str">
        <f t="shared" si="2371"/>
        <v>47</v>
      </c>
      <c r="M3456" s="1" t="str">
        <f t="shared" si="2403"/>
        <v>0</v>
      </c>
      <c r="N3456" s="1" t="str">
        <f t="shared" si="2403"/>
        <v>0</v>
      </c>
      <c r="O3456" s="1" t="str">
        <f>"20.73"</f>
        <v>20.73</v>
      </c>
    </row>
    <row r="3457" s="1" customFormat="1" spans="1:15">
      <c r="A3457" s="1" t="str">
        <f t="shared" si="2326"/>
        <v>202406</v>
      </c>
      <c r="B3457" s="1" t="str">
        <f t="shared" si="2327"/>
        <v>150525100</v>
      </c>
      <c r="C3457" s="1" t="str">
        <f>"1040682000"</f>
        <v>1040682000</v>
      </c>
      <c r="D3457" s="1" t="str">
        <f>"152326196209153828"</f>
        <v>152326196209153828</v>
      </c>
      <c r="E3457" s="1" t="s">
        <v>158</v>
      </c>
      <c r="F3457" s="1" t="s">
        <v>16</v>
      </c>
      <c r="G3457" s="1" t="s">
        <v>17</v>
      </c>
      <c r="H3457" s="1" t="str">
        <f>"62"</f>
        <v>62</v>
      </c>
      <c r="I3457" s="1" t="str">
        <f>"161.81"</f>
        <v>161.81</v>
      </c>
      <c r="J3457" s="1" t="str">
        <f t="shared" ref="J3457:N3457" si="2404">"0"</f>
        <v>0</v>
      </c>
      <c r="K3457" s="1" t="str">
        <f t="shared" si="2370"/>
        <v>103</v>
      </c>
      <c r="L3457" s="1" t="str">
        <f t="shared" si="2371"/>
        <v>47</v>
      </c>
      <c r="M3457" s="1" t="str">
        <f t="shared" si="2404"/>
        <v>0</v>
      </c>
      <c r="N3457" s="1" t="str">
        <f t="shared" si="2404"/>
        <v>0</v>
      </c>
      <c r="O3457" s="1" t="str">
        <f>"11.81"</f>
        <v>11.81</v>
      </c>
    </row>
    <row r="3458" s="1" customFormat="1" spans="1:15">
      <c r="A3458" s="1" t="str">
        <f t="shared" ref="A3458:A3521" si="2405">"202406"</f>
        <v>202406</v>
      </c>
      <c r="B3458" s="1" t="str">
        <f t="shared" ref="B3458:B3521" si="2406">"150525100"</f>
        <v>150525100</v>
      </c>
      <c r="C3458" s="1" t="str">
        <f>"1040682074"</f>
        <v>1040682074</v>
      </c>
      <c r="D3458" s="1" t="s">
        <v>3523</v>
      </c>
      <c r="E3458" s="1" t="s">
        <v>3524</v>
      </c>
      <c r="F3458" s="1" t="s">
        <v>16</v>
      </c>
      <c r="G3458" s="1" t="s">
        <v>19</v>
      </c>
      <c r="H3458" s="1" t="str">
        <f>"69"</f>
        <v>69</v>
      </c>
      <c r="I3458" s="1" t="str">
        <f>"153.89"</f>
        <v>153.89</v>
      </c>
      <c r="J3458" s="1" t="str">
        <f t="shared" ref="J3458:N3458" si="2407">"0"</f>
        <v>0</v>
      </c>
      <c r="K3458" s="1" t="str">
        <f t="shared" si="2370"/>
        <v>103</v>
      </c>
      <c r="L3458" s="1" t="str">
        <f t="shared" si="2371"/>
        <v>47</v>
      </c>
      <c r="M3458" s="1" t="str">
        <f t="shared" si="2407"/>
        <v>0</v>
      </c>
      <c r="N3458" s="1" t="str">
        <f t="shared" si="2407"/>
        <v>0</v>
      </c>
      <c r="O3458" s="1" t="str">
        <f>"3.89"</f>
        <v>3.89</v>
      </c>
    </row>
    <row r="3459" s="1" customFormat="1" spans="1:15">
      <c r="A3459" s="1" t="str">
        <f t="shared" si="2405"/>
        <v>202406</v>
      </c>
      <c r="B3459" s="1" t="str">
        <f t="shared" si="2406"/>
        <v>150525100</v>
      </c>
      <c r="C3459" s="1" t="str">
        <f>"1040682355"</f>
        <v>1040682355</v>
      </c>
      <c r="D3459" s="1" t="str">
        <f>"152326195911056118"</f>
        <v>152326195911056118</v>
      </c>
      <c r="E3459" s="1" t="s">
        <v>3525</v>
      </c>
      <c r="F3459" s="1" t="s">
        <v>25</v>
      </c>
      <c r="G3459" s="1" t="s">
        <v>17</v>
      </c>
      <c r="H3459" s="1" t="str">
        <f>"65"</f>
        <v>65</v>
      </c>
      <c r="I3459" s="1" t="str">
        <f>"156.94"</f>
        <v>156.94</v>
      </c>
      <c r="J3459" s="1" t="str">
        <f t="shared" ref="J3459:N3459" si="2408">"0"</f>
        <v>0</v>
      </c>
      <c r="K3459" s="1" t="str">
        <f t="shared" si="2370"/>
        <v>103</v>
      </c>
      <c r="L3459" s="1" t="str">
        <f t="shared" si="2371"/>
        <v>47</v>
      </c>
      <c r="M3459" s="1" t="str">
        <f t="shared" si="2408"/>
        <v>0</v>
      </c>
      <c r="N3459" s="1" t="str">
        <f t="shared" si="2408"/>
        <v>0</v>
      </c>
      <c r="O3459" s="1" t="str">
        <f>"6.94"</f>
        <v>6.94</v>
      </c>
    </row>
    <row r="3460" s="1" customFormat="1" spans="1:15">
      <c r="A3460" s="1" t="str">
        <f t="shared" si="2405"/>
        <v>202406</v>
      </c>
      <c r="B3460" s="1" t="str">
        <f t="shared" si="2406"/>
        <v>150525100</v>
      </c>
      <c r="C3460" s="1" t="str">
        <f>"1040682419"</f>
        <v>1040682419</v>
      </c>
      <c r="D3460" s="1" t="str">
        <f>"152326196309100424"</f>
        <v>152326196309100424</v>
      </c>
      <c r="E3460" s="1" t="s">
        <v>3526</v>
      </c>
      <c r="F3460" s="1" t="s">
        <v>16</v>
      </c>
      <c r="G3460" s="1" t="s">
        <v>17</v>
      </c>
      <c r="H3460" s="1" t="str">
        <f>"61"</f>
        <v>61</v>
      </c>
      <c r="I3460" s="1" t="str">
        <f>"163.73"</f>
        <v>163.73</v>
      </c>
      <c r="J3460" s="1" t="str">
        <f t="shared" ref="J3460:N3460" si="2409">"0"</f>
        <v>0</v>
      </c>
      <c r="K3460" s="1" t="str">
        <f t="shared" si="2370"/>
        <v>103</v>
      </c>
      <c r="L3460" s="1" t="str">
        <f t="shared" si="2371"/>
        <v>47</v>
      </c>
      <c r="M3460" s="1" t="str">
        <f t="shared" si="2409"/>
        <v>0</v>
      </c>
      <c r="N3460" s="1" t="str">
        <f t="shared" si="2409"/>
        <v>0</v>
      </c>
      <c r="O3460" s="1" t="str">
        <f>"13.73"</f>
        <v>13.73</v>
      </c>
    </row>
    <row r="3461" s="1" customFormat="1" spans="1:15">
      <c r="A3461" s="1" t="str">
        <f t="shared" si="2405"/>
        <v>202406</v>
      </c>
      <c r="B3461" s="1" t="str">
        <f t="shared" si="2406"/>
        <v>150525100</v>
      </c>
      <c r="C3461" s="1" t="str">
        <f>"1040682420"</f>
        <v>1040682420</v>
      </c>
      <c r="D3461" s="1" t="str">
        <f>"152326196107190417"</f>
        <v>152326196107190417</v>
      </c>
      <c r="E3461" s="1" t="s">
        <v>3527</v>
      </c>
      <c r="F3461" s="1" t="s">
        <v>25</v>
      </c>
      <c r="G3461" s="1" t="s">
        <v>17</v>
      </c>
      <c r="H3461" s="1" t="str">
        <f>"63"</f>
        <v>63</v>
      </c>
      <c r="I3461" s="1" t="str">
        <f>"159.05"</f>
        <v>159.05</v>
      </c>
      <c r="J3461" s="1" t="str">
        <f t="shared" ref="J3461:N3461" si="2410">"0"</f>
        <v>0</v>
      </c>
      <c r="K3461" s="1" t="str">
        <f t="shared" si="2370"/>
        <v>103</v>
      </c>
      <c r="L3461" s="1" t="str">
        <f t="shared" si="2371"/>
        <v>47</v>
      </c>
      <c r="M3461" s="1" t="str">
        <f t="shared" si="2410"/>
        <v>0</v>
      </c>
      <c r="N3461" s="1" t="str">
        <f t="shared" si="2410"/>
        <v>0</v>
      </c>
      <c r="O3461" s="1" t="str">
        <f>"9.05"</f>
        <v>9.05</v>
      </c>
    </row>
    <row r="3462" s="1" customFormat="1" spans="1:15">
      <c r="A3462" s="1" t="str">
        <f t="shared" si="2405"/>
        <v>202406</v>
      </c>
      <c r="B3462" s="1" t="str">
        <f t="shared" si="2406"/>
        <v>150525100</v>
      </c>
      <c r="C3462" s="1" t="str">
        <f>"1040682386"</f>
        <v>1040682386</v>
      </c>
      <c r="D3462" s="1" t="str">
        <f>"152326195702180665"</f>
        <v>152326195702180665</v>
      </c>
      <c r="E3462" s="1" t="s">
        <v>3528</v>
      </c>
      <c r="F3462" s="1" t="s">
        <v>16</v>
      </c>
      <c r="G3462" s="1" t="s">
        <v>17</v>
      </c>
      <c r="H3462" s="1" t="str">
        <f>"67"</f>
        <v>67</v>
      </c>
      <c r="I3462" s="1" t="str">
        <f>"154.82"</f>
        <v>154.82</v>
      </c>
      <c r="J3462" s="1" t="str">
        <f t="shared" ref="J3462:N3462" si="2411">"0"</f>
        <v>0</v>
      </c>
      <c r="K3462" s="1" t="str">
        <f t="shared" si="2370"/>
        <v>103</v>
      </c>
      <c r="L3462" s="1" t="str">
        <f t="shared" si="2371"/>
        <v>47</v>
      </c>
      <c r="M3462" s="1" t="str">
        <f t="shared" si="2411"/>
        <v>0</v>
      </c>
      <c r="N3462" s="1" t="str">
        <f t="shared" si="2411"/>
        <v>0</v>
      </c>
      <c r="O3462" s="1" t="str">
        <f>"4.82"</f>
        <v>4.82</v>
      </c>
    </row>
    <row r="3463" s="1" customFormat="1" spans="1:15">
      <c r="A3463" s="1" t="str">
        <f t="shared" si="2405"/>
        <v>202406</v>
      </c>
      <c r="B3463" s="1" t="str">
        <f t="shared" si="2406"/>
        <v>150525100</v>
      </c>
      <c r="C3463" s="1" t="str">
        <f>"1040682397"</f>
        <v>1040682397</v>
      </c>
      <c r="D3463" s="1" t="str">
        <f>"152326196302260417"</f>
        <v>152326196302260417</v>
      </c>
      <c r="E3463" s="1" t="s">
        <v>3529</v>
      </c>
      <c r="F3463" s="1" t="s">
        <v>25</v>
      </c>
      <c r="G3463" s="1" t="s">
        <v>17</v>
      </c>
      <c r="H3463" s="1" t="str">
        <f>"61"</f>
        <v>61</v>
      </c>
      <c r="I3463" s="1" t="str">
        <f>"163.61"</f>
        <v>163.61</v>
      </c>
      <c r="J3463" s="1" t="str">
        <f t="shared" ref="J3463:N3463" si="2412">"0"</f>
        <v>0</v>
      </c>
      <c r="K3463" s="1" t="str">
        <f t="shared" si="2370"/>
        <v>103</v>
      </c>
      <c r="L3463" s="1" t="str">
        <f t="shared" si="2371"/>
        <v>47</v>
      </c>
      <c r="M3463" s="1" t="str">
        <f t="shared" si="2412"/>
        <v>0</v>
      </c>
      <c r="N3463" s="1" t="str">
        <f t="shared" si="2412"/>
        <v>0</v>
      </c>
      <c r="O3463" s="1" t="str">
        <f>"13.61"</f>
        <v>13.61</v>
      </c>
    </row>
    <row r="3464" s="1" customFormat="1" spans="1:15">
      <c r="A3464" s="1" t="str">
        <f t="shared" si="2405"/>
        <v>202406</v>
      </c>
      <c r="B3464" s="1" t="str">
        <f t="shared" si="2406"/>
        <v>150525100</v>
      </c>
      <c r="C3464" s="1" t="str">
        <f>"1040682406"</f>
        <v>1040682406</v>
      </c>
      <c r="D3464" s="1" t="str">
        <f>"152326196205240422"</f>
        <v>152326196205240422</v>
      </c>
      <c r="E3464" s="1" t="s">
        <v>3530</v>
      </c>
      <c r="F3464" s="1" t="s">
        <v>16</v>
      </c>
      <c r="G3464" s="1" t="s">
        <v>17</v>
      </c>
      <c r="H3464" s="1" t="str">
        <f>"62"</f>
        <v>62</v>
      </c>
      <c r="I3464" s="1" t="str">
        <f>"161.71"</f>
        <v>161.71</v>
      </c>
      <c r="J3464" s="1" t="str">
        <f t="shared" ref="J3464:N3464" si="2413">"0"</f>
        <v>0</v>
      </c>
      <c r="K3464" s="1" t="str">
        <f t="shared" si="2370"/>
        <v>103</v>
      </c>
      <c r="L3464" s="1" t="str">
        <f t="shared" si="2371"/>
        <v>47</v>
      </c>
      <c r="M3464" s="1" t="str">
        <f t="shared" si="2413"/>
        <v>0</v>
      </c>
      <c r="N3464" s="1" t="str">
        <f t="shared" si="2413"/>
        <v>0</v>
      </c>
      <c r="O3464" s="1" t="str">
        <f>"11.71"</f>
        <v>11.71</v>
      </c>
    </row>
    <row r="3465" s="1" customFormat="1" spans="1:15">
      <c r="A3465" s="1" t="str">
        <f t="shared" si="2405"/>
        <v>202406</v>
      </c>
      <c r="B3465" s="1" t="str">
        <f t="shared" si="2406"/>
        <v>150525100</v>
      </c>
      <c r="C3465" s="1" t="str">
        <f>"1040689339"</f>
        <v>1040689339</v>
      </c>
      <c r="D3465" s="1" t="str">
        <f>"152326195409090417"</f>
        <v>152326195409090417</v>
      </c>
      <c r="E3465" s="1" t="s">
        <v>114</v>
      </c>
      <c r="F3465" s="1" t="s">
        <v>25</v>
      </c>
      <c r="G3465" s="1" t="s">
        <v>17</v>
      </c>
      <c r="H3465" s="1" t="str">
        <f>"70"</f>
        <v>70</v>
      </c>
      <c r="I3465" s="1" t="str">
        <f>"152.99"</f>
        <v>152.99</v>
      </c>
      <c r="J3465" s="1" t="str">
        <f t="shared" ref="J3465:N3465" si="2414">"0"</f>
        <v>0</v>
      </c>
      <c r="K3465" s="1" t="str">
        <f t="shared" si="2370"/>
        <v>103</v>
      </c>
      <c r="L3465" s="1" t="str">
        <f t="shared" si="2371"/>
        <v>47</v>
      </c>
      <c r="M3465" s="1" t="str">
        <f t="shared" si="2414"/>
        <v>0</v>
      </c>
      <c r="N3465" s="1" t="str">
        <f t="shared" si="2414"/>
        <v>0</v>
      </c>
      <c r="O3465" s="1" t="str">
        <f>"2.99"</f>
        <v>2.99</v>
      </c>
    </row>
    <row r="3466" s="1" customFormat="1" spans="1:15">
      <c r="A3466" s="1" t="str">
        <f t="shared" si="2405"/>
        <v>202406</v>
      </c>
      <c r="B3466" s="1" t="str">
        <f t="shared" si="2406"/>
        <v>150525100</v>
      </c>
      <c r="C3466" s="1" t="str">
        <f>"1040689341"</f>
        <v>1040689341</v>
      </c>
      <c r="D3466" s="1" t="str">
        <f>"152326195507130443"</f>
        <v>152326195507130443</v>
      </c>
      <c r="E3466" s="1" t="s">
        <v>3531</v>
      </c>
      <c r="F3466" s="1" t="s">
        <v>16</v>
      </c>
      <c r="G3466" s="1" t="s">
        <v>17</v>
      </c>
      <c r="H3466" s="1" t="str">
        <f>"69"</f>
        <v>69</v>
      </c>
      <c r="I3466" s="1" t="str">
        <f>"169.67"</f>
        <v>169.67</v>
      </c>
      <c r="J3466" s="1" t="str">
        <f t="shared" ref="J3466:N3466" si="2415">"0"</f>
        <v>0</v>
      </c>
      <c r="K3466" s="1" t="str">
        <f t="shared" si="2370"/>
        <v>103</v>
      </c>
      <c r="L3466" s="1" t="str">
        <f t="shared" si="2371"/>
        <v>47</v>
      </c>
      <c r="M3466" s="1" t="str">
        <f t="shared" si="2415"/>
        <v>0</v>
      </c>
      <c r="N3466" s="1" t="str">
        <f t="shared" si="2415"/>
        <v>0</v>
      </c>
      <c r="O3466" s="1" t="str">
        <f>"19.67"</f>
        <v>19.67</v>
      </c>
    </row>
    <row r="3467" s="1" customFormat="1" spans="1:15">
      <c r="A3467" s="1" t="str">
        <f t="shared" si="2405"/>
        <v>202406</v>
      </c>
      <c r="B3467" s="1" t="str">
        <f t="shared" si="2406"/>
        <v>150525100</v>
      </c>
      <c r="C3467" s="1" t="str">
        <f>"1040689615"</f>
        <v>1040689615</v>
      </c>
      <c r="D3467" s="1" t="str">
        <f>"152326196303080688"</f>
        <v>152326196303080688</v>
      </c>
      <c r="E3467" s="1" t="s">
        <v>3532</v>
      </c>
      <c r="F3467" s="1" t="s">
        <v>16</v>
      </c>
      <c r="G3467" s="1" t="s">
        <v>17</v>
      </c>
      <c r="H3467" s="1" t="str">
        <f>"61"</f>
        <v>61</v>
      </c>
      <c r="I3467" s="1" t="str">
        <f>"164.02"</f>
        <v>164.02</v>
      </c>
      <c r="J3467" s="1" t="str">
        <f t="shared" ref="J3467:N3467" si="2416">"0"</f>
        <v>0</v>
      </c>
      <c r="K3467" s="1" t="str">
        <f t="shared" si="2370"/>
        <v>103</v>
      </c>
      <c r="L3467" s="1" t="str">
        <f t="shared" si="2371"/>
        <v>47</v>
      </c>
      <c r="M3467" s="1" t="str">
        <f t="shared" si="2416"/>
        <v>0</v>
      </c>
      <c r="N3467" s="1" t="str">
        <f t="shared" si="2416"/>
        <v>0</v>
      </c>
      <c r="O3467" s="1" t="str">
        <f>"14.02"</f>
        <v>14.02</v>
      </c>
    </row>
    <row r="3468" s="1" customFormat="1" spans="1:15">
      <c r="A3468" s="1" t="str">
        <f t="shared" si="2405"/>
        <v>202406</v>
      </c>
      <c r="B3468" s="1" t="str">
        <f t="shared" si="2406"/>
        <v>150525100</v>
      </c>
      <c r="C3468" s="1" t="str">
        <f>"1040681227"</f>
        <v>1040681227</v>
      </c>
      <c r="D3468" s="1" t="str">
        <f>"152326195711063073"</f>
        <v>152326195711063073</v>
      </c>
      <c r="E3468" s="1" t="s">
        <v>3533</v>
      </c>
      <c r="F3468" s="1" t="s">
        <v>25</v>
      </c>
      <c r="G3468" s="1" t="s">
        <v>17</v>
      </c>
      <c r="H3468" s="1" t="str">
        <f>"67"</f>
        <v>67</v>
      </c>
      <c r="I3468" s="1" t="str">
        <f>"154.88"</f>
        <v>154.88</v>
      </c>
      <c r="J3468" s="1" t="str">
        <f t="shared" ref="J3468:N3468" si="2417">"0"</f>
        <v>0</v>
      </c>
      <c r="K3468" s="1" t="str">
        <f t="shared" si="2370"/>
        <v>103</v>
      </c>
      <c r="L3468" s="1" t="str">
        <f t="shared" si="2371"/>
        <v>47</v>
      </c>
      <c r="M3468" s="1" t="str">
        <f t="shared" si="2417"/>
        <v>0</v>
      </c>
      <c r="N3468" s="1" t="str">
        <f t="shared" si="2417"/>
        <v>0</v>
      </c>
      <c r="O3468" s="1" t="str">
        <f>"4.88"</f>
        <v>4.88</v>
      </c>
    </row>
    <row r="3469" s="1" customFormat="1" spans="1:15">
      <c r="A3469" s="1" t="str">
        <f t="shared" si="2405"/>
        <v>202406</v>
      </c>
      <c r="B3469" s="1" t="str">
        <f t="shared" si="2406"/>
        <v>150525100</v>
      </c>
      <c r="C3469" s="1" t="str">
        <f>"1040681241"</f>
        <v>1040681241</v>
      </c>
      <c r="D3469" s="1" t="str">
        <f>"152326196112293082"</f>
        <v>152326196112293082</v>
      </c>
      <c r="E3469" s="1" t="s">
        <v>1641</v>
      </c>
      <c r="F3469" s="1" t="s">
        <v>16</v>
      </c>
      <c r="G3469" s="1" t="s">
        <v>17</v>
      </c>
      <c r="H3469" s="1" t="str">
        <f>"63"</f>
        <v>63</v>
      </c>
      <c r="I3469" s="1" t="str">
        <f>"159.86"</f>
        <v>159.86</v>
      </c>
      <c r="J3469" s="1" t="str">
        <f t="shared" ref="J3469:N3469" si="2418">"0"</f>
        <v>0</v>
      </c>
      <c r="K3469" s="1" t="str">
        <f t="shared" si="2370"/>
        <v>103</v>
      </c>
      <c r="L3469" s="1" t="str">
        <f t="shared" si="2371"/>
        <v>47</v>
      </c>
      <c r="M3469" s="1" t="str">
        <f t="shared" si="2418"/>
        <v>0</v>
      </c>
      <c r="N3469" s="1" t="str">
        <f t="shared" si="2418"/>
        <v>0</v>
      </c>
      <c r="O3469" s="1" t="str">
        <f>"9.86"</f>
        <v>9.86</v>
      </c>
    </row>
    <row r="3470" s="1" customFormat="1" spans="1:15">
      <c r="A3470" s="1" t="str">
        <f t="shared" si="2405"/>
        <v>202406</v>
      </c>
      <c r="B3470" s="1" t="str">
        <f t="shared" si="2406"/>
        <v>150525100</v>
      </c>
      <c r="C3470" s="1" t="str">
        <f>"1040681235"</f>
        <v>1040681235</v>
      </c>
      <c r="D3470" s="1" t="str">
        <f>"152326196012133073"</f>
        <v>152326196012133073</v>
      </c>
      <c r="E3470" s="1" t="s">
        <v>3534</v>
      </c>
      <c r="F3470" s="1" t="s">
        <v>25</v>
      </c>
      <c r="G3470" s="1" t="s">
        <v>17</v>
      </c>
      <c r="H3470" s="1" t="str">
        <f>"64"</f>
        <v>64</v>
      </c>
      <c r="I3470" s="1" t="str">
        <f>"158.01"</f>
        <v>158.01</v>
      </c>
      <c r="J3470" s="1" t="str">
        <f t="shared" ref="J3470:N3470" si="2419">"0"</f>
        <v>0</v>
      </c>
      <c r="K3470" s="1" t="str">
        <f t="shared" si="2370"/>
        <v>103</v>
      </c>
      <c r="L3470" s="1" t="str">
        <f t="shared" si="2371"/>
        <v>47</v>
      </c>
      <c r="M3470" s="1" t="str">
        <f t="shared" si="2419"/>
        <v>0</v>
      </c>
      <c r="N3470" s="1" t="str">
        <f t="shared" si="2419"/>
        <v>0</v>
      </c>
      <c r="O3470" s="1" t="str">
        <f>"8.01"</f>
        <v>8.01</v>
      </c>
    </row>
    <row r="3471" s="1" customFormat="1" spans="1:15">
      <c r="A3471" s="1" t="str">
        <f t="shared" si="2405"/>
        <v>202406</v>
      </c>
      <c r="B3471" s="1" t="str">
        <f t="shared" si="2406"/>
        <v>150525100</v>
      </c>
      <c r="C3471" s="1" t="str">
        <f>"1040681319"</f>
        <v>1040681319</v>
      </c>
      <c r="D3471" s="1" t="str">
        <f>"152326195502050671"</f>
        <v>152326195502050671</v>
      </c>
      <c r="E3471" s="1" t="s">
        <v>3535</v>
      </c>
      <c r="F3471" s="1" t="s">
        <v>25</v>
      </c>
      <c r="G3471" s="1" t="s">
        <v>17</v>
      </c>
      <c r="H3471" s="1" t="str">
        <f>"69"</f>
        <v>69</v>
      </c>
      <c r="I3471" s="1" t="str">
        <f>"153.89"</f>
        <v>153.89</v>
      </c>
      <c r="J3471" s="1" t="str">
        <f t="shared" ref="J3471:N3471" si="2420">"0"</f>
        <v>0</v>
      </c>
      <c r="K3471" s="1" t="str">
        <f t="shared" si="2370"/>
        <v>103</v>
      </c>
      <c r="L3471" s="1" t="str">
        <f t="shared" si="2371"/>
        <v>47</v>
      </c>
      <c r="M3471" s="1" t="str">
        <f t="shared" si="2420"/>
        <v>0</v>
      </c>
      <c r="N3471" s="1" t="str">
        <f t="shared" si="2420"/>
        <v>0</v>
      </c>
      <c r="O3471" s="1" t="str">
        <f>"3.89"</f>
        <v>3.89</v>
      </c>
    </row>
    <row r="3472" s="1" customFormat="1" spans="1:15">
      <c r="A3472" s="1" t="str">
        <f t="shared" si="2405"/>
        <v>202406</v>
      </c>
      <c r="B3472" s="1" t="str">
        <f t="shared" si="2406"/>
        <v>150525100</v>
      </c>
      <c r="C3472" s="1" t="str">
        <f>"1040681335"</f>
        <v>1040681335</v>
      </c>
      <c r="D3472" s="1" t="str">
        <f>"152326195907130661"</f>
        <v>152326195907130661</v>
      </c>
      <c r="E3472" s="1" t="s">
        <v>3536</v>
      </c>
      <c r="F3472" s="1" t="s">
        <v>16</v>
      </c>
      <c r="G3472" s="1" t="s">
        <v>17</v>
      </c>
      <c r="H3472" s="1" t="str">
        <f>"65"</f>
        <v>65</v>
      </c>
      <c r="I3472" s="1" t="str">
        <f>"156.94"</f>
        <v>156.94</v>
      </c>
      <c r="J3472" s="1" t="str">
        <f t="shared" ref="J3472:N3472" si="2421">"0"</f>
        <v>0</v>
      </c>
      <c r="K3472" s="1" t="str">
        <f t="shared" si="2370"/>
        <v>103</v>
      </c>
      <c r="L3472" s="1" t="str">
        <f t="shared" si="2371"/>
        <v>47</v>
      </c>
      <c r="M3472" s="1" t="str">
        <f t="shared" si="2421"/>
        <v>0</v>
      </c>
      <c r="N3472" s="1" t="str">
        <f t="shared" si="2421"/>
        <v>0</v>
      </c>
      <c r="O3472" s="1" t="str">
        <f>"6.94"</f>
        <v>6.94</v>
      </c>
    </row>
    <row r="3473" s="1" customFormat="1" spans="1:15">
      <c r="A3473" s="1" t="str">
        <f t="shared" si="2405"/>
        <v>202406</v>
      </c>
      <c r="B3473" s="1" t="str">
        <f t="shared" si="2406"/>
        <v>150525100</v>
      </c>
      <c r="C3473" s="1" t="str">
        <f>"1040681359"</f>
        <v>1040681359</v>
      </c>
      <c r="D3473" s="1" t="str">
        <f>"152326196009293076"</f>
        <v>152326196009293076</v>
      </c>
      <c r="E3473" s="1" t="s">
        <v>26</v>
      </c>
      <c r="F3473" s="1" t="s">
        <v>25</v>
      </c>
      <c r="G3473" s="1" t="s">
        <v>19</v>
      </c>
      <c r="H3473" s="1" t="str">
        <f>"64"</f>
        <v>64</v>
      </c>
      <c r="I3473" s="1" t="str">
        <f>"157.98"</f>
        <v>157.98</v>
      </c>
      <c r="J3473" s="1" t="str">
        <f t="shared" ref="J3473:N3473" si="2422">"0"</f>
        <v>0</v>
      </c>
      <c r="K3473" s="1" t="str">
        <f t="shared" si="2370"/>
        <v>103</v>
      </c>
      <c r="L3473" s="1" t="str">
        <f t="shared" si="2371"/>
        <v>47</v>
      </c>
      <c r="M3473" s="1" t="str">
        <f t="shared" si="2422"/>
        <v>0</v>
      </c>
      <c r="N3473" s="1" t="str">
        <f t="shared" si="2422"/>
        <v>0</v>
      </c>
      <c r="O3473" s="1" t="str">
        <f>"7.98"</f>
        <v>7.98</v>
      </c>
    </row>
    <row r="3474" s="1" customFormat="1" spans="1:15">
      <c r="A3474" s="1" t="str">
        <f t="shared" si="2405"/>
        <v>202406</v>
      </c>
      <c r="B3474" s="1" t="str">
        <f t="shared" si="2406"/>
        <v>150525100</v>
      </c>
      <c r="C3474" s="1" t="str">
        <f>"1040681382"</f>
        <v>1040681382</v>
      </c>
      <c r="D3474" s="1" t="str">
        <f>"152326195603250664"</f>
        <v>152326195603250664</v>
      </c>
      <c r="E3474" s="1" t="s">
        <v>470</v>
      </c>
      <c r="F3474" s="1" t="s">
        <v>16</v>
      </c>
      <c r="G3474" s="1" t="s">
        <v>17</v>
      </c>
      <c r="H3474" s="1" t="str">
        <f>"68"</f>
        <v>68</v>
      </c>
      <c r="I3474" s="1" t="str">
        <f>"186.08"</f>
        <v>186.08</v>
      </c>
      <c r="J3474" s="1" t="str">
        <f t="shared" ref="J3474:N3474" si="2423">"0"</f>
        <v>0</v>
      </c>
      <c r="K3474" s="1" t="str">
        <f t="shared" si="2370"/>
        <v>103</v>
      </c>
      <c r="L3474" s="1" t="str">
        <f t="shared" si="2371"/>
        <v>47</v>
      </c>
      <c r="M3474" s="1" t="str">
        <f t="shared" si="2423"/>
        <v>0</v>
      </c>
      <c r="N3474" s="1" t="str">
        <f t="shared" si="2423"/>
        <v>0</v>
      </c>
      <c r="O3474" s="1" t="str">
        <f>"36.08"</f>
        <v>36.08</v>
      </c>
    </row>
    <row r="3475" s="1" customFormat="1" spans="1:15">
      <c r="A3475" s="1" t="str">
        <f t="shared" si="2405"/>
        <v>202406</v>
      </c>
      <c r="B3475" s="1" t="str">
        <f t="shared" si="2406"/>
        <v>150525100</v>
      </c>
      <c r="C3475" s="1" t="str">
        <f>"1040682489"</f>
        <v>1040682489</v>
      </c>
      <c r="D3475" s="1" t="s">
        <v>3537</v>
      </c>
      <c r="E3475" s="1" t="s">
        <v>3538</v>
      </c>
      <c r="F3475" s="1" t="s">
        <v>16</v>
      </c>
      <c r="G3475" s="1" t="s">
        <v>19</v>
      </c>
      <c r="H3475" s="1" t="str">
        <f>"62"</f>
        <v>62</v>
      </c>
      <c r="I3475" s="1" t="str">
        <f>"161.09"</f>
        <v>161.09</v>
      </c>
      <c r="J3475" s="1" t="str">
        <f t="shared" ref="J3475:N3475" si="2424">"0"</f>
        <v>0</v>
      </c>
      <c r="K3475" s="1" t="str">
        <f t="shared" si="2370"/>
        <v>103</v>
      </c>
      <c r="L3475" s="1" t="str">
        <f t="shared" si="2371"/>
        <v>47</v>
      </c>
      <c r="M3475" s="1" t="str">
        <f t="shared" si="2424"/>
        <v>0</v>
      </c>
      <c r="N3475" s="1" t="str">
        <f t="shared" si="2424"/>
        <v>0</v>
      </c>
      <c r="O3475" s="1" t="str">
        <f>"11.09"</f>
        <v>11.09</v>
      </c>
    </row>
    <row r="3476" s="1" customFormat="1" spans="1:15">
      <c r="A3476" s="1" t="str">
        <f t="shared" si="2405"/>
        <v>202406</v>
      </c>
      <c r="B3476" s="1" t="str">
        <f t="shared" si="2406"/>
        <v>150525100</v>
      </c>
      <c r="C3476" s="1" t="str">
        <f>"1040682497"</f>
        <v>1040682497</v>
      </c>
      <c r="D3476" s="1" t="str">
        <f>"152326195406063819"</f>
        <v>152326195406063819</v>
      </c>
      <c r="E3476" s="1" t="s">
        <v>3539</v>
      </c>
      <c r="F3476" s="1" t="s">
        <v>25</v>
      </c>
      <c r="G3476" s="1" t="s">
        <v>17</v>
      </c>
      <c r="H3476" s="1" t="str">
        <f>"70"</f>
        <v>70</v>
      </c>
      <c r="I3476" s="1" t="str">
        <f>"1529.3"</f>
        <v>1529.3</v>
      </c>
      <c r="J3476" s="1" t="str">
        <f>"1376.37"</f>
        <v>1376.37</v>
      </c>
      <c r="K3476" s="1" t="str">
        <f>"1030"</f>
        <v>1030</v>
      </c>
      <c r="L3476" s="1" t="str">
        <f>"470"</f>
        <v>470</v>
      </c>
      <c r="M3476" s="1" t="str">
        <f t="shared" ref="M3476:M3539" si="2425">"0"</f>
        <v>0</v>
      </c>
      <c r="N3476" s="1" t="str">
        <f t="shared" ref="N3476:N3539" si="2426">"0"</f>
        <v>0</v>
      </c>
      <c r="O3476" s="1" t="str">
        <f>"29.3"</f>
        <v>29.3</v>
      </c>
    </row>
    <row r="3477" s="1" customFormat="1" spans="1:15">
      <c r="A3477" s="1" t="str">
        <f t="shared" si="2405"/>
        <v>202406</v>
      </c>
      <c r="B3477" s="1" t="str">
        <f t="shared" si="2406"/>
        <v>150525100</v>
      </c>
      <c r="C3477" s="1" t="str">
        <f>"1040682498"</f>
        <v>1040682498</v>
      </c>
      <c r="D3477" s="1" t="str">
        <f>"152326195702023862"</f>
        <v>152326195702023862</v>
      </c>
      <c r="E3477" s="1" t="s">
        <v>3540</v>
      </c>
      <c r="F3477" s="1" t="s">
        <v>16</v>
      </c>
      <c r="G3477" s="1" t="s">
        <v>17</v>
      </c>
      <c r="H3477" s="1" t="str">
        <f>"67"</f>
        <v>67</v>
      </c>
      <c r="I3477" s="1" t="str">
        <f>"1548.2"</f>
        <v>1548.2</v>
      </c>
      <c r="J3477" s="1" t="str">
        <f>"1393.38"</f>
        <v>1393.38</v>
      </c>
      <c r="K3477" s="1" t="str">
        <f>"1030"</f>
        <v>1030</v>
      </c>
      <c r="L3477" s="1" t="str">
        <f>"470"</f>
        <v>470</v>
      </c>
      <c r="M3477" s="1" t="str">
        <f t="shared" si="2425"/>
        <v>0</v>
      </c>
      <c r="N3477" s="1" t="str">
        <f t="shared" si="2426"/>
        <v>0</v>
      </c>
      <c r="O3477" s="1" t="str">
        <f>"48.2"</f>
        <v>48.2</v>
      </c>
    </row>
    <row r="3478" s="1" customFormat="1" spans="1:15">
      <c r="A3478" s="1" t="str">
        <f t="shared" si="2405"/>
        <v>202406</v>
      </c>
      <c r="B3478" s="1" t="str">
        <f t="shared" si="2406"/>
        <v>150525100</v>
      </c>
      <c r="C3478" s="1" t="str">
        <f>"1040682504"</f>
        <v>1040682504</v>
      </c>
      <c r="D3478" s="1" t="s">
        <v>3541</v>
      </c>
      <c r="E3478" s="1" t="s">
        <v>3542</v>
      </c>
      <c r="F3478" s="1" t="s">
        <v>25</v>
      </c>
      <c r="G3478" s="1" t="s">
        <v>19</v>
      </c>
      <c r="H3478" s="1" t="str">
        <f>"66"</f>
        <v>66</v>
      </c>
      <c r="I3478" s="1" t="str">
        <f>"155.9"</f>
        <v>155.9</v>
      </c>
      <c r="J3478" s="1" t="str">
        <f t="shared" ref="J3478:J3541" si="2427">"0"</f>
        <v>0</v>
      </c>
      <c r="K3478" s="1" t="str">
        <f t="shared" ref="K3478:K3491" si="2428">"103"</f>
        <v>103</v>
      </c>
      <c r="L3478" s="1" t="str">
        <f t="shared" ref="L3478:L3491" si="2429">"47"</f>
        <v>47</v>
      </c>
      <c r="M3478" s="1" t="str">
        <f t="shared" si="2425"/>
        <v>0</v>
      </c>
      <c r="N3478" s="1" t="str">
        <f t="shared" si="2426"/>
        <v>0</v>
      </c>
      <c r="O3478" s="1" t="str">
        <f>"5.9"</f>
        <v>5.9</v>
      </c>
    </row>
    <row r="3479" s="1" customFormat="1" spans="1:15">
      <c r="A3479" s="1" t="str">
        <f t="shared" si="2405"/>
        <v>202406</v>
      </c>
      <c r="B3479" s="1" t="str">
        <f t="shared" si="2406"/>
        <v>150525100</v>
      </c>
      <c r="C3479" s="1" t="str">
        <f>"1040682512"</f>
        <v>1040682512</v>
      </c>
      <c r="D3479" s="1" t="s">
        <v>3543</v>
      </c>
      <c r="E3479" s="1" t="s">
        <v>3544</v>
      </c>
      <c r="F3479" s="1" t="s">
        <v>16</v>
      </c>
      <c r="G3479" s="1" t="s">
        <v>19</v>
      </c>
      <c r="H3479" s="1" t="str">
        <f t="shared" ref="H3479:H3481" si="2430">"68"</f>
        <v>68</v>
      </c>
      <c r="I3479" s="1" t="str">
        <f t="shared" ref="I3479:I3481" si="2431">"154.82"</f>
        <v>154.82</v>
      </c>
      <c r="J3479" s="1" t="str">
        <f t="shared" si="2427"/>
        <v>0</v>
      </c>
      <c r="K3479" s="1" t="str">
        <f t="shared" si="2428"/>
        <v>103</v>
      </c>
      <c r="L3479" s="1" t="str">
        <f t="shared" si="2429"/>
        <v>47</v>
      </c>
      <c r="M3479" s="1" t="str">
        <f t="shared" si="2425"/>
        <v>0</v>
      </c>
      <c r="N3479" s="1" t="str">
        <f t="shared" si="2426"/>
        <v>0</v>
      </c>
      <c r="O3479" s="1" t="str">
        <f t="shared" ref="O3479:O3481" si="2432">"4.82"</f>
        <v>4.82</v>
      </c>
    </row>
    <row r="3480" s="1" customFormat="1" spans="1:15">
      <c r="A3480" s="1" t="str">
        <f t="shared" si="2405"/>
        <v>202406</v>
      </c>
      <c r="B3480" s="1" t="str">
        <f t="shared" si="2406"/>
        <v>150525100</v>
      </c>
      <c r="C3480" s="1" t="str">
        <f>"1040682521"</f>
        <v>1040682521</v>
      </c>
      <c r="D3480" s="1" t="s">
        <v>3545</v>
      </c>
      <c r="E3480" s="1" t="s">
        <v>470</v>
      </c>
      <c r="F3480" s="1" t="s">
        <v>16</v>
      </c>
      <c r="G3480" s="1" t="s">
        <v>17</v>
      </c>
      <c r="H3480" s="1" t="str">
        <f t="shared" si="2430"/>
        <v>68</v>
      </c>
      <c r="I3480" s="1" t="str">
        <f t="shared" si="2431"/>
        <v>154.82</v>
      </c>
      <c r="J3480" s="1" t="str">
        <f t="shared" si="2427"/>
        <v>0</v>
      </c>
      <c r="K3480" s="1" t="str">
        <f t="shared" si="2428"/>
        <v>103</v>
      </c>
      <c r="L3480" s="1" t="str">
        <f t="shared" si="2429"/>
        <v>47</v>
      </c>
      <c r="M3480" s="1" t="str">
        <f t="shared" si="2425"/>
        <v>0</v>
      </c>
      <c r="N3480" s="1" t="str">
        <f t="shared" si="2426"/>
        <v>0</v>
      </c>
      <c r="O3480" s="1" t="str">
        <f t="shared" si="2432"/>
        <v>4.82</v>
      </c>
    </row>
    <row r="3481" s="1" customFormat="1" spans="1:15">
      <c r="A3481" s="1" t="str">
        <f t="shared" si="2405"/>
        <v>202406</v>
      </c>
      <c r="B3481" s="1" t="str">
        <f t="shared" si="2406"/>
        <v>150525100</v>
      </c>
      <c r="C3481" s="1" t="str">
        <f>"1040682543"</f>
        <v>1040682543</v>
      </c>
      <c r="D3481" s="1" t="str">
        <f>"152326195609083326"</f>
        <v>152326195609083326</v>
      </c>
      <c r="E3481" s="1" t="s">
        <v>3546</v>
      </c>
      <c r="F3481" s="1" t="s">
        <v>16</v>
      </c>
      <c r="G3481" s="1" t="s">
        <v>17</v>
      </c>
      <c r="H3481" s="1" t="str">
        <f t="shared" si="2430"/>
        <v>68</v>
      </c>
      <c r="I3481" s="1" t="str">
        <f t="shared" si="2431"/>
        <v>154.82</v>
      </c>
      <c r="J3481" s="1" t="str">
        <f t="shared" si="2427"/>
        <v>0</v>
      </c>
      <c r="K3481" s="1" t="str">
        <f t="shared" si="2428"/>
        <v>103</v>
      </c>
      <c r="L3481" s="1" t="str">
        <f t="shared" si="2429"/>
        <v>47</v>
      </c>
      <c r="M3481" s="1" t="str">
        <f t="shared" si="2425"/>
        <v>0</v>
      </c>
      <c r="N3481" s="1" t="str">
        <f t="shared" si="2426"/>
        <v>0</v>
      </c>
      <c r="O3481" s="1" t="str">
        <f t="shared" si="2432"/>
        <v>4.82</v>
      </c>
    </row>
    <row r="3482" s="1" customFormat="1" spans="1:15">
      <c r="A3482" s="1" t="str">
        <f t="shared" si="2405"/>
        <v>202406</v>
      </c>
      <c r="B3482" s="1" t="str">
        <f t="shared" si="2406"/>
        <v>150525100</v>
      </c>
      <c r="C3482" s="1" t="str">
        <f>"1040682552"</f>
        <v>1040682552</v>
      </c>
      <c r="D3482" s="1" t="s">
        <v>3547</v>
      </c>
      <c r="E3482" s="1" t="s">
        <v>3349</v>
      </c>
      <c r="F3482" s="1" t="s">
        <v>25</v>
      </c>
      <c r="G3482" s="1" t="s">
        <v>17</v>
      </c>
      <c r="H3482" s="1" t="str">
        <f>"64"</f>
        <v>64</v>
      </c>
      <c r="I3482" s="1" t="str">
        <f>"158.02"</f>
        <v>158.02</v>
      </c>
      <c r="J3482" s="1" t="str">
        <f t="shared" si="2427"/>
        <v>0</v>
      </c>
      <c r="K3482" s="1" t="str">
        <f t="shared" si="2428"/>
        <v>103</v>
      </c>
      <c r="L3482" s="1" t="str">
        <f t="shared" si="2429"/>
        <v>47</v>
      </c>
      <c r="M3482" s="1" t="str">
        <f t="shared" si="2425"/>
        <v>0</v>
      </c>
      <c r="N3482" s="1" t="str">
        <f t="shared" si="2426"/>
        <v>0</v>
      </c>
      <c r="O3482" s="1" t="str">
        <f>"8.02"</f>
        <v>8.02</v>
      </c>
    </row>
    <row r="3483" s="1" customFormat="1" spans="1:15">
      <c r="A3483" s="1" t="str">
        <f t="shared" si="2405"/>
        <v>202406</v>
      </c>
      <c r="B3483" s="1" t="str">
        <f t="shared" si="2406"/>
        <v>150525100</v>
      </c>
      <c r="C3483" s="1" t="str">
        <f>"1040690397"</f>
        <v>1040690397</v>
      </c>
      <c r="D3483" s="1" t="str">
        <f>"152326195706150674"</f>
        <v>152326195706150674</v>
      </c>
      <c r="E3483" s="1" t="s">
        <v>3548</v>
      </c>
      <c r="F3483" s="1" t="s">
        <v>25</v>
      </c>
      <c r="G3483" s="1" t="s">
        <v>19</v>
      </c>
      <c r="H3483" s="1" t="str">
        <f>"67"</f>
        <v>67</v>
      </c>
      <c r="I3483" s="1" t="str">
        <f>"154.91"</f>
        <v>154.91</v>
      </c>
      <c r="J3483" s="1" t="str">
        <f t="shared" si="2427"/>
        <v>0</v>
      </c>
      <c r="K3483" s="1" t="str">
        <f t="shared" si="2428"/>
        <v>103</v>
      </c>
      <c r="L3483" s="1" t="str">
        <f t="shared" si="2429"/>
        <v>47</v>
      </c>
      <c r="M3483" s="1" t="str">
        <f t="shared" si="2425"/>
        <v>0</v>
      </c>
      <c r="N3483" s="1" t="str">
        <f t="shared" si="2426"/>
        <v>0</v>
      </c>
      <c r="O3483" s="1" t="str">
        <f>"4.91"</f>
        <v>4.91</v>
      </c>
    </row>
    <row r="3484" s="1" customFormat="1" spans="1:15">
      <c r="A3484" s="1" t="str">
        <f t="shared" si="2405"/>
        <v>202406</v>
      </c>
      <c r="B3484" s="1" t="str">
        <f t="shared" si="2406"/>
        <v>150525100</v>
      </c>
      <c r="C3484" s="1" t="str">
        <f>"1040690398"</f>
        <v>1040690398</v>
      </c>
      <c r="D3484" s="1" t="str">
        <f>"152326195601200671"</f>
        <v>152326195601200671</v>
      </c>
      <c r="E3484" s="1" t="s">
        <v>3549</v>
      </c>
      <c r="F3484" s="1" t="s">
        <v>25</v>
      </c>
      <c r="G3484" s="1" t="s">
        <v>17</v>
      </c>
      <c r="H3484" s="1" t="str">
        <f>"68"</f>
        <v>68</v>
      </c>
      <c r="I3484" s="1" t="str">
        <f>"154.88"</f>
        <v>154.88</v>
      </c>
      <c r="J3484" s="1" t="str">
        <f t="shared" si="2427"/>
        <v>0</v>
      </c>
      <c r="K3484" s="1" t="str">
        <f t="shared" si="2428"/>
        <v>103</v>
      </c>
      <c r="L3484" s="1" t="str">
        <f t="shared" si="2429"/>
        <v>47</v>
      </c>
      <c r="M3484" s="1" t="str">
        <f t="shared" si="2425"/>
        <v>0</v>
      </c>
      <c r="N3484" s="1" t="str">
        <f t="shared" si="2426"/>
        <v>0</v>
      </c>
      <c r="O3484" s="1" t="str">
        <f>"4.88"</f>
        <v>4.88</v>
      </c>
    </row>
    <row r="3485" s="1" customFormat="1" spans="1:15">
      <c r="A3485" s="1" t="str">
        <f t="shared" si="2405"/>
        <v>202406</v>
      </c>
      <c r="B3485" s="1" t="str">
        <f t="shared" si="2406"/>
        <v>150525100</v>
      </c>
      <c r="C3485" s="1" t="str">
        <f>"1040690543"</f>
        <v>1040690543</v>
      </c>
      <c r="D3485" s="1" t="str">
        <f>"152326195409026378"</f>
        <v>152326195409026378</v>
      </c>
      <c r="E3485" s="1" t="s">
        <v>1865</v>
      </c>
      <c r="F3485" s="1" t="s">
        <v>25</v>
      </c>
      <c r="G3485" s="1" t="s">
        <v>17</v>
      </c>
      <c r="H3485" s="1" t="str">
        <f>"70"</f>
        <v>70</v>
      </c>
      <c r="I3485" s="1" t="str">
        <f>"153.01"</f>
        <v>153.01</v>
      </c>
      <c r="J3485" s="1" t="str">
        <f t="shared" si="2427"/>
        <v>0</v>
      </c>
      <c r="K3485" s="1" t="str">
        <f t="shared" si="2428"/>
        <v>103</v>
      </c>
      <c r="L3485" s="1" t="str">
        <f t="shared" si="2429"/>
        <v>47</v>
      </c>
      <c r="M3485" s="1" t="str">
        <f t="shared" si="2425"/>
        <v>0</v>
      </c>
      <c r="N3485" s="1" t="str">
        <f t="shared" si="2426"/>
        <v>0</v>
      </c>
      <c r="O3485" s="1" t="str">
        <f>"3.01"</f>
        <v>3.01</v>
      </c>
    </row>
    <row r="3486" s="1" customFormat="1" spans="1:15">
      <c r="A3486" s="1" t="str">
        <f t="shared" si="2405"/>
        <v>202406</v>
      </c>
      <c r="B3486" s="1" t="str">
        <f t="shared" si="2406"/>
        <v>150525100</v>
      </c>
      <c r="C3486" s="1" t="str">
        <f>"1040690017"</f>
        <v>1040690017</v>
      </c>
      <c r="D3486" s="1" t="str">
        <f>"152326195908233072"</f>
        <v>152326195908233072</v>
      </c>
      <c r="E3486" s="1" t="s">
        <v>3550</v>
      </c>
      <c r="F3486" s="1" t="s">
        <v>25</v>
      </c>
      <c r="G3486" s="1" t="s">
        <v>19</v>
      </c>
      <c r="H3486" s="1" t="str">
        <f>"65"</f>
        <v>65</v>
      </c>
      <c r="I3486" s="1" t="str">
        <f>"157.25"</f>
        <v>157.25</v>
      </c>
      <c r="J3486" s="1" t="str">
        <f t="shared" si="2427"/>
        <v>0</v>
      </c>
      <c r="K3486" s="1" t="str">
        <f t="shared" si="2428"/>
        <v>103</v>
      </c>
      <c r="L3486" s="1" t="str">
        <f t="shared" si="2429"/>
        <v>47</v>
      </c>
      <c r="M3486" s="1" t="str">
        <f t="shared" si="2425"/>
        <v>0</v>
      </c>
      <c r="N3486" s="1" t="str">
        <f t="shared" si="2426"/>
        <v>0</v>
      </c>
      <c r="O3486" s="1" t="str">
        <f>"7.25"</f>
        <v>7.25</v>
      </c>
    </row>
    <row r="3487" s="1" customFormat="1" spans="1:15">
      <c r="A3487" s="1" t="str">
        <f t="shared" si="2405"/>
        <v>202406</v>
      </c>
      <c r="B3487" s="1" t="str">
        <f t="shared" si="2406"/>
        <v>150525100</v>
      </c>
      <c r="C3487" s="1" t="str">
        <f>"1040689992"</f>
        <v>1040689992</v>
      </c>
      <c r="D3487" s="1" t="s">
        <v>3551</v>
      </c>
      <c r="E3487" s="1" t="s">
        <v>3552</v>
      </c>
      <c r="F3487" s="1" t="s">
        <v>25</v>
      </c>
      <c r="G3487" s="1" t="s">
        <v>19</v>
      </c>
      <c r="H3487" s="1" t="str">
        <f>"70"</f>
        <v>70</v>
      </c>
      <c r="I3487" s="1" t="str">
        <f>"153.25"</f>
        <v>153.25</v>
      </c>
      <c r="J3487" s="1" t="str">
        <f t="shared" si="2427"/>
        <v>0</v>
      </c>
      <c r="K3487" s="1" t="str">
        <f t="shared" si="2428"/>
        <v>103</v>
      </c>
      <c r="L3487" s="1" t="str">
        <f t="shared" si="2429"/>
        <v>47</v>
      </c>
      <c r="M3487" s="1" t="str">
        <f t="shared" si="2425"/>
        <v>0</v>
      </c>
      <c r="N3487" s="1" t="str">
        <f t="shared" si="2426"/>
        <v>0</v>
      </c>
      <c r="O3487" s="1" t="str">
        <f>"3.25"</f>
        <v>3.25</v>
      </c>
    </row>
    <row r="3488" s="1" customFormat="1" spans="1:15">
      <c r="A3488" s="1" t="str">
        <f t="shared" si="2405"/>
        <v>202406</v>
      </c>
      <c r="B3488" s="1" t="str">
        <f t="shared" si="2406"/>
        <v>150525100</v>
      </c>
      <c r="C3488" s="1" t="str">
        <f>"1040690022"</f>
        <v>1040690022</v>
      </c>
      <c r="D3488" s="1" t="s">
        <v>3553</v>
      </c>
      <c r="E3488" s="1" t="s">
        <v>3554</v>
      </c>
      <c r="F3488" s="1" t="s">
        <v>16</v>
      </c>
      <c r="G3488" s="1" t="s">
        <v>17</v>
      </c>
      <c r="H3488" s="1" t="str">
        <f>"65"</f>
        <v>65</v>
      </c>
      <c r="I3488" s="1" t="str">
        <f>"157.19"</f>
        <v>157.19</v>
      </c>
      <c r="J3488" s="1" t="str">
        <f t="shared" si="2427"/>
        <v>0</v>
      </c>
      <c r="K3488" s="1" t="str">
        <f t="shared" si="2428"/>
        <v>103</v>
      </c>
      <c r="L3488" s="1" t="str">
        <f t="shared" si="2429"/>
        <v>47</v>
      </c>
      <c r="M3488" s="1" t="str">
        <f t="shared" si="2425"/>
        <v>0</v>
      </c>
      <c r="N3488" s="1" t="str">
        <f t="shared" si="2426"/>
        <v>0</v>
      </c>
      <c r="O3488" s="1" t="str">
        <f>"7.19"</f>
        <v>7.19</v>
      </c>
    </row>
    <row r="3489" s="1" customFormat="1" spans="1:15">
      <c r="A3489" s="1" t="str">
        <f t="shared" si="2405"/>
        <v>202406</v>
      </c>
      <c r="B3489" s="1" t="str">
        <f t="shared" si="2406"/>
        <v>150525100</v>
      </c>
      <c r="C3489" s="1" t="str">
        <f>"1040690369"</f>
        <v>1040690369</v>
      </c>
      <c r="D3489" s="1" t="str">
        <f>"152326195503243088"</f>
        <v>152326195503243088</v>
      </c>
      <c r="E3489" s="1" t="s">
        <v>3555</v>
      </c>
      <c r="F3489" s="1" t="s">
        <v>16</v>
      </c>
      <c r="G3489" s="1" t="s">
        <v>19</v>
      </c>
      <c r="H3489" s="1" t="str">
        <f>"69"</f>
        <v>69</v>
      </c>
      <c r="I3489" s="1" t="str">
        <f>"153.82"</f>
        <v>153.82</v>
      </c>
      <c r="J3489" s="1" t="str">
        <f t="shared" si="2427"/>
        <v>0</v>
      </c>
      <c r="K3489" s="1" t="str">
        <f t="shared" si="2428"/>
        <v>103</v>
      </c>
      <c r="L3489" s="1" t="str">
        <f t="shared" si="2429"/>
        <v>47</v>
      </c>
      <c r="M3489" s="1" t="str">
        <f t="shared" si="2425"/>
        <v>0</v>
      </c>
      <c r="N3489" s="1" t="str">
        <f t="shared" si="2426"/>
        <v>0</v>
      </c>
      <c r="O3489" s="1" t="str">
        <f>"3.82"</f>
        <v>3.82</v>
      </c>
    </row>
    <row r="3490" s="1" customFormat="1" spans="1:15">
      <c r="A3490" s="1" t="str">
        <f t="shared" si="2405"/>
        <v>202406</v>
      </c>
      <c r="B3490" s="1" t="str">
        <f t="shared" si="2406"/>
        <v>150525100</v>
      </c>
      <c r="C3490" s="1" t="str">
        <f>"1040690392"</f>
        <v>1040690392</v>
      </c>
      <c r="D3490" s="1" t="str">
        <f>"152326195703200672"</f>
        <v>152326195703200672</v>
      </c>
      <c r="E3490" s="1" t="s">
        <v>3556</v>
      </c>
      <c r="F3490" s="1" t="s">
        <v>25</v>
      </c>
      <c r="G3490" s="1" t="s">
        <v>19</v>
      </c>
      <c r="H3490" s="1" t="str">
        <f>"67"</f>
        <v>67</v>
      </c>
      <c r="I3490" s="1" t="str">
        <f>"154.9"</f>
        <v>154.9</v>
      </c>
      <c r="J3490" s="1" t="str">
        <f t="shared" si="2427"/>
        <v>0</v>
      </c>
      <c r="K3490" s="1" t="str">
        <f t="shared" si="2428"/>
        <v>103</v>
      </c>
      <c r="L3490" s="1" t="str">
        <f t="shared" si="2429"/>
        <v>47</v>
      </c>
      <c r="M3490" s="1" t="str">
        <f t="shared" si="2425"/>
        <v>0</v>
      </c>
      <c r="N3490" s="1" t="str">
        <f t="shared" si="2426"/>
        <v>0</v>
      </c>
      <c r="O3490" s="1" t="str">
        <f>"4.9"</f>
        <v>4.9</v>
      </c>
    </row>
    <row r="3491" s="1" customFormat="1" spans="1:15">
      <c r="A3491" s="1" t="str">
        <f t="shared" si="2405"/>
        <v>202406</v>
      </c>
      <c r="B3491" s="1" t="str">
        <f t="shared" si="2406"/>
        <v>150525100</v>
      </c>
      <c r="C3491" s="1" t="str">
        <f>"1040690413"</f>
        <v>1040690413</v>
      </c>
      <c r="D3491" s="1" t="str">
        <f>"152326195512270416"</f>
        <v>152326195512270416</v>
      </c>
      <c r="E3491" s="1" t="s">
        <v>3557</v>
      </c>
      <c r="F3491" s="1" t="s">
        <v>25</v>
      </c>
      <c r="G3491" s="1" t="s">
        <v>17</v>
      </c>
      <c r="H3491" s="1" t="str">
        <f t="shared" ref="H3491:H3496" si="2433">"69"</f>
        <v>69</v>
      </c>
      <c r="I3491" s="1" t="str">
        <f>"153.95"</f>
        <v>153.95</v>
      </c>
      <c r="J3491" s="1" t="str">
        <f t="shared" si="2427"/>
        <v>0</v>
      </c>
      <c r="K3491" s="1" t="str">
        <f t="shared" si="2428"/>
        <v>103</v>
      </c>
      <c r="L3491" s="1" t="str">
        <f t="shared" si="2429"/>
        <v>47</v>
      </c>
      <c r="M3491" s="1" t="str">
        <f t="shared" si="2425"/>
        <v>0</v>
      </c>
      <c r="N3491" s="1" t="str">
        <f t="shared" si="2426"/>
        <v>0</v>
      </c>
      <c r="O3491" s="1" t="str">
        <f>"3.95"</f>
        <v>3.95</v>
      </c>
    </row>
    <row r="3492" s="1" customFormat="1" spans="1:15">
      <c r="A3492" s="1" t="str">
        <f t="shared" si="2405"/>
        <v>202406</v>
      </c>
      <c r="B3492" s="1" t="str">
        <f t="shared" si="2406"/>
        <v>150525100</v>
      </c>
      <c r="C3492" s="1" t="str">
        <f>"1042521846"</f>
        <v>1042521846</v>
      </c>
      <c r="D3492" s="1" t="str">
        <f>"152326195904173818"</f>
        <v>152326195904173818</v>
      </c>
      <c r="E3492" s="1" t="s">
        <v>3558</v>
      </c>
      <c r="F3492" s="1" t="s">
        <v>25</v>
      </c>
      <c r="G3492" s="1" t="s">
        <v>17</v>
      </c>
      <c r="H3492" s="1" t="str">
        <f>"65"</f>
        <v>65</v>
      </c>
      <c r="I3492" s="1" t="str">
        <f>"2233.08"</f>
        <v>2233.08</v>
      </c>
      <c r="J3492" s="1" t="str">
        <f t="shared" si="2427"/>
        <v>0</v>
      </c>
      <c r="K3492" s="1" t="str">
        <f t="shared" ref="K3492:O3492" si="2434">"0"</f>
        <v>0</v>
      </c>
      <c r="L3492" s="1" t="str">
        <f t="shared" si="2434"/>
        <v>0</v>
      </c>
      <c r="M3492" s="1" t="str">
        <f t="shared" si="2425"/>
        <v>0</v>
      </c>
      <c r="N3492" s="1" t="str">
        <f t="shared" si="2426"/>
        <v>0</v>
      </c>
      <c r="O3492" s="1" t="str">
        <f t="shared" si="2434"/>
        <v>0</v>
      </c>
    </row>
    <row r="3493" s="1" customFormat="1" spans="1:15">
      <c r="A3493" s="1" t="str">
        <f t="shared" si="2405"/>
        <v>202406</v>
      </c>
      <c r="B3493" s="1" t="str">
        <f t="shared" si="2406"/>
        <v>150525100</v>
      </c>
      <c r="C3493" s="1" t="str">
        <f>"1014572745"</f>
        <v>1014572745</v>
      </c>
      <c r="D3493" s="1" t="str">
        <f>"152326196303190019"</f>
        <v>152326196303190019</v>
      </c>
      <c r="E3493" s="1" t="s">
        <v>299</v>
      </c>
      <c r="F3493" s="1" t="s">
        <v>25</v>
      </c>
      <c r="G3493" s="1" t="s">
        <v>19</v>
      </c>
      <c r="H3493" s="1" t="str">
        <f>"61"</f>
        <v>61</v>
      </c>
      <c r="I3493" s="1" t="str">
        <f>"164.94"</f>
        <v>164.94</v>
      </c>
      <c r="J3493" s="1" t="str">
        <f t="shared" si="2427"/>
        <v>0</v>
      </c>
      <c r="K3493" s="1" t="str">
        <f t="shared" ref="K3493:K3556" si="2435">"103"</f>
        <v>103</v>
      </c>
      <c r="L3493" s="1" t="str">
        <f t="shared" ref="L3493:L3556" si="2436">"47"</f>
        <v>47</v>
      </c>
      <c r="M3493" s="1" t="str">
        <f t="shared" si="2425"/>
        <v>0</v>
      </c>
      <c r="N3493" s="1" t="str">
        <f t="shared" si="2426"/>
        <v>0</v>
      </c>
      <c r="O3493" s="1" t="str">
        <f>"14.94"</f>
        <v>14.94</v>
      </c>
    </row>
    <row r="3494" s="1" customFormat="1" spans="1:15">
      <c r="A3494" s="1" t="str">
        <f t="shared" si="2405"/>
        <v>202406</v>
      </c>
      <c r="B3494" s="1" t="str">
        <f t="shared" si="2406"/>
        <v>150525100</v>
      </c>
      <c r="C3494" s="1" t="str">
        <f>"1014572844"</f>
        <v>1014572844</v>
      </c>
      <c r="D3494" s="1" t="str">
        <f>"152326196310100018"</f>
        <v>152326196310100018</v>
      </c>
      <c r="E3494" s="1" t="s">
        <v>3559</v>
      </c>
      <c r="F3494" s="1" t="s">
        <v>25</v>
      </c>
      <c r="G3494" s="1" t="s">
        <v>19</v>
      </c>
      <c r="H3494" s="1" t="str">
        <f>"61"</f>
        <v>61</v>
      </c>
      <c r="I3494" s="1" t="str">
        <f>"165.06"</f>
        <v>165.06</v>
      </c>
      <c r="J3494" s="1" t="str">
        <f t="shared" si="2427"/>
        <v>0</v>
      </c>
      <c r="K3494" s="1" t="str">
        <f t="shared" si="2435"/>
        <v>103</v>
      </c>
      <c r="L3494" s="1" t="str">
        <f t="shared" si="2436"/>
        <v>47</v>
      </c>
      <c r="M3494" s="1" t="str">
        <f t="shared" si="2425"/>
        <v>0</v>
      </c>
      <c r="N3494" s="1" t="str">
        <f t="shared" si="2426"/>
        <v>0</v>
      </c>
      <c r="O3494" s="1" t="str">
        <f>"15.06"</f>
        <v>15.06</v>
      </c>
    </row>
    <row r="3495" s="1" customFormat="1" spans="1:15">
      <c r="A3495" s="1" t="str">
        <f t="shared" si="2405"/>
        <v>202406</v>
      </c>
      <c r="B3495" s="1" t="str">
        <f t="shared" si="2406"/>
        <v>150525100</v>
      </c>
      <c r="C3495" s="1" t="str">
        <f>"1014573438"</f>
        <v>1014573438</v>
      </c>
      <c r="D3495" s="1" t="s">
        <v>3560</v>
      </c>
      <c r="E3495" s="1" t="s">
        <v>3561</v>
      </c>
      <c r="F3495" s="1" t="s">
        <v>16</v>
      </c>
      <c r="G3495" s="1" t="s">
        <v>17</v>
      </c>
      <c r="H3495" s="1" t="str">
        <f t="shared" si="2433"/>
        <v>69</v>
      </c>
      <c r="I3495" s="1" t="str">
        <f>"155.09"</f>
        <v>155.09</v>
      </c>
      <c r="J3495" s="1" t="str">
        <f t="shared" si="2427"/>
        <v>0</v>
      </c>
      <c r="K3495" s="1" t="str">
        <f t="shared" si="2435"/>
        <v>103</v>
      </c>
      <c r="L3495" s="1" t="str">
        <f t="shared" si="2436"/>
        <v>47</v>
      </c>
      <c r="M3495" s="1" t="str">
        <f t="shared" si="2425"/>
        <v>0</v>
      </c>
      <c r="N3495" s="1" t="str">
        <f t="shared" si="2426"/>
        <v>0</v>
      </c>
      <c r="O3495" s="1" t="str">
        <f>"5.09"</f>
        <v>5.09</v>
      </c>
    </row>
    <row r="3496" s="1" customFormat="1" spans="1:15">
      <c r="A3496" s="1" t="str">
        <f t="shared" si="2405"/>
        <v>202406</v>
      </c>
      <c r="B3496" s="1" t="str">
        <f t="shared" si="2406"/>
        <v>150525100</v>
      </c>
      <c r="C3496" s="1" t="str">
        <f>"1014573439"</f>
        <v>1014573439</v>
      </c>
      <c r="D3496" s="1" t="s">
        <v>3562</v>
      </c>
      <c r="E3496" s="1" t="s">
        <v>3563</v>
      </c>
      <c r="F3496" s="1" t="s">
        <v>16</v>
      </c>
      <c r="G3496" s="1" t="s">
        <v>19</v>
      </c>
      <c r="H3496" s="1" t="str">
        <f t="shared" si="2433"/>
        <v>69</v>
      </c>
      <c r="I3496" s="1" t="str">
        <f>"155.09"</f>
        <v>155.09</v>
      </c>
      <c r="J3496" s="1" t="str">
        <f t="shared" si="2427"/>
        <v>0</v>
      </c>
      <c r="K3496" s="1" t="str">
        <f t="shared" si="2435"/>
        <v>103</v>
      </c>
      <c r="L3496" s="1" t="str">
        <f t="shared" si="2436"/>
        <v>47</v>
      </c>
      <c r="M3496" s="1" t="str">
        <f t="shared" si="2425"/>
        <v>0</v>
      </c>
      <c r="N3496" s="1" t="str">
        <f t="shared" si="2426"/>
        <v>0</v>
      </c>
      <c r="O3496" s="1" t="str">
        <f>"5.09"</f>
        <v>5.09</v>
      </c>
    </row>
    <row r="3497" s="1" customFormat="1" spans="1:15">
      <c r="A3497" s="1" t="str">
        <f t="shared" si="2405"/>
        <v>202406</v>
      </c>
      <c r="B3497" s="1" t="str">
        <f t="shared" si="2406"/>
        <v>150525100</v>
      </c>
      <c r="C3497" s="1" t="str">
        <f>"1014575571"</f>
        <v>1014575571</v>
      </c>
      <c r="D3497" s="1" t="str">
        <f>"152326196201090674"</f>
        <v>152326196201090674</v>
      </c>
      <c r="E3497" s="1" t="s">
        <v>3564</v>
      </c>
      <c r="F3497" s="1" t="s">
        <v>25</v>
      </c>
      <c r="G3497" s="1" t="s">
        <v>17</v>
      </c>
      <c r="H3497" s="1" t="str">
        <f>"62"</f>
        <v>62</v>
      </c>
      <c r="I3497" s="1" t="str">
        <f>"162.9"</f>
        <v>162.9</v>
      </c>
      <c r="J3497" s="1" t="str">
        <f t="shared" si="2427"/>
        <v>0</v>
      </c>
      <c r="K3497" s="1" t="str">
        <f t="shared" si="2435"/>
        <v>103</v>
      </c>
      <c r="L3497" s="1" t="str">
        <f t="shared" si="2436"/>
        <v>47</v>
      </c>
      <c r="M3497" s="1" t="str">
        <f t="shared" si="2425"/>
        <v>0</v>
      </c>
      <c r="N3497" s="1" t="str">
        <f t="shared" si="2426"/>
        <v>0</v>
      </c>
      <c r="O3497" s="1" t="str">
        <f>"12.9"</f>
        <v>12.9</v>
      </c>
    </row>
    <row r="3498" s="1" customFormat="1" spans="1:15">
      <c r="A3498" s="1" t="str">
        <f t="shared" si="2405"/>
        <v>202406</v>
      </c>
      <c r="B3498" s="1" t="str">
        <f t="shared" si="2406"/>
        <v>150525100</v>
      </c>
      <c r="C3498" s="1" t="str">
        <f>"1014575581"</f>
        <v>1014575581</v>
      </c>
      <c r="D3498" s="1" t="str">
        <f>"152326196207150666"</f>
        <v>152326196207150666</v>
      </c>
      <c r="E3498" s="1" t="s">
        <v>51</v>
      </c>
      <c r="F3498" s="1" t="s">
        <v>16</v>
      </c>
      <c r="G3498" s="1" t="s">
        <v>17</v>
      </c>
      <c r="H3498" s="1" t="str">
        <f>"62"</f>
        <v>62</v>
      </c>
      <c r="I3498" s="1" t="str">
        <f>"163.07"</f>
        <v>163.07</v>
      </c>
      <c r="J3498" s="1" t="str">
        <f t="shared" si="2427"/>
        <v>0</v>
      </c>
      <c r="K3498" s="1" t="str">
        <f t="shared" si="2435"/>
        <v>103</v>
      </c>
      <c r="L3498" s="1" t="str">
        <f t="shared" si="2436"/>
        <v>47</v>
      </c>
      <c r="M3498" s="1" t="str">
        <f t="shared" si="2425"/>
        <v>0</v>
      </c>
      <c r="N3498" s="1" t="str">
        <f t="shared" si="2426"/>
        <v>0</v>
      </c>
      <c r="O3498" s="1" t="str">
        <f>"13.07"</f>
        <v>13.07</v>
      </c>
    </row>
    <row r="3499" s="1" customFormat="1" spans="1:15">
      <c r="A3499" s="1" t="str">
        <f t="shared" si="2405"/>
        <v>202406</v>
      </c>
      <c r="B3499" s="1" t="str">
        <f t="shared" si="2406"/>
        <v>150525100</v>
      </c>
      <c r="C3499" s="1" t="str">
        <f>"1014575780"</f>
        <v>1014575780</v>
      </c>
      <c r="D3499" s="1" t="str">
        <f>"152326195708060672"</f>
        <v>152326195708060672</v>
      </c>
      <c r="E3499" s="1" t="s">
        <v>3565</v>
      </c>
      <c r="F3499" s="1" t="s">
        <v>25</v>
      </c>
      <c r="G3499" s="1" t="s">
        <v>17</v>
      </c>
      <c r="H3499" s="1" t="str">
        <f>"67"</f>
        <v>67</v>
      </c>
      <c r="I3499" s="1" t="str">
        <f>"156.08"</f>
        <v>156.08</v>
      </c>
      <c r="J3499" s="1" t="str">
        <f t="shared" si="2427"/>
        <v>0</v>
      </c>
      <c r="K3499" s="1" t="str">
        <f t="shared" si="2435"/>
        <v>103</v>
      </c>
      <c r="L3499" s="1" t="str">
        <f t="shared" si="2436"/>
        <v>47</v>
      </c>
      <c r="M3499" s="1" t="str">
        <f t="shared" si="2425"/>
        <v>0</v>
      </c>
      <c r="N3499" s="1" t="str">
        <f t="shared" si="2426"/>
        <v>0</v>
      </c>
      <c r="O3499" s="1" t="str">
        <f>"6.08"</f>
        <v>6.08</v>
      </c>
    </row>
    <row r="3500" s="1" customFormat="1" spans="1:15">
      <c r="A3500" s="1" t="str">
        <f t="shared" si="2405"/>
        <v>202406</v>
      </c>
      <c r="B3500" s="1" t="str">
        <f t="shared" si="2406"/>
        <v>150525100</v>
      </c>
      <c r="C3500" s="1" t="str">
        <f>"1014575790"</f>
        <v>1014575790</v>
      </c>
      <c r="D3500" s="1" t="str">
        <f>"152326195907070670"</f>
        <v>152326195907070670</v>
      </c>
      <c r="E3500" s="1" t="s">
        <v>3566</v>
      </c>
      <c r="F3500" s="1" t="s">
        <v>25</v>
      </c>
      <c r="G3500" s="1" t="s">
        <v>17</v>
      </c>
      <c r="H3500" s="1" t="str">
        <f>"65"</f>
        <v>65</v>
      </c>
      <c r="I3500" s="1" t="str">
        <f>"158.16"</f>
        <v>158.16</v>
      </c>
      <c r="J3500" s="1" t="str">
        <f t="shared" si="2427"/>
        <v>0</v>
      </c>
      <c r="K3500" s="1" t="str">
        <f t="shared" si="2435"/>
        <v>103</v>
      </c>
      <c r="L3500" s="1" t="str">
        <f t="shared" si="2436"/>
        <v>47</v>
      </c>
      <c r="M3500" s="1" t="str">
        <f t="shared" si="2425"/>
        <v>0</v>
      </c>
      <c r="N3500" s="1" t="str">
        <f t="shared" si="2426"/>
        <v>0</v>
      </c>
      <c r="O3500" s="1" t="str">
        <f>"8.16"</f>
        <v>8.16</v>
      </c>
    </row>
    <row r="3501" s="1" customFormat="1" spans="1:15">
      <c r="A3501" s="1" t="str">
        <f t="shared" si="2405"/>
        <v>202406</v>
      </c>
      <c r="B3501" s="1" t="str">
        <f t="shared" si="2406"/>
        <v>150525100</v>
      </c>
      <c r="C3501" s="1" t="str">
        <f>"1014575793"</f>
        <v>1014575793</v>
      </c>
      <c r="D3501" s="1" t="str">
        <f>"152326195912170668"</f>
        <v>152326195912170668</v>
      </c>
      <c r="E3501" s="1" t="s">
        <v>3567</v>
      </c>
      <c r="F3501" s="1" t="s">
        <v>16</v>
      </c>
      <c r="G3501" s="1" t="s">
        <v>17</v>
      </c>
      <c r="H3501" s="1" t="str">
        <f>"65"</f>
        <v>65</v>
      </c>
      <c r="I3501" s="1" t="str">
        <f>"159.15"</f>
        <v>159.15</v>
      </c>
      <c r="J3501" s="1" t="str">
        <f t="shared" si="2427"/>
        <v>0</v>
      </c>
      <c r="K3501" s="1" t="str">
        <f t="shared" si="2435"/>
        <v>103</v>
      </c>
      <c r="L3501" s="1" t="str">
        <f t="shared" si="2436"/>
        <v>47</v>
      </c>
      <c r="M3501" s="1" t="str">
        <f t="shared" si="2425"/>
        <v>0</v>
      </c>
      <c r="N3501" s="1" t="str">
        <f t="shared" si="2426"/>
        <v>0</v>
      </c>
      <c r="O3501" s="1" t="str">
        <f>"9.15"</f>
        <v>9.15</v>
      </c>
    </row>
    <row r="3502" s="1" customFormat="1" spans="1:15">
      <c r="A3502" s="1" t="str">
        <f t="shared" si="2405"/>
        <v>202406</v>
      </c>
      <c r="B3502" s="1" t="str">
        <f t="shared" si="2406"/>
        <v>150525100</v>
      </c>
      <c r="C3502" s="1" t="str">
        <f>"1014576799"</f>
        <v>1014576799</v>
      </c>
      <c r="D3502" s="1" t="str">
        <f>"152326196304173835"</f>
        <v>152326196304173835</v>
      </c>
      <c r="E3502" s="1" t="s">
        <v>3568</v>
      </c>
      <c r="F3502" s="1" t="s">
        <v>25</v>
      </c>
      <c r="G3502" s="1" t="s">
        <v>17</v>
      </c>
      <c r="H3502" s="1" t="str">
        <f t="shared" ref="H3502:H3506" si="2437">"61"</f>
        <v>61</v>
      </c>
      <c r="I3502" s="1" t="str">
        <f>"164.98"</f>
        <v>164.98</v>
      </c>
      <c r="J3502" s="1" t="str">
        <f t="shared" si="2427"/>
        <v>0</v>
      </c>
      <c r="K3502" s="1" t="str">
        <f t="shared" si="2435"/>
        <v>103</v>
      </c>
      <c r="L3502" s="1" t="str">
        <f t="shared" si="2436"/>
        <v>47</v>
      </c>
      <c r="M3502" s="1" t="str">
        <f t="shared" si="2425"/>
        <v>0</v>
      </c>
      <c r="N3502" s="1" t="str">
        <f t="shared" si="2426"/>
        <v>0</v>
      </c>
      <c r="O3502" s="1" t="str">
        <f>"14.98"</f>
        <v>14.98</v>
      </c>
    </row>
    <row r="3503" s="1" customFormat="1" spans="1:15">
      <c r="A3503" s="1" t="str">
        <f t="shared" si="2405"/>
        <v>202406</v>
      </c>
      <c r="B3503" s="1" t="str">
        <f t="shared" si="2406"/>
        <v>150525100</v>
      </c>
      <c r="C3503" s="1" t="str">
        <f>"1014548342"</f>
        <v>1014548342</v>
      </c>
      <c r="D3503" s="1" t="str">
        <f>"152326195212070666"</f>
        <v>152326195212070666</v>
      </c>
      <c r="E3503" s="1" t="s">
        <v>3569</v>
      </c>
      <c r="F3503" s="1" t="s">
        <v>16</v>
      </c>
      <c r="G3503" s="1" t="s">
        <v>17</v>
      </c>
      <c r="H3503" s="1" t="str">
        <f>"72"</f>
        <v>72</v>
      </c>
      <c r="I3503" s="1" t="str">
        <f>"162.15"</f>
        <v>162.15</v>
      </c>
      <c r="J3503" s="1" t="str">
        <f t="shared" si="2427"/>
        <v>0</v>
      </c>
      <c r="K3503" s="1" t="str">
        <f t="shared" si="2435"/>
        <v>103</v>
      </c>
      <c r="L3503" s="1" t="str">
        <f t="shared" si="2436"/>
        <v>47</v>
      </c>
      <c r="M3503" s="1" t="str">
        <f t="shared" si="2425"/>
        <v>0</v>
      </c>
      <c r="N3503" s="1" t="str">
        <f t="shared" si="2426"/>
        <v>0</v>
      </c>
      <c r="O3503" s="1" t="str">
        <f>"2.15"</f>
        <v>2.15</v>
      </c>
    </row>
    <row r="3504" s="1" customFormat="1" spans="1:15">
      <c r="A3504" s="1" t="str">
        <f t="shared" si="2405"/>
        <v>202406</v>
      </c>
      <c r="B3504" s="1" t="str">
        <f t="shared" si="2406"/>
        <v>150525100</v>
      </c>
      <c r="C3504" s="1" t="str">
        <f>"1014548347"</f>
        <v>1014548347</v>
      </c>
      <c r="D3504" s="1" t="str">
        <f>"152326195212270668"</f>
        <v>152326195212270668</v>
      </c>
      <c r="E3504" s="1" t="s">
        <v>3570</v>
      </c>
      <c r="F3504" s="1" t="s">
        <v>16</v>
      </c>
      <c r="G3504" s="1" t="s">
        <v>17</v>
      </c>
      <c r="H3504" s="1" t="str">
        <f>"72"</f>
        <v>72</v>
      </c>
      <c r="I3504" s="1" t="str">
        <f>"162.15"</f>
        <v>162.15</v>
      </c>
      <c r="J3504" s="1" t="str">
        <f t="shared" si="2427"/>
        <v>0</v>
      </c>
      <c r="K3504" s="1" t="str">
        <f t="shared" si="2435"/>
        <v>103</v>
      </c>
      <c r="L3504" s="1" t="str">
        <f t="shared" si="2436"/>
        <v>47</v>
      </c>
      <c r="M3504" s="1" t="str">
        <f t="shared" si="2425"/>
        <v>0</v>
      </c>
      <c r="N3504" s="1" t="str">
        <f t="shared" si="2426"/>
        <v>0</v>
      </c>
      <c r="O3504" s="1" t="str">
        <f>"2.15"</f>
        <v>2.15</v>
      </c>
    </row>
    <row r="3505" s="1" customFormat="1" spans="1:15">
      <c r="A3505" s="1" t="str">
        <f t="shared" si="2405"/>
        <v>202406</v>
      </c>
      <c r="B3505" s="1" t="str">
        <f t="shared" si="2406"/>
        <v>150525100</v>
      </c>
      <c r="C3505" s="1" t="str">
        <f>"1014572747"</f>
        <v>1014572747</v>
      </c>
      <c r="D3505" s="1" t="str">
        <f>"152326196305160913"</f>
        <v>152326196305160913</v>
      </c>
      <c r="E3505" s="1" t="s">
        <v>3571</v>
      </c>
      <c r="F3505" s="1" t="s">
        <v>25</v>
      </c>
      <c r="G3505" s="1" t="s">
        <v>19</v>
      </c>
      <c r="H3505" s="1" t="str">
        <f t="shared" si="2437"/>
        <v>61</v>
      </c>
      <c r="I3505" s="1" t="str">
        <f>"164.71"</f>
        <v>164.71</v>
      </c>
      <c r="J3505" s="1" t="str">
        <f t="shared" si="2427"/>
        <v>0</v>
      </c>
      <c r="K3505" s="1" t="str">
        <f t="shared" si="2435"/>
        <v>103</v>
      </c>
      <c r="L3505" s="1" t="str">
        <f t="shared" si="2436"/>
        <v>47</v>
      </c>
      <c r="M3505" s="1" t="str">
        <f t="shared" si="2425"/>
        <v>0</v>
      </c>
      <c r="N3505" s="1" t="str">
        <f t="shared" si="2426"/>
        <v>0</v>
      </c>
      <c r="O3505" s="1" t="str">
        <f>"14.71"</f>
        <v>14.71</v>
      </c>
    </row>
    <row r="3506" s="1" customFormat="1" spans="1:15">
      <c r="A3506" s="1" t="str">
        <f t="shared" si="2405"/>
        <v>202406</v>
      </c>
      <c r="B3506" s="1" t="str">
        <f t="shared" si="2406"/>
        <v>150525100</v>
      </c>
      <c r="C3506" s="1" t="str">
        <f>"1014572749"</f>
        <v>1014572749</v>
      </c>
      <c r="D3506" s="1" t="str">
        <f>"152326196308010427"</f>
        <v>152326196308010427</v>
      </c>
      <c r="E3506" s="1" t="s">
        <v>3572</v>
      </c>
      <c r="F3506" s="1" t="s">
        <v>16</v>
      </c>
      <c r="G3506" s="1" t="s">
        <v>19</v>
      </c>
      <c r="H3506" s="1" t="str">
        <f t="shared" si="2437"/>
        <v>61</v>
      </c>
      <c r="I3506" s="1" t="str">
        <f>"165.06"</f>
        <v>165.06</v>
      </c>
      <c r="J3506" s="1" t="str">
        <f t="shared" si="2427"/>
        <v>0</v>
      </c>
      <c r="K3506" s="1" t="str">
        <f t="shared" si="2435"/>
        <v>103</v>
      </c>
      <c r="L3506" s="1" t="str">
        <f t="shared" si="2436"/>
        <v>47</v>
      </c>
      <c r="M3506" s="1" t="str">
        <f t="shared" si="2425"/>
        <v>0</v>
      </c>
      <c r="N3506" s="1" t="str">
        <f t="shared" si="2426"/>
        <v>0</v>
      </c>
      <c r="O3506" s="1" t="str">
        <f>"15.06"</f>
        <v>15.06</v>
      </c>
    </row>
    <row r="3507" s="1" customFormat="1" spans="1:15">
      <c r="A3507" s="1" t="str">
        <f t="shared" si="2405"/>
        <v>202406</v>
      </c>
      <c r="B3507" s="1" t="str">
        <f t="shared" si="2406"/>
        <v>150525100</v>
      </c>
      <c r="C3507" s="1" t="str">
        <f>"1014572762"</f>
        <v>1014572762</v>
      </c>
      <c r="D3507" s="1" t="str">
        <f>"152326195403300022"</f>
        <v>152326195403300022</v>
      </c>
      <c r="E3507" s="1" t="s">
        <v>3573</v>
      </c>
      <c r="F3507" s="1" t="s">
        <v>16</v>
      </c>
      <c r="G3507" s="1" t="s">
        <v>17</v>
      </c>
      <c r="H3507" s="1" t="str">
        <f>"70"</f>
        <v>70</v>
      </c>
      <c r="I3507" s="1" t="str">
        <f>"163.88"</f>
        <v>163.88</v>
      </c>
      <c r="J3507" s="1" t="str">
        <f t="shared" si="2427"/>
        <v>0</v>
      </c>
      <c r="K3507" s="1" t="str">
        <f t="shared" si="2435"/>
        <v>103</v>
      </c>
      <c r="L3507" s="1" t="str">
        <f t="shared" si="2436"/>
        <v>47</v>
      </c>
      <c r="M3507" s="1" t="str">
        <f t="shared" si="2425"/>
        <v>0</v>
      </c>
      <c r="N3507" s="1" t="str">
        <f t="shared" si="2426"/>
        <v>0</v>
      </c>
      <c r="O3507" s="1" t="str">
        <f>"3.88"</f>
        <v>3.88</v>
      </c>
    </row>
    <row r="3508" s="1" customFormat="1" spans="1:15">
      <c r="A3508" s="1" t="str">
        <f t="shared" si="2405"/>
        <v>202406</v>
      </c>
      <c r="B3508" s="1" t="str">
        <f t="shared" si="2406"/>
        <v>150525100</v>
      </c>
      <c r="C3508" s="1" t="str">
        <f>"1014573293"</f>
        <v>1014573293</v>
      </c>
      <c r="D3508" s="1" t="str">
        <f>"152326195712123082"</f>
        <v>152326195712123082</v>
      </c>
      <c r="E3508" s="1" t="s">
        <v>3574</v>
      </c>
      <c r="F3508" s="1" t="s">
        <v>16</v>
      </c>
      <c r="G3508" s="1" t="s">
        <v>17</v>
      </c>
      <c r="H3508" s="1" t="str">
        <f>"67"</f>
        <v>67</v>
      </c>
      <c r="I3508" s="1" t="str">
        <f>"166"</f>
        <v>166</v>
      </c>
      <c r="J3508" s="1" t="str">
        <f t="shared" si="2427"/>
        <v>0</v>
      </c>
      <c r="K3508" s="1" t="str">
        <f t="shared" si="2435"/>
        <v>103</v>
      </c>
      <c r="L3508" s="1" t="str">
        <f t="shared" si="2436"/>
        <v>47</v>
      </c>
      <c r="M3508" s="1" t="str">
        <f t="shared" si="2425"/>
        <v>0</v>
      </c>
      <c r="N3508" s="1" t="str">
        <f t="shared" si="2426"/>
        <v>0</v>
      </c>
      <c r="O3508" s="1" t="str">
        <f>"16"</f>
        <v>16</v>
      </c>
    </row>
    <row r="3509" s="1" customFormat="1" spans="1:15">
      <c r="A3509" s="1" t="str">
        <f t="shared" si="2405"/>
        <v>202406</v>
      </c>
      <c r="B3509" s="1" t="str">
        <f t="shared" si="2406"/>
        <v>150525100</v>
      </c>
      <c r="C3509" s="1" t="str">
        <f>"1014573295"</f>
        <v>1014573295</v>
      </c>
      <c r="D3509" s="1" t="str">
        <f>"152326195712150021"</f>
        <v>152326195712150021</v>
      </c>
      <c r="E3509" s="1" t="s">
        <v>3575</v>
      </c>
      <c r="F3509" s="1" t="s">
        <v>16</v>
      </c>
      <c r="G3509" s="1" t="s">
        <v>17</v>
      </c>
      <c r="H3509" s="1" t="str">
        <f>"67"</f>
        <v>67</v>
      </c>
      <c r="I3509" s="1" t="str">
        <f>"155.6"</f>
        <v>155.6</v>
      </c>
      <c r="J3509" s="1" t="str">
        <f t="shared" si="2427"/>
        <v>0</v>
      </c>
      <c r="K3509" s="1" t="str">
        <f t="shared" si="2435"/>
        <v>103</v>
      </c>
      <c r="L3509" s="1" t="str">
        <f t="shared" si="2436"/>
        <v>47</v>
      </c>
      <c r="M3509" s="1" t="str">
        <f t="shared" si="2425"/>
        <v>0</v>
      </c>
      <c r="N3509" s="1" t="str">
        <f t="shared" si="2426"/>
        <v>0</v>
      </c>
      <c r="O3509" s="1" t="str">
        <f>"5.6"</f>
        <v>5.6</v>
      </c>
    </row>
    <row r="3510" s="1" customFormat="1" spans="1:15">
      <c r="A3510" s="1" t="str">
        <f t="shared" si="2405"/>
        <v>202406</v>
      </c>
      <c r="B3510" s="1" t="str">
        <f t="shared" si="2406"/>
        <v>150525100</v>
      </c>
      <c r="C3510" s="1" t="str">
        <f>"1014575592"</f>
        <v>1014575592</v>
      </c>
      <c r="D3510" s="1" t="str">
        <f>"152326196306250670"</f>
        <v>152326196306250670</v>
      </c>
      <c r="E3510" s="1" t="s">
        <v>3576</v>
      </c>
      <c r="F3510" s="1" t="s">
        <v>25</v>
      </c>
      <c r="G3510" s="1" t="s">
        <v>17</v>
      </c>
      <c r="H3510" s="1" t="str">
        <f>"61"</f>
        <v>61</v>
      </c>
      <c r="I3510" s="1" t="str">
        <f>"165.01"</f>
        <v>165.01</v>
      </c>
      <c r="J3510" s="1" t="str">
        <f t="shared" si="2427"/>
        <v>0</v>
      </c>
      <c r="K3510" s="1" t="str">
        <f t="shared" si="2435"/>
        <v>103</v>
      </c>
      <c r="L3510" s="1" t="str">
        <f t="shared" si="2436"/>
        <v>47</v>
      </c>
      <c r="M3510" s="1" t="str">
        <f t="shared" si="2425"/>
        <v>0</v>
      </c>
      <c r="N3510" s="1" t="str">
        <f t="shared" si="2426"/>
        <v>0</v>
      </c>
      <c r="O3510" s="1" t="str">
        <f>"15.01"</f>
        <v>15.01</v>
      </c>
    </row>
    <row r="3511" s="1" customFormat="1" spans="1:15">
      <c r="A3511" s="1" t="str">
        <f t="shared" si="2405"/>
        <v>202406</v>
      </c>
      <c r="B3511" s="1" t="str">
        <f t="shared" si="2406"/>
        <v>150525100</v>
      </c>
      <c r="C3511" s="1" t="str">
        <f>"1014575608"</f>
        <v>1014575608</v>
      </c>
      <c r="D3511" s="1" t="str">
        <f>"152326195909110672"</f>
        <v>152326195909110672</v>
      </c>
      <c r="E3511" s="1" t="s">
        <v>3577</v>
      </c>
      <c r="F3511" s="1" t="s">
        <v>25</v>
      </c>
      <c r="G3511" s="1" t="s">
        <v>17</v>
      </c>
      <c r="H3511" s="1" t="str">
        <f>"65"</f>
        <v>65</v>
      </c>
      <c r="I3511" s="1" t="str">
        <f>"181.63"</f>
        <v>181.63</v>
      </c>
      <c r="J3511" s="1" t="str">
        <f t="shared" si="2427"/>
        <v>0</v>
      </c>
      <c r="K3511" s="1" t="str">
        <f t="shared" si="2435"/>
        <v>103</v>
      </c>
      <c r="L3511" s="1" t="str">
        <f t="shared" si="2436"/>
        <v>47</v>
      </c>
      <c r="M3511" s="1" t="str">
        <f t="shared" si="2425"/>
        <v>0</v>
      </c>
      <c r="N3511" s="1" t="str">
        <f t="shared" si="2426"/>
        <v>0</v>
      </c>
      <c r="O3511" s="1" t="str">
        <f>"31.63"</f>
        <v>31.63</v>
      </c>
    </row>
    <row r="3512" s="1" customFormat="1" spans="1:15">
      <c r="A3512" s="1" t="str">
        <f t="shared" si="2405"/>
        <v>202406</v>
      </c>
      <c r="B3512" s="1" t="str">
        <f t="shared" si="2406"/>
        <v>150525100</v>
      </c>
      <c r="C3512" s="1" t="str">
        <f>"1014576827"</f>
        <v>1014576827</v>
      </c>
      <c r="D3512" s="1" t="str">
        <f>"152326195609150672"</f>
        <v>152326195609150672</v>
      </c>
      <c r="E3512" s="1" t="s">
        <v>3578</v>
      </c>
      <c r="F3512" s="1" t="s">
        <v>25</v>
      </c>
      <c r="G3512" s="1" t="s">
        <v>17</v>
      </c>
      <c r="H3512" s="1" t="str">
        <f>"68"</f>
        <v>68</v>
      </c>
      <c r="I3512" s="1" t="str">
        <f>"156.04"</f>
        <v>156.04</v>
      </c>
      <c r="J3512" s="1" t="str">
        <f t="shared" si="2427"/>
        <v>0</v>
      </c>
      <c r="K3512" s="1" t="str">
        <f t="shared" si="2435"/>
        <v>103</v>
      </c>
      <c r="L3512" s="1" t="str">
        <f t="shared" si="2436"/>
        <v>47</v>
      </c>
      <c r="M3512" s="1" t="str">
        <f t="shared" si="2425"/>
        <v>0</v>
      </c>
      <c r="N3512" s="1" t="str">
        <f t="shared" si="2426"/>
        <v>0</v>
      </c>
      <c r="O3512" s="1" t="str">
        <f>"6.04"</f>
        <v>6.04</v>
      </c>
    </row>
    <row r="3513" s="1" customFormat="1" spans="1:15">
      <c r="A3513" s="1" t="str">
        <f t="shared" si="2405"/>
        <v>202406</v>
      </c>
      <c r="B3513" s="1" t="str">
        <f t="shared" si="2406"/>
        <v>150525100</v>
      </c>
      <c r="C3513" s="1" t="str">
        <f>"1014548381"</f>
        <v>1014548381</v>
      </c>
      <c r="D3513" s="1" t="str">
        <f>"152326196304110674"</f>
        <v>152326196304110674</v>
      </c>
      <c r="E3513" s="1" t="s">
        <v>3579</v>
      </c>
      <c r="F3513" s="1" t="s">
        <v>25</v>
      </c>
      <c r="G3513" s="1" t="s">
        <v>17</v>
      </c>
      <c r="H3513" s="1" t="str">
        <f>"61"</f>
        <v>61</v>
      </c>
      <c r="I3513" s="1" t="str">
        <f>"166.29"</f>
        <v>166.29</v>
      </c>
      <c r="J3513" s="1" t="str">
        <f t="shared" si="2427"/>
        <v>0</v>
      </c>
      <c r="K3513" s="1" t="str">
        <f t="shared" si="2435"/>
        <v>103</v>
      </c>
      <c r="L3513" s="1" t="str">
        <f t="shared" si="2436"/>
        <v>47</v>
      </c>
      <c r="M3513" s="1" t="str">
        <f t="shared" si="2425"/>
        <v>0</v>
      </c>
      <c r="N3513" s="1" t="str">
        <f t="shared" si="2426"/>
        <v>0</v>
      </c>
      <c r="O3513" s="1" t="str">
        <f>"16.29"</f>
        <v>16.29</v>
      </c>
    </row>
    <row r="3514" s="1" customFormat="1" spans="1:15">
      <c r="A3514" s="1" t="str">
        <f t="shared" si="2405"/>
        <v>202406</v>
      </c>
      <c r="B3514" s="1" t="str">
        <f t="shared" si="2406"/>
        <v>150525100</v>
      </c>
      <c r="C3514" s="1" t="str">
        <f>"1014552202"</f>
        <v>1014552202</v>
      </c>
      <c r="D3514" s="1" t="str">
        <f>"152326195705063827"</f>
        <v>152326195705063827</v>
      </c>
      <c r="E3514" s="1" t="s">
        <v>3580</v>
      </c>
      <c r="F3514" s="1" t="s">
        <v>16</v>
      </c>
      <c r="G3514" s="1" t="s">
        <v>17</v>
      </c>
      <c r="H3514" s="1" t="str">
        <f>"67"</f>
        <v>67</v>
      </c>
      <c r="I3514" s="1" t="str">
        <f>"155.81"</f>
        <v>155.81</v>
      </c>
      <c r="J3514" s="1" t="str">
        <f t="shared" si="2427"/>
        <v>0</v>
      </c>
      <c r="K3514" s="1" t="str">
        <f t="shared" si="2435"/>
        <v>103</v>
      </c>
      <c r="L3514" s="1" t="str">
        <f t="shared" si="2436"/>
        <v>47</v>
      </c>
      <c r="M3514" s="1" t="str">
        <f t="shared" si="2425"/>
        <v>0</v>
      </c>
      <c r="N3514" s="1" t="str">
        <f t="shared" si="2426"/>
        <v>0</v>
      </c>
      <c r="O3514" s="1" t="str">
        <f>"5.81"</f>
        <v>5.81</v>
      </c>
    </row>
    <row r="3515" s="1" customFormat="1" spans="1:15">
      <c r="A3515" s="1" t="str">
        <f t="shared" si="2405"/>
        <v>202406</v>
      </c>
      <c r="B3515" s="1" t="str">
        <f t="shared" si="2406"/>
        <v>150525100</v>
      </c>
      <c r="C3515" s="1" t="str">
        <f>"1014572784"</f>
        <v>1014572784</v>
      </c>
      <c r="D3515" s="1" t="str">
        <f>"152326195411090053"</f>
        <v>152326195411090053</v>
      </c>
      <c r="E3515" s="1" t="s">
        <v>3581</v>
      </c>
      <c r="F3515" s="1" t="s">
        <v>25</v>
      </c>
      <c r="G3515" s="1" t="s">
        <v>17</v>
      </c>
      <c r="H3515" s="1" t="str">
        <f>"70"</f>
        <v>70</v>
      </c>
      <c r="I3515" s="1" t="str">
        <f>"153.88"</f>
        <v>153.88</v>
      </c>
      <c r="J3515" s="1" t="str">
        <f t="shared" si="2427"/>
        <v>0</v>
      </c>
      <c r="K3515" s="1" t="str">
        <f t="shared" si="2435"/>
        <v>103</v>
      </c>
      <c r="L3515" s="1" t="str">
        <f t="shared" si="2436"/>
        <v>47</v>
      </c>
      <c r="M3515" s="1" t="str">
        <f t="shared" si="2425"/>
        <v>0</v>
      </c>
      <c r="N3515" s="1" t="str">
        <f t="shared" si="2426"/>
        <v>0</v>
      </c>
      <c r="O3515" s="1" t="str">
        <f>"3.88"</f>
        <v>3.88</v>
      </c>
    </row>
    <row r="3516" s="1" customFormat="1" spans="1:15">
      <c r="A3516" s="1" t="str">
        <f t="shared" si="2405"/>
        <v>202406</v>
      </c>
      <c r="B3516" s="1" t="str">
        <f t="shared" si="2406"/>
        <v>150525100</v>
      </c>
      <c r="C3516" s="1" t="str">
        <f>"1014572796"</f>
        <v>1014572796</v>
      </c>
      <c r="D3516" s="1" t="str">
        <f>"152326195412290065"</f>
        <v>152326195412290065</v>
      </c>
      <c r="E3516" s="1" t="s">
        <v>2290</v>
      </c>
      <c r="F3516" s="1" t="s">
        <v>16</v>
      </c>
      <c r="G3516" s="1" t="s">
        <v>17</v>
      </c>
      <c r="H3516" s="1" t="str">
        <f>"70"</f>
        <v>70</v>
      </c>
      <c r="I3516" s="1" t="str">
        <f>"154.14"</f>
        <v>154.14</v>
      </c>
      <c r="J3516" s="1" t="str">
        <f t="shared" si="2427"/>
        <v>0</v>
      </c>
      <c r="K3516" s="1" t="str">
        <f t="shared" si="2435"/>
        <v>103</v>
      </c>
      <c r="L3516" s="1" t="str">
        <f t="shared" si="2436"/>
        <v>47</v>
      </c>
      <c r="M3516" s="1" t="str">
        <f t="shared" si="2425"/>
        <v>0</v>
      </c>
      <c r="N3516" s="1" t="str">
        <f t="shared" si="2426"/>
        <v>0</v>
      </c>
      <c r="O3516" s="1" t="str">
        <f>"4.14"</f>
        <v>4.14</v>
      </c>
    </row>
    <row r="3517" s="1" customFormat="1" spans="1:15">
      <c r="A3517" s="1" t="str">
        <f t="shared" si="2405"/>
        <v>202406</v>
      </c>
      <c r="B3517" s="1" t="str">
        <f t="shared" si="2406"/>
        <v>150525100</v>
      </c>
      <c r="C3517" s="1" t="str">
        <f>"1014572908"</f>
        <v>1014572908</v>
      </c>
      <c r="D3517" s="1" t="str">
        <f>"152326195508210429"</f>
        <v>152326195508210429</v>
      </c>
      <c r="E3517" s="1" t="s">
        <v>3582</v>
      </c>
      <c r="F3517" s="1" t="s">
        <v>16</v>
      </c>
      <c r="G3517" s="1" t="s">
        <v>17</v>
      </c>
      <c r="H3517" s="1" t="str">
        <f>"69"</f>
        <v>69</v>
      </c>
      <c r="I3517" s="1" t="str">
        <f>"155.09"</f>
        <v>155.09</v>
      </c>
      <c r="J3517" s="1" t="str">
        <f t="shared" si="2427"/>
        <v>0</v>
      </c>
      <c r="K3517" s="1" t="str">
        <f t="shared" si="2435"/>
        <v>103</v>
      </c>
      <c r="L3517" s="1" t="str">
        <f t="shared" si="2436"/>
        <v>47</v>
      </c>
      <c r="M3517" s="1" t="str">
        <f t="shared" si="2425"/>
        <v>0</v>
      </c>
      <c r="N3517" s="1" t="str">
        <f t="shared" si="2426"/>
        <v>0</v>
      </c>
      <c r="O3517" s="1" t="str">
        <f>"5.09"</f>
        <v>5.09</v>
      </c>
    </row>
    <row r="3518" s="1" customFormat="1" spans="1:15">
      <c r="A3518" s="1" t="str">
        <f t="shared" si="2405"/>
        <v>202406</v>
      </c>
      <c r="B3518" s="1" t="str">
        <f t="shared" si="2406"/>
        <v>150525100</v>
      </c>
      <c r="C3518" s="1" t="str">
        <f>"1014573027"</f>
        <v>1014573027</v>
      </c>
      <c r="D3518" s="1" t="str">
        <f>"152326196311163088"</f>
        <v>152326196311163088</v>
      </c>
      <c r="E3518" s="1" t="s">
        <v>3583</v>
      </c>
      <c r="F3518" s="1" t="s">
        <v>16</v>
      </c>
      <c r="G3518" s="1" t="s">
        <v>17</v>
      </c>
      <c r="H3518" s="1" t="str">
        <f>"61"</f>
        <v>61</v>
      </c>
      <c r="I3518" s="1" t="str">
        <f>"165.11"</f>
        <v>165.11</v>
      </c>
      <c r="J3518" s="1" t="str">
        <f t="shared" si="2427"/>
        <v>0</v>
      </c>
      <c r="K3518" s="1" t="str">
        <f t="shared" si="2435"/>
        <v>103</v>
      </c>
      <c r="L3518" s="1" t="str">
        <f t="shared" si="2436"/>
        <v>47</v>
      </c>
      <c r="M3518" s="1" t="str">
        <f t="shared" si="2425"/>
        <v>0</v>
      </c>
      <c r="N3518" s="1" t="str">
        <f t="shared" si="2426"/>
        <v>0</v>
      </c>
      <c r="O3518" s="1" t="str">
        <f>"15.11"</f>
        <v>15.11</v>
      </c>
    </row>
    <row r="3519" s="1" customFormat="1" spans="1:15">
      <c r="A3519" s="1" t="str">
        <f t="shared" si="2405"/>
        <v>202406</v>
      </c>
      <c r="B3519" s="1" t="str">
        <f t="shared" si="2406"/>
        <v>150525100</v>
      </c>
      <c r="C3519" s="1" t="str">
        <f>"1014573034"</f>
        <v>1014573034</v>
      </c>
      <c r="D3519" s="1" t="str">
        <f>"152326196401093095"</f>
        <v>152326196401093095</v>
      </c>
      <c r="E3519" s="1" t="s">
        <v>3584</v>
      </c>
      <c r="F3519" s="1" t="s">
        <v>25</v>
      </c>
      <c r="G3519" s="1" t="s">
        <v>17</v>
      </c>
      <c r="H3519" s="1" t="str">
        <f>"60"</f>
        <v>60</v>
      </c>
      <c r="I3519" s="1" t="str">
        <f>"171.02"</f>
        <v>171.02</v>
      </c>
      <c r="J3519" s="1" t="str">
        <f t="shared" si="2427"/>
        <v>0</v>
      </c>
      <c r="K3519" s="1" t="str">
        <f t="shared" si="2435"/>
        <v>103</v>
      </c>
      <c r="L3519" s="1" t="str">
        <f t="shared" si="2436"/>
        <v>47</v>
      </c>
      <c r="M3519" s="1" t="str">
        <f t="shared" si="2425"/>
        <v>0</v>
      </c>
      <c r="N3519" s="1" t="str">
        <f t="shared" si="2426"/>
        <v>0</v>
      </c>
      <c r="O3519" s="1" t="str">
        <f>"21.02"</f>
        <v>21.02</v>
      </c>
    </row>
    <row r="3520" s="1" customFormat="1" spans="1:15">
      <c r="A3520" s="1" t="str">
        <f t="shared" si="2405"/>
        <v>202406</v>
      </c>
      <c r="B3520" s="1" t="str">
        <f t="shared" si="2406"/>
        <v>150525100</v>
      </c>
      <c r="C3520" s="1" t="str">
        <f>"1014573188"</f>
        <v>1014573188</v>
      </c>
      <c r="D3520" s="1" t="str">
        <f>"152326195803020062"</f>
        <v>152326195803020062</v>
      </c>
      <c r="E3520" s="1" t="s">
        <v>3585</v>
      </c>
      <c r="F3520" s="1" t="s">
        <v>16</v>
      </c>
      <c r="G3520" s="1" t="s">
        <v>17</v>
      </c>
      <c r="H3520" s="1" t="str">
        <f t="shared" ref="H3520:H3524" si="2438">"66"</f>
        <v>66</v>
      </c>
      <c r="I3520" s="1" t="str">
        <f>"180.12"</f>
        <v>180.12</v>
      </c>
      <c r="J3520" s="1" t="str">
        <f t="shared" si="2427"/>
        <v>0</v>
      </c>
      <c r="K3520" s="1" t="str">
        <f t="shared" si="2435"/>
        <v>103</v>
      </c>
      <c r="L3520" s="1" t="str">
        <f t="shared" si="2436"/>
        <v>47</v>
      </c>
      <c r="M3520" s="1" t="str">
        <f t="shared" si="2425"/>
        <v>0</v>
      </c>
      <c r="N3520" s="1" t="str">
        <f t="shared" si="2426"/>
        <v>0</v>
      </c>
      <c r="O3520" s="1" t="str">
        <f>"30.12"</f>
        <v>30.12</v>
      </c>
    </row>
    <row r="3521" s="1" customFormat="1" spans="1:15">
      <c r="A3521" s="1" t="str">
        <f t="shared" si="2405"/>
        <v>202406</v>
      </c>
      <c r="B3521" s="1" t="str">
        <f t="shared" si="2406"/>
        <v>150525100</v>
      </c>
      <c r="C3521" s="1" t="str">
        <f>"1014573302"</f>
        <v>1014573302</v>
      </c>
      <c r="D3521" s="1" t="str">
        <f>"152326195803083071"</f>
        <v>152326195803083071</v>
      </c>
      <c r="E3521" s="1" t="s">
        <v>3586</v>
      </c>
      <c r="F3521" s="1" t="s">
        <v>25</v>
      </c>
      <c r="G3521" s="1" t="s">
        <v>17</v>
      </c>
      <c r="H3521" s="1" t="str">
        <f t="shared" si="2438"/>
        <v>66</v>
      </c>
      <c r="I3521" s="1" t="str">
        <f>"161.21"</f>
        <v>161.21</v>
      </c>
      <c r="J3521" s="1" t="str">
        <f t="shared" si="2427"/>
        <v>0</v>
      </c>
      <c r="K3521" s="1" t="str">
        <f t="shared" si="2435"/>
        <v>103</v>
      </c>
      <c r="L3521" s="1" t="str">
        <f t="shared" si="2436"/>
        <v>47</v>
      </c>
      <c r="M3521" s="1" t="str">
        <f t="shared" si="2425"/>
        <v>0</v>
      </c>
      <c r="N3521" s="1" t="str">
        <f t="shared" si="2426"/>
        <v>0</v>
      </c>
      <c r="O3521" s="1" t="str">
        <f>"11.21"</f>
        <v>11.21</v>
      </c>
    </row>
    <row r="3522" s="1" customFormat="1" spans="1:15">
      <c r="A3522" s="1" t="str">
        <f t="shared" ref="A3522:A3585" si="2439">"202406"</f>
        <v>202406</v>
      </c>
      <c r="B3522" s="1" t="str">
        <f t="shared" ref="B3522:B3585" si="2440">"150525100"</f>
        <v>150525100</v>
      </c>
      <c r="C3522" s="1" t="str">
        <f>"1014573304"</f>
        <v>1014573304</v>
      </c>
      <c r="D3522" s="1" t="str">
        <f>"152326195803250028"</f>
        <v>152326195803250028</v>
      </c>
      <c r="E3522" s="1" t="s">
        <v>3587</v>
      </c>
      <c r="F3522" s="1" t="s">
        <v>16</v>
      </c>
      <c r="G3522" s="1" t="s">
        <v>17</v>
      </c>
      <c r="H3522" s="1" t="str">
        <f t="shared" si="2438"/>
        <v>66</v>
      </c>
      <c r="I3522" s="1" t="str">
        <f>"157.07"</f>
        <v>157.07</v>
      </c>
      <c r="J3522" s="1" t="str">
        <f t="shared" si="2427"/>
        <v>0</v>
      </c>
      <c r="K3522" s="1" t="str">
        <f t="shared" si="2435"/>
        <v>103</v>
      </c>
      <c r="L3522" s="1" t="str">
        <f t="shared" si="2436"/>
        <v>47</v>
      </c>
      <c r="M3522" s="1" t="str">
        <f t="shared" si="2425"/>
        <v>0</v>
      </c>
      <c r="N3522" s="1" t="str">
        <f t="shared" si="2426"/>
        <v>0</v>
      </c>
      <c r="O3522" s="1" t="str">
        <f>"7.07"</f>
        <v>7.07</v>
      </c>
    </row>
    <row r="3523" s="1" customFormat="1" spans="1:15">
      <c r="A3523" s="1" t="str">
        <f t="shared" si="2439"/>
        <v>202406</v>
      </c>
      <c r="B3523" s="1" t="str">
        <f t="shared" si="2440"/>
        <v>150525100</v>
      </c>
      <c r="C3523" s="1" t="str">
        <f>"1014573316"</f>
        <v>1014573316</v>
      </c>
      <c r="D3523" s="1" t="str">
        <f>"152326195810210024"</f>
        <v>152326195810210024</v>
      </c>
      <c r="E3523" s="1" t="s">
        <v>3588</v>
      </c>
      <c r="F3523" s="1" t="s">
        <v>16</v>
      </c>
      <c r="G3523" s="1" t="s">
        <v>17</v>
      </c>
      <c r="H3523" s="1" t="str">
        <f t="shared" si="2438"/>
        <v>66</v>
      </c>
      <c r="I3523" s="1" t="str">
        <f>"158.07"</f>
        <v>158.07</v>
      </c>
      <c r="J3523" s="1" t="str">
        <f t="shared" si="2427"/>
        <v>0</v>
      </c>
      <c r="K3523" s="1" t="str">
        <f t="shared" si="2435"/>
        <v>103</v>
      </c>
      <c r="L3523" s="1" t="str">
        <f t="shared" si="2436"/>
        <v>47</v>
      </c>
      <c r="M3523" s="1" t="str">
        <f t="shared" si="2425"/>
        <v>0</v>
      </c>
      <c r="N3523" s="1" t="str">
        <f t="shared" si="2426"/>
        <v>0</v>
      </c>
      <c r="O3523" s="1" t="str">
        <f>"8.07"</f>
        <v>8.07</v>
      </c>
    </row>
    <row r="3524" s="1" customFormat="1" spans="1:15">
      <c r="A3524" s="1" t="str">
        <f t="shared" si="2439"/>
        <v>202406</v>
      </c>
      <c r="B3524" s="1" t="str">
        <f t="shared" si="2440"/>
        <v>150525100</v>
      </c>
      <c r="C3524" s="1" t="str">
        <f>"1014573319"</f>
        <v>1014573319</v>
      </c>
      <c r="D3524" s="1" t="str">
        <f>"152326195811130413"</f>
        <v>152326195811130413</v>
      </c>
      <c r="E3524" s="1" t="s">
        <v>71</v>
      </c>
      <c r="F3524" s="1" t="s">
        <v>25</v>
      </c>
      <c r="G3524" s="1" t="s">
        <v>17</v>
      </c>
      <c r="H3524" s="1" t="str">
        <f t="shared" si="2438"/>
        <v>66</v>
      </c>
      <c r="I3524" s="1" t="str">
        <f>"158.86"</f>
        <v>158.86</v>
      </c>
      <c r="J3524" s="1" t="str">
        <f t="shared" si="2427"/>
        <v>0</v>
      </c>
      <c r="K3524" s="1" t="str">
        <f t="shared" si="2435"/>
        <v>103</v>
      </c>
      <c r="L3524" s="1" t="str">
        <f t="shared" si="2436"/>
        <v>47</v>
      </c>
      <c r="M3524" s="1" t="str">
        <f t="shared" si="2425"/>
        <v>0</v>
      </c>
      <c r="N3524" s="1" t="str">
        <f t="shared" si="2426"/>
        <v>0</v>
      </c>
      <c r="O3524" s="1" t="str">
        <f>"8.86"</f>
        <v>8.86</v>
      </c>
    </row>
    <row r="3525" s="1" customFormat="1" spans="1:15">
      <c r="A3525" s="1" t="str">
        <f t="shared" si="2439"/>
        <v>202406</v>
      </c>
      <c r="B3525" s="1" t="str">
        <f t="shared" si="2440"/>
        <v>150525100</v>
      </c>
      <c r="C3525" s="1" t="str">
        <f>"1014575849"</f>
        <v>1014575849</v>
      </c>
      <c r="D3525" s="1" t="str">
        <f>"152326196202170668"</f>
        <v>152326196202170668</v>
      </c>
      <c r="E3525" s="1" t="s">
        <v>3589</v>
      </c>
      <c r="F3525" s="1" t="s">
        <v>16</v>
      </c>
      <c r="G3525" s="1" t="s">
        <v>17</v>
      </c>
      <c r="H3525" s="1" t="str">
        <f t="shared" ref="H3525:H3527" si="2441">"62"</f>
        <v>62</v>
      </c>
      <c r="I3525" s="1" t="str">
        <f>"162.93"</f>
        <v>162.93</v>
      </c>
      <c r="J3525" s="1" t="str">
        <f t="shared" si="2427"/>
        <v>0</v>
      </c>
      <c r="K3525" s="1" t="str">
        <f t="shared" si="2435"/>
        <v>103</v>
      </c>
      <c r="L3525" s="1" t="str">
        <f t="shared" si="2436"/>
        <v>47</v>
      </c>
      <c r="M3525" s="1" t="str">
        <f t="shared" si="2425"/>
        <v>0</v>
      </c>
      <c r="N3525" s="1" t="str">
        <f t="shared" si="2426"/>
        <v>0</v>
      </c>
      <c r="O3525" s="1" t="str">
        <f>"12.93"</f>
        <v>12.93</v>
      </c>
    </row>
    <row r="3526" s="1" customFormat="1" spans="1:15">
      <c r="A3526" s="1" t="str">
        <f t="shared" si="2439"/>
        <v>202406</v>
      </c>
      <c r="B3526" s="1" t="str">
        <f t="shared" si="2440"/>
        <v>150525100</v>
      </c>
      <c r="C3526" s="1" t="str">
        <f>"1014575851"</f>
        <v>1014575851</v>
      </c>
      <c r="D3526" s="1" t="str">
        <f>"152326196204190662"</f>
        <v>152326196204190662</v>
      </c>
      <c r="E3526" s="1" t="s">
        <v>3590</v>
      </c>
      <c r="F3526" s="1" t="s">
        <v>16</v>
      </c>
      <c r="G3526" s="1" t="s">
        <v>17</v>
      </c>
      <c r="H3526" s="1" t="str">
        <f t="shared" si="2441"/>
        <v>62</v>
      </c>
      <c r="I3526" s="1" t="str">
        <f>"162.99"</f>
        <v>162.99</v>
      </c>
      <c r="J3526" s="1" t="str">
        <f t="shared" si="2427"/>
        <v>0</v>
      </c>
      <c r="K3526" s="1" t="str">
        <f t="shared" si="2435"/>
        <v>103</v>
      </c>
      <c r="L3526" s="1" t="str">
        <f t="shared" si="2436"/>
        <v>47</v>
      </c>
      <c r="M3526" s="1" t="str">
        <f t="shared" si="2425"/>
        <v>0</v>
      </c>
      <c r="N3526" s="1" t="str">
        <f t="shared" si="2426"/>
        <v>0</v>
      </c>
      <c r="O3526" s="1" t="str">
        <f>"12.99"</f>
        <v>12.99</v>
      </c>
    </row>
    <row r="3527" s="1" customFormat="1" spans="1:15">
      <c r="A3527" s="1" t="str">
        <f t="shared" si="2439"/>
        <v>202406</v>
      </c>
      <c r="B3527" s="1" t="str">
        <f t="shared" si="2440"/>
        <v>150525100</v>
      </c>
      <c r="C3527" s="1" t="str">
        <f>"1014575858"</f>
        <v>1014575858</v>
      </c>
      <c r="D3527" s="1" t="str">
        <f>"152326196209240729"</f>
        <v>152326196209240729</v>
      </c>
      <c r="E3527" s="1" t="s">
        <v>3591</v>
      </c>
      <c r="F3527" s="1" t="s">
        <v>16</v>
      </c>
      <c r="G3527" s="1" t="s">
        <v>17</v>
      </c>
      <c r="H3527" s="1" t="str">
        <f t="shared" si="2441"/>
        <v>62</v>
      </c>
      <c r="I3527" s="1" t="str">
        <f>"163.13"</f>
        <v>163.13</v>
      </c>
      <c r="J3527" s="1" t="str">
        <f t="shared" si="2427"/>
        <v>0</v>
      </c>
      <c r="K3527" s="1" t="str">
        <f t="shared" si="2435"/>
        <v>103</v>
      </c>
      <c r="L3527" s="1" t="str">
        <f t="shared" si="2436"/>
        <v>47</v>
      </c>
      <c r="M3527" s="1" t="str">
        <f t="shared" si="2425"/>
        <v>0</v>
      </c>
      <c r="N3527" s="1" t="str">
        <f t="shared" si="2426"/>
        <v>0</v>
      </c>
      <c r="O3527" s="1" t="str">
        <f>"13.13"</f>
        <v>13.13</v>
      </c>
    </row>
    <row r="3528" s="1" customFormat="1" spans="1:15">
      <c r="A3528" s="1" t="str">
        <f t="shared" si="2439"/>
        <v>202406</v>
      </c>
      <c r="B3528" s="1" t="str">
        <f t="shared" si="2440"/>
        <v>150525100</v>
      </c>
      <c r="C3528" s="1" t="str">
        <f>"1014575863"</f>
        <v>1014575863</v>
      </c>
      <c r="D3528" s="1" t="str">
        <f>"152326196306140682"</f>
        <v>152326196306140682</v>
      </c>
      <c r="E3528" s="1" t="s">
        <v>3592</v>
      </c>
      <c r="F3528" s="1" t="s">
        <v>16</v>
      </c>
      <c r="G3528" s="1" t="s">
        <v>17</v>
      </c>
      <c r="H3528" s="1" t="str">
        <f>"61"</f>
        <v>61</v>
      </c>
      <c r="I3528" s="1" t="str">
        <f>"165.01"</f>
        <v>165.01</v>
      </c>
      <c r="J3528" s="1" t="str">
        <f t="shared" si="2427"/>
        <v>0</v>
      </c>
      <c r="K3528" s="1" t="str">
        <f t="shared" si="2435"/>
        <v>103</v>
      </c>
      <c r="L3528" s="1" t="str">
        <f t="shared" si="2436"/>
        <v>47</v>
      </c>
      <c r="M3528" s="1" t="str">
        <f t="shared" si="2425"/>
        <v>0</v>
      </c>
      <c r="N3528" s="1" t="str">
        <f t="shared" si="2426"/>
        <v>0</v>
      </c>
      <c r="O3528" s="1" t="str">
        <f>"15.01"</f>
        <v>15.01</v>
      </c>
    </row>
    <row r="3529" s="1" customFormat="1" spans="1:15">
      <c r="A3529" s="1" t="str">
        <f t="shared" si="2439"/>
        <v>202406</v>
      </c>
      <c r="B3529" s="1" t="str">
        <f t="shared" si="2440"/>
        <v>150525100</v>
      </c>
      <c r="C3529" s="1" t="str">
        <f>"1014575869"</f>
        <v>1014575869</v>
      </c>
      <c r="D3529" s="1" t="str">
        <f>"152326196401200698"</f>
        <v>152326196401200698</v>
      </c>
      <c r="E3529" s="1" t="s">
        <v>3593</v>
      </c>
      <c r="F3529" s="1" t="s">
        <v>25</v>
      </c>
      <c r="G3529" s="1" t="s">
        <v>17</v>
      </c>
      <c r="H3529" s="1" t="str">
        <f>"60"</f>
        <v>60</v>
      </c>
      <c r="I3529" s="1" t="str">
        <f>"166.85"</f>
        <v>166.85</v>
      </c>
      <c r="J3529" s="1" t="str">
        <f t="shared" si="2427"/>
        <v>0</v>
      </c>
      <c r="K3529" s="1" t="str">
        <f t="shared" si="2435"/>
        <v>103</v>
      </c>
      <c r="L3529" s="1" t="str">
        <f t="shared" si="2436"/>
        <v>47</v>
      </c>
      <c r="M3529" s="1" t="str">
        <f t="shared" si="2425"/>
        <v>0</v>
      </c>
      <c r="N3529" s="1" t="str">
        <f t="shared" si="2426"/>
        <v>0</v>
      </c>
      <c r="O3529" s="1" t="str">
        <f>"16.85"</f>
        <v>16.85</v>
      </c>
    </row>
    <row r="3530" s="1" customFormat="1" spans="1:15">
      <c r="A3530" s="1" t="str">
        <f t="shared" si="2439"/>
        <v>202406</v>
      </c>
      <c r="B3530" s="1" t="str">
        <f t="shared" si="2440"/>
        <v>150525100</v>
      </c>
      <c r="C3530" s="1" t="str">
        <f>"1014548407"</f>
        <v>1014548407</v>
      </c>
      <c r="D3530" s="1" t="s">
        <v>3594</v>
      </c>
      <c r="E3530" s="1" t="s">
        <v>3595</v>
      </c>
      <c r="F3530" s="1" t="s">
        <v>16</v>
      </c>
      <c r="G3530" s="1" t="s">
        <v>19</v>
      </c>
      <c r="H3530" s="1" t="str">
        <f>"71"</f>
        <v>71</v>
      </c>
      <c r="I3530" s="1" t="str">
        <f>"164.26"</f>
        <v>164.26</v>
      </c>
      <c r="J3530" s="1" t="str">
        <f t="shared" si="2427"/>
        <v>0</v>
      </c>
      <c r="K3530" s="1" t="str">
        <f t="shared" si="2435"/>
        <v>103</v>
      </c>
      <c r="L3530" s="1" t="str">
        <f t="shared" si="2436"/>
        <v>47</v>
      </c>
      <c r="M3530" s="1" t="str">
        <f t="shared" si="2425"/>
        <v>0</v>
      </c>
      <c r="N3530" s="1" t="str">
        <f t="shared" si="2426"/>
        <v>0</v>
      </c>
      <c r="O3530" s="1" t="str">
        <f>"4.26"</f>
        <v>4.26</v>
      </c>
    </row>
    <row r="3531" s="1" customFormat="1" spans="1:15">
      <c r="A3531" s="1" t="str">
        <f t="shared" si="2439"/>
        <v>202406</v>
      </c>
      <c r="B3531" s="1" t="str">
        <f t="shared" si="2440"/>
        <v>150525100</v>
      </c>
      <c r="C3531" s="1" t="str">
        <f>"1014548422"</f>
        <v>1014548422</v>
      </c>
      <c r="D3531" s="1" t="str">
        <f>"152326195508140715"</f>
        <v>152326195508140715</v>
      </c>
      <c r="E3531" s="1" t="s">
        <v>3596</v>
      </c>
      <c r="F3531" s="1" t="s">
        <v>25</v>
      </c>
      <c r="G3531" s="1" t="s">
        <v>17</v>
      </c>
      <c r="H3531" s="1" t="str">
        <f>"69"</f>
        <v>69</v>
      </c>
      <c r="I3531" s="1" t="str">
        <f>"155.1"</f>
        <v>155.1</v>
      </c>
      <c r="J3531" s="1" t="str">
        <f t="shared" si="2427"/>
        <v>0</v>
      </c>
      <c r="K3531" s="1" t="str">
        <f t="shared" si="2435"/>
        <v>103</v>
      </c>
      <c r="L3531" s="1" t="str">
        <f t="shared" si="2436"/>
        <v>47</v>
      </c>
      <c r="M3531" s="1" t="str">
        <f t="shared" si="2425"/>
        <v>0</v>
      </c>
      <c r="N3531" s="1" t="str">
        <f t="shared" si="2426"/>
        <v>0</v>
      </c>
      <c r="O3531" s="1" t="str">
        <f>"5.1"</f>
        <v>5.1</v>
      </c>
    </row>
    <row r="3532" s="1" customFormat="1" spans="1:15">
      <c r="A3532" s="1" t="str">
        <f t="shared" si="2439"/>
        <v>202406</v>
      </c>
      <c r="B3532" s="1" t="str">
        <f t="shared" si="2440"/>
        <v>150525100</v>
      </c>
      <c r="C3532" s="1" t="str">
        <f>"1014572916"</f>
        <v>1014572916</v>
      </c>
      <c r="D3532" s="1" t="str">
        <f>"152326195511263097"</f>
        <v>152326195511263097</v>
      </c>
      <c r="E3532" s="1" t="s">
        <v>3597</v>
      </c>
      <c r="F3532" s="1" t="s">
        <v>25</v>
      </c>
      <c r="G3532" s="1" t="s">
        <v>17</v>
      </c>
      <c r="H3532" s="1" t="str">
        <f>"69"</f>
        <v>69</v>
      </c>
      <c r="I3532" s="1" t="str">
        <f>"155.09"</f>
        <v>155.09</v>
      </c>
      <c r="J3532" s="1" t="str">
        <f t="shared" si="2427"/>
        <v>0</v>
      </c>
      <c r="K3532" s="1" t="str">
        <f t="shared" si="2435"/>
        <v>103</v>
      </c>
      <c r="L3532" s="1" t="str">
        <f t="shared" si="2436"/>
        <v>47</v>
      </c>
      <c r="M3532" s="1" t="str">
        <f t="shared" si="2425"/>
        <v>0</v>
      </c>
      <c r="N3532" s="1" t="str">
        <f t="shared" si="2426"/>
        <v>0</v>
      </c>
      <c r="O3532" s="1" t="str">
        <f>"5.09"</f>
        <v>5.09</v>
      </c>
    </row>
    <row r="3533" s="1" customFormat="1" spans="1:15">
      <c r="A3533" s="1" t="str">
        <f t="shared" si="2439"/>
        <v>202406</v>
      </c>
      <c r="B3533" s="1" t="str">
        <f t="shared" si="2440"/>
        <v>150525100</v>
      </c>
      <c r="C3533" s="1" t="str">
        <f>"1014572921"</f>
        <v>1014572921</v>
      </c>
      <c r="D3533" s="1" t="str">
        <f>"152326195601203071"</f>
        <v>152326195601203071</v>
      </c>
      <c r="E3533" s="1" t="s">
        <v>623</v>
      </c>
      <c r="F3533" s="1" t="s">
        <v>25</v>
      </c>
      <c r="G3533" s="1" t="s">
        <v>17</v>
      </c>
      <c r="H3533" s="1" t="str">
        <f t="shared" ref="H3533:H3536" si="2442">"68"</f>
        <v>68</v>
      </c>
      <c r="I3533" s="1" t="str">
        <f>"165.72"</f>
        <v>165.72</v>
      </c>
      <c r="J3533" s="1" t="str">
        <f t="shared" si="2427"/>
        <v>0</v>
      </c>
      <c r="K3533" s="1" t="str">
        <f t="shared" si="2435"/>
        <v>103</v>
      </c>
      <c r="L3533" s="1" t="str">
        <f t="shared" si="2436"/>
        <v>47</v>
      </c>
      <c r="M3533" s="1" t="str">
        <f t="shared" si="2425"/>
        <v>0</v>
      </c>
      <c r="N3533" s="1" t="str">
        <f t="shared" si="2426"/>
        <v>0</v>
      </c>
      <c r="O3533" s="1" t="str">
        <f>"15.72"</f>
        <v>15.72</v>
      </c>
    </row>
    <row r="3534" s="1" customFormat="1" spans="1:15">
      <c r="A3534" s="1" t="str">
        <f t="shared" si="2439"/>
        <v>202406</v>
      </c>
      <c r="B3534" s="1" t="str">
        <f t="shared" si="2440"/>
        <v>150525100</v>
      </c>
      <c r="C3534" s="1" t="str">
        <f>"1014572931"</f>
        <v>1014572931</v>
      </c>
      <c r="D3534" s="1" t="str">
        <f>"152326195605240419"</f>
        <v>152326195605240419</v>
      </c>
      <c r="E3534" s="1" t="s">
        <v>3598</v>
      </c>
      <c r="F3534" s="1" t="s">
        <v>25</v>
      </c>
      <c r="G3534" s="1" t="s">
        <v>17</v>
      </c>
      <c r="H3534" s="1" t="str">
        <f t="shared" si="2442"/>
        <v>68</v>
      </c>
      <c r="I3534" s="1" t="str">
        <f>"156"</f>
        <v>156</v>
      </c>
      <c r="J3534" s="1" t="str">
        <f t="shared" si="2427"/>
        <v>0</v>
      </c>
      <c r="K3534" s="1" t="str">
        <f t="shared" si="2435"/>
        <v>103</v>
      </c>
      <c r="L3534" s="1" t="str">
        <f t="shared" si="2436"/>
        <v>47</v>
      </c>
      <c r="M3534" s="1" t="str">
        <f t="shared" si="2425"/>
        <v>0</v>
      </c>
      <c r="N3534" s="1" t="str">
        <f t="shared" si="2426"/>
        <v>0</v>
      </c>
      <c r="O3534" s="1" t="str">
        <f>"6"</f>
        <v>6</v>
      </c>
    </row>
    <row r="3535" s="1" customFormat="1" spans="1:15">
      <c r="A3535" s="1" t="str">
        <f t="shared" si="2439"/>
        <v>202406</v>
      </c>
      <c r="B3535" s="1" t="str">
        <f t="shared" si="2440"/>
        <v>150525100</v>
      </c>
      <c r="C3535" s="1" t="str">
        <f>"1014573202"</f>
        <v>1014573202</v>
      </c>
      <c r="D3535" s="1" t="str">
        <f>"152326195607173088"</f>
        <v>152326195607173088</v>
      </c>
      <c r="E3535" s="1" t="s">
        <v>3599</v>
      </c>
      <c r="F3535" s="1" t="s">
        <v>16</v>
      </c>
      <c r="G3535" s="1" t="s">
        <v>17</v>
      </c>
      <c r="H3535" s="1" t="str">
        <f t="shared" si="2442"/>
        <v>68</v>
      </c>
      <c r="I3535" s="1" t="str">
        <f>"156.01"</f>
        <v>156.01</v>
      </c>
      <c r="J3535" s="1" t="str">
        <f t="shared" si="2427"/>
        <v>0</v>
      </c>
      <c r="K3535" s="1" t="str">
        <f t="shared" si="2435"/>
        <v>103</v>
      </c>
      <c r="L3535" s="1" t="str">
        <f t="shared" si="2436"/>
        <v>47</v>
      </c>
      <c r="M3535" s="1" t="str">
        <f t="shared" si="2425"/>
        <v>0</v>
      </c>
      <c r="N3535" s="1" t="str">
        <f t="shared" si="2426"/>
        <v>0</v>
      </c>
      <c r="O3535" s="1" t="str">
        <f>"6.01"</f>
        <v>6.01</v>
      </c>
    </row>
    <row r="3536" s="1" customFormat="1" spans="1:15">
      <c r="A3536" s="1" t="str">
        <f t="shared" si="2439"/>
        <v>202406</v>
      </c>
      <c r="B3536" s="1" t="str">
        <f t="shared" si="2440"/>
        <v>150525100</v>
      </c>
      <c r="C3536" s="1" t="str">
        <f>"1014573212"</f>
        <v>1014573212</v>
      </c>
      <c r="D3536" s="1" t="str">
        <f>"152326195609240029"</f>
        <v>152326195609240029</v>
      </c>
      <c r="E3536" s="1" t="s">
        <v>3600</v>
      </c>
      <c r="F3536" s="1" t="s">
        <v>16</v>
      </c>
      <c r="G3536" s="1" t="s">
        <v>17</v>
      </c>
      <c r="H3536" s="1" t="str">
        <f t="shared" si="2442"/>
        <v>68</v>
      </c>
      <c r="I3536" s="1" t="str">
        <f>"156.01"</f>
        <v>156.01</v>
      </c>
      <c r="J3536" s="1" t="str">
        <f t="shared" si="2427"/>
        <v>0</v>
      </c>
      <c r="K3536" s="1" t="str">
        <f t="shared" si="2435"/>
        <v>103</v>
      </c>
      <c r="L3536" s="1" t="str">
        <f t="shared" si="2436"/>
        <v>47</v>
      </c>
      <c r="M3536" s="1" t="str">
        <f t="shared" si="2425"/>
        <v>0</v>
      </c>
      <c r="N3536" s="1" t="str">
        <f t="shared" si="2426"/>
        <v>0</v>
      </c>
      <c r="O3536" s="1" t="str">
        <f>"6.01"</f>
        <v>6.01</v>
      </c>
    </row>
    <row r="3537" s="1" customFormat="1" spans="1:15">
      <c r="A3537" s="1" t="str">
        <f t="shared" si="2439"/>
        <v>202406</v>
      </c>
      <c r="B3537" s="1" t="str">
        <f t="shared" si="2440"/>
        <v>150525100</v>
      </c>
      <c r="C3537" s="1" t="str">
        <f>"1014573218"</f>
        <v>1014573218</v>
      </c>
      <c r="D3537" s="1" t="str">
        <f>"152326195701270044"</f>
        <v>152326195701270044</v>
      </c>
      <c r="E3537" s="1" t="s">
        <v>3601</v>
      </c>
      <c r="F3537" s="1" t="s">
        <v>16</v>
      </c>
      <c r="G3537" s="1" t="s">
        <v>17</v>
      </c>
      <c r="H3537" s="1" t="str">
        <f t="shared" ref="H3537:H3540" si="2443">"67"</f>
        <v>67</v>
      </c>
      <c r="I3537" s="1" t="str">
        <f>"156.03"</f>
        <v>156.03</v>
      </c>
      <c r="J3537" s="1" t="str">
        <f t="shared" si="2427"/>
        <v>0</v>
      </c>
      <c r="K3537" s="1" t="str">
        <f t="shared" si="2435"/>
        <v>103</v>
      </c>
      <c r="L3537" s="1" t="str">
        <f t="shared" si="2436"/>
        <v>47</v>
      </c>
      <c r="M3537" s="1" t="str">
        <f t="shared" si="2425"/>
        <v>0</v>
      </c>
      <c r="N3537" s="1" t="str">
        <f t="shared" si="2426"/>
        <v>0</v>
      </c>
      <c r="O3537" s="1" t="str">
        <f>"6.03"</f>
        <v>6.03</v>
      </c>
    </row>
    <row r="3538" s="1" customFormat="1" spans="1:15">
      <c r="A3538" s="1" t="str">
        <f t="shared" si="2439"/>
        <v>202406</v>
      </c>
      <c r="B3538" s="1" t="str">
        <f t="shared" si="2440"/>
        <v>150525100</v>
      </c>
      <c r="C3538" s="1" t="str">
        <f>"1014573512"</f>
        <v>1014573512</v>
      </c>
      <c r="D3538" s="1" t="str">
        <f>"152326196305283075"</f>
        <v>152326196305283075</v>
      </c>
      <c r="E3538" s="1" t="s">
        <v>3602</v>
      </c>
      <c r="F3538" s="1" t="s">
        <v>25</v>
      </c>
      <c r="G3538" s="1" t="s">
        <v>17</v>
      </c>
      <c r="H3538" s="1" t="str">
        <f>"61"</f>
        <v>61</v>
      </c>
      <c r="I3538" s="1" t="str">
        <f>"164.97"</f>
        <v>164.97</v>
      </c>
      <c r="J3538" s="1" t="str">
        <f t="shared" si="2427"/>
        <v>0</v>
      </c>
      <c r="K3538" s="1" t="str">
        <f t="shared" si="2435"/>
        <v>103</v>
      </c>
      <c r="L3538" s="1" t="str">
        <f t="shared" si="2436"/>
        <v>47</v>
      </c>
      <c r="M3538" s="1" t="str">
        <f t="shared" si="2425"/>
        <v>0</v>
      </c>
      <c r="N3538" s="1" t="str">
        <f t="shared" si="2426"/>
        <v>0</v>
      </c>
      <c r="O3538" s="1" t="str">
        <f>"14.97"</f>
        <v>14.97</v>
      </c>
    </row>
    <row r="3539" s="1" customFormat="1" spans="1:15">
      <c r="A3539" s="1" t="str">
        <f t="shared" si="2439"/>
        <v>202406</v>
      </c>
      <c r="B3539" s="1" t="str">
        <f t="shared" si="2440"/>
        <v>150525100</v>
      </c>
      <c r="C3539" s="1" t="str">
        <f>"1014575642"</f>
        <v>1014575642</v>
      </c>
      <c r="D3539" s="1" t="str">
        <f>"152326195707023087"</f>
        <v>152326195707023087</v>
      </c>
      <c r="E3539" s="1" t="s">
        <v>2091</v>
      </c>
      <c r="F3539" s="1" t="s">
        <v>16</v>
      </c>
      <c r="G3539" s="1" t="s">
        <v>17</v>
      </c>
      <c r="H3539" s="1" t="str">
        <f t="shared" si="2443"/>
        <v>67</v>
      </c>
      <c r="I3539" s="1" t="str">
        <f>"156.07"</f>
        <v>156.07</v>
      </c>
      <c r="J3539" s="1" t="str">
        <f t="shared" si="2427"/>
        <v>0</v>
      </c>
      <c r="K3539" s="1" t="str">
        <f t="shared" si="2435"/>
        <v>103</v>
      </c>
      <c r="L3539" s="1" t="str">
        <f t="shared" si="2436"/>
        <v>47</v>
      </c>
      <c r="M3539" s="1" t="str">
        <f t="shared" si="2425"/>
        <v>0</v>
      </c>
      <c r="N3539" s="1" t="str">
        <f t="shared" si="2426"/>
        <v>0</v>
      </c>
      <c r="O3539" s="1" t="str">
        <f>"6.07"</f>
        <v>6.07</v>
      </c>
    </row>
    <row r="3540" s="1" customFormat="1" spans="1:15">
      <c r="A3540" s="1" t="str">
        <f t="shared" si="2439"/>
        <v>202406</v>
      </c>
      <c r="B3540" s="1" t="str">
        <f t="shared" si="2440"/>
        <v>150525100</v>
      </c>
      <c r="C3540" s="1" t="str">
        <f>"1014575647"</f>
        <v>1014575647</v>
      </c>
      <c r="D3540" s="1" t="str">
        <f>"152326195711203080"</f>
        <v>152326195711203080</v>
      </c>
      <c r="E3540" s="1" t="s">
        <v>3603</v>
      </c>
      <c r="F3540" s="1" t="s">
        <v>16</v>
      </c>
      <c r="G3540" s="1" t="s">
        <v>17</v>
      </c>
      <c r="H3540" s="1" t="str">
        <f t="shared" si="2443"/>
        <v>67</v>
      </c>
      <c r="I3540" s="1" t="str">
        <f>"156.1"</f>
        <v>156.1</v>
      </c>
      <c r="J3540" s="1" t="str">
        <f t="shared" si="2427"/>
        <v>0</v>
      </c>
      <c r="K3540" s="1" t="str">
        <f t="shared" si="2435"/>
        <v>103</v>
      </c>
      <c r="L3540" s="1" t="str">
        <f t="shared" si="2436"/>
        <v>47</v>
      </c>
      <c r="M3540" s="1" t="str">
        <f t="shared" ref="M3540:M3603" si="2444">"0"</f>
        <v>0</v>
      </c>
      <c r="N3540" s="1" t="str">
        <f t="shared" ref="N3540:N3603" si="2445">"0"</f>
        <v>0</v>
      </c>
      <c r="O3540" s="1" t="str">
        <f>"6.1"</f>
        <v>6.1</v>
      </c>
    </row>
    <row r="3541" s="1" customFormat="1" spans="1:15">
      <c r="A3541" s="1" t="str">
        <f t="shared" si="2439"/>
        <v>202406</v>
      </c>
      <c r="B3541" s="1" t="str">
        <f t="shared" si="2440"/>
        <v>150525100</v>
      </c>
      <c r="C3541" s="1" t="str">
        <f>"1014575652"</f>
        <v>1014575652</v>
      </c>
      <c r="D3541" s="1" t="str">
        <f>"152326195904053082"</f>
        <v>152326195904053082</v>
      </c>
      <c r="E3541" s="1" t="s">
        <v>3604</v>
      </c>
      <c r="F3541" s="1" t="s">
        <v>16</v>
      </c>
      <c r="G3541" s="1" t="s">
        <v>17</v>
      </c>
      <c r="H3541" s="1" t="str">
        <f>"65"</f>
        <v>65</v>
      </c>
      <c r="I3541" s="1" t="str">
        <f>"158.13"</f>
        <v>158.13</v>
      </c>
      <c r="J3541" s="1" t="str">
        <f t="shared" si="2427"/>
        <v>0</v>
      </c>
      <c r="K3541" s="1" t="str">
        <f t="shared" si="2435"/>
        <v>103</v>
      </c>
      <c r="L3541" s="1" t="str">
        <f t="shared" si="2436"/>
        <v>47</v>
      </c>
      <c r="M3541" s="1" t="str">
        <f t="shared" si="2444"/>
        <v>0</v>
      </c>
      <c r="N3541" s="1" t="str">
        <f t="shared" si="2445"/>
        <v>0</v>
      </c>
      <c r="O3541" s="1" t="str">
        <f>"8.13"</f>
        <v>8.13</v>
      </c>
    </row>
    <row r="3542" s="1" customFormat="1" spans="1:15">
      <c r="A3542" s="1" t="str">
        <f t="shared" si="2439"/>
        <v>202406</v>
      </c>
      <c r="B3542" s="1" t="str">
        <f t="shared" si="2440"/>
        <v>150525100</v>
      </c>
      <c r="C3542" s="1" t="str">
        <f>"1014576601"</f>
        <v>1014576601</v>
      </c>
      <c r="D3542" s="1" t="str">
        <f>"152326195205070414"</f>
        <v>152326195205070414</v>
      </c>
      <c r="E3542" s="1" t="s">
        <v>3605</v>
      </c>
      <c r="F3542" s="1" t="s">
        <v>25</v>
      </c>
      <c r="G3542" s="1" t="s">
        <v>17</v>
      </c>
      <c r="H3542" s="1" t="str">
        <f>"72"</f>
        <v>72</v>
      </c>
      <c r="I3542" s="1" t="str">
        <f>"162.14"</f>
        <v>162.14</v>
      </c>
      <c r="J3542" s="1" t="str">
        <f t="shared" ref="J3542:J3561" si="2446">"0"</f>
        <v>0</v>
      </c>
      <c r="K3542" s="1" t="str">
        <f t="shared" si="2435"/>
        <v>103</v>
      </c>
      <c r="L3542" s="1" t="str">
        <f t="shared" si="2436"/>
        <v>47</v>
      </c>
      <c r="M3542" s="1" t="str">
        <f t="shared" si="2444"/>
        <v>0</v>
      </c>
      <c r="N3542" s="1" t="str">
        <f t="shared" si="2445"/>
        <v>0</v>
      </c>
      <c r="O3542" s="1" t="str">
        <f>"2.14"</f>
        <v>2.14</v>
      </c>
    </row>
    <row r="3543" s="1" customFormat="1" spans="1:15">
      <c r="A3543" s="1" t="str">
        <f t="shared" si="2439"/>
        <v>202406</v>
      </c>
      <c r="B3543" s="1" t="str">
        <f t="shared" si="2440"/>
        <v>150525100</v>
      </c>
      <c r="C3543" s="1" t="str">
        <f>"1014548445"</f>
        <v>1014548445</v>
      </c>
      <c r="D3543" s="1" t="str">
        <f>"152326195712070662"</f>
        <v>152326195712070662</v>
      </c>
      <c r="E3543" s="1" t="s">
        <v>3606</v>
      </c>
      <c r="F3543" s="1" t="s">
        <v>16</v>
      </c>
      <c r="G3543" s="1" t="s">
        <v>17</v>
      </c>
      <c r="H3543" s="1" t="str">
        <f>"67"</f>
        <v>67</v>
      </c>
      <c r="I3543" s="1" t="str">
        <f>"156.11"</f>
        <v>156.11</v>
      </c>
      <c r="J3543" s="1" t="str">
        <f t="shared" si="2446"/>
        <v>0</v>
      </c>
      <c r="K3543" s="1" t="str">
        <f t="shared" si="2435"/>
        <v>103</v>
      </c>
      <c r="L3543" s="1" t="str">
        <f t="shared" si="2436"/>
        <v>47</v>
      </c>
      <c r="M3543" s="1" t="str">
        <f t="shared" si="2444"/>
        <v>0</v>
      </c>
      <c r="N3543" s="1" t="str">
        <f t="shared" si="2445"/>
        <v>0</v>
      </c>
      <c r="O3543" s="1" t="str">
        <f>"6.11"</f>
        <v>6.11</v>
      </c>
    </row>
    <row r="3544" s="1" customFormat="1" spans="1:15">
      <c r="A3544" s="1" t="str">
        <f t="shared" si="2439"/>
        <v>202406</v>
      </c>
      <c r="B3544" s="1" t="str">
        <f t="shared" si="2440"/>
        <v>150525100</v>
      </c>
      <c r="C3544" s="1" t="str">
        <f>"1014548451"</f>
        <v>1014548451</v>
      </c>
      <c r="D3544" s="1" t="str">
        <f>"152326195810190684"</f>
        <v>152326195810190684</v>
      </c>
      <c r="E3544" s="1" t="s">
        <v>3607</v>
      </c>
      <c r="F3544" s="1" t="s">
        <v>16</v>
      </c>
      <c r="G3544" s="1" t="s">
        <v>17</v>
      </c>
      <c r="H3544" s="1" t="str">
        <f>"66"</f>
        <v>66</v>
      </c>
      <c r="I3544" s="1" t="str">
        <f>"163.87"</f>
        <v>163.87</v>
      </c>
      <c r="J3544" s="1" t="str">
        <f t="shared" si="2446"/>
        <v>0</v>
      </c>
      <c r="K3544" s="1" t="str">
        <f t="shared" si="2435"/>
        <v>103</v>
      </c>
      <c r="L3544" s="1" t="str">
        <f t="shared" si="2436"/>
        <v>47</v>
      </c>
      <c r="M3544" s="1" t="str">
        <f t="shared" si="2444"/>
        <v>0</v>
      </c>
      <c r="N3544" s="1" t="str">
        <f t="shared" si="2445"/>
        <v>0</v>
      </c>
      <c r="O3544" s="1" t="str">
        <f>"13.87"</f>
        <v>13.87</v>
      </c>
    </row>
    <row r="3545" s="1" customFormat="1" spans="1:15">
      <c r="A3545" s="1" t="str">
        <f t="shared" si="2439"/>
        <v>202406</v>
      </c>
      <c r="B3545" s="1" t="str">
        <f t="shared" si="2440"/>
        <v>150525100</v>
      </c>
      <c r="C3545" s="1" t="str">
        <f>"1014548452"</f>
        <v>1014548452</v>
      </c>
      <c r="D3545" s="1" t="str">
        <f>"152326195812250679"</f>
        <v>152326195812250679</v>
      </c>
      <c r="E3545" s="1" t="s">
        <v>3608</v>
      </c>
      <c r="F3545" s="1" t="s">
        <v>25</v>
      </c>
      <c r="G3545" s="1" t="s">
        <v>17</v>
      </c>
      <c r="H3545" s="1" t="str">
        <f>"66"</f>
        <v>66</v>
      </c>
      <c r="I3545" s="1" t="str">
        <f>"157.15"</f>
        <v>157.15</v>
      </c>
      <c r="J3545" s="1" t="str">
        <f t="shared" si="2446"/>
        <v>0</v>
      </c>
      <c r="K3545" s="1" t="str">
        <f t="shared" si="2435"/>
        <v>103</v>
      </c>
      <c r="L3545" s="1" t="str">
        <f t="shared" si="2436"/>
        <v>47</v>
      </c>
      <c r="M3545" s="1" t="str">
        <f t="shared" si="2444"/>
        <v>0</v>
      </c>
      <c r="N3545" s="1" t="str">
        <f t="shared" si="2445"/>
        <v>0</v>
      </c>
      <c r="O3545" s="1" t="str">
        <f>"7.15"</f>
        <v>7.15</v>
      </c>
    </row>
    <row r="3546" s="1" customFormat="1" spans="1:15">
      <c r="A3546" s="1" t="str">
        <f t="shared" si="2439"/>
        <v>202406</v>
      </c>
      <c r="B3546" s="1" t="str">
        <f t="shared" si="2440"/>
        <v>150525100</v>
      </c>
      <c r="C3546" s="1" t="str">
        <f>"1014573098"</f>
        <v>1014573098</v>
      </c>
      <c r="D3546" s="1" t="s">
        <v>3609</v>
      </c>
      <c r="E3546" s="1" t="s">
        <v>3610</v>
      </c>
      <c r="F3546" s="1" t="s">
        <v>16</v>
      </c>
      <c r="G3546" s="1" t="s">
        <v>17</v>
      </c>
      <c r="H3546" s="1" t="str">
        <f>"71"</f>
        <v>71</v>
      </c>
      <c r="I3546" s="1" t="str">
        <f>"165.71"</f>
        <v>165.71</v>
      </c>
      <c r="J3546" s="1" t="str">
        <f t="shared" si="2446"/>
        <v>0</v>
      </c>
      <c r="K3546" s="1" t="str">
        <f t="shared" si="2435"/>
        <v>103</v>
      </c>
      <c r="L3546" s="1" t="str">
        <f t="shared" si="2436"/>
        <v>47</v>
      </c>
      <c r="M3546" s="1" t="str">
        <f t="shared" si="2444"/>
        <v>0</v>
      </c>
      <c r="N3546" s="1" t="str">
        <f t="shared" si="2445"/>
        <v>0</v>
      </c>
      <c r="O3546" s="1" t="str">
        <f>"5.71"</f>
        <v>5.71</v>
      </c>
    </row>
    <row r="3547" s="1" customFormat="1" spans="1:15">
      <c r="A3547" s="1" t="str">
        <f t="shared" si="2439"/>
        <v>202406</v>
      </c>
      <c r="B3547" s="1" t="str">
        <f t="shared" si="2440"/>
        <v>150525100</v>
      </c>
      <c r="C3547" s="1" t="str">
        <f>"1014573379"</f>
        <v>1014573379</v>
      </c>
      <c r="D3547" s="1" t="str">
        <f>"152326195910103082"</f>
        <v>152326195910103082</v>
      </c>
      <c r="E3547" s="1" t="s">
        <v>1816</v>
      </c>
      <c r="F3547" s="1" t="s">
        <v>16</v>
      </c>
      <c r="G3547" s="1" t="s">
        <v>17</v>
      </c>
      <c r="H3547" s="1" t="str">
        <f t="shared" ref="H3547:H3549" si="2447">"65"</f>
        <v>65</v>
      </c>
      <c r="I3547" s="1" t="str">
        <f>"158.19"</f>
        <v>158.19</v>
      </c>
      <c r="J3547" s="1" t="str">
        <f t="shared" si="2446"/>
        <v>0</v>
      </c>
      <c r="K3547" s="1" t="str">
        <f t="shared" si="2435"/>
        <v>103</v>
      </c>
      <c r="L3547" s="1" t="str">
        <f t="shared" si="2436"/>
        <v>47</v>
      </c>
      <c r="M3547" s="1" t="str">
        <f t="shared" si="2444"/>
        <v>0</v>
      </c>
      <c r="N3547" s="1" t="str">
        <f t="shared" si="2445"/>
        <v>0</v>
      </c>
      <c r="O3547" s="1" t="str">
        <f>"8.19"</f>
        <v>8.19</v>
      </c>
    </row>
    <row r="3548" s="1" customFormat="1" spans="1:15">
      <c r="A3548" s="1" t="str">
        <f t="shared" si="2439"/>
        <v>202406</v>
      </c>
      <c r="B3548" s="1" t="str">
        <f t="shared" si="2440"/>
        <v>150525100</v>
      </c>
      <c r="C3548" s="1" t="str">
        <f>"1014573381"</f>
        <v>1014573381</v>
      </c>
      <c r="D3548" s="1" t="str">
        <f>"152326195910133089"</f>
        <v>152326195910133089</v>
      </c>
      <c r="E3548" s="1" t="s">
        <v>3611</v>
      </c>
      <c r="F3548" s="1" t="s">
        <v>16</v>
      </c>
      <c r="G3548" s="1" t="s">
        <v>17</v>
      </c>
      <c r="H3548" s="1" t="str">
        <f t="shared" si="2447"/>
        <v>65</v>
      </c>
      <c r="I3548" s="1" t="str">
        <f>"166.09"</f>
        <v>166.09</v>
      </c>
      <c r="J3548" s="1" t="str">
        <f t="shared" si="2446"/>
        <v>0</v>
      </c>
      <c r="K3548" s="1" t="str">
        <f t="shared" si="2435"/>
        <v>103</v>
      </c>
      <c r="L3548" s="1" t="str">
        <f t="shared" si="2436"/>
        <v>47</v>
      </c>
      <c r="M3548" s="1" t="str">
        <f t="shared" si="2444"/>
        <v>0</v>
      </c>
      <c r="N3548" s="1" t="str">
        <f t="shared" si="2445"/>
        <v>0</v>
      </c>
      <c r="O3548" s="1" t="str">
        <f>"16.09"</f>
        <v>16.09</v>
      </c>
    </row>
    <row r="3549" s="1" customFormat="1" spans="1:15">
      <c r="A3549" s="1" t="str">
        <f t="shared" si="2439"/>
        <v>202406</v>
      </c>
      <c r="B3549" s="1" t="str">
        <f t="shared" si="2440"/>
        <v>150525100</v>
      </c>
      <c r="C3549" s="1" t="str">
        <f>"1014573383"</f>
        <v>1014573383</v>
      </c>
      <c r="D3549" s="1" t="str">
        <f>"152326195911013070"</f>
        <v>152326195911013070</v>
      </c>
      <c r="E3549" s="1" t="s">
        <v>3612</v>
      </c>
      <c r="F3549" s="1" t="s">
        <v>25</v>
      </c>
      <c r="G3549" s="1" t="s">
        <v>17</v>
      </c>
      <c r="H3549" s="1" t="str">
        <f t="shared" si="2447"/>
        <v>65</v>
      </c>
      <c r="I3549" s="1" t="str">
        <f>"164.99"</f>
        <v>164.99</v>
      </c>
      <c r="J3549" s="1" t="str">
        <f t="shared" si="2446"/>
        <v>0</v>
      </c>
      <c r="K3549" s="1" t="str">
        <f t="shared" si="2435"/>
        <v>103</v>
      </c>
      <c r="L3549" s="1" t="str">
        <f t="shared" si="2436"/>
        <v>47</v>
      </c>
      <c r="M3549" s="1" t="str">
        <f t="shared" si="2444"/>
        <v>0</v>
      </c>
      <c r="N3549" s="1" t="str">
        <f t="shared" si="2445"/>
        <v>0</v>
      </c>
      <c r="O3549" s="1" t="str">
        <f>"14.99"</f>
        <v>14.99</v>
      </c>
    </row>
    <row r="3550" s="1" customFormat="1" spans="1:15">
      <c r="A3550" s="1" t="str">
        <f t="shared" si="2439"/>
        <v>202406</v>
      </c>
      <c r="B3550" s="1" t="str">
        <f t="shared" si="2440"/>
        <v>150525100</v>
      </c>
      <c r="C3550" s="1" t="str">
        <f>"1014573396"</f>
        <v>1014573396</v>
      </c>
      <c r="D3550" s="1" t="str">
        <f>"152326196006073078"</f>
        <v>152326196006073078</v>
      </c>
      <c r="E3550" s="1" t="s">
        <v>3613</v>
      </c>
      <c r="F3550" s="1" t="s">
        <v>25</v>
      </c>
      <c r="G3550" s="1" t="s">
        <v>17</v>
      </c>
      <c r="H3550" s="1" t="str">
        <f>"64"</f>
        <v>64</v>
      </c>
      <c r="I3550" s="1" t="str">
        <f>"166.74"</f>
        <v>166.74</v>
      </c>
      <c r="J3550" s="1" t="str">
        <f t="shared" si="2446"/>
        <v>0</v>
      </c>
      <c r="K3550" s="1" t="str">
        <f t="shared" si="2435"/>
        <v>103</v>
      </c>
      <c r="L3550" s="1" t="str">
        <f t="shared" si="2436"/>
        <v>47</v>
      </c>
      <c r="M3550" s="1" t="str">
        <f t="shared" si="2444"/>
        <v>0</v>
      </c>
      <c r="N3550" s="1" t="str">
        <f t="shared" si="2445"/>
        <v>0</v>
      </c>
      <c r="O3550" s="1" t="str">
        <f>"16.74"</f>
        <v>16.74</v>
      </c>
    </row>
    <row r="3551" s="1" customFormat="1" spans="1:15">
      <c r="A3551" s="1" t="str">
        <f t="shared" si="2439"/>
        <v>202406</v>
      </c>
      <c r="B3551" s="1" t="str">
        <f t="shared" si="2440"/>
        <v>150525100</v>
      </c>
      <c r="C3551" s="1" t="str">
        <f>"1014573531"</f>
        <v>1014573531</v>
      </c>
      <c r="D3551" s="1" t="str">
        <f>"152326195211093081"</f>
        <v>152326195211093081</v>
      </c>
      <c r="E3551" s="1" t="s">
        <v>3614</v>
      </c>
      <c r="F3551" s="1" t="s">
        <v>16</v>
      </c>
      <c r="G3551" s="1" t="s">
        <v>17</v>
      </c>
      <c r="H3551" s="1" t="str">
        <f>"72"</f>
        <v>72</v>
      </c>
      <c r="I3551" s="1" t="str">
        <f>"163.87"</f>
        <v>163.87</v>
      </c>
      <c r="J3551" s="1" t="str">
        <f t="shared" si="2446"/>
        <v>0</v>
      </c>
      <c r="K3551" s="1" t="str">
        <f t="shared" si="2435"/>
        <v>103</v>
      </c>
      <c r="L3551" s="1" t="str">
        <f t="shared" si="2436"/>
        <v>47</v>
      </c>
      <c r="M3551" s="1" t="str">
        <f t="shared" si="2444"/>
        <v>0</v>
      </c>
      <c r="N3551" s="1" t="str">
        <f t="shared" si="2445"/>
        <v>0</v>
      </c>
      <c r="O3551" s="1" t="str">
        <f>"3.87"</f>
        <v>3.87</v>
      </c>
    </row>
    <row r="3552" s="1" customFormat="1" spans="1:15">
      <c r="A3552" s="1" t="str">
        <f t="shared" si="2439"/>
        <v>202406</v>
      </c>
      <c r="B3552" s="1" t="str">
        <f t="shared" si="2440"/>
        <v>150525100</v>
      </c>
      <c r="C3552" s="1" t="str">
        <f>"1014575658"</f>
        <v>1014575658</v>
      </c>
      <c r="D3552" s="1" t="str">
        <f>"152326195912073075"</f>
        <v>152326195912073075</v>
      </c>
      <c r="E3552" s="1" t="s">
        <v>3615</v>
      </c>
      <c r="F3552" s="1" t="s">
        <v>25</v>
      </c>
      <c r="G3552" s="1" t="s">
        <v>17</v>
      </c>
      <c r="H3552" s="1" t="str">
        <f>"65"</f>
        <v>65</v>
      </c>
      <c r="I3552" s="1" t="str">
        <f>"158.21"</f>
        <v>158.21</v>
      </c>
      <c r="J3552" s="1" t="str">
        <f t="shared" si="2446"/>
        <v>0</v>
      </c>
      <c r="K3552" s="1" t="str">
        <f t="shared" si="2435"/>
        <v>103</v>
      </c>
      <c r="L3552" s="1" t="str">
        <f t="shared" si="2436"/>
        <v>47</v>
      </c>
      <c r="M3552" s="1" t="str">
        <f t="shared" si="2444"/>
        <v>0</v>
      </c>
      <c r="N3552" s="1" t="str">
        <f t="shared" si="2445"/>
        <v>0</v>
      </c>
      <c r="O3552" s="1" t="str">
        <f>"8.21"</f>
        <v>8.21</v>
      </c>
    </row>
    <row r="3553" s="1" customFormat="1" spans="1:15">
      <c r="A3553" s="1" t="str">
        <f t="shared" si="2439"/>
        <v>202406</v>
      </c>
      <c r="B3553" s="1" t="str">
        <f t="shared" si="2440"/>
        <v>150525100</v>
      </c>
      <c r="C3553" s="1" t="str">
        <f>"1014576240"</f>
        <v>1014576240</v>
      </c>
      <c r="D3553" s="1" t="str">
        <f>"152326195506076131"</f>
        <v>152326195506076131</v>
      </c>
      <c r="E3553" s="1" t="s">
        <v>3616</v>
      </c>
      <c r="F3553" s="1" t="s">
        <v>25</v>
      </c>
      <c r="G3553" s="1" t="s">
        <v>17</v>
      </c>
      <c r="H3553" s="1" t="str">
        <f t="shared" ref="H3553:H3559" si="2448">"69"</f>
        <v>69</v>
      </c>
      <c r="I3553" s="1" t="str">
        <f>"155.09"</f>
        <v>155.09</v>
      </c>
      <c r="J3553" s="1" t="str">
        <f t="shared" si="2446"/>
        <v>0</v>
      </c>
      <c r="K3553" s="1" t="str">
        <f t="shared" si="2435"/>
        <v>103</v>
      </c>
      <c r="L3553" s="1" t="str">
        <f t="shared" si="2436"/>
        <v>47</v>
      </c>
      <c r="M3553" s="1" t="str">
        <f t="shared" si="2444"/>
        <v>0</v>
      </c>
      <c r="N3553" s="1" t="str">
        <f t="shared" si="2445"/>
        <v>0</v>
      </c>
      <c r="O3553" s="1" t="str">
        <f>"5.09"</f>
        <v>5.09</v>
      </c>
    </row>
    <row r="3554" s="1" customFormat="1" spans="1:15">
      <c r="A3554" s="1" t="str">
        <f t="shared" si="2439"/>
        <v>202406</v>
      </c>
      <c r="B3554" s="1" t="str">
        <f t="shared" si="2440"/>
        <v>150525100</v>
      </c>
      <c r="C3554" s="1" t="str">
        <f>"1014576241"</f>
        <v>1014576241</v>
      </c>
      <c r="D3554" s="1" t="str">
        <f>"152326195508166384"</f>
        <v>152326195508166384</v>
      </c>
      <c r="E3554" s="1" t="s">
        <v>3617</v>
      </c>
      <c r="F3554" s="1" t="s">
        <v>16</v>
      </c>
      <c r="G3554" s="1" t="s">
        <v>17</v>
      </c>
      <c r="H3554" s="1" t="str">
        <f t="shared" si="2448"/>
        <v>69</v>
      </c>
      <c r="I3554" s="1" t="str">
        <f>"155.09"</f>
        <v>155.09</v>
      </c>
      <c r="J3554" s="1" t="str">
        <f t="shared" si="2446"/>
        <v>0</v>
      </c>
      <c r="K3554" s="1" t="str">
        <f t="shared" si="2435"/>
        <v>103</v>
      </c>
      <c r="L3554" s="1" t="str">
        <f t="shared" si="2436"/>
        <v>47</v>
      </c>
      <c r="M3554" s="1" t="str">
        <f t="shared" si="2444"/>
        <v>0</v>
      </c>
      <c r="N3554" s="1" t="str">
        <f t="shared" si="2445"/>
        <v>0</v>
      </c>
      <c r="O3554" s="1" t="str">
        <f>"5.09"</f>
        <v>5.09</v>
      </c>
    </row>
    <row r="3555" s="1" customFormat="1" spans="1:15">
      <c r="A3555" s="1" t="str">
        <f t="shared" si="2439"/>
        <v>202406</v>
      </c>
      <c r="B3555" s="1" t="str">
        <f t="shared" si="2440"/>
        <v>150525100</v>
      </c>
      <c r="C3555" s="1" t="str">
        <f>"1014576856"</f>
        <v>1014576856</v>
      </c>
      <c r="D3555" s="1" t="str">
        <f>"152326195803030674"</f>
        <v>152326195803030674</v>
      </c>
      <c r="E3555" s="1" t="s">
        <v>3618</v>
      </c>
      <c r="F3555" s="1" t="s">
        <v>25</v>
      </c>
      <c r="G3555" s="1" t="s">
        <v>17</v>
      </c>
      <c r="H3555" s="1" t="str">
        <f>"66"</f>
        <v>66</v>
      </c>
      <c r="I3555" s="1" t="str">
        <f>"157.08"</f>
        <v>157.08</v>
      </c>
      <c r="J3555" s="1" t="str">
        <f t="shared" si="2446"/>
        <v>0</v>
      </c>
      <c r="K3555" s="1" t="str">
        <f t="shared" si="2435"/>
        <v>103</v>
      </c>
      <c r="L3555" s="1" t="str">
        <f t="shared" si="2436"/>
        <v>47</v>
      </c>
      <c r="M3555" s="1" t="str">
        <f t="shared" si="2444"/>
        <v>0</v>
      </c>
      <c r="N3555" s="1" t="str">
        <f t="shared" si="2445"/>
        <v>0</v>
      </c>
      <c r="O3555" s="1" t="str">
        <f>"7.08"</f>
        <v>7.08</v>
      </c>
    </row>
    <row r="3556" s="1" customFormat="1" spans="1:15">
      <c r="A3556" s="1" t="str">
        <f t="shared" si="2439"/>
        <v>202406</v>
      </c>
      <c r="B3556" s="1" t="str">
        <f t="shared" si="2440"/>
        <v>150525100</v>
      </c>
      <c r="C3556" s="1" t="str">
        <f>"1014576871"</f>
        <v>1014576871</v>
      </c>
      <c r="D3556" s="1" t="str">
        <f>"152326195408163071"</f>
        <v>152326195408163071</v>
      </c>
      <c r="E3556" s="1" t="s">
        <v>3619</v>
      </c>
      <c r="F3556" s="1" t="s">
        <v>25</v>
      </c>
      <c r="G3556" s="1" t="s">
        <v>17</v>
      </c>
      <c r="H3556" s="1" t="str">
        <f>"70"</f>
        <v>70</v>
      </c>
      <c r="I3556" s="1" t="str">
        <f>"155.87"</f>
        <v>155.87</v>
      </c>
      <c r="J3556" s="1" t="str">
        <f t="shared" si="2446"/>
        <v>0</v>
      </c>
      <c r="K3556" s="1" t="str">
        <f t="shared" si="2435"/>
        <v>103</v>
      </c>
      <c r="L3556" s="1" t="str">
        <f t="shared" si="2436"/>
        <v>47</v>
      </c>
      <c r="M3556" s="1" t="str">
        <f t="shared" si="2444"/>
        <v>0</v>
      </c>
      <c r="N3556" s="1" t="str">
        <f t="shared" si="2445"/>
        <v>0</v>
      </c>
      <c r="O3556" s="1" t="str">
        <f>"5.87"</f>
        <v>5.87</v>
      </c>
    </row>
    <row r="3557" s="1" customFormat="1" spans="1:15">
      <c r="A3557" s="1" t="str">
        <f t="shared" si="2439"/>
        <v>202406</v>
      </c>
      <c r="B3557" s="1" t="str">
        <f t="shared" si="2440"/>
        <v>150525100</v>
      </c>
      <c r="C3557" s="1" t="str">
        <f>"1014573406"</f>
        <v>1014573406</v>
      </c>
      <c r="D3557" s="1" t="str">
        <f>"152326196010040025"</f>
        <v>152326196010040025</v>
      </c>
      <c r="E3557" s="1" t="s">
        <v>3620</v>
      </c>
      <c r="F3557" s="1" t="s">
        <v>16</v>
      </c>
      <c r="G3557" s="1" t="s">
        <v>17</v>
      </c>
      <c r="H3557" s="1" t="str">
        <f>"64"</f>
        <v>64</v>
      </c>
      <c r="I3557" s="1" t="str">
        <f>"159.25"</f>
        <v>159.25</v>
      </c>
      <c r="J3557" s="1" t="str">
        <f t="shared" si="2446"/>
        <v>0</v>
      </c>
      <c r="K3557" s="1" t="str">
        <f t="shared" ref="K3557:K3561" si="2449">"103"</f>
        <v>103</v>
      </c>
      <c r="L3557" s="1" t="str">
        <f t="shared" ref="L3557:L3561" si="2450">"47"</f>
        <v>47</v>
      </c>
      <c r="M3557" s="1" t="str">
        <f t="shared" si="2444"/>
        <v>0</v>
      </c>
      <c r="N3557" s="1" t="str">
        <f t="shared" si="2445"/>
        <v>0</v>
      </c>
      <c r="O3557" s="1" t="str">
        <f>"9.25"</f>
        <v>9.25</v>
      </c>
    </row>
    <row r="3558" s="1" customFormat="1" spans="1:15">
      <c r="A3558" s="1" t="str">
        <f t="shared" si="2439"/>
        <v>202406</v>
      </c>
      <c r="B3558" s="1" t="str">
        <f t="shared" si="2440"/>
        <v>150525100</v>
      </c>
      <c r="C3558" s="1" t="str">
        <f>"1014575892"</f>
        <v>1014575892</v>
      </c>
      <c r="D3558" s="1" t="str">
        <f>"152326195505020662"</f>
        <v>152326195505020662</v>
      </c>
      <c r="E3558" s="1" t="s">
        <v>3621</v>
      </c>
      <c r="F3558" s="1" t="s">
        <v>16</v>
      </c>
      <c r="G3558" s="1" t="s">
        <v>96</v>
      </c>
      <c r="H3558" s="1" t="str">
        <f t="shared" si="2448"/>
        <v>69</v>
      </c>
      <c r="I3558" s="1" t="str">
        <f>"155.1"</f>
        <v>155.1</v>
      </c>
      <c r="J3558" s="1" t="str">
        <f t="shared" si="2446"/>
        <v>0</v>
      </c>
      <c r="K3558" s="1" t="str">
        <f t="shared" si="2449"/>
        <v>103</v>
      </c>
      <c r="L3558" s="1" t="str">
        <f t="shared" si="2450"/>
        <v>47</v>
      </c>
      <c r="M3558" s="1" t="str">
        <f t="shared" si="2444"/>
        <v>0</v>
      </c>
      <c r="N3558" s="1" t="str">
        <f t="shared" si="2445"/>
        <v>0</v>
      </c>
      <c r="O3558" s="1" t="str">
        <f>"5.1"</f>
        <v>5.1</v>
      </c>
    </row>
    <row r="3559" s="1" customFormat="1" spans="1:15">
      <c r="A3559" s="1" t="str">
        <f t="shared" si="2439"/>
        <v>202406</v>
      </c>
      <c r="B3559" s="1" t="str">
        <f t="shared" si="2440"/>
        <v>150525100</v>
      </c>
      <c r="C3559" s="1" t="str">
        <f>"1014575894"</f>
        <v>1014575894</v>
      </c>
      <c r="D3559" s="1" t="str">
        <f>"152326195511220679"</f>
        <v>152326195511220679</v>
      </c>
      <c r="E3559" s="1" t="s">
        <v>772</v>
      </c>
      <c r="F3559" s="1" t="s">
        <v>25</v>
      </c>
      <c r="G3559" s="1" t="s">
        <v>96</v>
      </c>
      <c r="H3559" s="1" t="str">
        <f t="shared" si="2448"/>
        <v>69</v>
      </c>
      <c r="I3559" s="1" t="str">
        <f>"155.1"</f>
        <v>155.1</v>
      </c>
      <c r="J3559" s="1" t="str">
        <f t="shared" si="2446"/>
        <v>0</v>
      </c>
      <c r="K3559" s="1" t="str">
        <f t="shared" si="2449"/>
        <v>103</v>
      </c>
      <c r="L3559" s="1" t="str">
        <f t="shared" si="2450"/>
        <v>47</v>
      </c>
      <c r="M3559" s="1" t="str">
        <f t="shared" si="2444"/>
        <v>0</v>
      </c>
      <c r="N3559" s="1" t="str">
        <f t="shared" si="2445"/>
        <v>0</v>
      </c>
      <c r="O3559" s="1" t="str">
        <f>"5.1"</f>
        <v>5.1</v>
      </c>
    </row>
    <row r="3560" s="1" customFormat="1" spans="1:15">
      <c r="A3560" s="1" t="str">
        <f t="shared" si="2439"/>
        <v>202406</v>
      </c>
      <c r="B3560" s="1" t="str">
        <f t="shared" si="2440"/>
        <v>150525100</v>
      </c>
      <c r="C3560" s="1" t="str">
        <f>"1014549522"</f>
        <v>1014549522</v>
      </c>
      <c r="D3560" s="1" t="str">
        <f>"152326195309023823"</f>
        <v>152326195309023823</v>
      </c>
      <c r="E3560" s="1" t="s">
        <v>3622</v>
      </c>
      <c r="F3560" s="1" t="s">
        <v>16</v>
      </c>
      <c r="G3560" s="1" t="s">
        <v>19</v>
      </c>
      <c r="H3560" s="1" t="str">
        <f>"71"</f>
        <v>71</v>
      </c>
      <c r="I3560" s="1" t="str">
        <f>"163.16"</f>
        <v>163.16</v>
      </c>
      <c r="J3560" s="1" t="str">
        <f t="shared" si="2446"/>
        <v>0</v>
      </c>
      <c r="K3560" s="1" t="str">
        <f t="shared" si="2449"/>
        <v>103</v>
      </c>
      <c r="L3560" s="1" t="str">
        <f t="shared" si="2450"/>
        <v>47</v>
      </c>
      <c r="M3560" s="1" t="str">
        <f t="shared" si="2444"/>
        <v>0</v>
      </c>
      <c r="N3560" s="1" t="str">
        <f t="shared" si="2445"/>
        <v>0</v>
      </c>
      <c r="O3560" s="1" t="str">
        <f>"3.16"</f>
        <v>3.16</v>
      </c>
    </row>
    <row r="3561" s="1" customFormat="1" spans="1:15">
      <c r="A3561" s="1" t="str">
        <f t="shared" si="2439"/>
        <v>202406</v>
      </c>
      <c r="B3561" s="1" t="str">
        <f t="shared" si="2440"/>
        <v>150525100</v>
      </c>
      <c r="C3561" s="1" t="str">
        <f>"1014571629"</f>
        <v>1014571629</v>
      </c>
      <c r="D3561" s="1" t="str">
        <f>"152326196207140011"</f>
        <v>152326196207140011</v>
      </c>
      <c r="E3561" s="1" t="s">
        <v>3623</v>
      </c>
      <c r="F3561" s="1" t="s">
        <v>25</v>
      </c>
      <c r="G3561" s="1" t="s">
        <v>17</v>
      </c>
      <c r="H3561" s="1" t="str">
        <f>"62"</f>
        <v>62</v>
      </c>
      <c r="I3561" s="1" t="str">
        <f>"199.25"</f>
        <v>199.25</v>
      </c>
      <c r="J3561" s="1" t="str">
        <f t="shared" si="2446"/>
        <v>0</v>
      </c>
      <c r="K3561" s="1" t="str">
        <f t="shared" si="2449"/>
        <v>103</v>
      </c>
      <c r="L3561" s="1" t="str">
        <f t="shared" si="2450"/>
        <v>47</v>
      </c>
      <c r="M3561" s="1" t="str">
        <f t="shared" si="2444"/>
        <v>0</v>
      </c>
      <c r="N3561" s="1" t="str">
        <f t="shared" si="2445"/>
        <v>0</v>
      </c>
      <c r="O3561" s="1" t="str">
        <f>"49.25"</f>
        <v>49.25</v>
      </c>
    </row>
    <row r="3562" s="1" customFormat="1" spans="1:15">
      <c r="A3562" s="1" t="str">
        <f t="shared" si="2439"/>
        <v>202406</v>
      </c>
      <c r="B3562" s="1" t="str">
        <f t="shared" si="2440"/>
        <v>150525100</v>
      </c>
      <c r="C3562" s="1" t="str">
        <f>"1014571636"</f>
        <v>1014571636</v>
      </c>
      <c r="D3562" s="1" t="str">
        <f>"152326196309200089"</f>
        <v>152326196309200089</v>
      </c>
      <c r="E3562" s="1" t="s">
        <v>3624</v>
      </c>
      <c r="F3562" s="1" t="s">
        <v>16</v>
      </c>
      <c r="G3562" s="1" t="s">
        <v>17</v>
      </c>
      <c r="H3562" s="1" t="str">
        <f>"61"</f>
        <v>61</v>
      </c>
      <c r="I3562" s="1" t="str">
        <f>"1689.92"</f>
        <v>1689.92</v>
      </c>
      <c r="J3562" s="1" t="str">
        <f>"1478.68"</f>
        <v>1478.68</v>
      </c>
      <c r="K3562" s="1" t="str">
        <f>"824"</f>
        <v>824</v>
      </c>
      <c r="L3562" s="1" t="str">
        <f>"376"</f>
        <v>376</v>
      </c>
      <c r="M3562" s="1" t="str">
        <f t="shared" si="2444"/>
        <v>0</v>
      </c>
      <c r="N3562" s="1" t="str">
        <f t="shared" si="2445"/>
        <v>0</v>
      </c>
      <c r="O3562" s="1" t="str">
        <f>"489.92"</f>
        <v>489.92</v>
      </c>
    </row>
    <row r="3563" s="1" customFormat="1" spans="1:15">
      <c r="A3563" s="1" t="str">
        <f t="shared" si="2439"/>
        <v>202406</v>
      </c>
      <c r="B3563" s="1" t="str">
        <f t="shared" si="2440"/>
        <v>150525100</v>
      </c>
      <c r="C3563" s="1" t="str">
        <f>"1014571788"</f>
        <v>1014571788</v>
      </c>
      <c r="D3563" s="1" t="str">
        <f>"152326195906170012"</f>
        <v>152326195906170012</v>
      </c>
      <c r="E3563" s="1" t="s">
        <v>3625</v>
      </c>
      <c r="F3563" s="1" t="s">
        <v>25</v>
      </c>
      <c r="G3563" s="1" t="s">
        <v>96</v>
      </c>
      <c r="H3563" s="1" t="str">
        <f>"65"</f>
        <v>65</v>
      </c>
      <c r="I3563" s="1" t="str">
        <f>"184.75"</f>
        <v>184.75</v>
      </c>
      <c r="J3563" s="1" t="str">
        <f t="shared" ref="J3563:J3604" si="2451">"0"</f>
        <v>0</v>
      </c>
      <c r="K3563" s="1" t="str">
        <f t="shared" ref="K3563:K3604" si="2452">"103"</f>
        <v>103</v>
      </c>
      <c r="L3563" s="1" t="str">
        <f t="shared" ref="L3563:L3604" si="2453">"47"</f>
        <v>47</v>
      </c>
      <c r="M3563" s="1" t="str">
        <f t="shared" si="2444"/>
        <v>0</v>
      </c>
      <c r="N3563" s="1" t="str">
        <f t="shared" si="2445"/>
        <v>0</v>
      </c>
      <c r="O3563" s="1" t="str">
        <f>"34.75"</f>
        <v>34.75</v>
      </c>
    </row>
    <row r="3564" s="1" customFormat="1" spans="1:15">
      <c r="A3564" s="1" t="str">
        <f t="shared" si="2439"/>
        <v>202406</v>
      </c>
      <c r="B3564" s="1" t="str">
        <f t="shared" si="2440"/>
        <v>150525100</v>
      </c>
      <c r="C3564" s="1" t="str">
        <f>"1014575538"</f>
        <v>1014575538</v>
      </c>
      <c r="D3564" s="1" t="str">
        <f>"152326195312053070"</f>
        <v>152326195312053070</v>
      </c>
      <c r="E3564" s="1" t="s">
        <v>3626</v>
      </c>
      <c r="F3564" s="1" t="s">
        <v>25</v>
      </c>
      <c r="G3564" s="1" t="s">
        <v>17</v>
      </c>
      <c r="H3564" s="1" t="str">
        <f>"71"</f>
        <v>71</v>
      </c>
      <c r="I3564" s="1" t="str">
        <f>"163.16"</f>
        <v>163.16</v>
      </c>
      <c r="J3564" s="1" t="str">
        <f t="shared" si="2451"/>
        <v>0</v>
      </c>
      <c r="K3564" s="1" t="str">
        <f t="shared" si="2452"/>
        <v>103</v>
      </c>
      <c r="L3564" s="1" t="str">
        <f t="shared" si="2453"/>
        <v>47</v>
      </c>
      <c r="M3564" s="1" t="str">
        <f t="shared" si="2444"/>
        <v>0</v>
      </c>
      <c r="N3564" s="1" t="str">
        <f t="shared" si="2445"/>
        <v>0</v>
      </c>
      <c r="O3564" s="1" t="str">
        <f>"3.16"</f>
        <v>3.16</v>
      </c>
    </row>
    <row r="3565" s="1" customFormat="1" spans="1:15">
      <c r="A3565" s="1" t="str">
        <f t="shared" si="2439"/>
        <v>202406</v>
      </c>
      <c r="B3565" s="1" t="str">
        <f t="shared" si="2440"/>
        <v>150525100</v>
      </c>
      <c r="C3565" s="1" t="str">
        <f>"1014575558"</f>
        <v>1014575558</v>
      </c>
      <c r="D3565" s="1" t="str">
        <f>"152326196006080665"</f>
        <v>152326196006080665</v>
      </c>
      <c r="E3565" s="1" t="s">
        <v>1473</v>
      </c>
      <c r="F3565" s="1" t="s">
        <v>16</v>
      </c>
      <c r="G3565" s="1" t="s">
        <v>17</v>
      </c>
      <c r="H3565" s="1" t="str">
        <f>"64"</f>
        <v>64</v>
      </c>
      <c r="I3565" s="1" t="str">
        <f>"159.22"</f>
        <v>159.22</v>
      </c>
      <c r="J3565" s="1" t="str">
        <f t="shared" si="2451"/>
        <v>0</v>
      </c>
      <c r="K3565" s="1" t="str">
        <f t="shared" si="2452"/>
        <v>103</v>
      </c>
      <c r="L3565" s="1" t="str">
        <f t="shared" si="2453"/>
        <v>47</v>
      </c>
      <c r="M3565" s="1" t="str">
        <f t="shared" si="2444"/>
        <v>0</v>
      </c>
      <c r="N3565" s="1" t="str">
        <f t="shared" si="2445"/>
        <v>0</v>
      </c>
      <c r="O3565" s="1" t="str">
        <f>"9.22"</f>
        <v>9.22</v>
      </c>
    </row>
    <row r="3566" s="1" customFormat="1" spans="1:15">
      <c r="A3566" s="1" t="str">
        <f t="shared" si="2439"/>
        <v>202406</v>
      </c>
      <c r="B3566" s="1" t="str">
        <f t="shared" si="2440"/>
        <v>150525100</v>
      </c>
      <c r="C3566" s="1" t="str">
        <f>"1014575689"</f>
        <v>1014575689</v>
      </c>
      <c r="D3566" s="1" t="str">
        <f>"152326196311120678"</f>
        <v>152326196311120678</v>
      </c>
      <c r="E3566" s="1" t="s">
        <v>3627</v>
      </c>
      <c r="F3566" s="1" t="s">
        <v>25</v>
      </c>
      <c r="G3566" s="1" t="s">
        <v>17</v>
      </c>
      <c r="H3566" s="1" t="str">
        <f>"61"</f>
        <v>61</v>
      </c>
      <c r="I3566" s="1" t="str">
        <f>"166.58"</f>
        <v>166.58</v>
      </c>
      <c r="J3566" s="1" t="str">
        <f t="shared" si="2451"/>
        <v>0</v>
      </c>
      <c r="K3566" s="1" t="str">
        <f t="shared" si="2452"/>
        <v>103</v>
      </c>
      <c r="L3566" s="1" t="str">
        <f t="shared" si="2453"/>
        <v>47</v>
      </c>
      <c r="M3566" s="1" t="str">
        <f t="shared" si="2444"/>
        <v>0</v>
      </c>
      <c r="N3566" s="1" t="str">
        <f t="shared" si="2445"/>
        <v>0</v>
      </c>
      <c r="O3566" s="1" t="str">
        <f>"16.58"</f>
        <v>16.58</v>
      </c>
    </row>
    <row r="3567" s="1" customFormat="1" spans="1:15">
      <c r="A3567" s="1" t="str">
        <f t="shared" si="2439"/>
        <v>202406</v>
      </c>
      <c r="B3567" s="1" t="str">
        <f t="shared" si="2440"/>
        <v>150525100</v>
      </c>
      <c r="C3567" s="1" t="str">
        <f>"1014575692"</f>
        <v>1014575692</v>
      </c>
      <c r="D3567" s="1" t="str">
        <f>"152326196401240681"</f>
        <v>152326196401240681</v>
      </c>
      <c r="E3567" s="1" t="s">
        <v>3628</v>
      </c>
      <c r="F3567" s="1" t="s">
        <v>16</v>
      </c>
      <c r="G3567" s="1" t="s">
        <v>17</v>
      </c>
      <c r="H3567" s="1" t="str">
        <f>"60"</f>
        <v>60</v>
      </c>
      <c r="I3567" s="1" t="str">
        <f>"166.83"</f>
        <v>166.83</v>
      </c>
      <c r="J3567" s="1" t="str">
        <f t="shared" si="2451"/>
        <v>0</v>
      </c>
      <c r="K3567" s="1" t="str">
        <f t="shared" si="2452"/>
        <v>103</v>
      </c>
      <c r="L3567" s="1" t="str">
        <f t="shared" si="2453"/>
        <v>47</v>
      </c>
      <c r="M3567" s="1" t="str">
        <f t="shared" si="2444"/>
        <v>0</v>
      </c>
      <c r="N3567" s="1" t="str">
        <f t="shared" si="2445"/>
        <v>0</v>
      </c>
      <c r="O3567" s="1" t="str">
        <f>"16.83"</f>
        <v>16.83</v>
      </c>
    </row>
    <row r="3568" s="1" customFormat="1" spans="1:15">
      <c r="A3568" s="1" t="str">
        <f t="shared" si="2439"/>
        <v>202406</v>
      </c>
      <c r="B3568" s="1" t="str">
        <f t="shared" si="2440"/>
        <v>150525100</v>
      </c>
      <c r="C3568" s="1" t="str">
        <f>"1014576623"</f>
        <v>1014576623</v>
      </c>
      <c r="D3568" s="1" t="str">
        <f>"152326195410250684"</f>
        <v>152326195410250684</v>
      </c>
      <c r="E3568" s="1" t="s">
        <v>3629</v>
      </c>
      <c r="F3568" s="1" t="s">
        <v>16</v>
      </c>
      <c r="G3568" s="1" t="s">
        <v>19</v>
      </c>
      <c r="H3568" s="1" t="str">
        <f>"70"</f>
        <v>70</v>
      </c>
      <c r="I3568" s="1" t="str">
        <f>"164.11"</f>
        <v>164.11</v>
      </c>
      <c r="J3568" s="1" t="str">
        <f t="shared" si="2451"/>
        <v>0</v>
      </c>
      <c r="K3568" s="1" t="str">
        <f t="shared" si="2452"/>
        <v>103</v>
      </c>
      <c r="L3568" s="1" t="str">
        <f t="shared" si="2453"/>
        <v>47</v>
      </c>
      <c r="M3568" s="1" t="str">
        <f t="shared" si="2444"/>
        <v>0</v>
      </c>
      <c r="N3568" s="1" t="str">
        <f t="shared" si="2445"/>
        <v>0</v>
      </c>
      <c r="O3568" s="1" t="str">
        <f>"14.11"</f>
        <v>14.11</v>
      </c>
    </row>
    <row r="3569" s="1" customFormat="1" spans="1:15">
      <c r="A3569" s="1" t="str">
        <f t="shared" si="2439"/>
        <v>202406</v>
      </c>
      <c r="B3569" s="1" t="str">
        <f t="shared" si="2440"/>
        <v>150525100</v>
      </c>
      <c r="C3569" s="1" t="str">
        <f>"1014576625"</f>
        <v>1014576625</v>
      </c>
      <c r="D3569" s="1" t="str">
        <f>"152326195508090666"</f>
        <v>152326195508090666</v>
      </c>
      <c r="E3569" s="1" t="s">
        <v>891</v>
      </c>
      <c r="F3569" s="1" t="s">
        <v>16</v>
      </c>
      <c r="G3569" s="1" t="s">
        <v>19</v>
      </c>
      <c r="H3569" s="1" t="str">
        <f>"69"</f>
        <v>69</v>
      </c>
      <c r="I3569" s="1" t="str">
        <f>"155.1"</f>
        <v>155.1</v>
      </c>
      <c r="J3569" s="1" t="str">
        <f t="shared" si="2451"/>
        <v>0</v>
      </c>
      <c r="K3569" s="1" t="str">
        <f t="shared" si="2452"/>
        <v>103</v>
      </c>
      <c r="L3569" s="1" t="str">
        <f t="shared" si="2453"/>
        <v>47</v>
      </c>
      <c r="M3569" s="1" t="str">
        <f t="shared" si="2444"/>
        <v>0</v>
      </c>
      <c r="N3569" s="1" t="str">
        <f t="shared" si="2445"/>
        <v>0</v>
      </c>
      <c r="O3569" s="1" t="str">
        <f>"5.1"</f>
        <v>5.1</v>
      </c>
    </row>
    <row r="3570" s="1" customFormat="1" spans="1:15">
      <c r="A3570" s="1" t="str">
        <f t="shared" si="2439"/>
        <v>202406</v>
      </c>
      <c r="B3570" s="1" t="str">
        <f t="shared" si="2440"/>
        <v>150525100</v>
      </c>
      <c r="C3570" s="1" t="str">
        <f>"1014576630"</f>
        <v>1014576630</v>
      </c>
      <c r="D3570" s="1" t="str">
        <f>"152326195604200677"</f>
        <v>152326195604200677</v>
      </c>
      <c r="E3570" s="1" t="s">
        <v>3630</v>
      </c>
      <c r="F3570" s="1" t="s">
        <v>25</v>
      </c>
      <c r="G3570" s="1" t="s">
        <v>19</v>
      </c>
      <c r="H3570" s="1" t="str">
        <f>"68"</f>
        <v>68</v>
      </c>
      <c r="I3570" s="1" t="str">
        <f>"156.02"</f>
        <v>156.02</v>
      </c>
      <c r="J3570" s="1" t="str">
        <f t="shared" si="2451"/>
        <v>0</v>
      </c>
      <c r="K3570" s="1" t="str">
        <f t="shared" si="2452"/>
        <v>103</v>
      </c>
      <c r="L3570" s="1" t="str">
        <f t="shared" si="2453"/>
        <v>47</v>
      </c>
      <c r="M3570" s="1" t="str">
        <f t="shared" si="2444"/>
        <v>0</v>
      </c>
      <c r="N3570" s="1" t="str">
        <f t="shared" si="2445"/>
        <v>0</v>
      </c>
      <c r="O3570" s="1" t="str">
        <f>"6.02"</f>
        <v>6.02</v>
      </c>
    </row>
    <row r="3571" s="1" customFormat="1" spans="1:15">
      <c r="A3571" s="1" t="str">
        <f t="shared" si="2439"/>
        <v>202406</v>
      </c>
      <c r="B3571" s="1" t="str">
        <f t="shared" si="2440"/>
        <v>150525100</v>
      </c>
      <c r="C3571" s="1" t="str">
        <f>"1014576631"</f>
        <v>1014576631</v>
      </c>
      <c r="D3571" s="1" t="str">
        <f>"152326195607060665"</f>
        <v>152326195607060665</v>
      </c>
      <c r="E3571" s="1" t="s">
        <v>3631</v>
      </c>
      <c r="F3571" s="1" t="s">
        <v>16</v>
      </c>
      <c r="G3571" s="1" t="s">
        <v>19</v>
      </c>
      <c r="H3571" s="1" t="str">
        <f>"68"</f>
        <v>68</v>
      </c>
      <c r="I3571" s="1" t="str">
        <f>"156.02"</f>
        <v>156.02</v>
      </c>
      <c r="J3571" s="1" t="str">
        <f t="shared" si="2451"/>
        <v>0</v>
      </c>
      <c r="K3571" s="1" t="str">
        <f t="shared" si="2452"/>
        <v>103</v>
      </c>
      <c r="L3571" s="1" t="str">
        <f t="shared" si="2453"/>
        <v>47</v>
      </c>
      <c r="M3571" s="1" t="str">
        <f t="shared" si="2444"/>
        <v>0</v>
      </c>
      <c r="N3571" s="1" t="str">
        <f t="shared" si="2445"/>
        <v>0</v>
      </c>
      <c r="O3571" s="1" t="str">
        <f>"6.02"</f>
        <v>6.02</v>
      </c>
    </row>
    <row r="3572" s="1" customFormat="1" spans="1:15">
      <c r="A3572" s="1" t="str">
        <f t="shared" si="2439"/>
        <v>202406</v>
      </c>
      <c r="B3572" s="1" t="str">
        <f t="shared" si="2440"/>
        <v>150525100</v>
      </c>
      <c r="C3572" s="1" t="str">
        <f>"1040689996"</f>
        <v>1040689996</v>
      </c>
      <c r="D3572" s="1" t="str">
        <f>"152326195701100926"</f>
        <v>152326195701100926</v>
      </c>
      <c r="E3572" s="1" t="s">
        <v>3632</v>
      </c>
      <c r="F3572" s="1" t="s">
        <v>16</v>
      </c>
      <c r="G3572" s="1" t="s">
        <v>19</v>
      </c>
      <c r="H3572" s="1" t="str">
        <f>"67"</f>
        <v>67</v>
      </c>
      <c r="I3572" s="1" t="str">
        <f>"154.72"</f>
        <v>154.72</v>
      </c>
      <c r="J3572" s="1" t="str">
        <f t="shared" si="2451"/>
        <v>0</v>
      </c>
      <c r="K3572" s="1" t="str">
        <f t="shared" si="2452"/>
        <v>103</v>
      </c>
      <c r="L3572" s="1" t="str">
        <f t="shared" si="2453"/>
        <v>47</v>
      </c>
      <c r="M3572" s="1" t="str">
        <f t="shared" si="2444"/>
        <v>0</v>
      </c>
      <c r="N3572" s="1" t="str">
        <f t="shared" si="2445"/>
        <v>0</v>
      </c>
      <c r="O3572" s="1" t="str">
        <f>"4.72"</f>
        <v>4.72</v>
      </c>
    </row>
    <row r="3573" s="1" customFormat="1" spans="1:15">
      <c r="A3573" s="1" t="str">
        <f t="shared" si="2439"/>
        <v>202406</v>
      </c>
      <c r="B3573" s="1" t="str">
        <f t="shared" si="2440"/>
        <v>150525100</v>
      </c>
      <c r="C3573" s="1" t="str">
        <f>"1040689999"</f>
        <v>1040689999</v>
      </c>
      <c r="D3573" s="1" t="str">
        <f>"152326195410050914"</f>
        <v>152326195410050914</v>
      </c>
      <c r="E3573" s="1" t="s">
        <v>3633</v>
      </c>
      <c r="F3573" s="1" t="s">
        <v>25</v>
      </c>
      <c r="G3573" s="1" t="s">
        <v>19</v>
      </c>
      <c r="H3573" s="1" t="str">
        <f>"70"</f>
        <v>70</v>
      </c>
      <c r="I3573" s="1" t="str">
        <f>"153.25"</f>
        <v>153.25</v>
      </c>
      <c r="J3573" s="1" t="str">
        <f t="shared" si="2451"/>
        <v>0</v>
      </c>
      <c r="K3573" s="1" t="str">
        <f t="shared" si="2452"/>
        <v>103</v>
      </c>
      <c r="L3573" s="1" t="str">
        <f t="shared" si="2453"/>
        <v>47</v>
      </c>
      <c r="M3573" s="1" t="str">
        <f t="shared" si="2444"/>
        <v>0</v>
      </c>
      <c r="N3573" s="1" t="str">
        <f t="shared" si="2445"/>
        <v>0</v>
      </c>
      <c r="O3573" s="1" t="str">
        <f>"3.25"</f>
        <v>3.25</v>
      </c>
    </row>
    <row r="3574" s="1" customFormat="1" spans="1:15">
      <c r="A3574" s="1" t="str">
        <f t="shared" si="2439"/>
        <v>202406</v>
      </c>
      <c r="B3574" s="1" t="str">
        <f t="shared" si="2440"/>
        <v>150525100</v>
      </c>
      <c r="C3574" s="1" t="str">
        <f>"1040690006"</f>
        <v>1040690006</v>
      </c>
      <c r="D3574" s="1" t="str">
        <f>"152326195803060929"</f>
        <v>152326195803060929</v>
      </c>
      <c r="E3574" s="1" t="s">
        <v>3634</v>
      </c>
      <c r="F3574" s="1" t="s">
        <v>16</v>
      </c>
      <c r="G3574" s="1" t="s">
        <v>19</v>
      </c>
      <c r="H3574" s="1" t="str">
        <f>"66"</f>
        <v>66</v>
      </c>
      <c r="I3574" s="1" t="str">
        <f>"155.93"</f>
        <v>155.93</v>
      </c>
      <c r="J3574" s="1" t="str">
        <f t="shared" si="2451"/>
        <v>0</v>
      </c>
      <c r="K3574" s="1" t="str">
        <f t="shared" si="2452"/>
        <v>103</v>
      </c>
      <c r="L3574" s="1" t="str">
        <f t="shared" si="2453"/>
        <v>47</v>
      </c>
      <c r="M3574" s="1" t="str">
        <f t="shared" si="2444"/>
        <v>0</v>
      </c>
      <c r="N3574" s="1" t="str">
        <f t="shared" si="2445"/>
        <v>0</v>
      </c>
      <c r="O3574" s="1" t="str">
        <f>"5.93"</f>
        <v>5.93</v>
      </c>
    </row>
    <row r="3575" s="1" customFormat="1" spans="1:15">
      <c r="A3575" s="1" t="str">
        <f t="shared" si="2439"/>
        <v>202406</v>
      </c>
      <c r="B3575" s="1" t="str">
        <f t="shared" si="2440"/>
        <v>150525100</v>
      </c>
      <c r="C3575" s="1" t="str">
        <f>"1040690067"</f>
        <v>1040690067</v>
      </c>
      <c r="D3575" s="1" t="str">
        <f>"152326196210110681"</f>
        <v>152326196210110681</v>
      </c>
      <c r="E3575" s="1" t="s">
        <v>3635</v>
      </c>
      <c r="F3575" s="1" t="s">
        <v>16</v>
      </c>
      <c r="G3575" s="1" t="s">
        <v>19</v>
      </c>
      <c r="H3575" s="1" t="str">
        <f>"62"</f>
        <v>62</v>
      </c>
      <c r="I3575" s="1" t="str">
        <f>"162.17"</f>
        <v>162.17</v>
      </c>
      <c r="J3575" s="1" t="str">
        <f t="shared" si="2451"/>
        <v>0</v>
      </c>
      <c r="K3575" s="1" t="str">
        <f t="shared" si="2452"/>
        <v>103</v>
      </c>
      <c r="L3575" s="1" t="str">
        <f t="shared" si="2453"/>
        <v>47</v>
      </c>
      <c r="M3575" s="1" t="str">
        <f t="shared" si="2444"/>
        <v>0</v>
      </c>
      <c r="N3575" s="1" t="str">
        <f t="shared" si="2445"/>
        <v>0</v>
      </c>
      <c r="O3575" s="1" t="str">
        <f>"12.17"</f>
        <v>12.17</v>
      </c>
    </row>
    <row r="3576" s="1" customFormat="1" spans="1:15">
      <c r="A3576" s="1" t="str">
        <f t="shared" si="2439"/>
        <v>202406</v>
      </c>
      <c r="B3576" s="1" t="str">
        <f t="shared" si="2440"/>
        <v>150525100</v>
      </c>
      <c r="C3576" s="1" t="str">
        <f>"1014547951"</f>
        <v>1014547951</v>
      </c>
      <c r="D3576" s="1" t="str">
        <f>"152326196002293823"</f>
        <v>152326196002293823</v>
      </c>
      <c r="E3576" s="1" t="s">
        <v>3636</v>
      </c>
      <c r="F3576" s="1" t="s">
        <v>16</v>
      </c>
      <c r="G3576" s="1" t="s">
        <v>19</v>
      </c>
      <c r="H3576" s="1" t="str">
        <f>"64"</f>
        <v>64</v>
      </c>
      <c r="I3576" s="1" t="str">
        <f>"155.22"</f>
        <v>155.22</v>
      </c>
      <c r="J3576" s="1" t="str">
        <f t="shared" si="2451"/>
        <v>0</v>
      </c>
      <c r="K3576" s="1" t="str">
        <f t="shared" si="2452"/>
        <v>103</v>
      </c>
      <c r="L3576" s="1" t="str">
        <f t="shared" si="2453"/>
        <v>47</v>
      </c>
      <c r="M3576" s="1" t="str">
        <f t="shared" si="2444"/>
        <v>0</v>
      </c>
      <c r="N3576" s="1" t="str">
        <f t="shared" si="2445"/>
        <v>0</v>
      </c>
      <c r="O3576" s="1" t="str">
        <f>"5.22"</f>
        <v>5.22</v>
      </c>
    </row>
    <row r="3577" s="1" customFormat="1" spans="1:15">
      <c r="A3577" s="1" t="str">
        <f t="shared" si="2439"/>
        <v>202406</v>
      </c>
      <c r="B3577" s="1" t="str">
        <f t="shared" si="2440"/>
        <v>150525100</v>
      </c>
      <c r="C3577" s="1" t="str">
        <f>"1014571803"</f>
        <v>1014571803</v>
      </c>
      <c r="D3577" s="1" t="str">
        <f>"152326195902120018"</f>
        <v>152326195902120018</v>
      </c>
      <c r="E3577" s="1" t="s">
        <v>3637</v>
      </c>
      <c r="F3577" s="1" t="s">
        <v>25</v>
      </c>
      <c r="G3577" s="1" t="s">
        <v>19</v>
      </c>
      <c r="H3577" s="1" t="str">
        <f>"65"</f>
        <v>65</v>
      </c>
      <c r="I3577" s="1" t="str">
        <f>"186.08"</f>
        <v>186.08</v>
      </c>
      <c r="J3577" s="1" t="str">
        <f t="shared" si="2451"/>
        <v>0</v>
      </c>
      <c r="K3577" s="1" t="str">
        <f t="shared" si="2452"/>
        <v>103</v>
      </c>
      <c r="L3577" s="1" t="str">
        <f t="shared" si="2453"/>
        <v>47</v>
      </c>
      <c r="M3577" s="1" t="str">
        <f t="shared" si="2444"/>
        <v>0</v>
      </c>
      <c r="N3577" s="1" t="str">
        <f t="shared" si="2445"/>
        <v>0</v>
      </c>
      <c r="O3577" s="1" t="str">
        <f>"36.08"</f>
        <v>36.08</v>
      </c>
    </row>
    <row r="3578" s="1" customFormat="1" spans="1:15">
      <c r="A3578" s="1" t="str">
        <f t="shared" si="2439"/>
        <v>202406</v>
      </c>
      <c r="B3578" s="1" t="str">
        <f t="shared" si="2440"/>
        <v>150525100</v>
      </c>
      <c r="C3578" s="1" t="str">
        <f>"1014571937"</f>
        <v>1014571937</v>
      </c>
      <c r="D3578" s="1" t="s">
        <v>3638</v>
      </c>
      <c r="E3578" s="1" t="s">
        <v>2060</v>
      </c>
      <c r="F3578" s="1" t="s">
        <v>16</v>
      </c>
      <c r="G3578" s="1" t="s">
        <v>17</v>
      </c>
      <c r="H3578" s="1" t="str">
        <f>"71"</f>
        <v>71</v>
      </c>
      <c r="I3578" s="1" t="str">
        <f>"163.16"</f>
        <v>163.16</v>
      </c>
      <c r="J3578" s="1" t="str">
        <f t="shared" si="2451"/>
        <v>0</v>
      </c>
      <c r="K3578" s="1" t="str">
        <f t="shared" si="2452"/>
        <v>103</v>
      </c>
      <c r="L3578" s="1" t="str">
        <f t="shared" si="2453"/>
        <v>47</v>
      </c>
      <c r="M3578" s="1" t="str">
        <f t="shared" si="2444"/>
        <v>0</v>
      </c>
      <c r="N3578" s="1" t="str">
        <f t="shared" si="2445"/>
        <v>0</v>
      </c>
      <c r="O3578" s="1" t="str">
        <f>"3.16"</f>
        <v>3.16</v>
      </c>
    </row>
    <row r="3579" s="1" customFormat="1" spans="1:15">
      <c r="A3579" s="1" t="str">
        <f t="shared" si="2439"/>
        <v>202406</v>
      </c>
      <c r="B3579" s="1" t="str">
        <f t="shared" si="2440"/>
        <v>150525100</v>
      </c>
      <c r="C3579" s="1" t="str">
        <f>"1014552292"</f>
        <v>1014552292</v>
      </c>
      <c r="D3579" s="1" t="str">
        <f>"152326195207083817"</f>
        <v>152326195207083817</v>
      </c>
      <c r="E3579" s="1" t="s">
        <v>2575</v>
      </c>
      <c r="F3579" s="1" t="s">
        <v>25</v>
      </c>
      <c r="G3579" s="1" t="s">
        <v>17</v>
      </c>
      <c r="H3579" s="1" t="str">
        <f>"72"</f>
        <v>72</v>
      </c>
      <c r="I3579" s="1" t="str">
        <f>"177.77"</f>
        <v>177.77</v>
      </c>
      <c r="J3579" s="1" t="str">
        <f t="shared" si="2451"/>
        <v>0</v>
      </c>
      <c r="K3579" s="1" t="str">
        <f t="shared" si="2452"/>
        <v>103</v>
      </c>
      <c r="L3579" s="1" t="str">
        <f t="shared" si="2453"/>
        <v>47</v>
      </c>
      <c r="M3579" s="1" t="str">
        <f t="shared" si="2444"/>
        <v>0</v>
      </c>
      <c r="N3579" s="1" t="str">
        <f t="shared" si="2445"/>
        <v>0</v>
      </c>
      <c r="O3579" s="1" t="str">
        <f>"17.77"</f>
        <v>17.77</v>
      </c>
    </row>
    <row r="3580" s="1" customFormat="1" spans="1:15">
      <c r="A3580" s="1" t="str">
        <f t="shared" si="2439"/>
        <v>202406</v>
      </c>
      <c r="B3580" s="1" t="str">
        <f t="shared" si="2440"/>
        <v>150525100</v>
      </c>
      <c r="C3580" s="1" t="str">
        <f>"1014552296"</f>
        <v>1014552296</v>
      </c>
      <c r="D3580" s="1" t="str">
        <f>"152326195708083815"</f>
        <v>152326195708083815</v>
      </c>
      <c r="E3580" s="1" t="s">
        <v>3639</v>
      </c>
      <c r="F3580" s="1" t="s">
        <v>25</v>
      </c>
      <c r="G3580" s="1" t="s">
        <v>17</v>
      </c>
      <c r="H3580" s="1" t="str">
        <f>"67"</f>
        <v>67</v>
      </c>
      <c r="I3580" s="1" t="str">
        <f>"199.8"</f>
        <v>199.8</v>
      </c>
      <c r="J3580" s="1" t="str">
        <f t="shared" si="2451"/>
        <v>0</v>
      </c>
      <c r="K3580" s="1" t="str">
        <f t="shared" si="2452"/>
        <v>103</v>
      </c>
      <c r="L3580" s="1" t="str">
        <f t="shared" si="2453"/>
        <v>47</v>
      </c>
      <c r="M3580" s="1" t="str">
        <f t="shared" si="2444"/>
        <v>0</v>
      </c>
      <c r="N3580" s="1" t="str">
        <f t="shared" si="2445"/>
        <v>0</v>
      </c>
      <c r="O3580" s="1" t="str">
        <f>"49.8"</f>
        <v>49.8</v>
      </c>
    </row>
    <row r="3581" s="1" customFormat="1" spans="1:15">
      <c r="A3581" s="1" t="str">
        <f t="shared" si="2439"/>
        <v>202406</v>
      </c>
      <c r="B3581" s="1" t="str">
        <f t="shared" si="2440"/>
        <v>150525100</v>
      </c>
      <c r="C3581" s="1" t="str">
        <f>"1014576268"</f>
        <v>1014576268</v>
      </c>
      <c r="D3581" s="1" t="str">
        <f>"152326195503160661"</f>
        <v>152326195503160661</v>
      </c>
      <c r="E3581" s="1" t="s">
        <v>3640</v>
      </c>
      <c r="F3581" s="1" t="s">
        <v>16</v>
      </c>
      <c r="G3581" s="1" t="s">
        <v>19</v>
      </c>
      <c r="H3581" s="1" t="str">
        <f>"69"</f>
        <v>69</v>
      </c>
      <c r="I3581" s="1" t="str">
        <f>"155.59"</f>
        <v>155.59</v>
      </c>
      <c r="J3581" s="1" t="str">
        <f t="shared" si="2451"/>
        <v>0</v>
      </c>
      <c r="K3581" s="1" t="str">
        <f t="shared" si="2452"/>
        <v>103</v>
      </c>
      <c r="L3581" s="1" t="str">
        <f t="shared" si="2453"/>
        <v>47</v>
      </c>
      <c r="M3581" s="1" t="str">
        <f t="shared" si="2444"/>
        <v>0</v>
      </c>
      <c r="N3581" s="1" t="str">
        <f t="shared" si="2445"/>
        <v>0</v>
      </c>
      <c r="O3581" s="1" t="str">
        <f>"5.59"</f>
        <v>5.59</v>
      </c>
    </row>
    <row r="3582" s="1" customFormat="1" spans="1:15">
      <c r="A3582" s="1" t="str">
        <f t="shared" si="2439"/>
        <v>202406</v>
      </c>
      <c r="B3582" s="1" t="str">
        <f t="shared" si="2440"/>
        <v>150525100</v>
      </c>
      <c r="C3582" s="1" t="str">
        <f>"1014571851"</f>
        <v>1014571851</v>
      </c>
      <c r="D3582" s="1" t="str">
        <f>"152326196003130428"</f>
        <v>152326196003130428</v>
      </c>
      <c r="E3582" s="1" t="s">
        <v>3641</v>
      </c>
      <c r="F3582" s="1" t="s">
        <v>16</v>
      </c>
      <c r="G3582" s="1" t="s">
        <v>17</v>
      </c>
      <c r="H3582" s="1" t="str">
        <f>"64"</f>
        <v>64</v>
      </c>
      <c r="I3582" s="1" t="str">
        <f>"157.17"</f>
        <v>157.17</v>
      </c>
      <c r="J3582" s="1" t="str">
        <f t="shared" si="2451"/>
        <v>0</v>
      </c>
      <c r="K3582" s="1" t="str">
        <f t="shared" si="2452"/>
        <v>103</v>
      </c>
      <c r="L3582" s="1" t="str">
        <f t="shared" si="2453"/>
        <v>47</v>
      </c>
      <c r="M3582" s="1" t="str">
        <f t="shared" si="2444"/>
        <v>0</v>
      </c>
      <c r="N3582" s="1" t="str">
        <f t="shared" si="2445"/>
        <v>0</v>
      </c>
      <c r="O3582" s="1" t="str">
        <f>"7.17"</f>
        <v>7.17</v>
      </c>
    </row>
    <row r="3583" s="1" customFormat="1" spans="1:15">
      <c r="A3583" s="1" t="str">
        <f t="shared" si="2439"/>
        <v>202406</v>
      </c>
      <c r="B3583" s="1" t="str">
        <f t="shared" si="2440"/>
        <v>150525100</v>
      </c>
      <c r="C3583" s="1" t="str">
        <f>"1014571853"</f>
        <v>1014571853</v>
      </c>
      <c r="D3583" s="1" t="str">
        <f>"152326196305250425"</f>
        <v>152326196305250425</v>
      </c>
      <c r="E3583" s="1" t="s">
        <v>3642</v>
      </c>
      <c r="F3583" s="1" t="s">
        <v>16</v>
      </c>
      <c r="G3583" s="1" t="s">
        <v>17</v>
      </c>
      <c r="H3583" s="1" t="str">
        <f>"61"</f>
        <v>61</v>
      </c>
      <c r="I3583" s="1" t="str">
        <f>"164.21"</f>
        <v>164.21</v>
      </c>
      <c r="J3583" s="1" t="str">
        <f t="shared" si="2451"/>
        <v>0</v>
      </c>
      <c r="K3583" s="1" t="str">
        <f t="shared" si="2452"/>
        <v>103</v>
      </c>
      <c r="L3583" s="1" t="str">
        <f t="shared" si="2453"/>
        <v>47</v>
      </c>
      <c r="M3583" s="1" t="str">
        <f t="shared" si="2444"/>
        <v>0</v>
      </c>
      <c r="N3583" s="1" t="str">
        <f t="shared" si="2445"/>
        <v>0</v>
      </c>
      <c r="O3583" s="1" t="str">
        <f>"14.21"</f>
        <v>14.21</v>
      </c>
    </row>
    <row r="3584" s="1" customFormat="1" spans="1:15">
      <c r="A3584" s="1" t="str">
        <f t="shared" si="2439"/>
        <v>202406</v>
      </c>
      <c r="B3584" s="1" t="str">
        <f t="shared" si="2440"/>
        <v>150525100</v>
      </c>
      <c r="C3584" s="1" t="str">
        <f>"1014572099"</f>
        <v>1014572099</v>
      </c>
      <c r="D3584" s="1" t="s">
        <v>3643</v>
      </c>
      <c r="E3584" s="1" t="s">
        <v>3644</v>
      </c>
      <c r="F3584" s="1" t="s">
        <v>16</v>
      </c>
      <c r="G3584" s="1" t="s">
        <v>17</v>
      </c>
      <c r="H3584" s="1" t="str">
        <f>"62"</f>
        <v>62</v>
      </c>
      <c r="I3584" s="1" t="str">
        <f>"163.05"</f>
        <v>163.05</v>
      </c>
      <c r="J3584" s="1" t="str">
        <f t="shared" si="2451"/>
        <v>0</v>
      </c>
      <c r="K3584" s="1" t="str">
        <f t="shared" si="2452"/>
        <v>103</v>
      </c>
      <c r="L3584" s="1" t="str">
        <f t="shared" si="2453"/>
        <v>47</v>
      </c>
      <c r="M3584" s="1" t="str">
        <f t="shared" si="2444"/>
        <v>0</v>
      </c>
      <c r="N3584" s="1" t="str">
        <f t="shared" si="2445"/>
        <v>0</v>
      </c>
      <c r="O3584" s="1" t="str">
        <f>"13.05"</f>
        <v>13.05</v>
      </c>
    </row>
    <row r="3585" s="1" customFormat="1" spans="1:15">
      <c r="A3585" s="1" t="str">
        <f t="shared" si="2439"/>
        <v>202406</v>
      </c>
      <c r="B3585" s="1" t="str">
        <f t="shared" si="2440"/>
        <v>150525100</v>
      </c>
      <c r="C3585" s="1" t="str">
        <f>"1040689487"</f>
        <v>1040689487</v>
      </c>
      <c r="D3585" s="1" t="str">
        <f>"152326195711263825"</f>
        <v>152326195711263825</v>
      </c>
      <c r="E3585" s="1" t="s">
        <v>3645</v>
      </c>
      <c r="F3585" s="1" t="s">
        <v>16</v>
      </c>
      <c r="G3585" s="1" t="s">
        <v>96</v>
      </c>
      <c r="H3585" s="1" t="str">
        <f>"67"</f>
        <v>67</v>
      </c>
      <c r="I3585" s="1" t="str">
        <f>"155.21"</f>
        <v>155.21</v>
      </c>
      <c r="J3585" s="1" t="str">
        <f t="shared" si="2451"/>
        <v>0</v>
      </c>
      <c r="K3585" s="1" t="str">
        <f t="shared" si="2452"/>
        <v>103</v>
      </c>
      <c r="L3585" s="1" t="str">
        <f t="shared" si="2453"/>
        <v>47</v>
      </c>
      <c r="M3585" s="1" t="str">
        <f t="shared" si="2444"/>
        <v>0</v>
      </c>
      <c r="N3585" s="1" t="str">
        <f t="shared" si="2445"/>
        <v>0</v>
      </c>
      <c r="O3585" s="1" t="str">
        <f>"5.21"</f>
        <v>5.21</v>
      </c>
    </row>
    <row r="3586" s="1" customFormat="1" spans="1:15">
      <c r="A3586" s="1" t="str">
        <f t="shared" ref="A3586:A3649" si="2454">"202406"</f>
        <v>202406</v>
      </c>
      <c r="B3586" s="1" t="str">
        <f t="shared" ref="B3586:B3649" si="2455">"150525100"</f>
        <v>150525100</v>
      </c>
      <c r="C3586" s="1" t="str">
        <f>"1040689489"</f>
        <v>1040689489</v>
      </c>
      <c r="D3586" s="1" t="str">
        <f>"152326195402023844"</f>
        <v>152326195402023844</v>
      </c>
      <c r="E3586" s="1" t="s">
        <v>3646</v>
      </c>
      <c r="F3586" s="1" t="s">
        <v>16</v>
      </c>
      <c r="G3586" s="1" t="s">
        <v>19</v>
      </c>
      <c r="H3586" s="1" t="str">
        <f>"70"</f>
        <v>70</v>
      </c>
      <c r="I3586" s="1" t="str">
        <f>"163.25"</f>
        <v>163.25</v>
      </c>
      <c r="J3586" s="1" t="str">
        <f t="shared" si="2451"/>
        <v>0</v>
      </c>
      <c r="K3586" s="1" t="str">
        <f t="shared" si="2452"/>
        <v>103</v>
      </c>
      <c r="L3586" s="1" t="str">
        <f t="shared" si="2453"/>
        <v>47</v>
      </c>
      <c r="M3586" s="1" t="str">
        <f t="shared" si="2444"/>
        <v>0</v>
      </c>
      <c r="N3586" s="1" t="str">
        <f t="shared" si="2445"/>
        <v>0</v>
      </c>
      <c r="O3586" s="1" t="str">
        <f>"3.25"</f>
        <v>3.25</v>
      </c>
    </row>
    <row r="3587" s="1" customFormat="1" spans="1:15">
      <c r="A3587" s="1" t="str">
        <f t="shared" si="2454"/>
        <v>202406</v>
      </c>
      <c r="B3587" s="1" t="str">
        <f t="shared" si="2455"/>
        <v>150525100</v>
      </c>
      <c r="C3587" s="1" t="str">
        <f>"1040689728"</f>
        <v>1040689728</v>
      </c>
      <c r="D3587" s="1" t="str">
        <f>"152326196001220665"</f>
        <v>152326196001220665</v>
      </c>
      <c r="E3587" s="1" t="s">
        <v>1989</v>
      </c>
      <c r="F3587" s="1" t="s">
        <v>16</v>
      </c>
      <c r="G3587" s="1" t="s">
        <v>19</v>
      </c>
      <c r="H3587" s="1" t="str">
        <f>"64"</f>
        <v>64</v>
      </c>
      <c r="I3587" s="1" t="str">
        <f>"158.23"</f>
        <v>158.23</v>
      </c>
      <c r="J3587" s="1" t="str">
        <f t="shared" si="2451"/>
        <v>0</v>
      </c>
      <c r="K3587" s="1" t="str">
        <f t="shared" si="2452"/>
        <v>103</v>
      </c>
      <c r="L3587" s="1" t="str">
        <f t="shared" si="2453"/>
        <v>47</v>
      </c>
      <c r="M3587" s="1" t="str">
        <f t="shared" si="2444"/>
        <v>0</v>
      </c>
      <c r="N3587" s="1" t="str">
        <f t="shared" si="2445"/>
        <v>0</v>
      </c>
      <c r="O3587" s="1" t="str">
        <f>"8.23"</f>
        <v>8.23</v>
      </c>
    </row>
    <row r="3588" s="1" customFormat="1" spans="1:15">
      <c r="A3588" s="1" t="str">
        <f t="shared" si="2454"/>
        <v>202406</v>
      </c>
      <c r="B3588" s="1" t="str">
        <f t="shared" si="2455"/>
        <v>150525100</v>
      </c>
      <c r="C3588" s="1" t="str">
        <f>"1040689736"</f>
        <v>1040689736</v>
      </c>
      <c r="D3588" s="1" t="str">
        <f>"152326196210120716"</f>
        <v>152326196210120716</v>
      </c>
      <c r="E3588" s="1" t="s">
        <v>1513</v>
      </c>
      <c r="F3588" s="1" t="s">
        <v>25</v>
      </c>
      <c r="G3588" s="1" t="s">
        <v>17</v>
      </c>
      <c r="H3588" s="1" t="str">
        <f>"62"</f>
        <v>62</v>
      </c>
      <c r="I3588" s="1" t="str">
        <f>"197.43"</f>
        <v>197.43</v>
      </c>
      <c r="J3588" s="1" t="str">
        <f t="shared" si="2451"/>
        <v>0</v>
      </c>
      <c r="K3588" s="1" t="str">
        <f t="shared" si="2452"/>
        <v>103</v>
      </c>
      <c r="L3588" s="1" t="str">
        <f t="shared" si="2453"/>
        <v>47</v>
      </c>
      <c r="M3588" s="1" t="str">
        <f t="shared" si="2444"/>
        <v>0</v>
      </c>
      <c r="N3588" s="1" t="str">
        <f t="shared" si="2445"/>
        <v>0</v>
      </c>
      <c r="O3588" s="1" t="str">
        <f>"47.43"</f>
        <v>47.43</v>
      </c>
    </row>
    <row r="3589" s="1" customFormat="1" spans="1:15">
      <c r="A3589" s="1" t="str">
        <f t="shared" si="2454"/>
        <v>202406</v>
      </c>
      <c r="B3589" s="1" t="str">
        <f t="shared" si="2455"/>
        <v>150525100</v>
      </c>
      <c r="C3589" s="1" t="str">
        <f>"1040689741"</f>
        <v>1040689741</v>
      </c>
      <c r="D3589" s="1" t="str">
        <f>"152326196309090668"</f>
        <v>152326196309090668</v>
      </c>
      <c r="E3589" s="1" t="s">
        <v>2046</v>
      </c>
      <c r="F3589" s="1" t="s">
        <v>16</v>
      </c>
      <c r="G3589" s="1" t="s">
        <v>17</v>
      </c>
      <c r="H3589" s="1" t="str">
        <f>"61"</f>
        <v>61</v>
      </c>
      <c r="I3589" s="1" t="str">
        <f>"164.13"</f>
        <v>164.13</v>
      </c>
      <c r="J3589" s="1" t="str">
        <f t="shared" si="2451"/>
        <v>0</v>
      </c>
      <c r="K3589" s="1" t="str">
        <f t="shared" si="2452"/>
        <v>103</v>
      </c>
      <c r="L3589" s="1" t="str">
        <f t="shared" si="2453"/>
        <v>47</v>
      </c>
      <c r="M3589" s="1" t="str">
        <f t="shared" si="2444"/>
        <v>0</v>
      </c>
      <c r="N3589" s="1" t="str">
        <f t="shared" si="2445"/>
        <v>0</v>
      </c>
      <c r="O3589" s="1" t="str">
        <f>"14.13"</f>
        <v>14.13</v>
      </c>
    </row>
    <row r="3590" s="1" customFormat="1" spans="1:15">
      <c r="A3590" s="1" t="str">
        <f t="shared" si="2454"/>
        <v>202406</v>
      </c>
      <c r="B3590" s="1" t="str">
        <f t="shared" si="2455"/>
        <v>150525100</v>
      </c>
      <c r="C3590" s="1" t="str">
        <f>"1040689570"</f>
        <v>1040689570</v>
      </c>
      <c r="D3590" s="1" t="str">
        <f>"152326195708173810"</f>
        <v>152326195708173810</v>
      </c>
      <c r="E3590" s="1" t="s">
        <v>3647</v>
      </c>
      <c r="F3590" s="1" t="s">
        <v>25</v>
      </c>
      <c r="G3590" s="1" t="s">
        <v>17</v>
      </c>
      <c r="H3590" s="1" t="str">
        <f>"67"</f>
        <v>67</v>
      </c>
      <c r="I3590" s="1" t="str">
        <f>"159.83"</f>
        <v>159.83</v>
      </c>
      <c r="J3590" s="1" t="str">
        <f t="shared" si="2451"/>
        <v>0</v>
      </c>
      <c r="K3590" s="1" t="str">
        <f t="shared" si="2452"/>
        <v>103</v>
      </c>
      <c r="L3590" s="1" t="str">
        <f t="shared" si="2453"/>
        <v>47</v>
      </c>
      <c r="M3590" s="1" t="str">
        <f t="shared" si="2444"/>
        <v>0</v>
      </c>
      <c r="N3590" s="1" t="str">
        <f t="shared" si="2445"/>
        <v>0</v>
      </c>
      <c r="O3590" s="1" t="str">
        <f>"9.83"</f>
        <v>9.83</v>
      </c>
    </row>
    <row r="3591" s="1" customFormat="1" spans="1:15">
      <c r="A3591" s="1" t="str">
        <f t="shared" si="2454"/>
        <v>202406</v>
      </c>
      <c r="B3591" s="1" t="str">
        <f t="shared" si="2455"/>
        <v>150525100</v>
      </c>
      <c r="C3591" s="1" t="str">
        <f>"1040689605"</f>
        <v>1040689605</v>
      </c>
      <c r="D3591" s="1" t="s">
        <v>3648</v>
      </c>
      <c r="E3591" s="1" t="s">
        <v>3649</v>
      </c>
      <c r="F3591" s="1" t="s">
        <v>16</v>
      </c>
      <c r="G3591" s="1" t="s">
        <v>17</v>
      </c>
      <c r="H3591" s="1" t="str">
        <f>"69"</f>
        <v>69</v>
      </c>
      <c r="I3591" s="1" t="str">
        <f>"154.2"</f>
        <v>154.2</v>
      </c>
      <c r="J3591" s="1" t="str">
        <f t="shared" si="2451"/>
        <v>0</v>
      </c>
      <c r="K3591" s="1" t="str">
        <f t="shared" si="2452"/>
        <v>103</v>
      </c>
      <c r="L3591" s="1" t="str">
        <f t="shared" si="2453"/>
        <v>47</v>
      </c>
      <c r="M3591" s="1" t="str">
        <f t="shared" si="2444"/>
        <v>0</v>
      </c>
      <c r="N3591" s="1" t="str">
        <f t="shared" si="2445"/>
        <v>0</v>
      </c>
      <c r="O3591" s="1" t="str">
        <f>"4.2"</f>
        <v>4.2</v>
      </c>
    </row>
    <row r="3592" s="1" customFormat="1" spans="1:15">
      <c r="A3592" s="1" t="str">
        <f t="shared" si="2454"/>
        <v>202406</v>
      </c>
      <c r="B3592" s="1" t="str">
        <f t="shared" si="2455"/>
        <v>150525100</v>
      </c>
      <c r="C3592" s="1" t="str">
        <f>"1040689607"</f>
        <v>1040689607</v>
      </c>
      <c r="D3592" s="1" t="str">
        <f>"152326195401113098"</f>
        <v>152326195401113098</v>
      </c>
      <c r="E3592" s="1" t="s">
        <v>3650</v>
      </c>
      <c r="F3592" s="1" t="s">
        <v>25</v>
      </c>
      <c r="G3592" s="1" t="s">
        <v>17</v>
      </c>
      <c r="H3592" s="1" t="str">
        <f>"70"</f>
        <v>70</v>
      </c>
      <c r="I3592" s="1" t="str">
        <f>"163.25"</f>
        <v>163.25</v>
      </c>
      <c r="J3592" s="1" t="str">
        <f t="shared" si="2451"/>
        <v>0</v>
      </c>
      <c r="K3592" s="1" t="str">
        <f t="shared" si="2452"/>
        <v>103</v>
      </c>
      <c r="L3592" s="1" t="str">
        <f t="shared" si="2453"/>
        <v>47</v>
      </c>
      <c r="M3592" s="1" t="str">
        <f t="shared" si="2444"/>
        <v>0</v>
      </c>
      <c r="N3592" s="1" t="str">
        <f t="shared" si="2445"/>
        <v>0</v>
      </c>
      <c r="O3592" s="1" t="str">
        <f>"3.25"</f>
        <v>3.25</v>
      </c>
    </row>
    <row r="3593" s="1" customFormat="1" spans="1:15">
      <c r="A3593" s="1" t="str">
        <f t="shared" si="2454"/>
        <v>202406</v>
      </c>
      <c r="B3593" s="1" t="str">
        <f t="shared" si="2455"/>
        <v>150525100</v>
      </c>
      <c r="C3593" s="1" t="str">
        <f>"1040689449"</f>
        <v>1040689449</v>
      </c>
      <c r="D3593" s="1" t="str">
        <f>"152326196301300413"</f>
        <v>152326196301300413</v>
      </c>
      <c r="E3593" s="1" t="s">
        <v>3651</v>
      </c>
      <c r="F3593" s="1" t="s">
        <v>25</v>
      </c>
      <c r="G3593" s="1" t="s">
        <v>17</v>
      </c>
      <c r="H3593" s="1" t="str">
        <f>"61"</f>
        <v>61</v>
      </c>
      <c r="I3593" s="1" t="str">
        <f>"163.93"</f>
        <v>163.93</v>
      </c>
      <c r="J3593" s="1" t="str">
        <f t="shared" si="2451"/>
        <v>0</v>
      </c>
      <c r="K3593" s="1" t="str">
        <f t="shared" si="2452"/>
        <v>103</v>
      </c>
      <c r="L3593" s="1" t="str">
        <f t="shared" si="2453"/>
        <v>47</v>
      </c>
      <c r="M3593" s="1" t="str">
        <f t="shared" si="2444"/>
        <v>0</v>
      </c>
      <c r="N3593" s="1" t="str">
        <f t="shared" si="2445"/>
        <v>0</v>
      </c>
      <c r="O3593" s="1" t="str">
        <f>"13.93"</f>
        <v>13.93</v>
      </c>
    </row>
    <row r="3594" s="1" customFormat="1" spans="1:15">
      <c r="A3594" s="1" t="str">
        <f t="shared" si="2454"/>
        <v>202406</v>
      </c>
      <c r="B3594" s="1" t="str">
        <f t="shared" si="2455"/>
        <v>150525100</v>
      </c>
      <c r="C3594" s="1" t="str">
        <f>"1040689674"</f>
        <v>1040689674</v>
      </c>
      <c r="D3594" s="1" t="str">
        <f>"152326196003260679"</f>
        <v>152326196003260679</v>
      </c>
      <c r="E3594" s="1" t="s">
        <v>3652</v>
      </c>
      <c r="F3594" s="1" t="s">
        <v>25</v>
      </c>
      <c r="G3594" s="1" t="s">
        <v>17</v>
      </c>
      <c r="H3594" s="1" t="str">
        <f>"64"</f>
        <v>64</v>
      </c>
      <c r="I3594" s="1" t="str">
        <f>"158.25"</f>
        <v>158.25</v>
      </c>
      <c r="J3594" s="1" t="str">
        <f t="shared" si="2451"/>
        <v>0</v>
      </c>
      <c r="K3594" s="1" t="str">
        <f t="shared" si="2452"/>
        <v>103</v>
      </c>
      <c r="L3594" s="1" t="str">
        <f t="shared" si="2453"/>
        <v>47</v>
      </c>
      <c r="M3594" s="1" t="str">
        <f t="shared" si="2444"/>
        <v>0</v>
      </c>
      <c r="N3594" s="1" t="str">
        <f t="shared" si="2445"/>
        <v>0</v>
      </c>
      <c r="O3594" s="1" t="str">
        <f>"8.25"</f>
        <v>8.25</v>
      </c>
    </row>
    <row r="3595" s="1" customFormat="1" spans="1:15">
      <c r="A3595" s="1" t="str">
        <f t="shared" si="2454"/>
        <v>202406</v>
      </c>
      <c r="B3595" s="1" t="str">
        <f t="shared" si="2455"/>
        <v>150525100</v>
      </c>
      <c r="C3595" s="1" t="str">
        <f>"1040689698"</f>
        <v>1040689698</v>
      </c>
      <c r="D3595" s="1" t="s">
        <v>3653</v>
      </c>
      <c r="E3595" s="1" t="s">
        <v>3654</v>
      </c>
      <c r="F3595" s="1" t="s">
        <v>16</v>
      </c>
      <c r="G3595" s="1" t="s">
        <v>17</v>
      </c>
      <c r="H3595" s="1" t="str">
        <f>"67"</f>
        <v>67</v>
      </c>
      <c r="I3595" s="1" t="str">
        <f>"155.21"</f>
        <v>155.21</v>
      </c>
      <c r="J3595" s="1" t="str">
        <f t="shared" si="2451"/>
        <v>0</v>
      </c>
      <c r="K3595" s="1" t="str">
        <f t="shared" si="2452"/>
        <v>103</v>
      </c>
      <c r="L3595" s="1" t="str">
        <f t="shared" si="2453"/>
        <v>47</v>
      </c>
      <c r="M3595" s="1" t="str">
        <f t="shared" si="2444"/>
        <v>0</v>
      </c>
      <c r="N3595" s="1" t="str">
        <f t="shared" si="2445"/>
        <v>0</v>
      </c>
      <c r="O3595" s="1" t="str">
        <f>"5.21"</f>
        <v>5.21</v>
      </c>
    </row>
    <row r="3596" s="1" customFormat="1" spans="1:15">
      <c r="A3596" s="1" t="str">
        <f t="shared" si="2454"/>
        <v>202406</v>
      </c>
      <c r="B3596" s="1" t="str">
        <f t="shared" si="2455"/>
        <v>150525100</v>
      </c>
      <c r="C3596" s="1" t="str">
        <f>"1015311651"</f>
        <v>1015311651</v>
      </c>
      <c r="D3596" s="1" t="str">
        <f>"152326195312160925"</f>
        <v>152326195312160925</v>
      </c>
      <c r="E3596" s="1" t="s">
        <v>3655</v>
      </c>
      <c r="F3596" s="1" t="s">
        <v>16</v>
      </c>
      <c r="G3596" s="1" t="s">
        <v>19</v>
      </c>
      <c r="H3596" s="1" t="str">
        <f>"71"</f>
        <v>71</v>
      </c>
      <c r="I3596" s="1" t="str">
        <f>"162.3"</f>
        <v>162.3</v>
      </c>
      <c r="J3596" s="1" t="str">
        <f t="shared" si="2451"/>
        <v>0</v>
      </c>
      <c r="K3596" s="1" t="str">
        <f t="shared" si="2452"/>
        <v>103</v>
      </c>
      <c r="L3596" s="1" t="str">
        <f t="shared" si="2453"/>
        <v>47</v>
      </c>
      <c r="M3596" s="1" t="str">
        <f t="shared" si="2444"/>
        <v>0</v>
      </c>
      <c r="N3596" s="1" t="str">
        <f t="shared" si="2445"/>
        <v>0</v>
      </c>
      <c r="O3596" s="1" t="str">
        <f>"2.3"</f>
        <v>2.3</v>
      </c>
    </row>
    <row r="3597" s="1" customFormat="1" spans="1:15">
      <c r="A3597" s="1" t="str">
        <f t="shared" si="2454"/>
        <v>202406</v>
      </c>
      <c r="B3597" s="1" t="str">
        <f t="shared" si="2455"/>
        <v>150525100</v>
      </c>
      <c r="C3597" s="1" t="str">
        <f>"1015311657"</f>
        <v>1015311657</v>
      </c>
      <c r="D3597" s="1" t="str">
        <f>"152326195207210919"</f>
        <v>152326195207210919</v>
      </c>
      <c r="E3597" s="1" t="s">
        <v>3656</v>
      </c>
      <c r="F3597" s="1" t="s">
        <v>25</v>
      </c>
      <c r="G3597" s="1" t="s">
        <v>19</v>
      </c>
      <c r="H3597" s="1" t="str">
        <f>"72"</f>
        <v>72</v>
      </c>
      <c r="I3597" s="1" t="str">
        <f>"161.53"</f>
        <v>161.53</v>
      </c>
      <c r="J3597" s="1" t="str">
        <f t="shared" si="2451"/>
        <v>0</v>
      </c>
      <c r="K3597" s="1" t="str">
        <f t="shared" si="2452"/>
        <v>103</v>
      </c>
      <c r="L3597" s="1" t="str">
        <f t="shared" si="2453"/>
        <v>47</v>
      </c>
      <c r="M3597" s="1" t="str">
        <f t="shared" si="2444"/>
        <v>0</v>
      </c>
      <c r="N3597" s="1" t="str">
        <f t="shared" si="2445"/>
        <v>0</v>
      </c>
      <c r="O3597" s="1" t="str">
        <f>"1.53"</f>
        <v>1.53</v>
      </c>
    </row>
    <row r="3598" s="1" customFormat="1" spans="1:15">
      <c r="A3598" s="1" t="str">
        <f t="shared" si="2454"/>
        <v>202406</v>
      </c>
      <c r="B3598" s="1" t="str">
        <f t="shared" si="2455"/>
        <v>150525100</v>
      </c>
      <c r="C3598" s="1" t="str">
        <f>"1014625025"</f>
        <v>1014625025</v>
      </c>
      <c r="D3598" s="1" t="str">
        <f>"152326194902243849"</f>
        <v>152326194902243849</v>
      </c>
      <c r="E3598" s="1" t="s">
        <v>3657</v>
      </c>
      <c r="F3598" s="1" t="s">
        <v>16</v>
      </c>
      <c r="G3598" s="1" t="s">
        <v>17</v>
      </c>
      <c r="H3598" s="1" t="str">
        <f>"75"</f>
        <v>75</v>
      </c>
      <c r="I3598" s="1" t="str">
        <f t="shared" ref="I3598:I3601" si="2456">"160"</f>
        <v>160</v>
      </c>
      <c r="J3598" s="1" t="str">
        <f t="shared" si="2451"/>
        <v>0</v>
      </c>
      <c r="K3598" s="1" t="str">
        <f t="shared" si="2452"/>
        <v>103</v>
      </c>
      <c r="L3598" s="1" t="str">
        <f t="shared" si="2453"/>
        <v>47</v>
      </c>
      <c r="M3598" s="1" t="str">
        <f t="shared" si="2444"/>
        <v>0</v>
      </c>
      <c r="N3598" s="1" t="str">
        <f t="shared" si="2445"/>
        <v>0</v>
      </c>
      <c r="O3598" s="1" t="str">
        <f t="shared" ref="O3598:O3601" si="2457">"0"</f>
        <v>0</v>
      </c>
    </row>
    <row r="3599" s="1" customFormat="1" spans="1:15">
      <c r="A3599" s="1" t="str">
        <f t="shared" si="2454"/>
        <v>202406</v>
      </c>
      <c r="B3599" s="1" t="str">
        <f t="shared" si="2455"/>
        <v>150525100</v>
      </c>
      <c r="C3599" s="1" t="str">
        <f>"1014630222"</f>
        <v>1014630222</v>
      </c>
      <c r="D3599" s="1" t="str">
        <f>"152326194807290428"</f>
        <v>152326194807290428</v>
      </c>
      <c r="E3599" s="1" t="s">
        <v>3658</v>
      </c>
      <c r="F3599" s="1" t="s">
        <v>16</v>
      </c>
      <c r="G3599" s="1" t="s">
        <v>17</v>
      </c>
      <c r="H3599" s="1" t="str">
        <f>"76"</f>
        <v>76</v>
      </c>
      <c r="I3599" s="1" t="str">
        <f t="shared" si="2456"/>
        <v>160</v>
      </c>
      <c r="J3599" s="1" t="str">
        <f t="shared" si="2451"/>
        <v>0</v>
      </c>
      <c r="K3599" s="1" t="str">
        <f t="shared" si="2452"/>
        <v>103</v>
      </c>
      <c r="L3599" s="1" t="str">
        <f t="shared" si="2453"/>
        <v>47</v>
      </c>
      <c r="M3599" s="1" t="str">
        <f t="shared" si="2444"/>
        <v>0</v>
      </c>
      <c r="N3599" s="1" t="str">
        <f t="shared" si="2445"/>
        <v>0</v>
      </c>
      <c r="O3599" s="1" t="str">
        <f t="shared" si="2457"/>
        <v>0</v>
      </c>
    </row>
    <row r="3600" s="1" customFormat="1" spans="1:15">
      <c r="A3600" s="1" t="str">
        <f t="shared" si="2454"/>
        <v>202406</v>
      </c>
      <c r="B3600" s="1" t="str">
        <f t="shared" si="2455"/>
        <v>150525100</v>
      </c>
      <c r="C3600" s="1" t="str">
        <f>"1014630230"</f>
        <v>1014630230</v>
      </c>
      <c r="D3600" s="1" t="str">
        <f>"152326195101143826"</f>
        <v>152326195101143826</v>
      </c>
      <c r="E3600" s="1" t="s">
        <v>681</v>
      </c>
      <c r="F3600" s="1" t="s">
        <v>16</v>
      </c>
      <c r="G3600" s="1" t="s">
        <v>17</v>
      </c>
      <c r="H3600" s="1" t="str">
        <f>"73"</f>
        <v>73</v>
      </c>
      <c r="I3600" s="1" t="str">
        <f t="shared" si="2456"/>
        <v>160</v>
      </c>
      <c r="J3600" s="1" t="str">
        <f t="shared" si="2451"/>
        <v>0</v>
      </c>
      <c r="K3600" s="1" t="str">
        <f t="shared" si="2452"/>
        <v>103</v>
      </c>
      <c r="L3600" s="1" t="str">
        <f t="shared" si="2453"/>
        <v>47</v>
      </c>
      <c r="M3600" s="1" t="str">
        <f t="shared" si="2444"/>
        <v>0</v>
      </c>
      <c r="N3600" s="1" t="str">
        <f t="shared" si="2445"/>
        <v>0</v>
      </c>
      <c r="O3600" s="1" t="str">
        <f t="shared" si="2457"/>
        <v>0</v>
      </c>
    </row>
    <row r="3601" s="1" customFormat="1" spans="1:15">
      <c r="A3601" s="1" t="str">
        <f t="shared" si="2454"/>
        <v>202406</v>
      </c>
      <c r="B3601" s="1" t="str">
        <f t="shared" si="2455"/>
        <v>150525100</v>
      </c>
      <c r="C3601" s="1" t="str">
        <f>"1014630236"</f>
        <v>1014630236</v>
      </c>
      <c r="D3601" s="1" t="str">
        <f>"152326194606133813"</f>
        <v>152326194606133813</v>
      </c>
      <c r="E3601" s="1" t="s">
        <v>3659</v>
      </c>
      <c r="F3601" s="1" t="s">
        <v>25</v>
      </c>
      <c r="G3601" s="1" t="s">
        <v>17</v>
      </c>
      <c r="H3601" s="1" t="str">
        <f>"78"</f>
        <v>78</v>
      </c>
      <c r="I3601" s="1" t="str">
        <f t="shared" si="2456"/>
        <v>160</v>
      </c>
      <c r="J3601" s="1" t="str">
        <f t="shared" si="2451"/>
        <v>0</v>
      </c>
      <c r="K3601" s="1" t="str">
        <f t="shared" si="2452"/>
        <v>103</v>
      </c>
      <c r="L3601" s="1" t="str">
        <f t="shared" si="2453"/>
        <v>47</v>
      </c>
      <c r="M3601" s="1" t="str">
        <f t="shared" si="2444"/>
        <v>0</v>
      </c>
      <c r="N3601" s="1" t="str">
        <f t="shared" si="2445"/>
        <v>0</v>
      </c>
      <c r="O3601" s="1" t="str">
        <f t="shared" si="2457"/>
        <v>0</v>
      </c>
    </row>
    <row r="3602" s="1" customFormat="1" spans="1:15">
      <c r="A3602" s="1" t="str">
        <f t="shared" si="2454"/>
        <v>202406</v>
      </c>
      <c r="B3602" s="1" t="str">
        <f t="shared" si="2455"/>
        <v>150525100</v>
      </c>
      <c r="C3602" s="1" t="str">
        <f>"1042691240"</f>
        <v>1042691240</v>
      </c>
      <c r="D3602" s="1" t="str">
        <f>"152326196311120715"</f>
        <v>152326196311120715</v>
      </c>
      <c r="E3602" s="1" t="s">
        <v>3660</v>
      </c>
      <c r="F3602" s="1" t="s">
        <v>25</v>
      </c>
      <c r="G3602" s="1" t="s">
        <v>19</v>
      </c>
      <c r="H3602" s="1" t="str">
        <f>"61"</f>
        <v>61</v>
      </c>
      <c r="I3602" s="1" t="str">
        <f>"168.58"</f>
        <v>168.58</v>
      </c>
      <c r="J3602" s="1" t="str">
        <f t="shared" si="2451"/>
        <v>0</v>
      </c>
      <c r="K3602" s="1" t="str">
        <f t="shared" si="2452"/>
        <v>103</v>
      </c>
      <c r="L3602" s="1" t="str">
        <f t="shared" si="2453"/>
        <v>47</v>
      </c>
      <c r="M3602" s="1" t="str">
        <f t="shared" si="2444"/>
        <v>0</v>
      </c>
      <c r="N3602" s="1" t="str">
        <f t="shared" si="2445"/>
        <v>0</v>
      </c>
      <c r="O3602" s="1" t="str">
        <f>"18.58"</f>
        <v>18.58</v>
      </c>
    </row>
    <row r="3603" s="1" customFormat="1" spans="1:15">
      <c r="A3603" s="1" t="str">
        <f t="shared" si="2454"/>
        <v>202406</v>
      </c>
      <c r="B3603" s="1" t="str">
        <f t="shared" si="2455"/>
        <v>150525100</v>
      </c>
      <c r="C3603" s="1" t="str">
        <f>"1014625041"</f>
        <v>1014625041</v>
      </c>
      <c r="D3603" s="1" t="str">
        <f>"152326195007190028"</f>
        <v>152326195007190028</v>
      </c>
      <c r="E3603" s="1" t="s">
        <v>3661</v>
      </c>
      <c r="F3603" s="1" t="s">
        <v>16</v>
      </c>
      <c r="G3603" s="1" t="s">
        <v>17</v>
      </c>
      <c r="H3603" s="1" t="str">
        <f>"74"</f>
        <v>74</v>
      </c>
      <c r="I3603" s="1" t="str">
        <f t="shared" ref="I3603:I3609" si="2458">"160"</f>
        <v>160</v>
      </c>
      <c r="J3603" s="1" t="str">
        <f t="shared" si="2451"/>
        <v>0</v>
      </c>
      <c r="K3603" s="1" t="str">
        <f t="shared" si="2452"/>
        <v>103</v>
      </c>
      <c r="L3603" s="1" t="str">
        <f t="shared" si="2453"/>
        <v>47</v>
      </c>
      <c r="M3603" s="1" t="str">
        <f t="shared" si="2444"/>
        <v>0</v>
      </c>
      <c r="N3603" s="1" t="str">
        <f t="shared" si="2445"/>
        <v>0</v>
      </c>
      <c r="O3603" s="1" t="str">
        <f>"0"</f>
        <v>0</v>
      </c>
    </row>
    <row r="3604" s="1" customFormat="1" spans="1:15">
      <c r="A3604" s="1" t="str">
        <f t="shared" si="2454"/>
        <v>202406</v>
      </c>
      <c r="B3604" s="1" t="str">
        <f t="shared" si="2455"/>
        <v>150525100</v>
      </c>
      <c r="C3604" s="1" t="str">
        <f>"1014625054"</f>
        <v>1014625054</v>
      </c>
      <c r="D3604" s="1" t="str">
        <f>"152326193810170676"</f>
        <v>152326193810170676</v>
      </c>
      <c r="E3604" s="1" t="s">
        <v>3662</v>
      </c>
      <c r="F3604" s="1" t="s">
        <v>25</v>
      </c>
      <c r="G3604" s="1" t="s">
        <v>17</v>
      </c>
      <c r="H3604" s="1" t="str">
        <f>"86"</f>
        <v>86</v>
      </c>
      <c r="I3604" s="1" t="str">
        <f>"170"</f>
        <v>170</v>
      </c>
      <c r="J3604" s="1" t="str">
        <f t="shared" si="2451"/>
        <v>0</v>
      </c>
      <c r="K3604" s="1" t="str">
        <f t="shared" si="2452"/>
        <v>103</v>
      </c>
      <c r="L3604" s="1" t="str">
        <f t="shared" si="2453"/>
        <v>47</v>
      </c>
      <c r="M3604" s="1" t="str">
        <f t="shared" ref="M3604:O3604" si="2459">"0"</f>
        <v>0</v>
      </c>
      <c r="N3604" s="1" t="str">
        <f t="shared" si="2459"/>
        <v>0</v>
      </c>
      <c r="O3604" s="1" t="str">
        <f t="shared" si="2459"/>
        <v>0</v>
      </c>
    </row>
    <row r="3605" s="1" customFormat="1" spans="1:15">
      <c r="A3605" s="1" t="str">
        <f t="shared" si="2454"/>
        <v>202406</v>
      </c>
      <c r="B3605" s="1" t="str">
        <f t="shared" si="2455"/>
        <v>150525100</v>
      </c>
      <c r="C3605" s="1" t="str">
        <f>"1014625535"</f>
        <v>1014625535</v>
      </c>
      <c r="D3605" s="1" t="str">
        <f>"152326194909213319"</f>
        <v>152326194909213319</v>
      </c>
      <c r="E3605" s="1" t="s">
        <v>3663</v>
      </c>
      <c r="F3605" s="1" t="s">
        <v>25</v>
      </c>
      <c r="G3605" s="1" t="s">
        <v>17</v>
      </c>
      <c r="H3605" s="1" t="str">
        <f>"75"</f>
        <v>75</v>
      </c>
      <c r="I3605" s="1" t="str">
        <f>"1600"</f>
        <v>1600</v>
      </c>
      <c r="J3605" s="1" t="str">
        <f>"1440"</f>
        <v>1440</v>
      </c>
      <c r="K3605" s="1" t="str">
        <f>"1030"</f>
        <v>1030</v>
      </c>
      <c r="L3605" s="1" t="str">
        <f>"470"</f>
        <v>470</v>
      </c>
      <c r="M3605" s="1" t="str">
        <f t="shared" ref="M3605:O3605" si="2460">"0"</f>
        <v>0</v>
      </c>
      <c r="N3605" s="1" t="str">
        <f t="shared" si="2460"/>
        <v>0</v>
      </c>
      <c r="O3605" s="1" t="str">
        <f t="shared" si="2460"/>
        <v>0</v>
      </c>
    </row>
    <row r="3606" s="1" customFormat="1" spans="1:15">
      <c r="A3606" s="1" t="str">
        <f t="shared" si="2454"/>
        <v>202406</v>
      </c>
      <c r="B3606" s="1" t="str">
        <f t="shared" si="2455"/>
        <v>150525100</v>
      </c>
      <c r="C3606" s="1" t="str">
        <f>"1014630243"</f>
        <v>1014630243</v>
      </c>
      <c r="D3606" s="1" t="str">
        <f>"152326194707043817"</f>
        <v>152326194707043817</v>
      </c>
      <c r="E3606" s="1" t="s">
        <v>3664</v>
      </c>
      <c r="F3606" s="1" t="s">
        <v>25</v>
      </c>
      <c r="G3606" s="1" t="s">
        <v>17</v>
      </c>
      <c r="H3606" s="1" t="str">
        <f>"77"</f>
        <v>77</v>
      </c>
      <c r="I3606" s="1" t="str">
        <f t="shared" si="2458"/>
        <v>160</v>
      </c>
      <c r="J3606" s="1" t="str">
        <f t="shared" ref="J3606:O3606" si="2461">"0"</f>
        <v>0</v>
      </c>
      <c r="K3606" s="1" t="str">
        <f t="shared" ref="K3606:K3669" si="2462">"103"</f>
        <v>103</v>
      </c>
      <c r="L3606" s="1" t="str">
        <f t="shared" ref="L3606:L3669" si="2463">"47"</f>
        <v>47</v>
      </c>
      <c r="M3606" s="1" t="str">
        <f t="shared" si="2461"/>
        <v>0</v>
      </c>
      <c r="N3606" s="1" t="str">
        <f t="shared" si="2461"/>
        <v>0</v>
      </c>
      <c r="O3606" s="1" t="str">
        <f t="shared" si="2461"/>
        <v>0</v>
      </c>
    </row>
    <row r="3607" s="1" customFormat="1" spans="1:15">
      <c r="A3607" s="1" t="str">
        <f t="shared" si="2454"/>
        <v>202406</v>
      </c>
      <c r="B3607" s="1" t="str">
        <f t="shared" si="2455"/>
        <v>150525100</v>
      </c>
      <c r="C3607" s="1" t="str">
        <f>"1014624686"</f>
        <v>1014624686</v>
      </c>
      <c r="D3607" s="1" t="str">
        <f>"152326195108193324"</f>
        <v>152326195108193324</v>
      </c>
      <c r="E3607" s="1" t="s">
        <v>3665</v>
      </c>
      <c r="F3607" s="1" t="s">
        <v>16</v>
      </c>
      <c r="G3607" s="1" t="s">
        <v>17</v>
      </c>
      <c r="H3607" s="1" t="str">
        <f>"73"</f>
        <v>73</v>
      </c>
      <c r="I3607" s="1" t="str">
        <f t="shared" si="2458"/>
        <v>160</v>
      </c>
      <c r="J3607" s="1" t="str">
        <f t="shared" ref="J3607:O3607" si="2464">"0"</f>
        <v>0</v>
      </c>
      <c r="K3607" s="1" t="str">
        <f t="shared" si="2462"/>
        <v>103</v>
      </c>
      <c r="L3607" s="1" t="str">
        <f t="shared" si="2463"/>
        <v>47</v>
      </c>
      <c r="M3607" s="1" t="str">
        <f t="shared" si="2464"/>
        <v>0</v>
      </c>
      <c r="N3607" s="1" t="str">
        <f t="shared" si="2464"/>
        <v>0</v>
      </c>
      <c r="O3607" s="1" t="str">
        <f t="shared" si="2464"/>
        <v>0</v>
      </c>
    </row>
    <row r="3608" s="1" customFormat="1" spans="1:15">
      <c r="A3608" s="1" t="str">
        <f t="shared" si="2454"/>
        <v>202406</v>
      </c>
      <c r="B3608" s="1" t="str">
        <f t="shared" si="2455"/>
        <v>150525100</v>
      </c>
      <c r="C3608" s="1" t="str">
        <f>"1014625095"</f>
        <v>1014625095</v>
      </c>
      <c r="D3608" s="1" t="str">
        <f>"152326194902150423"</f>
        <v>152326194902150423</v>
      </c>
      <c r="E3608" s="1" t="s">
        <v>3666</v>
      </c>
      <c r="F3608" s="1" t="s">
        <v>16</v>
      </c>
      <c r="G3608" s="1" t="s">
        <v>17</v>
      </c>
      <c r="H3608" s="1" t="str">
        <f>"75"</f>
        <v>75</v>
      </c>
      <c r="I3608" s="1" t="str">
        <f t="shared" si="2458"/>
        <v>160</v>
      </c>
      <c r="J3608" s="1" t="str">
        <f t="shared" ref="J3608:O3608" si="2465">"0"</f>
        <v>0</v>
      </c>
      <c r="K3608" s="1" t="str">
        <f t="shared" si="2462"/>
        <v>103</v>
      </c>
      <c r="L3608" s="1" t="str">
        <f t="shared" si="2463"/>
        <v>47</v>
      </c>
      <c r="M3608" s="1" t="str">
        <f t="shared" si="2465"/>
        <v>0</v>
      </c>
      <c r="N3608" s="1" t="str">
        <f t="shared" si="2465"/>
        <v>0</v>
      </c>
      <c r="O3608" s="1" t="str">
        <f t="shared" si="2465"/>
        <v>0</v>
      </c>
    </row>
    <row r="3609" s="1" customFormat="1" spans="1:15">
      <c r="A3609" s="1" t="str">
        <f t="shared" si="2454"/>
        <v>202406</v>
      </c>
      <c r="B3609" s="1" t="str">
        <f t="shared" si="2455"/>
        <v>150525100</v>
      </c>
      <c r="C3609" s="1" t="str">
        <f>"1014625110"</f>
        <v>1014625110</v>
      </c>
      <c r="D3609" s="1" t="str">
        <f>"152326194804020422"</f>
        <v>152326194804020422</v>
      </c>
      <c r="E3609" s="1" t="s">
        <v>3667</v>
      </c>
      <c r="F3609" s="1" t="s">
        <v>16</v>
      </c>
      <c r="G3609" s="1" t="s">
        <v>17</v>
      </c>
      <c r="H3609" s="1" t="str">
        <f t="shared" ref="H3609:H3613" si="2466">"76"</f>
        <v>76</v>
      </c>
      <c r="I3609" s="1" t="str">
        <f t="shared" si="2458"/>
        <v>160</v>
      </c>
      <c r="J3609" s="1" t="str">
        <f t="shared" ref="J3609:O3609" si="2467">"0"</f>
        <v>0</v>
      </c>
      <c r="K3609" s="1" t="str">
        <f t="shared" si="2462"/>
        <v>103</v>
      </c>
      <c r="L3609" s="1" t="str">
        <f t="shared" si="2463"/>
        <v>47</v>
      </c>
      <c r="M3609" s="1" t="str">
        <f t="shared" si="2467"/>
        <v>0</v>
      </c>
      <c r="N3609" s="1" t="str">
        <f t="shared" si="2467"/>
        <v>0</v>
      </c>
      <c r="O3609" s="1" t="str">
        <f t="shared" si="2467"/>
        <v>0</v>
      </c>
    </row>
    <row r="3610" s="1" customFormat="1" spans="1:15">
      <c r="A3610" s="1" t="str">
        <f t="shared" si="2454"/>
        <v>202406</v>
      </c>
      <c r="B3610" s="1" t="str">
        <f t="shared" si="2455"/>
        <v>150525100</v>
      </c>
      <c r="C3610" s="1" t="str">
        <f>"1014624716"</f>
        <v>1014624716</v>
      </c>
      <c r="D3610" s="1" t="str">
        <f>"152326194006110423"</f>
        <v>152326194006110423</v>
      </c>
      <c r="E3610" s="1" t="s">
        <v>3668</v>
      </c>
      <c r="F3610" s="1" t="s">
        <v>16</v>
      </c>
      <c r="G3610" s="1" t="s">
        <v>17</v>
      </c>
      <c r="H3610" s="1" t="str">
        <f>"84"</f>
        <v>84</v>
      </c>
      <c r="I3610" s="1" t="str">
        <f t="shared" ref="I3610:I3616" si="2468">"170"</f>
        <v>170</v>
      </c>
      <c r="J3610" s="1" t="str">
        <f t="shared" ref="J3610:O3610" si="2469">"0"</f>
        <v>0</v>
      </c>
      <c r="K3610" s="1" t="str">
        <f t="shared" si="2462"/>
        <v>103</v>
      </c>
      <c r="L3610" s="1" t="str">
        <f t="shared" si="2463"/>
        <v>47</v>
      </c>
      <c r="M3610" s="1" t="str">
        <f t="shared" si="2469"/>
        <v>0</v>
      </c>
      <c r="N3610" s="1" t="str">
        <f t="shared" si="2469"/>
        <v>0</v>
      </c>
      <c r="O3610" s="1" t="str">
        <f t="shared" si="2469"/>
        <v>0</v>
      </c>
    </row>
    <row r="3611" s="1" customFormat="1" spans="1:15">
      <c r="A3611" s="1" t="str">
        <f t="shared" si="2454"/>
        <v>202406</v>
      </c>
      <c r="B3611" s="1" t="str">
        <f t="shared" si="2455"/>
        <v>150525100</v>
      </c>
      <c r="C3611" s="1" t="str">
        <f>"1014625126"</f>
        <v>1014625126</v>
      </c>
      <c r="D3611" s="1" t="s">
        <v>3669</v>
      </c>
      <c r="E3611" s="1" t="s">
        <v>3670</v>
      </c>
      <c r="F3611" s="1" t="s">
        <v>16</v>
      </c>
      <c r="G3611" s="1" t="s">
        <v>17</v>
      </c>
      <c r="H3611" s="1" t="str">
        <f>"77"</f>
        <v>77</v>
      </c>
      <c r="I3611" s="1" t="str">
        <f t="shared" ref="I3611:I3613" si="2470">"160"</f>
        <v>160</v>
      </c>
      <c r="J3611" s="1" t="str">
        <f t="shared" ref="J3611:O3611" si="2471">"0"</f>
        <v>0</v>
      </c>
      <c r="K3611" s="1" t="str">
        <f t="shared" si="2462"/>
        <v>103</v>
      </c>
      <c r="L3611" s="1" t="str">
        <f t="shared" si="2463"/>
        <v>47</v>
      </c>
      <c r="M3611" s="1" t="str">
        <f t="shared" si="2471"/>
        <v>0</v>
      </c>
      <c r="N3611" s="1" t="str">
        <f t="shared" si="2471"/>
        <v>0</v>
      </c>
      <c r="O3611" s="1" t="str">
        <f t="shared" si="2471"/>
        <v>0</v>
      </c>
    </row>
    <row r="3612" s="1" customFormat="1" spans="1:15">
      <c r="A3612" s="1" t="str">
        <f t="shared" si="2454"/>
        <v>202406</v>
      </c>
      <c r="B3612" s="1" t="str">
        <f t="shared" si="2455"/>
        <v>150525100</v>
      </c>
      <c r="C3612" s="1" t="str">
        <f>"1014625133"</f>
        <v>1014625133</v>
      </c>
      <c r="D3612" s="1" t="str">
        <f>"152326194901010429"</f>
        <v>152326194901010429</v>
      </c>
      <c r="E3612" s="1" t="s">
        <v>700</v>
      </c>
      <c r="F3612" s="1" t="s">
        <v>16</v>
      </c>
      <c r="G3612" s="1" t="s">
        <v>19</v>
      </c>
      <c r="H3612" s="1" t="str">
        <f t="shared" si="2466"/>
        <v>76</v>
      </c>
      <c r="I3612" s="1" t="str">
        <f t="shared" si="2470"/>
        <v>160</v>
      </c>
      <c r="J3612" s="1" t="str">
        <f t="shared" ref="J3612:O3612" si="2472">"0"</f>
        <v>0</v>
      </c>
      <c r="K3612" s="1" t="str">
        <f t="shared" si="2462"/>
        <v>103</v>
      </c>
      <c r="L3612" s="1" t="str">
        <f t="shared" si="2463"/>
        <v>47</v>
      </c>
      <c r="M3612" s="1" t="str">
        <f t="shared" si="2472"/>
        <v>0</v>
      </c>
      <c r="N3612" s="1" t="str">
        <f t="shared" si="2472"/>
        <v>0</v>
      </c>
      <c r="O3612" s="1" t="str">
        <f t="shared" si="2472"/>
        <v>0</v>
      </c>
    </row>
    <row r="3613" s="1" customFormat="1" spans="1:15">
      <c r="A3613" s="1" t="str">
        <f t="shared" si="2454"/>
        <v>202406</v>
      </c>
      <c r="B3613" s="1" t="str">
        <f t="shared" si="2455"/>
        <v>150525100</v>
      </c>
      <c r="C3613" s="1" t="str">
        <f>"1014625140"</f>
        <v>1014625140</v>
      </c>
      <c r="D3613" s="1" t="str">
        <f>"152326194804170420"</f>
        <v>152326194804170420</v>
      </c>
      <c r="E3613" s="1" t="s">
        <v>3671</v>
      </c>
      <c r="F3613" s="1" t="s">
        <v>16</v>
      </c>
      <c r="G3613" s="1" t="s">
        <v>17</v>
      </c>
      <c r="H3613" s="1" t="str">
        <f t="shared" si="2466"/>
        <v>76</v>
      </c>
      <c r="I3613" s="1" t="str">
        <f t="shared" si="2470"/>
        <v>160</v>
      </c>
      <c r="J3613" s="1" t="str">
        <f t="shared" ref="J3613:O3613" si="2473">"0"</f>
        <v>0</v>
      </c>
      <c r="K3613" s="1" t="str">
        <f t="shared" si="2462"/>
        <v>103</v>
      </c>
      <c r="L3613" s="1" t="str">
        <f t="shared" si="2463"/>
        <v>47</v>
      </c>
      <c r="M3613" s="1" t="str">
        <f t="shared" si="2473"/>
        <v>0</v>
      </c>
      <c r="N3613" s="1" t="str">
        <f t="shared" si="2473"/>
        <v>0</v>
      </c>
      <c r="O3613" s="1" t="str">
        <f t="shared" si="2473"/>
        <v>0</v>
      </c>
    </row>
    <row r="3614" s="1" customFormat="1" spans="1:15">
      <c r="A3614" s="1" t="str">
        <f t="shared" si="2454"/>
        <v>202406</v>
      </c>
      <c r="B3614" s="1" t="str">
        <f t="shared" si="2455"/>
        <v>150525100</v>
      </c>
      <c r="C3614" s="1" t="str">
        <f>"1014625149"</f>
        <v>1014625149</v>
      </c>
      <c r="D3614" s="1" t="str">
        <f>"152326194212270428"</f>
        <v>152326194212270428</v>
      </c>
      <c r="E3614" s="1" t="s">
        <v>3672</v>
      </c>
      <c r="F3614" s="1" t="s">
        <v>16</v>
      </c>
      <c r="G3614" s="1" t="s">
        <v>17</v>
      </c>
      <c r="H3614" s="1" t="str">
        <f>"82"</f>
        <v>82</v>
      </c>
      <c r="I3614" s="1" t="str">
        <f t="shared" si="2468"/>
        <v>170</v>
      </c>
      <c r="J3614" s="1" t="str">
        <f t="shared" ref="J3614:O3614" si="2474">"0"</f>
        <v>0</v>
      </c>
      <c r="K3614" s="1" t="str">
        <f t="shared" si="2462"/>
        <v>103</v>
      </c>
      <c r="L3614" s="1" t="str">
        <f t="shared" si="2463"/>
        <v>47</v>
      </c>
      <c r="M3614" s="1" t="str">
        <f t="shared" si="2474"/>
        <v>0</v>
      </c>
      <c r="N3614" s="1" t="str">
        <f t="shared" si="2474"/>
        <v>0</v>
      </c>
      <c r="O3614" s="1" t="str">
        <f t="shared" si="2474"/>
        <v>0</v>
      </c>
    </row>
    <row r="3615" s="1" customFormat="1" spans="1:15">
      <c r="A3615" s="1" t="str">
        <f t="shared" si="2454"/>
        <v>202406</v>
      </c>
      <c r="B3615" s="1" t="str">
        <f t="shared" si="2455"/>
        <v>150525100</v>
      </c>
      <c r="C3615" s="1" t="str">
        <f>"1014625174"</f>
        <v>1014625174</v>
      </c>
      <c r="D3615" s="1" t="str">
        <f>"152326193909190423"</f>
        <v>152326193909190423</v>
      </c>
      <c r="E3615" s="1" t="s">
        <v>3673</v>
      </c>
      <c r="F3615" s="1" t="s">
        <v>16</v>
      </c>
      <c r="G3615" s="1" t="s">
        <v>17</v>
      </c>
      <c r="H3615" s="1" t="str">
        <f>"85"</f>
        <v>85</v>
      </c>
      <c r="I3615" s="1" t="str">
        <f t="shared" si="2468"/>
        <v>170</v>
      </c>
      <c r="J3615" s="1" t="str">
        <f t="shared" ref="J3615:O3615" si="2475">"0"</f>
        <v>0</v>
      </c>
      <c r="K3615" s="1" t="str">
        <f t="shared" si="2462"/>
        <v>103</v>
      </c>
      <c r="L3615" s="1" t="str">
        <f t="shared" si="2463"/>
        <v>47</v>
      </c>
      <c r="M3615" s="1" t="str">
        <f t="shared" si="2475"/>
        <v>0</v>
      </c>
      <c r="N3615" s="1" t="str">
        <f t="shared" si="2475"/>
        <v>0</v>
      </c>
      <c r="O3615" s="1" t="str">
        <f t="shared" si="2475"/>
        <v>0</v>
      </c>
    </row>
    <row r="3616" s="1" customFormat="1" spans="1:15">
      <c r="A3616" s="1" t="str">
        <f t="shared" si="2454"/>
        <v>202406</v>
      </c>
      <c r="B3616" s="1" t="str">
        <f t="shared" si="2455"/>
        <v>150525100</v>
      </c>
      <c r="C3616" s="1" t="str">
        <f>"1014625184"</f>
        <v>1014625184</v>
      </c>
      <c r="D3616" s="1" t="str">
        <f>"152326194101120662"</f>
        <v>152326194101120662</v>
      </c>
      <c r="E3616" s="1" t="s">
        <v>3674</v>
      </c>
      <c r="F3616" s="1" t="s">
        <v>16</v>
      </c>
      <c r="G3616" s="1" t="s">
        <v>17</v>
      </c>
      <c r="H3616" s="1" t="str">
        <f>"83"</f>
        <v>83</v>
      </c>
      <c r="I3616" s="1" t="str">
        <f t="shared" si="2468"/>
        <v>170</v>
      </c>
      <c r="J3616" s="1" t="str">
        <f t="shared" ref="J3616:O3616" si="2476">"0"</f>
        <v>0</v>
      </c>
      <c r="K3616" s="1" t="str">
        <f t="shared" si="2462"/>
        <v>103</v>
      </c>
      <c r="L3616" s="1" t="str">
        <f t="shared" si="2463"/>
        <v>47</v>
      </c>
      <c r="M3616" s="1" t="str">
        <f t="shared" si="2476"/>
        <v>0</v>
      </c>
      <c r="N3616" s="1" t="str">
        <f t="shared" si="2476"/>
        <v>0</v>
      </c>
      <c r="O3616" s="1" t="str">
        <f t="shared" si="2476"/>
        <v>0</v>
      </c>
    </row>
    <row r="3617" s="1" customFormat="1" spans="1:15">
      <c r="A3617" s="1" t="str">
        <f t="shared" si="2454"/>
        <v>202406</v>
      </c>
      <c r="B3617" s="1" t="str">
        <f t="shared" si="2455"/>
        <v>150525100</v>
      </c>
      <c r="C3617" s="1" t="str">
        <f>"1014641135"</f>
        <v>1014641135</v>
      </c>
      <c r="D3617" s="1" t="str">
        <f>"152326196403220414"</f>
        <v>152326196403220414</v>
      </c>
      <c r="E3617" s="1" t="s">
        <v>3675</v>
      </c>
      <c r="F3617" s="1" t="s">
        <v>25</v>
      </c>
      <c r="G3617" s="1" t="s">
        <v>17</v>
      </c>
      <c r="H3617" s="1" t="str">
        <f>"60"</f>
        <v>60</v>
      </c>
      <c r="I3617" s="1" t="str">
        <f>"168.25"</f>
        <v>168.25</v>
      </c>
      <c r="J3617" s="1" t="str">
        <f t="shared" ref="J3617:N3617" si="2477">"0"</f>
        <v>0</v>
      </c>
      <c r="K3617" s="1" t="str">
        <f t="shared" si="2462"/>
        <v>103</v>
      </c>
      <c r="L3617" s="1" t="str">
        <f t="shared" si="2463"/>
        <v>47</v>
      </c>
      <c r="M3617" s="1" t="str">
        <f t="shared" si="2477"/>
        <v>0</v>
      </c>
      <c r="N3617" s="1" t="str">
        <f t="shared" si="2477"/>
        <v>0</v>
      </c>
      <c r="O3617" s="1" t="str">
        <f>"18.25"</f>
        <v>18.25</v>
      </c>
    </row>
    <row r="3618" s="1" customFormat="1" spans="1:15">
      <c r="A3618" s="1" t="str">
        <f t="shared" si="2454"/>
        <v>202406</v>
      </c>
      <c r="B3618" s="1" t="str">
        <f t="shared" si="2455"/>
        <v>150525100</v>
      </c>
      <c r="C3618" s="1" t="str">
        <f>"1014641139"</f>
        <v>1014641139</v>
      </c>
      <c r="D3618" s="1" t="str">
        <f>"152326195404140411"</f>
        <v>152326195404140411</v>
      </c>
      <c r="E3618" s="1" t="s">
        <v>3676</v>
      </c>
      <c r="F3618" s="1" t="s">
        <v>25</v>
      </c>
      <c r="G3618" s="1" t="s">
        <v>17</v>
      </c>
      <c r="H3618" s="1" t="str">
        <f>"70"</f>
        <v>70</v>
      </c>
      <c r="I3618" s="1" t="str">
        <f>"164.15"</f>
        <v>164.15</v>
      </c>
      <c r="J3618" s="1" t="str">
        <f t="shared" ref="J3618:N3618" si="2478">"0"</f>
        <v>0</v>
      </c>
      <c r="K3618" s="1" t="str">
        <f t="shared" si="2462"/>
        <v>103</v>
      </c>
      <c r="L3618" s="1" t="str">
        <f t="shared" si="2463"/>
        <v>47</v>
      </c>
      <c r="M3618" s="1" t="str">
        <f t="shared" si="2478"/>
        <v>0</v>
      </c>
      <c r="N3618" s="1" t="str">
        <f t="shared" si="2478"/>
        <v>0</v>
      </c>
      <c r="O3618" s="1" t="str">
        <f>"4.15"</f>
        <v>4.15</v>
      </c>
    </row>
    <row r="3619" s="1" customFormat="1" spans="1:15">
      <c r="A3619" s="1" t="str">
        <f t="shared" si="2454"/>
        <v>202406</v>
      </c>
      <c r="B3619" s="1" t="str">
        <f t="shared" si="2455"/>
        <v>150525100</v>
      </c>
      <c r="C3619" s="1" t="str">
        <f>"1014625192"</f>
        <v>1014625192</v>
      </c>
      <c r="D3619" s="1" t="str">
        <f>"152326195111060661"</f>
        <v>152326195111060661</v>
      </c>
      <c r="E3619" s="1" t="s">
        <v>3677</v>
      </c>
      <c r="F3619" s="1" t="s">
        <v>16</v>
      </c>
      <c r="G3619" s="1" t="s">
        <v>17</v>
      </c>
      <c r="H3619" s="1" t="str">
        <f>"73"</f>
        <v>73</v>
      </c>
      <c r="I3619" s="1" t="str">
        <f t="shared" ref="I3619:I3627" si="2479">"160"</f>
        <v>160</v>
      </c>
      <c r="J3619" s="1" t="str">
        <f t="shared" ref="J3619:O3619" si="2480">"0"</f>
        <v>0</v>
      </c>
      <c r="K3619" s="1" t="str">
        <f t="shared" si="2462"/>
        <v>103</v>
      </c>
      <c r="L3619" s="1" t="str">
        <f t="shared" si="2463"/>
        <v>47</v>
      </c>
      <c r="M3619" s="1" t="str">
        <f t="shared" si="2480"/>
        <v>0</v>
      </c>
      <c r="N3619" s="1" t="str">
        <f t="shared" si="2480"/>
        <v>0</v>
      </c>
      <c r="O3619" s="1" t="str">
        <f t="shared" si="2480"/>
        <v>0</v>
      </c>
    </row>
    <row r="3620" s="1" customFormat="1" spans="1:15">
      <c r="A3620" s="1" t="str">
        <f t="shared" si="2454"/>
        <v>202406</v>
      </c>
      <c r="B3620" s="1" t="str">
        <f t="shared" si="2455"/>
        <v>150525100</v>
      </c>
      <c r="C3620" s="1" t="str">
        <f>"1014625196"</f>
        <v>1014625196</v>
      </c>
      <c r="D3620" s="1" t="str">
        <f>"152326194205010660"</f>
        <v>152326194205010660</v>
      </c>
      <c r="E3620" s="1" t="s">
        <v>3678</v>
      </c>
      <c r="F3620" s="1" t="s">
        <v>16</v>
      </c>
      <c r="G3620" s="1" t="s">
        <v>17</v>
      </c>
      <c r="H3620" s="1" t="str">
        <f>"82"</f>
        <v>82</v>
      </c>
      <c r="I3620" s="1" t="str">
        <f>"170"</f>
        <v>170</v>
      </c>
      <c r="J3620" s="1" t="str">
        <f t="shared" ref="J3620:O3620" si="2481">"0"</f>
        <v>0</v>
      </c>
      <c r="K3620" s="1" t="str">
        <f t="shared" si="2462"/>
        <v>103</v>
      </c>
      <c r="L3620" s="1" t="str">
        <f t="shared" si="2463"/>
        <v>47</v>
      </c>
      <c r="M3620" s="1" t="str">
        <f t="shared" si="2481"/>
        <v>0</v>
      </c>
      <c r="N3620" s="1" t="str">
        <f t="shared" si="2481"/>
        <v>0</v>
      </c>
      <c r="O3620" s="1" t="str">
        <f t="shared" si="2481"/>
        <v>0</v>
      </c>
    </row>
    <row r="3621" s="1" customFormat="1" spans="1:15">
      <c r="A3621" s="1" t="str">
        <f t="shared" si="2454"/>
        <v>202406</v>
      </c>
      <c r="B3621" s="1" t="str">
        <f t="shared" si="2455"/>
        <v>150525100</v>
      </c>
      <c r="C3621" s="1" t="str">
        <f>"1014625201"</f>
        <v>1014625201</v>
      </c>
      <c r="D3621" s="1" t="str">
        <f>"152326194309130667"</f>
        <v>152326194309130667</v>
      </c>
      <c r="E3621" s="1" t="s">
        <v>2709</v>
      </c>
      <c r="F3621" s="1" t="s">
        <v>16</v>
      </c>
      <c r="G3621" s="1" t="s">
        <v>17</v>
      </c>
      <c r="H3621" s="1" t="str">
        <f>"81"</f>
        <v>81</v>
      </c>
      <c r="I3621" s="1" t="str">
        <f>"170"</f>
        <v>170</v>
      </c>
      <c r="J3621" s="1" t="str">
        <f t="shared" ref="J3621:O3621" si="2482">"0"</f>
        <v>0</v>
      </c>
      <c r="K3621" s="1" t="str">
        <f t="shared" si="2462"/>
        <v>103</v>
      </c>
      <c r="L3621" s="1" t="str">
        <f t="shared" si="2463"/>
        <v>47</v>
      </c>
      <c r="M3621" s="1" t="str">
        <f t="shared" si="2482"/>
        <v>0</v>
      </c>
      <c r="N3621" s="1" t="str">
        <f t="shared" si="2482"/>
        <v>0</v>
      </c>
      <c r="O3621" s="1" t="str">
        <f t="shared" si="2482"/>
        <v>0</v>
      </c>
    </row>
    <row r="3622" s="1" customFormat="1" spans="1:15">
      <c r="A3622" s="1" t="str">
        <f t="shared" si="2454"/>
        <v>202406</v>
      </c>
      <c r="B3622" s="1" t="str">
        <f t="shared" si="2455"/>
        <v>150525100</v>
      </c>
      <c r="C3622" s="1" t="str">
        <f>"1014625208"</f>
        <v>1014625208</v>
      </c>
      <c r="D3622" s="1" t="str">
        <f>"152326194806240664"</f>
        <v>152326194806240664</v>
      </c>
      <c r="E3622" s="1" t="s">
        <v>3679</v>
      </c>
      <c r="F3622" s="1" t="s">
        <v>16</v>
      </c>
      <c r="G3622" s="1" t="s">
        <v>17</v>
      </c>
      <c r="H3622" s="1" t="str">
        <f>"76"</f>
        <v>76</v>
      </c>
      <c r="I3622" s="1" t="str">
        <f t="shared" si="2479"/>
        <v>160</v>
      </c>
      <c r="J3622" s="1" t="str">
        <f t="shared" ref="J3622:O3622" si="2483">"0"</f>
        <v>0</v>
      </c>
      <c r="K3622" s="1" t="str">
        <f t="shared" si="2462"/>
        <v>103</v>
      </c>
      <c r="L3622" s="1" t="str">
        <f t="shared" si="2463"/>
        <v>47</v>
      </c>
      <c r="M3622" s="1" t="str">
        <f t="shared" si="2483"/>
        <v>0</v>
      </c>
      <c r="N3622" s="1" t="str">
        <f t="shared" si="2483"/>
        <v>0</v>
      </c>
      <c r="O3622" s="1" t="str">
        <f t="shared" si="2483"/>
        <v>0</v>
      </c>
    </row>
    <row r="3623" s="1" customFormat="1" spans="1:15">
      <c r="A3623" s="1" t="str">
        <f t="shared" si="2454"/>
        <v>202406</v>
      </c>
      <c r="B3623" s="1" t="str">
        <f t="shared" si="2455"/>
        <v>150525100</v>
      </c>
      <c r="C3623" s="1" t="str">
        <f>"1014625209"</f>
        <v>1014625209</v>
      </c>
      <c r="D3623" s="1" t="str">
        <f>"152326194811230663"</f>
        <v>152326194811230663</v>
      </c>
      <c r="E3623" s="1" t="s">
        <v>3680</v>
      </c>
      <c r="F3623" s="1" t="s">
        <v>16</v>
      </c>
      <c r="G3623" s="1" t="s">
        <v>17</v>
      </c>
      <c r="H3623" s="1" t="str">
        <f>"76"</f>
        <v>76</v>
      </c>
      <c r="I3623" s="1" t="str">
        <f t="shared" si="2479"/>
        <v>160</v>
      </c>
      <c r="J3623" s="1" t="str">
        <f t="shared" ref="J3623:O3623" si="2484">"0"</f>
        <v>0</v>
      </c>
      <c r="K3623" s="1" t="str">
        <f t="shared" si="2462"/>
        <v>103</v>
      </c>
      <c r="L3623" s="1" t="str">
        <f t="shared" si="2463"/>
        <v>47</v>
      </c>
      <c r="M3623" s="1" t="str">
        <f t="shared" si="2484"/>
        <v>0</v>
      </c>
      <c r="N3623" s="1" t="str">
        <f t="shared" si="2484"/>
        <v>0</v>
      </c>
      <c r="O3623" s="1" t="str">
        <f t="shared" si="2484"/>
        <v>0</v>
      </c>
    </row>
    <row r="3624" s="1" customFormat="1" spans="1:15">
      <c r="A3624" s="1" t="str">
        <f t="shared" si="2454"/>
        <v>202406</v>
      </c>
      <c r="B3624" s="1" t="str">
        <f t="shared" si="2455"/>
        <v>150525100</v>
      </c>
      <c r="C3624" s="1" t="str">
        <f>"1014625216"</f>
        <v>1014625216</v>
      </c>
      <c r="D3624" s="1" t="str">
        <f>"152326194608010665"</f>
        <v>152326194608010665</v>
      </c>
      <c r="E3624" s="1" t="s">
        <v>3681</v>
      </c>
      <c r="F3624" s="1" t="s">
        <v>16</v>
      </c>
      <c r="G3624" s="1" t="s">
        <v>17</v>
      </c>
      <c r="H3624" s="1" t="str">
        <f>"78"</f>
        <v>78</v>
      </c>
      <c r="I3624" s="1" t="str">
        <f t="shared" si="2479"/>
        <v>160</v>
      </c>
      <c r="J3624" s="1" t="str">
        <f t="shared" ref="J3624:O3624" si="2485">"0"</f>
        <v>0</v>
      </c>
      <c r="K3624" s="1" t="str">
        <f t="shared" si="2462"/>
        <v>103</v>
      </c>
      <c r="L3624" s="1" t="str">
        <f t="shared" si="2463"/>
        <v>47</v>
      </c>
      <c r="M3624" s="1" t="str">
        <f t="shared" si="2485"/>
        <v>0</v>
      </c>
      <c r="N3624" s="1" t="str">
        <f t="shared" si="2485"/>
        <v>0</v>
      </c>
      <c r="O3624" s="1" t="str">
        <f t="shared" si="2485"/>
        <v>0</v>
      </c>
    </row>
    <row r="3625" s="1" customFormat="1" spans="1:15">
      <c r="A3625" s="1" t="str">
        <f t="shared" si="2454"/>
        <v>202406</v>
      </c>
      <c r="B3625" s="1" t="str">
        <f t="shared" si="2455"/>
        <v>150525100</v>
      </c>
      <c r="C3625" s="1" t="str">
        <f>"1014613408"</f>
        <v>1014613408</v>
      </c>
      <c r="D3625" s="1" t="str">
        <f>"152326194904110417"</f>
        <v>152326194904110417</v>
      </c>
      <c r="E3625" s="1" t="s">
        <v>3682</v>
      </c>
      <c r="F3625" s="1" t="s">
        <v>25</v>
      </c>
      <c r="G3625" s="1" t="s">
        <v>17</v>
      </c>
      <c r="H3625" s="1" t="str">
        <f>"75"</f>
        <v>75</v>
      </c>
      <c r="I3625" s="1" t="str">
        <f t="shared" si="2479"/>
        <v>160</v>
      </c>
      <c r="J3625" s="1" t="str">
        <f t="shared" ref="J3625:O3625" si="2486">"0"</f>
        <v>0</v>
      </c>
      <c r="K3625" s="1" t="str">
        <f t="shared" si="2462"/>
        <v>103</v>
      </c>
      <c r="L3625" s="1" t="str">
        <f t="shared" si="2463"/>
        <v>47</v>
      </c>
      <c r="M3625" s="1" t="str">
        <f t="shared" si="2486"/>
        <v>0</v>
      </c>
      <c r="N3625" s="1" t="str">
        <f t="shared" si="2486"/>
        <v>0</v>
      </c>
      <c r="O3625" s="1" t="str">
        <f t="shared" si="2486"/>
        <v>0</v>
      </c>
    </row>
    <row r="3626" s="1" customFormat="1" spans="1:15">
      <c r="A3626" s="1" t="str">
        <f t="shared" si="2454"/>
        <v>202406</v>
      </c>
      <c r="B3626" s="1" t="str">
        <f t="shared" si="2455"/>
        <v>150525100</v>
      </c>
      <c r="C3626" s="1" t="str">
        <f>"1014624192"</f>
        <v>1014624192</v>
      </c>
      <c r="D3626" s="1" t="str">
        <f>"152326194905053813"</f>
        <v>152326194905053813</v>
      </c>
      <c r="E3626" s="1" t="s">
        <v>3683</v>
      </c>
      <c r="F3626" s="1" t="s">
        <v>25</v>
      </c>
      <c r="G3626" s="1" t="s">
        <v>17</v>
      </c>
      <c r="H3626" s="1" t="str">
        <f>"75"</f>
        <v>75</v>
      </c>
      <c r="I3626" s="1" t="str">
        <f t="shared" si="2479"/>
        <v>160</v>
      </c>
      <c r="J3626" s="1" t="str">
        <f t="shared" ref="J3626:O3626" si="2487">"0"</f>
        <v>0</v>
      </c>
      <c r="K3626" s="1" t="str">
        <f t="shared" si="2462"/>
        <v>103</v>
      </c>
      <c r="L3626" s="1" t="str">
        <f t="shared" si="2463"/>
        <v>47</v>
      </c>
      <c r="M3626" s="1" t="str">
        <f t="shared" si="2487"/>
        <v>0</v>
      </c>
      <c r="N3626" s="1" t="str">
        <f t="shared" si="2487"/>
        <v>0</v>
      </c>
      <c r="O3626" s="1" t="str">
        <f t="shared" si="2487"/>
        <v>0</v>
      </c>
    </row>
    <row r="3627" s="1" customFormat="1" spans="1:15">
      <c r="A3627" s="1" t="str">
        <f t="shared" si="2454"/>
        <v>202406</v>
      </c>
      <c r="B3627" s="1" t="str">
        <f t="shared" si="2455"/>
        <v>150525100</v>
      </c>
      <c r="C3627" s="1" t="str">
        <f>"1014624218"</f>
        <v>1014624218</v>
      </c>
      <c r="D3627" s="1" t="s">
        <v>3684</v>
      </c>
      <c r="E3627" s="1" t="s">
        <v>3685</v>
      </c>
      <c r="F3627" s="1" t="s">
        <v>25</v>
      </c>
      <c r="G3627" s="1" t="s">
        <v>17</v>
      </c>
      <c r="H3627" s="1" t="str">
        <f>"74"</f>
        <v>74</v>
      </c>
      <c r="I3627" s="1" t="str">
        <f t="shared" si="2479"/>
        <v>160</v>
      </c>
      <c r="J3627" s="1" t="str">
        <f t="shared" ref="J3627:O3627" si="2488">"0"</f>
        <v>0</v>
      </c>
      <c r="K3627" s="1" t="str">
        <f t="shared" si="2462"/>
        <v>103</v>
      </c>
      <c r="L3627" s="1" t="str">
        <f t="shared" si="2463"/>
        <v>47</v>
      </c>
      <c r="M3627" s="1" t="str">
        <f t="shared" si="2488"/>
        <v>0</v>
      </c>
      <c r="N3627" s="1" t="str">
        <f t="shared" si="2488"/>
        <v>0</v>
      </c>
      <c r="O3627" s="1" t="str">
        <f t="shared" si="2488"/>
        <v>0</v>
      </c>
    </row>
    <row r="3628" s="1" customFormat="1" spans="1:15">
      <c r="A3628" s="1" t="str">
        <f t="shared" si="2454"/>
        <v>202406</v>
      </c>
      <c r="B3628" s="1" t="str">
        <f t="shared" si="2455"/>
        <v>150525100</v>
      </c>
      <c r="C3628" s="1" t="str">
        <f>"1015307512"</f>
        <v>1015307512</v>
      </c>
      <c r="D3628" s="1" t="s">
        <v>3686</v>
      </c>
      <c r="E3628" s="1" t="s">
        <v>3687</v>
      </c>
      <c r="F3628" s="1" t="s">
        <v>16</v>
      </c>
      <c r="G3628" s="1" t="s">
        <v>19</v>
      </c>
      <c r="H3628" s="1" t="str">
        <f>"72"</f>
        <v>72</v>
      </c>
      <c r="I3628" s="1" t="str">
        <f>"161.44"</f>
        <v>161.44</v>
      </c>
      <c r="J3628" s="1" t="str">
        <f t="shared" ref="J3628:N3628" si="2489">"0"</f>
        <v>0</v>
      </c>
      <c r="K3628" s="1" t="str">
        <f t="shared" si="2462"/>
        <v>103</v>
      </c>
      <c r="L3628" s="1" t="str">
        <f t="shared" si="2463"/>
        <v>47</v>
      </c>
      <c r="M3628" s="1" t="str">
        <f t="shared" si="2489"/>
        <v>0</v>
      </c>
      <c r="N3628" s="1" t="str">
        <f t="shared" si="2489"/>
        <v>0</v>
      </c>
      <c r="O3628" s="1" t="str">
        <f>"1.44"</f>
        <v>1.44</v>
      </c>
    </row>
    <row r="3629" s="1" customFormat="1" spans="1:15">
      <c r="A3629" s="1" t="str">
        <f t="shared" si="2454"/>
        <v>202406</v>
      </c>
      <c r="B3629" s="1" t="str">
        <f t="shared" si="2455"/>
        <v>150525100</v>
      </c>
      <c r="C3629" s="1" t="str">
        <f>"1014613045"</f>
        <v>1014613045</v>
      </c>
      <c r="D3629" s="1" t="s">
        <v>3688</v>
      </c>
      <c r="E3629" s="1" t="s">
        <v>3689</v>
      </c>
      <c r="F3629" s="1" t="s">
        <v>16</v>
      </c>
      <c r="G3629" s="1" t="s">
        <v>19</v>
      </c>
      <c r="H3629" s="1" t="str">
        <f>"82"</f>
        <v>82</v>
      </c>
      <c r="I3629" s="1" t="str">
        <f>"170"</f>
        <v>170</v>
      </c>
      <c r="J3629" s="1" t="str">
        <f t="shared" ref="J3629:O3629" si="2490">"0"</f>
        <v>0</v>
      </c>
      <c r="K3629" s="1" t="str">
        <f t="shared" si="2462"/>
        <v>103</v>
      </c>
      <c r="L3629" s="1" t="str">
        <f t="shared" si="2463"/>
        <v>47</v>
      </c>
      <c r="M3629" s="1" t="str">
        <f t="shared" si="2490"/>
        <v>0</v>
      </c>
      <c r="N3629" s="1" t="str">
        <f t="shared" si="2490"/>
        <v>0</v>
      </c>
      <c r="O3629" s="1" t="str">
        <f t="shared" si="2490"/>
        <v>0</v>
      </c>
    </row>
    <row r="3630" s="1" customFormat="1" spans="1:15">
      <c r="A3630" s="1" t="str">
        <f t="shared" si="2454"/>
        <v>202406</v>
      </c>
      <c r="B3630" s="1" t="str">
        <f t="shared" si="2455"/>
        <v>150525100</v>
      </c>
      <c r="C3630" s="1" t="str">
        <f>"1014613055"</f>
        <v>1014613055</v>
      </c>
      <c r="D3630" s="1" t="str">
        <f>"152326193307250927"</f>
        <v>152326193307250927</v>
      </c>
      <c r="E3630" s="1" t="s">
        <v>3690</v>
      </c>
      <c r="F3630" s="1" t="s">
        <v>16</v>
      </c>
      <c r="G3630" s="1" t="s">
        <v>19</v>
      </c>
      <c r="H3630" s="1" t="str">
        <f>"91"</f>
        <v>91</v>
      </c>
      <c r="I3630" s="1" t="str">
        <f>"170"</f>
        <v>170</v>
      </c>
      <c r="J3630" s="1" t="str">
        <f t="shared" ref="J3630:O3630" si="2491">"0"</f>
        <v>0</v>
      </c>
      <c r="K3630" s="1" t="str">
        <f t="shared" si="2462"/>
        <v>103</v>
      </c>
      <c r="L3630" s="1" t="str">
        <f t="shared" si="2463"/>
        <v>47</v>
      </c>
      <c r="M3630" s="1" t="str">
        <f t="shared" si="2491"/>
        <v>0</v>
      </c>
      <c r="N3630" s="1" t="str">
        <f t="shared" si="2491"/>
        <v>0</v>
      </c>
      <c r="O3630" s="1" t="str">
        <f t="shared" si="2491"/>
        <v>0</v>
      </c>
    </row>
    <row r="3631" s="1" customFormat="1" spans="1:15">
      <c r="A3631" s="1" t="str">
        <f t="shared" si="2454"/>
        <v>202406</v>
      </c>
      <c r="B3631" s="1" t="str">
        <f t="shared" si="2455"/>
        <v>150525100</v>
      </c>
      <c r="C3631" s="1" t="str">
        <f>"1014613063"</f>
        <v>1014613063</v>
      </c>
      <c r="D3631" s="1" t="str">
        <f>"152326195108093825"</f>
        <v>152326195108093825</v>
      </c>
      <c r="E3631" s="1" t="s">
        <v>3634</v>
      </c>
      <c r="F3631" s="1" t="s">
        <v>16</v>
      </c>
      <c r="G3631" s="1" t="s">
        <v>19</v>
      </c>
      <c r="H3631" s="1" t="str">
        <f>"73"</f>
        <v>73</v>
      </c>
      <c r="I3631" s="1" t="str">
        <f t="shared" ref="I3631:I3635" si="2492">"160"</f>
        <v>160</v>
      </c>
      <c r="J3631" s="1" t="str">
        <f t="shared" ref="J3631:O3631" si="2493">"0"</f>
        <v>0</v>
      </c>
      <c r="K3631" s="1" t="str">
        <f t="shared" si="2462"/>
        <v>103</v>
      </c>
      <c r="L3631" s="1" t="str">
        <f t="shared" si="2463"/>
        <v>47</v>
      </c>
      <c r="M3631" s="1" t="str">
        <f t="shared" si="2493"/>
        <v>0</v>
      </c>
      <c r="N3631" s="1" t="str">
        <f t="shared" si="2493"/>
        <v>0</v>
      </c>
      <c r="O3631" s="1" t="str">
        <f t="shared" si="2493"/>
        <v>0</v>
      </c>
    </row>
    <row r="3632" s="1" customFormat="1" spans="1:15">
      <c r="A3632" s="1" t="str">
        <f t="shared" si="2454"/>
        <v>202406</v>
      </c>
      <c r="B3632" s="1" t="str">
        <f t="shared" si="2455"/>
        <v>150525100</v>
      </c>
      <c r="C3632" s="1" t="str">
        <f>"1014613337"</f>
        <v>1014613337</v>
      </c>
      <c r="D3632" s="1" t="s">
        <v>3691</v>
      </c>
      <c r="E3632" s="1" t="s">
        <v>3692</v>
      </c>
      <c r="F3632" s="1" t="s">
        <v>25</v>
      </c>
      <c r="G3632" s="1" t="s">
        <v>17</v>
      </c>
      <c r="H3632" s="1" t="str">
        <f>"75"</f>
        <v>75</v>
      </c>
      <c r="I3632" s="1" t="str">
        <f t="shared" si="2492"/>
        <v>160</v>
      </c>
      <c r="J3632" s="1" t="str">
        <f t="shared" ref="J3632:O3632" si="2494">"0"</f>
        <v>0</v>
      </c>
      <c r="K3632" s="1" t="str">
        <f t="shared" si="2462"/>
        <v>103</v>
      </c>
      <c r="L3632" s="1" t="str">
        <f t="shared" si="2463"/>
        <v>47</v>
      </c>
      <c r="M3632" s="1" t="str">
        <f t="shared" si="2494"/>
        <v>0</v>
      </c>
      <c r="N3632" s="1" t="str">
        <f t="shared" si="2494"/>
        <v>0</v>
      </c>
      <c r="O3632" s="1" t="str">
        <f t="shared" si="2494"/>
        <v>0</v>
      </c>
    </row>
    <row r="3633" s="1" customFormat="1" spans="1:15">
      <c r="A3633" s="1" t="str">
        <f t="shared" si="2454"/>
        <v>202406</v>
      </c>
      <c r="B3633" s="1" t="str">
        <f t="shared" si="2455"/>
        <v>150525100</v>
      </c>
      <c r="C3633" s="1" t="str">
        <f>"1014613342"</f>
        <v>1014613342</v>
      </c>
      <c r="D3633" s="1" t="str">
        <f>"152326194601300416"</f>
        <v>152326194601300416</v>
      </c>
      <c r="E3633" s="1" t="s">
        <v>3693</v>
      </c>
      <c r="F3633" s="1" t="s">
        <v>25</v>
      </c>
      <c r="G3633" s="1" t="s">
        <v>17</v>
      </c>
      <c r="H3633" s="1" t="str">
        <f>"78"</f>
        <v>78</v>
      </c>
      <c r="I3633" s="1" t="str">
        <f t="shared" si="2492"/>
        <v>160</v>
      </c>
      <c r="J3633" s="1" t="str">
        <f t="shared" ref="J3633:O3633" si="2495">"0"</f>
        <v>0</v>
      </c>
      <c r="K3633" s="1" t="str">
        <f t="shared" si="2462"/>
        <v>103</v>
      </c>
      <c r="L3633" s="1" t="str">
        <f t="shared" si="2463"/>
        <v>47</v>
      </c>
      <c r="M3633" s="1" t="str">
        <f t="shared" si="2495"/>
        <v>0</v>
      </c>
      <c r="N3633" s="1" t="str">
        <f t="shared" si="2495"/>
        <v>0</v>
      </c>
      <c r="O3633" s="1" t="str">
        <f t="shared" si="2495"/>
        <v>0</v>
      </c>
    </row>
    <row r="3634" s="1" customFormat="1" spans="1:15">
      <c r="A3634" s="1" t="str">
        <f t="shared" si="2454"/>
        <v>202406</v>
      </c>
      <c r="B3634" s="1" t="str">
        <f t="shared" si="2455"/>
        <v>150525100</v>
      </c>
      <c r="C3634" s="1" t="str">
        <f>"1014621977"</f>
        <v>1014621977</v>
      </c>
      <c r="D3634" s="1" t="str">
        <f>"152326195006013310"</f>
        <v>152326195006013310</v>
      </c>
      <c r="E3634" s="1" t="s">
        <v>3694</v>
      </c>
      <c r="F3634" s="1" t="s">
        <v>25</v>
      </c>
      <c r="G3634" s="1" t="s">
        <v>17</v>
      </c>
      <c r="H3634" s="1" t="str">
        <f>"74"</f>
        <v>74</v>
      </c>
      <c r="I3634" s="1" t="str">
        <f t="shared" si="2492"/>
        <v>160</v>
      </c>
      <c r="J3634" s="1" t="str">
        <f t="shared" ref="J3634:O3634" si="2496">"0"</f>
        <v>0</v>
      </c>
      <c r="K3634" s="1" t="str">
        <f t="shared" si="2462"/>
        <v>103</v>
      </c>
      <c r="L3634" s="1" t="str">
        <f t="shared" si="2463"/>
        <v>47</v>
      </c>
      <c r="M3634" s="1" t="str">
        <f t="shared" si="2496"/>
        <v>0</v>
      </c>
      <c r="N3634" s="1" t="str">
        <f t="shared" si="2496"/>
        <v>0</v>
      </c>
      <c r="O3634" s="1" t="str">
        <f t="shared" si="2496"/>
        <v>0</v>
      </c>
    </row>
    <row r="3635" s="1" customFormat="1" spans="1:15">
      <c r="A3635" s="1" t="str">
        <f t="shared" si="2454"/>
        <v>202406</v>
      </c>
      <c r="B3635" s="1" t="str">
        <f t="shared" si="2455"/>
        <v>150525100</v>
      </c>
      <c r="C3635" s="1" t="str">
        <f>"1014621997"</f>
        <v>1014621997</v>
      </c>
      <c r="D3635" s="1" t="str">
        <f>"152326195108010663"</f>
        <v>152326195108010663</v>
      </c>
      <c r="E3635" s="1" t="s">
        <v>3695</v>
      </c>
      <c r="F3635" s="1" t="s">
        <v>16</v>
      </c>
      <c r="G3635" s="1" t="s">
        <v>17</v>
      </c>
      <c r="H3635" s="1" t="str">
        <f>"73"</f>
        <v>73</v>
      </c>
      <c r="I3635" s="1" t="str">
        <f t="shared" si="2492"/>
        <v>160</v>
      </c>
      <c r="J3635" s="1" t="str">
        <f t="shared" ref="J3635:O3635" si="2497">"0"</f>
        <v>0</v>
      </c>
      <c r="K3635" s="1" t="str">
        <f t="shared" si="2462"/>
        <v>103</v>
      </c>
      <c r="L3635" s="1" t="str">
        <f t="shared" si="2463"/>
        <v>47</v>
      </c>
      <c r="M3635" s="1" t="str">
        <f t="shared" si="2497"/>
        <v>0</v>
      </c>
      <c r="N3635" s="1" t="str">
        <f t="shared" si="2497"/>
        <v>0</v>
      </c>
      <c r="O3635" s="1" t="str">
        <f t="shared" si="2497"/>
        <v>0</v>
      </c>
    </row>
    <row r="3636" s="1" customFormat="1" spans="1:15">
      <c r="A3636" s="1" t="str">
        <f t="shared" si="2454"/>
        <v>202406</v>
      </c>
      <c r="B3636" s="1" t="str">
        <f t="shared" si="2455"/>
        <v>150525100</v>
      </c>
      <c r="C3636" s="1" t="str">
        <f>"1014622770"</f>
        <v>1014622770</v>
      </c>
      <c r="D3636" s="1" t="str">
        <f>"152326193005053338"</f>
        <v>152326193005053338</v>
      </c>
      <c r="E3636" s="1" t="s">
        <v>3696</v>
      </c>
      <c r="F3636" s="1" t="s">
        <v>25</v>
      </c>
      <c r="G3636" s="1" t="s">
        <v>17</v>
      </c>
      <c r="H3636" s="1" t="str">
        <f>"94"</f>
        <v>94</v>
      </c>
      <c r="I3636" s="1" t="str">
        <f>"170"</f>
        <v>170</v>
      </c>
      <c r="J3636" s="1" t="str">
        <f t="shared" ref="J3636:O3636" si="2498">"0"</f>
        <v>0</v>
      </c>
      <c r="K3636" s="1" t="str">
        <f t="shared" si="2462"/>
        <v>103</v>
      </c>
      <c r="L3636" s="1" t="str">
        <f t="shared" si="2463"/>
        <v>47</v>
      </c>
      <c r="M3636" s="1" t="str">
        <f t="shared" si="2498"/>
        <v>0</v>
      </c>
      <c r="N3636" s="1" t="str">
        <f t="shared" si="2498"/>
        <v>0</v>
      </c>
      <c r="O3636" s="1" t="str">
        <f t="shared" si="2498"/>
        <v>0</v>
      </c>
    </row>
    <row r="3637" s="1" customFormat="1" spans="1:15">
      <c r="A3637" s="1" t="str">
        <f t="shared" si="2454"/>
        <v>202406</v>
      </c>
      <c r="B3637" s="1" t="str">
        <f t="shared" si="2455"/>
        <v>150525100</v>
      </c>
      <c r="C3637" s="1" t="str">
        <f>"1014624148"</f>
        <v>1014624148</v>
      </c>
      <c r="D3637" s="1" t="str">
        <f>"152326194810183076"</f>
        <v>152326194810183076</v>
      </c>
      <c r="E3637" s="1" t="s">
        <v>3697</v>
      </c>
      <c r="F3637" s="1" t="s">
        <v>25</v>
      </c>
      <c r="G3637" s="1" t="s">
        <v>17</v>
      </c>
      <c r="H3637" s="1" t="str">
        <f>"76"</f>
        <v>76</v>
      </c>
      <c r="I3637" s="1" t="str">
        <f t="shared" ref="I3637:I3641" si="2499">"160"</f>
        <v>160</v>
      </c>
      <c r="J3637" s="1" t="str">
        <f t="shared" ref="J3637:O3637" si="2500">"0"</f>
        <v>0</v>
      </c>
      <c r="K3637" s="1" t="str">
        <f t="shared" si="2462"/>
        <v>103</v>
      </c>
      <c r="L3637" s="1" t="str">
        <f t="shared" si="2463"/>
        <v>47</v>
      </c>
      <c r="M3637" s="1" t="str">
        <f t="shared" si="2500"/>
        <v>0</v>
      </c>
      <c r="N3637" s="1" t="str">
        <f t="shared" si="2500"/>
        <v>0</v>
      </c>
      <c r="O3637" s="1" t="str">
        <f t="shared" si="2500"/>
        <v>0</v>
      </c>
    </row>
    <row r="3638" s="1" customFormat="1" spans="1:15">
      <c r="A3638" s="1" t="str">
        <f t="shared" si="2454"/>
        <v>202406</v>
      </c>
      <c r="B3638" s="1" t="str">
        <f t="shared" si="2455"/>
        <v>150525100</v>
      </c>
      <c r="C3638" s="1" t="str">
        <f>"1014619636"</f>
        <v>1014619636</v>
      </c>
      <c r="D3638" s="1" t="s">
        <v>3698</v>
      </c>
      <c r="E3638" s="1" t="s">
        <v>3699</v>
      </c>
      <c r="F3638" s="1" t="s">
        <v>16</v>
      </c>
      <c r="G3638" s="1" t="s">
        <v>17</v>
      </c>
      <c r="H3638" s="1" t="str">
        <f>"77"</f>
        <v>77</v>
      </c>
      <c r="I3638" s="1" t="str">
        <f t="shared" si="2499"/>
        <v>160</v>
      </c>
      <c r="J3638" s="1" t="str">
        <f t="shared" ref="J3638:O3638" si="2501">"0"</f>
        <v>0</v>
      </c>
      <c r="K3638" s="1" t="str">
        <f t="shared" si="2462"/>
        <v>103</v>
      </c>
      <c r="L3638" s="1" t="str">
        <f t="shared" si="2463"/>
        <v>47</v>
      </c>
      <c r="M3638" s="1" t="str">
        <f t="shared" si="2501"/>
        <v>0</v>
      </c>
      <c r="N3638" s="1" t="str">
        <f t="shared" si="2501"/>
        <v>0</v>
      </c>
      <c r="O3638" s="1" t="str">
        <f t="shared" si="2501"/>
        <v>0</v>
      </c>
    </row>
    <row r="3639" s="1" customFormat="1" spans="1:15">
      <c r="A3639" s="1" t="str">
        <f t="shared" si="2454"/>
        <v>202406</v>
      </c>
      <c r="B3639" s="1" t="str">
        <f t="shared" si="2455"/>
        <v>150525100</v>
      </c>
      <c r="C3639" s="1" t="str">
        <f>"1014619779"</f>
        <v>1014619779</v>
      </c>
      <c r="D3639" s="1" t="str">
        <f>"152326195104246388"</f>
        <v>152326195104246388</v>
      </c>
      <c r="E3639" s="1" t="s">
        <v>2546</v>
      </c>
      <c r="F3639" s="1" t="s">
        <v>16</v>
      </c>
      <c r="G3639" s="1" t="s">
        <v>19</v>
      </c>
      <c r="H3639" s="1" t="str">
        <f>"73"</f>
        <v>73</v>
      </c>
      <c r="I3639" s="1" t="str">
        <f t="shared" si="2499"/>
        <v>160</v>
      </c>
      <c r="J3639" s="1" t="str">
        <f t="shared" ref="J3639:O3639" si="2502">"0"</f>
        <v>0</v>
      </c>
      <c r="K3639" s="1" t="str">
        <f t="shared" si="2462"/>
        <v>103</v>
      </c>
      <c r="L3639" s="1" t="str">
        <f t="shared" si="2463"/>
        <v>47</v>
      </c>
      <c r="M3639" s="1" t="str">
        <f t="shared" si="2502"/>
        <v>0</v>
      </c>
      <c r="N3639" s="1" t="str">
        <f t="shared" si="2502"/>
        <v>0</v>
      </c>
      <c r="O3639" s="1" t="str">
        <f t="shared" si="2502"/>
        <v>0</v>
      </c>
    </row>
    <row r="3640" s="1" customFormat="1" spans="1:15">
      <c r="A3640" s="1" t="str">
        <f t="shared" si="2454"/>
        <v>202406</v>
      </c>
      <c r="B3640" s="1" t="str">
        <f t="shared" si="2455"/>
        <v>150525100</v>
      </c>
      <c r="C3640" s="1" t="str">
        <f>"1014619793"</f>
        <v>1014619793</v>
      </c>
      <c r="D3640" s="1" t="str">
        <f>"152326194810110678"</f>
        <v>152326194810110678</v>
      </c>
      <c r="E3640" s="1" t="s">
        <v>3700</v>
      </c>
      <c r="F3640" s="1" t="s">
        <v>25</v>
      </c>
      <c r="G3640" s="1" t="s">
        <v>19</v>
      </c>
      <c r="H3640" s="1" t="str">
        <f>"76"</f>
        <v>76</v>
      </c>
      <c r="I3640" s="1" t="str">
        <f t="shared" si="2499"/>
        <v>160</v>
      </c>
      <c r="J3640" s="1" t="str">
        <f t="shared" ref="J3640:O3640" si="2503">"0"</f>
        <v>0</v>
      </c>
      <c r="K3640" s="1" t="str">
        <f t="shared" si="2462"/>
        <v>103</v>
      </c>
      <c r="L3640" s="1" t="str">
        <f t="shared" si="2463"/>
        <v>47</v>
      </c>
      <c r="M3640" s="1" t="str">
        <f t="shared" si="2503"/>
        <v>0</v>
      </c>
      <c r="N3640" s="1" t="str">
        <f t="shared" si="2503"/>
        <v>0</v>
      </c>
      <c r="O3640" s="1" t="str">
        <f t="shared" si="2503"/>
        <v>0</v>
      </c>
    </row>
    <row r="3641" s="1" customFormat="1" spans="1:15">
      <c r="A3641" s="1" t="str">
        <f t="shared" si="2454"/>
        <v>202406</v>
      </c>
      <c r="B3641" s="1" t="str">
        <f t="shared" si="2455"/>
        <v>150525100</v>
      </c>
      <c r="C3641" s="1" t="str">
        <f>"1014623147"</f>
        <v>1014623147</v>
      </c>
      <c r="D3641" s="1" t="str">
        <f>"152326194702070410"</f>
        <v>152326194702070410</v>
      </c>
      <c r="E3641" s="1" t="s">
        <v>3701</v>
      </c>
      <c r="F3641" s="1" t="s">
        <v>25</v>
      </c>
      <c r="G3641" s="1" t="s">
        <v>17</v>
      </c>
      <c r="H3641" s="1" t="str">
        <f>"77"</f>
        <v>77</v>
      </c>
      <c r="I3641" s="1" t="str">
        <f t="shared" si="2499"/>
        <v>160</v>
      </c>
      <c r="J3641" s="1" t="str">
        <f t="shared" ref="J3641:O3641" si="2504">"0"</f>
        <v>0</v>
      </c>
      <c r="K3641" s="1" t="str">
        <f t="shared" si="2462"/>
        <v>103</v>
      </c>
      <c r="L3641" s="1" t="str">
        <f t="shared" si="2463"/>
        <v>47</v>
      </c>
      <c r="M3641" s="1" t="str">
        <f t="shared" si="2504"/>
        <v>0</v>
      </c>
      <c r="N3641" s="1" t="str">
        <f t="shared" si="2504"/>
        <v>0</v>
      </c>
      <c r="O3641" s="1" t="str">
        <f t="shared" si="2504"/>
        <v>0</v>
      </c>
    </row>
    <row r="3642" s="1" customFormat="1" spans="1:15">
      <c r="A3642" s="1" t="str">
        <f t="shared" si="2454"/>
        <v>202406</v>
      </c>
      <c r="B3642" s="1" t="str">
        <f t="shared" si="2455"/>
        <v>150525100</v>
      </c>
      <c r="C3642" s="1" t="str">
        <f>"1014589227"</f>
        <v>1014589227</v>
      </c>
      <c r="D3642" s="1" t="str">
        <f>"152326195512160428"</f>
        <v>152326195512160428</v>
      </c>
      <c r="E3642" s="1" t="s">
        <v>2096</v>
      </c>
      <c r="F3642" s="1" t="s">
        <v>16</v>
      </c>
      <c r="G3642" s="1" t="s">
        <v>19</v>
      </c>
      <c r="H3642" s="1" t="str">
        <f>"69"</f>
        <v>69</v>
      </c>
      <c r="I3642" s="1" t="str">
        <f>"155.25"</f>
        <v>155.25</v>
      </c>
      <c r="J3642" s="1" t="str">
        <f t="shared" ref="J3642:N3642" si="2505">"0"</f>
        <v>0</v>
      </c>
      <c r="K3642" s="1" t="str">
        <f t="shared" si="2462"/>
        <v>103</v>
      </c>
      <c r="L3642" s="1" t="str">
        <f t="shared" si="2463"/>
        <v>47</v>
      </c>
      <c r="M3642" s="1" t="str">
        <f t="shared" si="2505"/>
        <v>0</v>
      </c>
      <c r="N3642" s="1" t="str">
        <f t="shared" si="2505"/>
        <v>0</v>
      </c>
      <c r="O3642" s="1" t="str">
        <f>"5.25"</f>
        <v>5.25</v>
      </c>
    </row>
    <row r="3643" s="1" customFormat="1" spans="1:15">
      <c r="A3643" s="1" t="str">
        <f t="shared" si="2454"/>
        <v>202406</v>
      </c>
      <c r="B3643" s="1" t="str">
        <f t="shared" si="2455"/>
        <v>150525100</v>
      </c>
      <c r="C3643" s="1" t="str">
        <f>"1014589228"</f>
        <v>1014589228</v>
      </c>
      <c r="D3643" s="1" t="str">
        <f>"152326195307020418"</f>
        <v>152326195307020418</v>
      </c>
      <c r="E3643" s="1" t="s">
        <v>3702</v>
      </c>
      <c r="F3643" s="1" t="s">
        <v>25</v>
      </c>
      <c r="G3643" s="1" t="s">
        <v>17</v>
      </c>
      <c r="H3643" s="1" t="str">
        <f>"71"</f>
        <v>71</v>
      </c>
      <c r="I3643" s="1" t="str">
        <f>"163.16"</f>
        <v>163.16</v>
      </c>
      <c r="J3643" s="1" t="str">
        <f t="shared" ref="J3643:N3643" si="2506">"0"</f>
        <v>0</v>
      </c>
      <c r="K3643" s="1" t="str">
        <f t="shared" si="2462"/>
        <v>103</v>
      </c>
      <c r="L3643" s="1" t="str">
        <f t="shared" si="2463"/>
        <v>47</v>
      </c>
      <c r="M3643" s="1" t="str">
        <f t="shared" si="2506"/>
        <v>0</v>
      </c>
      <c r="N3643" s="1" t="str">
        <f t="shared" si="2506"/>
        <v>0</v>
      </c>
      <c r="O3643" s="1" t="str">
        <f>"3.16"</f>
        <v>3.16</v>
      </c>
    </row>
    <row r="3644" s="1" customFormat="1" spans="1:15">
      <c r="A3644" s="1" t="str">
        <f t="shared" si="2454"/>
        <v>202406</v>
      </c>
      <c r="B3644" s="1" t="str">
        <f t="shared" si="2455"/>
        <v>150525100</v>
      </c>
      <c r="C3644" s="1" t="str">
        <f>"1014613377"</f>
        <v>1014613377</v>
      </c>
      <c r="D3644" s="1" t="str">
        <f>"152326195011123311"</f>
        <v>152326195011123311</v>
      </c>
      <c r="E3644" s="1" t="s">
        <v>3703</v>
      </c>
      <c r="F3644" s="1" t="s">
        <v>25</v>
      </c>
      <c r="G3644" s="1" t="s">
        <v>17</v>
      </c>
      <c r="H3644" s="1" t="str">
        <f>"74"</f>
        <v>74</v>
      </c>
      <c r="I3644" s="1" t="str">
        <f t="shared" ref="I3644:I3654" si="2507">"160"</f>
        <v>160</v>
      </c>
      <c r="J3644" s="1" t="str">
        <f t="shared" ref="J3644:O3644" si="2508">"0"</f>
        <v>0</v>
      </c>
      <c r="K3644" s="1" t="str">
        <f t="shared" si="2462"/>
        <v>103</v>
      </c>
      <c r="L3644" s="1" t="str">
        <f t="shared" si="2463"/>
        <v>47</v>
      </c>
      <c r="M3644" s="1" t="str">
        <f t="shared" si="2508"/>
        <v>0</v>
      </c>
      <c r="N3644" s="1" t="str">
        <f t="shared" si="2508"/>
        <v>0</v>
      </c>
      <c r="O3644" s="1" t="str">
        <f t="shared" si="2508"/>
        <v>0</v>
      </c>
    </row>
    <row r="3645" s="1" customFormat="1" spans="1:15">
      <c r="A3645" s="1" t="str">
        <f t="shared" si="2454"/>
        <v>202406</v>
      </c>
      <c r="B3645" s="1" t="str">
        <f t="shared" si="2455"/>
        <v>150525100</v>
      </c>
      <c r="C3645" s="1" t="str">
        <f>"1015307350"</f>
        <v>1015307350</v>
      </c>
      <c r="D3645" s="1" t="str">
        <f>"152326195001250915"</f>
        <v>152326195001250915</v>
      </c>
      <c r="E3645" s="1" t="s">
        <v>3704</v>
      </c>
      <c r="F3645" s="1" t="s">
        <v>25</v>
      </c>
      <c r="G3645" s="1" t="s">
        <v>19</v>
      </c>
      <c r="H3645" s="1" t="str">
        <f>"74"</f>
        <v>74</v>
      </c>
      <c r="I3645" s="1" t="str">
        <f t="shared" si="2507"/>
        <v>160</v>
      </c>
      <c r="J3645" s="1" t="str">
        <f t="shared" ref="J3645:O3645" si="2509">"0"</f>
        <v>0</v>
      </c>
      <c r="K3645" s="1" t="str">
        <f t="shared" si="2462"/>
        <v>103</v>
      </c>
      <c r="L3645" s="1" t="str">
        <f t="shared" si="2463"/>
        <v>47</v>
      </c>
      <c r="M3645" s="1" t="str">
        <f t="shared" si="2509"/>
        <v>0</v>
      </c>
      <c r="N3645" s="1" t="str">
        <f t="shared" si="2509"/>
        <v>0</v>
      </c>
      <c r="O3645" s="1" t="str">
        <f t="shared" si="2509"/>
        <v>0</v>
      </c>
    </row>
    <row r="3646" s="1" customFormat="1" spans="1:15">
      <c r="A3646" s="1" t="str">
        <f t="shared" si="2454"/>
        <v>202406</v>
      </c>
      <c r="B3646" s="1" t="str">
        <f t="shared" si="2455"/>
        <v>150525100</v>
      </c>
      <c r="C3646" s="1" t="str">
        <f>"1014589291"</f>
        <v>1014589291</v>
      </c>
      <c r="D3646" s="1" t="s">
        <v>3705</v>
      </c>
      <c r="E3646" s="1" t="s">
        <v>3706</v>
      </c>
      <c r="F3646" s="1" t="s">
        <v>25</v>
      </c>
      <c r="G3646" s="1" t="s">
        <v>17</v>
      </c>
      <c r="H3646" s="1" t="str">
        <f>"71"</f>
        <v>71</v>
      </c>
      <c r="I3646" s="1" t="str">
        <f>"163.16"</f>
        <v>163.16</v>
      </c>
      <c r="J3646" s="1" t="str">
        <f t="shared" ref="J3646:N3646" si="2510">"0"</f>
        <v>0</v>
      </c>
      <c r="K3646" s="1" t="str">
        <f t="shared" si="2462"/>
        <v>103</v>
      </c>
      <c r="L3646" s="1" t="str">
        <f t="shared" si="2463"/>
        <v>47</v>
      </c>
      <c r="M3646" s="1" t="str">
        <f t="shared" si="2510"/>
        <v>0</v>
      </c>
      <c r="N3646" s="1" t="str">
        <f t="shared" si="2510"/>
        <v>0</v>
      </c>
      <c r="O3646" s="1" t="str">
        <f>"3.16"</f>
        <v>3.16</v>
      </c>
    </row>
    <row r="3647" s="1" customFormat="1" spans="1:15">
      <c r="A3647" s="1" t="str">
        <f t="shared" si="2454"/>
        <v>202406</v>
      </c>
      <c r="B3647" s="1" t="str">
        <f t="shared" si="2455"/>
        <v>150525100</v>
      </c>
      <c r="C3647" s="1" t="str">
        <f>"1014589295"</f>
        <v>1014589295</v>
      </c>
      <c r="D3647" s="1" t="str">
        <f>"152326195504070422"</f>
        <v>152326195504070422</v>
      </c>
      <c r="E3647" s="1" t="s">
        <v>3161</v>
      </c>
      <c r="F3647" s="1" t="s">
        <v>16</v>
      </c>
      <c r="G3647" s="1" t="s">
        <v>17</v>
      </c>
      <c r="H3647" s="1" t="str">
        <f>"69"</f>
        <v>69</v>
      </c>
      <c r="I3647" s="1" t="str">
        <f>"155.1"</f>
        <v>155.1</v>
      </c>
      <c r="J3647" s="1" t="str">
        <f t="shared" ref="J3647:N3647" si="2511">"0"</f>
        <v>0</v>
      </c>
      <c r="K3647" s="1" t="str">
        <f t="shared" si="2462"/>
        <v>103</v>
      </c>
      <c r="L3647" s="1" t="str">
        <f t="shared" si="2463"/>
        <v>47</v>
      </c>
      <c r="M3647" s="1" t="str">
        <f t="shared" si="2511"/>
        <v>0</v>
      </c>
      <c r="N3647" s="1" t="str">
        <f t="shared" si="2511"/>
        <v>0</v>
      </c>
      <c r="O3647" s="1" t="str">
        <f>"5.1"</f>
        <v>5.1</v>
      </c>
    </row>
    <row r="3648" s="1" customFormat="1" spans="1:15">
      <c r="A3648" s="1" t="str">
        <f t="shared" si="2454"/>
        <v>202406</v>
      </c>
      <c r="B3648" s="1" t="str">
        <f t="shared" si="2455"/>
        <v>150525100</v>
      </c>
      <c r="C3648" s="1" t="str">
        <f>"1014613420"</f>
        <v>1014613420</v>
      </c>
      <c r="D3648" s="1" t="str">
        <f>"152326193803253844"</f>
        <v>152326193803253844</v>
      </c>
      <c r="E3648" s="1" t="s">
        <v>3707</v>
      </c>
      <c r="F3648" s="1" t="s">
        <v>16</v>
      </c>
      <c r="G3648" s="1" t="s">
        <v>17</v>
      </c>
      <c r="H3648" s="1" t="str">
        <f>"86"</f>
        <v>86</v>
      </c>
      <c r="I3648" s="1" t="str">
        <f>"170"</f>
        <v>170</v>
      </c>
      <c r="J3648" s="1" t="str">
        <f t="shared" ref="J3648:O3648" si="2512">"0"</f>
        <v>0</v>
      </c>
      <c r="K3648" s="1" t="str">
        <f t="shared" si="2462"/>
        <v>103</v>
      </c>
      <c r="L3648" s="1" t="str">
        <f t="shared" si="2463"/>
        <v>47</v>
      </c>
      <c r="M3648" s="1" t="str">
        <f t="shared" si="2512"/>
        <v>0</v>
      </c>
      <c r="N3648" s="1" t="str">
        <f t="shared" si="2512"/>
        <v>0</v>
      </c>
      <c r="O3648" s="1" t="str">
        <f t="shared" si="2512"/>
        <v>0</v>
      </c>
    </row>
    <row r="3649" s="1" customFormat="1" spans="1:15">
      <c r="A3649" s="1" t="str">
        <f t="shared" si="2454"/>
        <v>202406</v>
      </c>
      <c r="B3649" s="1" t="str">
        <f t="shared" si="2455"/>
        <v>150525100</v>
      </c>
      <c r="C3649" s="1" t="str">
        <f>"1014613423"</f>
        <v>1014613423</v>
      </c>
      <c r="D3649" s="1" t="str">
        <f>"152326194808263325"</f>
        <v>152326194808263325</v>
      </c>
      <c r="E3649" s="1" t="s">
        <v>3708</v>
      </c>
      <c r="F3649" s="1" t="s">
        <v>16</v>
      </c>
      <c r="G3649" s="1" t="s">
        <v>17</v>
      </c>
      <c r="H3649" s="1" t="str">
        <f>"76"</f>
        <v>76</v>
      </c>
      <c r="I3649" s="1" t="str">
        <f t="shared" si="2507"/>
        <v>160</v>
      </c>
      <c r="J3649" s="1" t="str">
        <f t="shared" ref="J3649:O3649" si="2513">"0"</f>
        <v>0</v>
      </c>
      <c r="K3649" s="1" t="str">
        <f t="shared" si="2462"/>
        <v>103</v>
      </c>
      <c r="L3649" s="1" t="str">
        <f t="shared" si="2463"/>
        <v>47</v>
      </c>
      <c r="M3649" s="1" t="str">
        <f t="shared" si="2513"/>
        <v>0</v>
      </c>
      <c r="N3649" s="1" t="str">
        <f t="shared" si="2513"/>
        <v>0</v>
      </c>
      <c r="O3649" s="1" t="str">
        <f t="shared" si="2513"/>
        <v>0</v>
      </c>
    </row>
    <row r="3650" s="1" customFormat="1" spans="1:15">
      <c r="A3650" s="1" t="str">
        <f t="shared" ref="A3650:A3713" si="2514">"202406"</f>
        <v>202406</v>
      </c>
      <c r="B3650" s="1" t="str">
        <f t="shared" ref="B3650:B3713" si="2515">"150525100"</f>
        <v>150525100</v>
      </c>
      <c r="C3650" s="1" t="str">
        <f>"1014622041"</f>
        <v>1014622041</v>
      </c>
      <c r="D3650" s="1" t="str">
        <f>"152326195112136381"</f>
        <v>152326195112136381</v>
      </c>
      <c r="E3650" s="1" t="s">
        <v>3709</v>
      </c>
      <c r="F3650" s="1" t="s">
        <v>16</v>
      </c>
      <c r="G3650" s="1" t="s">
        <v>17</v>
      </c>
      <c r="H3650" s="1" t="str">
        <f t="shared" ref="H3650:H3652" si="2516">"73"</f>
        <v>73</v>
      </c>
      <c r="I3650" s="1" t="str">
        <f t="shared" si="2507"/>
        <v>160</v>
      </c>
      <c r="J3650" s="1" t="str">
        <f t="shared" ref="J3650:O3650" si="2517">"0"</f>
        <v>0</v>
      </c>
      <c r="K3650" s="1" t="str">
        <f t="shared" si="2462"/>
        <v>103</v>
      </c>
      <c r="L3650" s="1" t="str">
        <f t="shared" si="2463"/>
        <v>47</v>
      </c>
      <c r="M3650" s="1" t="str">
        <f t="shared" si="2517"/>
        <v>0</v>
      </c>
      <c r="N3650" s="1" t="str">
        <f t="shared" si="2517"/>
        <v>0</v>
      </c>
      <c r="O3650" s="1" t="str">
        <f t="shared" si="2517"/>
        <v>0</v>
      </c>
    </row>
    <row r="3651" s="1" customFormat="1" spans="1:15">
      <c r="A3651" s="1" t="str">
        <f t="shared" si="2514"/>
        <v>202406</v>
      </c>
      <c r="B3651" s="1" t="str">
        <f t="shared" si="2515"/>
        <v>150525100</v>
      </c>
      <c r="C3651" s="1" t="str">
        <f>"1014624237"</f>
        <v>1014624237</v>
      </c>
      <c r="D3651" s="1" t="s">
        <v>3710</v>
      </c>
      <c r="E3651" s="1" t="s">
        <v>3711</v>
      </c>
      <c r="F3651" s="1" t="s">
        <v>25</v>
      </c>
      <c r="G3651" s="1" t="s">
        <v>17</v>
      </c>
      <c r="H3651" s="1" t="str">
        <f t="shared" si="2516"/>
        <v>73</v>
      </c>
      <c r="I3651" s="1" t="str">
        <f t="shared" si="2507"/>
        <v>160</v>
      </c>
      <c r="J3651" s="1" t="str">
        <f t="shared" ref="J3651:O3651" si="2518">"0"</f>
        <v>0</v>
      </c>
      <c r="K3651" s="1" t="str">
        <f t="shared" si="2462"/>
        <v>103</v>
      </c>
      <c r="L3651" s="1" t="str">
        <f t="shared" si="2463"/>
        <v>47</v>
      </c>
      <c r="M3651" s="1" t="str">
        <f t="shared" si="2518"/>
        <v>0</v>
      </c>
      <c r="N3651" s="1" t="str">
        <f t="shared" si="2518"/>
        <v>0</v>
      </c>
      <c r="O3651" s="1" t="str">
        <f t="shared" si="2518"/>
        <v>0</v>
      </c>
    </row>
    <row r="3652" s="1" customFormat="1" spans="1:15">
      <c r="A3652" s="1" t="str">
        <f t="shared" si="2514"/>
        <v>202406</v>
      </c>
      <c r="B3652" s="1" t="str">
        <f t="shared" si="2515"/>
        <v>150525100</v>
      </c>
      <c r="C3652" s="1" t="str">
        <f>"1014619224"</f>
        <v>1014619224</v>
      </c>
      <c r="D3652" s="1" t="str">
        <f>"152326195109163821"</f>
        <v>152326195109163821</v>
      </c>
      <c r="E3652" s="1" t="s">
        <v>2464</v>
      </c>
      <c r="F3652" s="1" t="s">
        <v>16</v>
      </c>
      <c r="G3652" s="1" t="s">
        <v>17</v>
      </c>
      <c r="H3652" s="1" t="str">
        <f t="shared" si="2516"/>
        <v>73</v>
      </c>
      <c r="I3652" s="1" t="str">
        <f t="shared" si="2507"/>
        <v>160</v>
      </c>
      <c r="J3652" s="1" t="str">
        <f t="shared" ref="J3652:O3652" si="2519">"0"</f>
        <v>0</v>
      </c>
      <c r="K3652" s="1" t="str">
        <f t="shared" si="2462"/>
        <v>103</v>
      </c>
      <c r="L3652" s="1" t="str">
        <f t="shared" si="2463"/>
        <v>47</v>
      </c>
      <c r="M3652" s="1" t="str">
        <f t="shared" si="2519"/>
        <v>0</v>
      </c>
      <c r="N3652" s="1" t="str">
        <f t="shared" si="2519"/>
        <v>0</v>
      </c>
      <c r="O3652" s="1" t="str">
        <f t="shared" si="2519"/>
        <v>0</v>
      </c>
    </row>
    <row r="3653" s="1" customFormat="1" spans="1:15">
      <c r="A3653" s="1" t="str">
        <f t="shared" si="2514"/>
        <v>202406</v>
      </c>
      <c r="B3653" s="1" t="str">
        <f t="shared" si="2515"/>
        <v>150525100</v>
      </c>
      <c r="C3653" s="1" t="str">
        <f>"1014623685"</f>
        <v>1014623685</v>
      </c>
      <c r="D3653" s="1" t="str">
        <f>"152326195001170413"</f>
        <v>152326195001170413</v>
      </c>
      <c r="E3653" s="1" t="s">
        <v>3712</v>
      </c>
      <c r="F3653" s="1" t="s">
        <v>25</v>
      </c>
      <c r="G3653" s="1" t="s">
        <v>17</v>
      </c>
      <c r="H3653" s="1" t="str">
        <f>"74"</f>
        <v>74</v>
      </c>
      <c r="I3653" s="1" t="str">
        <f t="shared" si="2507"/>
        <v>160</v>
      </c>
      <c r="J3653" s="1" t="str">
        <f t="shared" ref="J3653:O3653" si="2520">"0"</f>
        <v>0</v>
      </c>
      <c r="K3653" s="1" t="str">
        <f t="shared" si="2462"/>
        <v>103</v>
      </c>
      <c r="L3653" s="1" t="str">
        <f t="shared" si="2463"/>
        <v>47</v>
      </c>
      <c r="M3653" s="1" t="str">
        <f t="shared" si="2520"/>
        <v>0</v>
      </c>
      <c r="N3653" s="1" t="str">
        <f t="shared" si="2520"/>
        <v>0</v>
      </c>
      <c r="O3653" s="1" t="str">
        <f t="shared" si="2520"/>
        <v>0</v>
      </c>
    </row>
    <row r="3654" s="1" customFormat="1" spans="1:15">
      <c r="A3654" s="1" t="str">
        <f t="shared" si="2514"/>
        <v>202406</v>
      </c>
      <c r="B3654" s="1" t="str">
        <f t="shared" si="2515"/>
        <v>150525100</v>
      </c>
      <c r="C3654" s="1" t="str">
        <f>"1014623693"</f>
        <v>1014623693</v>
      </c>
      <c r="D3654" s="1" t="str">
        <f>"152326194912140413"</f>
        <v>152326194912140413</v>
      </c>
      <c r="E3654" s="1" t="s">
        <v>3713</v>
      </c>
      <c r="F3654" s="1" t="s">
        <v>25</v>
      </c>
      <c r="G3654" s="1" t="s">
        <v>17</v>
      </c>
      <c r="H3654" s="1" t="str">
        <f t="shared" ref="H3654:H3658" si="2521">"75"</f>
        <v>75</v>
      </c>
      <c r="I3654" s="1" t="str">
        <f t="shared" si="2507"/>
        <v>160</v>
      </c>
      <c r="J3654" s="1" t="str">
        <f t="shared" ref="J3654:O3654" si="2522">"0"</f>
        <v>0</v>
      </c>
      <c r="K3654" s="1" t="str">
        <f t="shared" si="2462"/>
        <v>103</v>
      </c>
      <c r="L3654" s="1" t="str">
        <f t="shared" si="2463"/>
        <v>47</v>
      </c>
      <c r="M3654" s="1" t="str">
        <f t="shared" si="2522"/>
        <v>0</v>
      </c>
      <c r="N3654" s="1" t="str">
        <f t="shared" si="2522"/>
        <v>0</v>
      </c>
      <c r="O3654" s="1" t="str">
        <f t="shared" si="2522"/>
        <v>0</v>
      </c>
    </row>
    <row r="3655" s="1" customFormat="1" spans="1:15">
      <c r="A3655" s="1" t="str">
        <f t="shared" si="2514"/>
        <v>202406</v>
      </c>
      <c r="B3655" s="1" t="str">
        <f t="shared" si="2515"/>
        <v>150525100</v>
      </c>
      <c r="C3655" s="1" t="str">
        <f>"1014589308"</f>
        <v>1014589308</v>
      </c>
      <c r="D3655" s="1" t="str">
        <f>"152326195910100447"</f>
        <v>152326195910100447</v>
      </c>
      <c r="E3655" s="1" t="s">
        <v>3714</v>
      </c>
      <c r="F3655" s="1" t="s">
        <v>16</v>
      </c>
      <c r="G3655" s="1" t="s">
        <v>19</v>
      </c>
      <c r="H3655" s="1" t="str">
        <f>"65"</f>
        <v>65</v>
      </c>
      <c r="I3655" s="1" t="str">
        <f>"158.2"</f>
        <v>158.2</v>
      </c>
      <c r="J3655" s="1" t="str">
        <f t="shared" ref="J3655:N3655" si="2523">"0"</f>
        <v>0</v>
      </c>
      <c r="K3655" s="1" t="str">
        <f t="shared" si="2462"/>
        <v>103</v>
      </c>
      <c r="L3655" s="1" t="str">
        <f t="shared" si="2463"/>
        <v>47</v>
      </c>
      <c r="M3655" s="1" t="str">
        <f t="shared" si="2523"/>
        <v>0</v>
      </c>
      <c r="N3655" s="1" t="str">
        <f t="shared" si="2523"/>
        <v>0</v>
      </c>
      <c r="O3655" s="1" t="str">
        <f>"8.2"</f>
        <v>8.2</v>
      </c>
    </row>
    <row r="3656" s="1" customFormat="1" spans="1:15">
      <c r="A3656" s="1" t="str">
        <f t="shared" si="2514"/>
        <v>202406</v>
      </c>
      <c r="B3656" s="1" t="str">
        <f t="shared" si="2515"/>
        <v>150525100</v>
      </c>
      <c r="C3656" s="1" t="str">
        <f>"1014589324"</f>
        <v>1014589324</v>
      </c>
      <c r="D3656" s="1" t="str">
        <f>"152326195710210422"</f>
        <v>152326195710210422</v>
      </c>
      <c r="E3656" s="1" t="s">
        <v>3272</v>
      </c>
      <c r="F3656" s="1" t="s">
        <v>16</v>
      </c>
      <c r="G3656" s="1" t="s">
        <v>17</v>
      </c>
      <c r="H3656" s="1" t="str">
        <f>"67"</f>
        <v>67</v>
      </c>
      <c r="I3656" s="1" t="str">
        <f>"161.03"</f>
        <v>161.03</v>
      </c>
      <c r="J3656" s="1" t="str">
        <f t="shared" ref="J3656:N3656" si="2524">"0"</f>
        <v>0</v>
      </c>
      <c r="K3656" s="1" t="str">
        <f t="shared" si="2462"/>
        <v>103</v>
      </c>
      <c r="L3656" s="1" t="str">
        <f t="shared" si="2463"/>
        <v>47</v>
      </c>
      <c r="M3656" s="1" t="str">
        <f t="shared" si="2524"/>
        <v>0</v>
      </c>
      <c r="N3656" s="1" t="str">
        <f t="shared" si="2524"/>
        <v>0</v>
      </c>
      <c r="O3656" s="1" t="str">
        <f>"11.03"</f>
        <v>11.03</v>
      </c>
    </row>
    <row r="3657" s="1" customFormat="1" spans="1:15">
      <c r="A3657" s="1" t="str">
        <f t="shared" si="2514"/>
        <v>202406</v>
      </c>
      <c r="B3657" s="1" t="str">
        <f t="shared" si="2515"/>
        <v>150525100</v>
      </c>
      <c r="C3657" s="1" t="str">
        <f>"1014613514"</f>
        <v>1014613514</v>
      </c>
      <c r="D3657" s="1" t="str">
        <f>"152326194910013322"</f>
        <v>152326194910013322</v>
      </c>
      <c r="E3657" s="1" t="s">
        <v>3715</v>
      </c>
      <c r="F3657" s="1" t="s">
        <v>16</v>
      </c>
      <c r="G3657" s="1" t="s">
        <v>17</v>
      </c>
      <c r="H3657" s="1" t="str">
        <f t="shared" si="2521"/>
        <v>75</v>
      </c>
      <c r="I3657" s="1" t="str">
        <f t="shared" ref="I3657:I3669" si="2525">"160"</f>
        <v>160</v>
      </c>
      <c r="J3657" s="1" t="str">
        <f t="shared" ref="J3657:O3657" si="2526">"0"</f>
        <v>0</v>
      </c>
      <c r="K3657" s="1" t="str">
        <f t="shared" si="2462"/>
        <v>103</v>
      </c>
      <c r="L3657" s="1" t="str">
        <f t="shared" si="2463"/>
        <v>47</v>
      </c>
      <c r="M3657" s="1" t="str">
        <f t="shared" si="2526"/>
        <v>0</v>
      </c>
      <c r="N3657" s="1" t="str">
        <f t="shared" si="2526"/>
        <v>0</v>
      </c>
      <c r="O3657" s="1" t="str">
        <f t="shared" si="2526"/>
        <v>0</v>
      </c>
    </row>
    <row r="3658" s="1" customFormat="1" spans="1:15">
      <c r="A3658" s="1" t="str">
        <f t="shared" si="2514"/>
        <v>202406</v>
      </c>
      <c r="B3658" s="1" t="str">
        <f t="shared" si="2515"/>
        <v>150525100</v>
      </c>
      <c r="C3658" s="1" t="str">
        <f>"1014613518"</f>
        <v>1014613518</v>
      </c>
      <c r="D3658" s="1" t="str">
        <f>"152326194907190424"</f>
        <v>152326194907190424</v>
      </c>
      <c r="E3658" s="1" t="s">
        <v>612</v>
      </c>
      <c r="F3658" s="1" t="s">
        <v>16</v>
      </c>
      <c r="G3658" s="1" t="s">
        <v>96</v>
      </c>
      <c r="H3658" s="1" t="str">
        <f t="shared" si="2521"/>
        <v>75</v>
      </c>
      <c r="I3658" s="1" t="str">
        <f t="shared" si="2525"/>
        <v>160</v>
      </c>
      <c r="J3658" s="1" t="str">
        <f t="shared" ref="J3658:O3658" si="2527">"0"</f>
        <v>0</v>
      </c>
      <c r="K3658" s="1" t="str">
        <f t="shared" si="2462"/>
        <v>103</v>
      </c>
      <c r="L3658" s="1" t="str">
        <f t="shared" si="2463"/>
        <v>47</v>
      </c>
      <c r="M3658" s="1" t="str">
        <f t="shared" si="2527"/>
        <v>0</v>
      </c>
      <c r="N3658" s="1" t="str">
        <f t="shared" si="2527"/>
        <v>0</v>
      </c>
      <c r="O3658" s="1" t="str">
        <f t="shared" si="2527"/>
        <v>0</v>
      </c>
    </row>
    <row r="3659" s="1" customFormat="1" spans="1:15">
      <c r="A3659" s="1" t="str">
        <f t="shared" si="2514"/>
        <v>202406</v>
      </c>
      <c r="B3659" s="1" t="str">
        <f t="shared" si="2515"/>
        <v>150525100</v>
      </c>
      <c r="C3659" s="1" t="str">
        <f>"1014619314"</f>
        <v>1014619314</v>
      </c>
      <c r="D3659" s="1" t="str">
        <f>"152326194512220668"</f>
        <v>152326194512220668</v>
      </c>
      <c r="E3659" s="1" t="s">
        <v>3716</v>
      </c>
      <c r="F3659" s="1" t="s">
        <v>16</v>
      </c>
      <c r="G3659" s="1" t="s">
        <v>19</v>
      </c>
      <c r="H3659" s="1" t="str">
        <f>"79"</f>
        <v>79</v>
      </c>
      <c r="I3659" s="1" t="str">
        <f t="shared" si="2525"/>
        <v>160</v>
      </c>
      <c r="J3659" s="1" t="str">
        <f t="shared" ref="J3659:O3659" si="2528">"0"</f>
        <v>0</v>
      </c>
      <c r="K3659" s="1" t="str">
        <f t="shared" si="2462"/>
        <v>103</v>
      </c>
      <c r="L3659" s="1" t="str">
        <f t="shared" si="2463"/>
        <v>47</v>
      </c>
      <c r="M3659" s="1" t="str">
        <f t="shared" si="2528"/>
        <v>0</v>
      </c>
      <c r="N3659" s="1" t="str">
        <f t="shared" si="2528"/>
        <v>0</v>
      </c>
      <c r="O3659" s="1" t="str">
        <f t="shared" si="2528"/>
        <v>0</v>
      </c>
    </row>
    <row r="3660" s="1" customFormat="1" spans="1:15">
      <c r="A3660" s="1" t="str">
        <f t="shared" si="2514"/>
        <v>202406</v>
      </c>
      <c r="B3660" s="1" t="str">
        <f t="shared" si="2515"/>
        <v>150525100</v>
      </c>
      <c r="C3660" s="1" t="str">
        <f>"1014619316"</f>
        <v>1014619316</v>
      </c>
      <c r="D3660" s="1" t="str">
        <f>"152326195102180688"</f>
        <v>152326195102180688</v>
      </c>
      <c r="E3660" s="1" t="s">
        <v>3717</v>
      </c>
      <c r="F3660" s="1" t="s">
        <v>16</v>
      </c>
      <c r="G3660" s="1" t="s">
        <v>19</v>
      </c>
      <c r="H3660" s="1" t="str">
        <f t="shared" ref="H3660:H3663" si="2529">"73"</f>
        <v>73</v>
      </c>
      <c r="I3660" s="1" t="str">
        <f t="shared" si="2525"/>
        <v>160</v>
      </c>
      <c r="J3660" s="1" t="str">
        <f t="shared" ref="J3660:O3660" si="2530">"0"</f>
        <v>0</v>
      </c>
      <c r="K3660" s="1" t="str">
        <f t="shared" si="2462"/>
        <v>103</v>
      </c>
      <c r="L3660" s="1" t="str">
        <f t="shared" si="2463"/>
        <v>47</v>
      </c>
      <c r="M3660" s="1" t="str">
        <f t="shared" si="2530"/>
        <v>0</v>
      </c>
      <c r="N3660" s="1" t="str">
        <f t="shared" si="2530"/>
        <v>0</v>
      </c>
      <c r="O3660" s="1" t="str">
        <f t="shared" si="2530"/>
        <v>0</v>
      </c>
    </row>
    <row r="3661" s="1" customFormat="1" spans="1:15">
      <c r="A3661" s="1" t="str">
        <f t="shared" si="2514"/>
        <v>202406</v>
      </c>
      <c r="B3661" s="1" t="str">
        <f t="shared" si="2515"/>
        <v>150525100</v>
      </c>
      <c r="C3661" s="1" t="str">
        <f>"1014613456"</f>
        <v>1014613456</v>
      </c>
      <c r="D3661" s="1" t="str">
        <f>"152326195110143326"</f>
        <v>152326195110143326</v>
      </c>
      <c r="E3661" s="1" t="s">
        <v>2709</v>
      </c>
      <c r="F3661" s="1" t="s">
        <v>16</v>
      </c>
      <c r="G3661" s="1" t="s">
        <v>17</v>
      </c>
      <c r="H3661" s="1" t="str">
        <f t="shared" si="2529"/>
        <v>73</v>
      </c>
      <c r="I3661" s="1" t="str">
        <f t="shared" si="2525"/>
        <v>160</v>
      </c>
      <c r="J3661" s="1" t="str">
        <f t="shared" ref="J3661:O3661" si="2531">"0"</f>
        <v>0</v>
      </c>
      <c r="K3661" s="1" t="str">
        <f t="shared" si="2462"/>
        <v>103</v>
      </c>
      <c r="L3661" s="1" t="str">
        <f t="shared" si="2463"/>
        <v>47</v>
      </c>
      <c r="M3661" s="1" t="str">
        <f t="shared" si="2531"/>
        <v>0</v>
      </c>
      <c r="N3661" s="1" t="str">
        <f t="shared" si="2531"/>
        <v>0</v>
      </c>
      <c r="O3661" s="1" t="str">
        <f t="shared" si="2531"/>
        <v>0</v>
      </c>
    </row>
    <row r="3662" s="1" customFormat="1" spans="1:15">
      <c r="A3662" s="1" t="str">
        <f t="shared" si="2514"/>
        <v>202406</v>
      </c>
      <c r="B3662" s="1" t="str">
        <f t="shared" si="2515"/>
        <v>150525100</v>
      </c>
      <c r="C3662" s="1" t="str">
        <f>"1014622086"</f>
        <v>1014622086</v>
      </c>
      <c r="D3662" s="1" t="str">
        <f>"152326194508056383"</f>
        <v>152326194508056383</v>
      </c>
      <c r="E3662" s="1" t="s">
        <v>3718</v>
      </c>
      <c r="F3662" s="1" t="s">
        <v>16</v>
      </c>
      <c r="G3662" s="1" t="s">
        <v>17</v>
      </c>
      <c r="H3662" s="1" t="str">
        <f>"79"</f>
        <v>79</v>
      </c>
      <c r="I3662" s="1" t="str">
        <f t="shared" si="2525"/>
        <v>160</v>
      </c>
      <c r="J3662" s="1" t="str">
        <f t="shared" ref="J3662:O3662" si="2532">"0"</f>
        <v>0</v>
      </c>
      <c r="K3662" s="1" t="str">
        <f t="shared" si="2462"/>
        <v>103</v>
      </c>
      <c r="L3662" s="1" t="str">
        <f t="shared" si="2463"/>
        <v>47</v>
      </c>
      <c r="M3662" s="1" t="str">
        <f t="shared" si="2532"/>
        <v>0</v>
      </c>
      <c r="N3662" s="1" t="str">
        <f t="shared" si="2532"/>
        <v>0</v>
      </c>
      <c r="O3662" s="1" t="str">
        <f t="shared" si="2532"/>
        <v>0</v>
      </c>
    </row>
    <row r="3663" s="1" customFormat="1" spans="1:15">
      <c r="A3663" s="1" t="str">
        <f t="shared" si="2514"/>
        <v>202406</v>
      </c>
      <c r="B3663" s="1" t="str">
        <f t="shared" si="2515"/>
        <v>150525100</v>
      </c>
      <c r="C3663" s="1" t="str">
        <f>"1014622095"</f>
        <v>1014622095</v>
      </c>
      <c r="D3663" s="1" t="str">
        <f>"152326195111276382"</f>
        <v>152326195111276382</v>
      </c>
      <c r="E3663" s="1" t="s">
        <v>901</v>
      </c>
      <c r="F3663" s="1" t="s">
        <v>16</v>
      </c>
      <c r="G3663" s="1" t="s">
        <v>17</v>
      </c>
      <c r="H3663" s="1" t="str">
        <f t="shared" si="2529"/>
        <v>73</v>
      </c>
      <c r="I3663" s="1" t="str">
        <f t="shared" si="2525"/>
        <v>160</v>
      </c>
      <c r="J3663" s="1" t="str">
        <f t="shared" ref="J3663:O3663" si="2533">"0"</f>
        <v>0</v>
      </c>
      <c r="K3663" s="1" t="str">
        <f t="shared" si="2462"/>
        <v>103</v>
      </c>
      <c r="L3663" s="1" t="str">
        <f t="shared" si="2463"/>
        <v>47</v>
      </c>
      <c r="M3663" s="1" t="str">
        <f t="shared" si="2533"/>
        <v>0</v>
      </c>
      <c r="N3663" s="1" t="str">
        <f t="shared" si="2533"/>
        <v>0</v>
      </c>
      <c r="O3663" s="1" t="str">
        <f t="shared" si="2533"/>
        <v>0</v>
      </c>
    </row>
    <row r="3664" s="1" customFormat="1" spans="1:15">
      <c r="A3664" s="1" t="str">
        <f t="shared" si="2514"/>
        <v>202406</v>
      </c>
      <c r="B3664" s="1" t="str">
        <f t="shared" si="2515"/>
        <v>150525100</v>
      </c>
      <c r="C3664" s="1" t="str">
        <f>"1014619254"</f>
        <v>1014619254</v>
      </c>
      <c r="D3664" s="1" t="str">
        <f>"152326194708120669"</f>
        <v>152326194708120669</v>
      </c>
      <c r="E3664" s="1" t="s">
        <v>739</v>
      </c>
      <c r="F3664" s="1" t="s">
        <v>16</v>
      </c>
      <c r="G3664" s="1" t="s">
        <v>17</v>
      </c>
      <c r="H3664" s="1" t="str">
        <f>"77"</f>
        <v>77</v>
      </c>
      <c r="I3664" s="1" t="str">
        <f t="shared" si="2525"/>
        <v>160</v>
      </c>
      <c r="J3664" s="1" t="str">
        <f t="shared" ref="J3664:O3664" si="2534">"0"</f>
        <v>0</v>
      </c>
      <c r="K3664" s="1" t="str">
        <f t="shared" si="2462"/>
        <v>103</v>
      </c>
      <c r="L3664" s="1" t="str">
        <f t="shared" si="2463"/>
        <v>47</v>
      </c>
      <c r="M3664" s="1" t="str">
        <f t="shared" si="2534"/>
        <v>0</v>
      </c>
      <c r="N3664" s="1" t="str">
        <f t="shared" si="2534"/>
        <v>0</v>
      </c>
      <c r="O3664" s="1" t="str">
        <f t="shared" si="2534"/>
        <v>0</v>
      </c>
    </row>
    <row r="3665" s="1" customFormat="1" spans="1:15">
      <c r="A3665" s="1" t="str">
        <f t="shared" si="2514"/>
        <v>202406</v>
      </c>
      <c r="B3665" s="1" t="str">
        <f t="shared" si="2515"/>
        <v>150525100</v>
      </c>
      <c r="C3665" s="1" t="str">
        <f>"1014619261"</f>
        <v>1014619261</v>
      </c>
      <c r="D3665" s="1" t="str">
        <f>"152326194410090663"</f>
        <v>152326194410090663</v>
      </c>
      <c r="E3665" s="1" t="s">
        <v>3719</v>
      </c>
      <c r="F3665" s="1" t="s">
        <v>16</v>
      </c>
      <c r="G3665" s="1" t="s">
        <v>17</v>
      </c>
      <c r="H3665" s="1" t="str">
        <f>"80"</f>
        <v>80</v>
      </c>
      <c r="I3665" s="1" t="str">
        <f t="shared" si="2525"/>
        <v>160</v>
      </c>
      <c r="J3665" s="1" t="str">
        <f t="shared" ref="J3665:O3665" si="2535">"0"</f>
        <v>0</v>
      </c>
      <c r="K3665" s="1" t="str">
        <f t="shared" si="2462"/>
        <v>103</v>
      </c>
      <c r="L3665" s="1" t="str">
        <f t="shared" si="2463"/>
        <v>47</v>
      </c>
      <c r="M3665" s="1" t="str">
        <f t="shared" si="2535"/>
        <v>0</v>
      </c>
      <c r="N3665" s="1" t="str">
        <f t="shared" si="2535"/>
        <v>0</v>
      </c>
      <c r="O3665" s="1" t="str">
        <f t="shared" si="2535"/>
        <v>0</v>
      </c>
    </row>
    <row r="3666" s="1" customFormat="1" spans="1:15">
      <c r="A3666" s="1" t="str">
        <f t="shared" si="2514"/>
        <v>202406</v>
      </c>
      <c r="B3666" s="1" t="str">
        <f t="shared" si="2515"/>
        <v>150525100</v>
      </c>
      <c r="C3666" s="1" t="str">
        <f>"1014619807"</f>
        <v>1014619807</v>
      </c>
      <c r="D3666" s="1" t="str">
        <f>"152326194907090693"</f>
        <v>152326194907090693</v>
      </c>
      <c r="E3666" s="1" t="s">
        <v>3720</v>
      </c>
      <c r="F3666" s="1" t="s">
        <v>25</v>
      </c>
      <c r="G3666" s="1" t="s">
        <v>19</v>
      </c>
      <c r="H3666" s="1" t="str">
        <f t="shared" ref="H3666:H3668" si="2536">"75"</f>
        <v>75</v>
      </c>
      <c r="I3666" s="1" t="str">
        <f t="shared" si="2525"/>
        <v>160</v>
      </c>
      <c r="J3666" s="1" t="str">
        <f t="shared" ref="J3666:O3666" si="2537">"0"</f>
        <v>0</v>
      </c>
      <c r="K3666" s="1" t="str">
        <f t="shared" si="2462"/>
        <v>103</v>
      </c>
      <c r="L3666" s="1" t="str">
        <f t="shared" si="2463"/>
        <v>47</v>
      </c>
      <c r="M3666" s="1" t="str">
        <f t="shared" si="2537"/>
        <v>0</v>
      </c>
      <c r="N3666" s="1" t="str">
        <f t="shared" si="2537"/>
        <v>0</v>
      </c>
      <c r="O3666" s="1" t="str">
        <f t="shared" si="2537"/>
        <v>0</v>
      </c>
    </row>
    <row r="3667" s="1" customFormat="1" spans="1:15">
      <c r="A3667" s="1" t="str">
        <f t="shared" si="2514"/>
        <v>202406</v>
      </c>
      <c r="B3667" s="1" t="str">
        <f t="shared" si="2515"/>
        <v>150525100</v>
      </c>
      <c r="C3667" s="1" t="str">
        <f>"1014622892"</f>
        <v>1014622892</v>
      </c>
      <c r="D3667" s="1" t="str">
        <f>"152326194908030449"</f>
        <v>152326194908030449</v>
      </c>
      <c r="E3667" s="1" t="s">
        <v>3721</v>
      </c>
      <c r="F3667" s="1" t="s">
        <v>16</v>
      </c>
      <c r="G3667" s="1" t="s">
        <v>17</v>
      </c>
      <c r="H3667" s="1" t="str">
        <f t="shared" si="2536"/>
        <v>75</v>
      </c>
      <c r="I3667" s="1" t="str">
        <f t="shared" si="2525"/>
        <v>160</v>
      </c>
      <c r="J3667" s="1" t="str">
        <f t="shared" ref="J3667:O3667" si="2538">"0"</f>
        <v>0</v>
      </c>
      <c r="K3667" s="1" t="str">
        <f t="shared" si="2462"/>
        <v>103</v>
      </c>
      <c r="L3667" s="1" t="str">
        <f t="shared" si="2463"/>
        <v>47</v>
      </c>
      <c r="M3667" s="1" t="str">
        <f t="shared" si="2538"/>
        <v>0</v>
      </c>
      <c r="N3667" s="1" t="str">
        <f t="shared" si="2538"/>
        <v>0</v>
      </c>
      <c r="O3667" s="1" t="str">
        <f t="shared" si="2538"/>
        <v>0</v>
      </c>
    </row>
    <row r="3668" s="1" customFormat="1" spans="1:15">
      <c r="A3668" s="1" t="str">
        <f t="shared" si="2514"/>
        <v>202406</v>
      </c>
      <c r="B3668" s="1" t="str">
        <f t="shared" si="2515"/>
        <v>150525100</v>
      </c>
      <c r="C3668" s="1" t="str">
        <f>"1014622899"</f>
        <v>1014622899</v>
      </c>
      <c r="D3668" s="1" t="str">
        <f>"152326194910200427"</f>
        <v>152326194910200427</v>
      </c>
      <c r="E3668" s="1" t="s">
        <v>3722</v>
      </c>
      <c r="F3668" s="1" t="s">
        <v>16</v>
      </c>
      <c r="G3668" s="1" t="s">
        <v>17</v>
      </c>
      <c r="H3668" s="1" t="str">
        <f t="shared" si="2536"/>
        <v>75</v>
      </c>
      <c r="I3668" s="1" t="str">
        <f t="shared" si="2525"/>
        <v>160</v>
      </c>
      <c r="J3668" s="1" t="str">
        <f t="shared" ref="J3668:O3668" si="2539">"0"</f>
        <v>0</v>
      </c>
      <c r="K3668" s="1" t="str">
        <f t="shared" si="2462"/>
        <v>103</v>
      </c>
      <c r="L3668" s="1" t="str">
        <f t="shared" si="2463"/>
        <v>47</v>
      </c>
      <c r="M3668" s="1" t="str">
        <f t="shared" si="2539"/>
        <v>0</v>
      </c>
      <c r="N3668" s="1" t="str">
        <f t="shared" si="2539"/>
        <v>0</v>
      </c>
      <c r="O3668" s="1" t="str">
        <f t="shared" si="2539"/>
        <v>0</v>
      </c>
    </row>
    <row r="3669" s="1" customFormat="1" spans="1:15">
      <c r="A3669" s="1" t="str">
        <f t="shared" si="2514"/>
        <v>202406</v>
      </c>
      <c r="B3669" s="1" t="str">
        <f t="shared" si="2515"/>
        <v>150525100</v>
      </c>
      <c r="C3669" s="1" t="str">
        <f>"1014623703"</f>
        <v>1014623703</v>
      </c>
      <c r="D3669" s="1" t="str">
        <f>"152326194702020413"</f>
        <v>152326194702020413</v>
      </c>
      <c r="E3669" s="1" t="s">
        <v>3723</v>
      </c>
      <c r="F3669" s="1" t="s">
        <v>25</v>
      </c>
      <c r="G3669" s="1" t="s">
        <v>17</v>
      </c>
      <c r="H3669" s="1" t="str">
        <f>"77"</f>
        <v>77</v>
      </c>
      <c r="I3669" s="1" t="str">
        <f t="shared" si="2525"/>
        <v>160</v>
      </c>
      <c r="J3669" s="1" t="str">
        <f t="shared" ref="J3669:O3669" si="2540">"0"</f>
        <v>0</v>
      </c>
      <c r="K3669" s="1" t="str">
        <f t="shared" si="2462"/>
        <v>103</v>
      </c>
      <c r="L3669" s="1" t="str">
        <f t="shared" si="2463"/>
        <v>47</v>
      </c>
      <c r="M3669" s="1" t="str">
        <f t="shared" si="2540"/>
        <v>0</v>
      </c>
      <c r="N3669" s="1" t="str">
        <f t="shared" si="2540"/>
        <v>0</v>
      </c>
      <c r="O3669" s="1" t="str">
        <f t="shared" si="2540"/>
        <v>0</v>
      </c>
    </row>
    <row r="3670" s="1" customFormat="1" spans="1:15">
      <c r="A3670" s="1" t="str">
        <f t="shared" si="2514"/>
        <v>202406</v>
      </c>
      <c r="B3670" s="1" t="str">
        <f t="shared" si="2515"/>
        <v>150525100</v>
      </c>
      <c r="C3670" s="1" t="str">
        <f>"1014623709"</f>
        <v>1014623709</v>
      </c>
      <c r="D3670" s="1" t="str">
        <f>"152326194110100436"</f>
        <v>152326194110100436</v>
      </c>
      <c r="E3670" s="1" t="s">
        <v>3724</v>
      </c>
      <c r="F3670" s="1" t="s">
        <v>25</v>
      </c>
      <c r="G3670" s="1" t="s">
        <v>17</v>
      </c>
      <c r="H3670" s="1" t="str">
        <f>"83"</f>
        <v>83</v>
      </c>
      <c r="I3670" s="1" t="str">
        <f>"170"</f>
        <v>170</v>
      </c>
      <c r="J3670" s="1" t="str">
        <f t="shared" ref="J3670:O3670" si="2541">"0"</f>
        <v>0</v>
      </c>
      <c r="K3670" s="1" t="str">
        <f t="shared" ref="K3670:K3678" si="2542">"103"</f>
        <v>103</v>
      </c>
      <c r="L3670" s="1" t="str">
        <f t="shared" ref="L3670:L3678" si="2543">"47"</f>
        <v>47</v>
      </c>
      <c r="M3670" s="1" t="str">
        <f t="shared" si="2541"/>
        <v>0</v>
      </c>
      <c r="N3670" s="1" t="str">
        <f t="shared" si="2541"/>
        <v>0</v>
      </c>
      <c r="O3670" s="1" t="str">
        <f t="shared" si="2541"/>
        <v>0</v>
      </c>
    </row>
    <row r="3671" s="1" customFormat="1" spans="1:15">
      <c r="A3671" s="1" t="str">
        <f t="shared" si="2514"/>
        <v>202406</v>
      </c>
      <c r="B3671" s="1" t="str">
        <f t="shared" si="2515"/>
        <v>150525100</v>
      </c>
      <c r="C3671" s="1" t="str">
        <f>"1014613480"</f>
        <v>1014613480</v>
      </c>
      <c r="D3671" s="1" t="str">
        <f>"152326194611070423"</f>
        <v>152326194611070423</v>
      </c>
      <c r="E3671" s="1" t="s">
        <v>3725</v>
      </c>
      <c r="F3671" s="1" t="s">
        <v>16</v>
      </c>
      <c r="G3671" s="1" t="s">
        <v>17</v>
      </c>
      <c r="H3671" s="1" t="str">
        <f>"78"</f>
        <v>78</v>
      </c>
      <c r="I3671" s="1" t="str">
        <f t="shared" ref="I3671:I3673" si="2544">"160"</f>
        <v>160</v>
      </c>
      <c r="J3671" s="1" t="str">
        <f t="shared" ref="J3671:O3671" si="2545">"0"</f>
        <v>0</v>
      </c>
      <c r="K3671" s="1" t="str">
        <f t="shared" si="2542"/>
        <v>103</v>
      </c>
      <c r="L3671" s="1" t="str">
        <f t="shared" si="2543"/>
        <v>47</v>
      </c>
      <c r="M3671" s="1" t="str">
        <f t="shared" si="2545"/>
        <v>0</v>
      </c>
      <c r="N3671" s="1" t="str">
        <f t="shared" si="2545"/>
        <v>0</v>
      </c>
      <c r="O3671" s="1" t="str">
        <f t="shared" si="2545"/>
        <v>0</v>
      </c>
    </row>
    <row r="3672" s="1" customFormat="1" spans="1:15">
      <c r="A3672" s="1" t="str">
        <f t="shared" si="2514"/>
        <v>202406</v>
      </c>
      <c r="B3672" s="1" t="str">
        <f t="shared" si="2515"/>
        <v>150525100</v>
      </c>
      <c r="C3672" s="1" t="str">
        <f>"1014613481"</f>
        <v>1014613481</v>
      </c>
      <c r="D3672" s="1" t="str">
        <f>"152326194811180424"</f>
        <v>152326194811180424</v>
      </c>
      <c r="E3672" s="1" t="s">
        <v>3726</v>
      </c>
      <c r="F3672" s="1" t="s">
        <v>16</v>
      </c>
      <c r="G3672" s="1" t="s">
        <v>17</v>
      </c>
      <c r="H3672" s="1" t="str">
        <f>"76"</f>
        <v>76</v>
      </c>
      <c r="I3672" s="1" t="str">
        <f t="shared" si="2544"/>
        <v>160</v>
      </c>
      <c r="J3672" s="1" t="str">
        <f t="shared" ref="J3672:O3672" si="2546">"0"</f>
        <v>0</v>
      </c>
      <c r="K3672" s="1" t="str">
        <f t="shared" si="2542"/>
        <v>103</v>
      </c>
      <c r="L3672" s="1" t="str">
        <f t="shared" si="2543"/>
        <v>47</v>
      </c>
      <c r="M3672" s="1" t="str">
        <f t="shared" si="2546"/>
        <v>0</v>
      </c>
      <c r="N3672" s="1" t="str">
        <f t="shared" si="2546"/>
        <v>0</v>
      </c>
      <c r="O3672" s="1" t="str">
        <f t="shared" si="2546"/>
        <v>0</v>
      </c>
    </row>
    <row r="3673" s="1" customFormat="1" spans="1:15">
      <c r="A3673" s="1" t="str">
        <f t="shared" si="2514"/>
        <v>202406</v>
      </c>
      <c r="B3673" s="1" t="str">
        <f t="shared" si="2515"/>
        <v>150525100</v>
      </c>
      <c r="C3673" s="1" t="str">
        <f>"1014613502"</f>
        <v>1014613502</v>
      </c>
      <c r="D3673" s="1" t="str">
        <f>"152326195008040427"</f>
        <v>152326195008040427</v>
      </c>
      <c r="E3673" s="1" t="s">
        <v>3727</v>
      </c>
      <c r="F3673" s="1" t="s">
        <v>16</v>
      </c>
      <c r="G3673" s="1" t="s">
        <v>17</v>
      </c>
      <c r="H3673" s="1" t="str">
        <f>"74"</f>
        <v>74</v>
      </c>
      <c r="I3673" s="1" t="str">
        <f t="shared" si="2544"/>
        <v>160</v>
      </c>
      <c r="J3673" s="1" t="str">
        <f t="shared" ref="J3673:O3673" si="2547">"0"</f>
        <v>0</v>
      </c>
      <c r="K3673" s="1" t="str">
        <f t="shared" si="2542"/>
        <v>103</v>
      </c>
      <c r="L3673" s="1" t="str">
        <f t="shared" si="2543"/>
        <v>47</v>
      </c>
      <c r="M3673" s="1" t="str">
        <f t="shared" si="2547"/>
        <v>0</v>
      </c>
      <c r="N3673" s="1" t="str">
        <f t="shared" si="2547"/>
        <v>0</v>
      </c>
      <c r="O3673" s="1" t="str">
        <f t="shared" si="2547"/>
        <v>0</v>
      </c>
    </row>
    <row r="3674" s="1" customFormat="1" spans="1:15">
      <c r="A3674" s="1" t="str">
        <f t="shared" si="2514"/>
        <v>202406</v>
      </c>
      <c r="B3674" s="1" t="str">
        <f t="shared" si="2515"/>
        <v>150525100</v>
      </c>
      <c r="C3674" s="1" t="str">
        <f>"1014622120"</f>
        <v>1014622120</v>
      </c>
      <c r="D3674" s="1" t="str">
        <f>"152326194102220665"</f>
        <v>152326194102220665</v>
      </c>
      <c r="E3674" s="1" t="s">
        <v>3728</v>
      </c>
      <c r="F3674" s="1" t="s">
        <v>16</v>
      </c>
      <c r="G3674" s="1" t="s">
        <v>17</v>
      </c>
      <c r="H3674" s="1" t="str">
        <f>"83"</f>
        <v>83</v>
      </c>
      <c r="I3674" s="1" t="str">
        <f>"170"</f>
        <v>170</v>
      </c>
      <c r="J3674" s="1" t="str">
        <f t="shared" ref="J3674:O3674" si="2548">"0"</f>
        <v>0</v>
      </c>
      <c r="K3674" s="1" t="str">
        <f t="shared" si="2542"/>
        <v>103</v>
      </c>
      <c r="L3674" s="1" t="str">
        <f t="shared" si="2543"/>
        <v>47</v>
      </c>
      <c r="M3674" s="1" t="str">
        <f t="shared" si="2548"/>
        <v>0</v>
      </c>
      <c r="N3674" s="1" t="str">
        <f t="shared" si="2548"/>
        <v>0</v>
      </c>
      <c r="O3674" s="1" t="str">
        <f t="shared" si="2548"/>
        <v>0</v>
      </c>
    </row>
    <row r="3675" s="1" customFormat="1" spans="1:15">
      <c r="A3675" s="1" t="str">
        <f t="shared" si="2514"/>
        <v>202406</v>
      </c>
      <c r="B3675" s="1" t="str">
        <f t="shared" si="2515"/>
        <v>150525100</v>
      </c>
      <c r="C3675" s="1" t="str">
        <f>"1014622125"</f>
        <v>1014622125</v>
      </c>
      <c r="D3675" s="1" t="str">
        <f>"152326194406110668"</f>
        <v>152326194406110668</v>
      </c>
      <c r="E3675" s="1" t="s">
        <v>3729</v>
      </c>
      <c r="F3675" s="1" t="s">
        <v>16</v>
      </c>
      <c r="G3675" s="1" t="s">
        <v>17</v>
      </c>
      <c r="H3675" s="1" t="str">
        <f>"80"</f>
        <v>80</v>
      </c>
      <c r="I3675" s="1" t="str">
        <f t="shared" ref="I3675:I3677" si="2549">"160"</f>
        <v>160</v>
      </c>
      <c r="J3675" s="1" t="str">
        <f t="shared" ref="J3675:O3675" si="2550">"0"</f>
        <v>0</v>
      </c>
      <c r="K3675" s="1" t="str">
        <f t="shared" si="2542"/>
        <v>103</v>
      </c>
      <c r="L3675" s="1" t="str">
        <f t="shared" si="2543"/>
        <v>47</v>
      </c>
      <c r="M3675" s="1" t="str">
        <f t="shared" si="2550"/>
        <v>0</v>
      </c>
      <c r="N3675" s="1" t="str">
        <f t="shared" si="2550"/>
        <v>0</v>
      </c>
      <c r="O3675" s="1" t="str">
        <f t="shared" si="2550"/>
        <v>0</v>
      </c>
    </row>
    <row r="3676" s="1" customFormat="1" spans="1:15">
      <c r="A3676" s="1" t="str">
        <f t="shared" si="2514"/>
        <v>202406</v>
      </c>
      <c r="B3676" s="1" t="str">
        <f t="shared" si="2515"/>
        <v>150525100</v>
      </c>
      <c r="C3676" s="1" t="str">
        <f>"1014623843"</f>
        <v>1014623843</v>
      </c>
      <c r="D3676" s="1" t="str">
        <f>"152326195002160663"</f>
        <v>152326195002160663</v>
      </c>
      <c r="E3676" s="1" t="s">
        <v>3730</v>
      </c>
      <c r="F3676" s="1" t="s">
        <v>16</v>
      </c>
      <c r="G3676" s="1" t="s">
        <v>17</v>
      </c>
      <c r="H3676" s="1" t="str">
        <f>"74"</f>
        <v>74</v>
      </c>
      <c r="I3676" s="1" t="str">
        <f t="shared" si="2549"/>
        <v>160</v>
      </c>
      <c r="J3676" s="1" t="str">
        <f t="shared" ref="J3676:O3676" si="2551">"0"</f>
        <v>0</v>
      </c>
      <c r="K3676" s="1" t="str">
        <f t="shared" si="2542"/>
        <v>103</v>
      </c>
      <c r="L3676" s="1" t="str">
        <f t="shared" si="2543"/>
        <v>47</v>
      </c>
      <c r="M3676" s="1" t="str">
        <f t="shared" si="2551"/>
        <v>0</v>
      </c>
      <c r="N3676" s="1" t="str">
        <f t="shared" si="2551"/>
        <v>0</v>
      </c>
      <c r="O3676" s="1" t="str">
        <f t="shared" si="2551"/>
        <v>0</v>
      </c>
    </row>
    <row r="3677" s="1" customFormat="1" spans="1:15">
      <c r="A3677" s="1" t="str">
        <f t="shared" si="2514"/>
        <v>202406</v>
      </c>
      <c r="B3677" s="1" t="str">
        <f t="shared" si="2515"/>
        <v>150525100</v>
      </c>
      <c r="C3677" s="1" t="str">
        <f>"1014624307"</f>
        <v>1014624307</v>
      </c>
      <c r="D3677" s="1" t="str">
        <f>"152326194911143073"</f>
        <v>152326194911143073</v>
      </c>
      <c r="E3677" s="1" t="s">
        <v>3731</v>
      </c>
      <c r="F3677" s="1" t="s">
        <v>25</v>
      </c>
      <c r="G3677" s="1" t="s">
        <v>19</v>
      </c>
      <c r="H3677" s="1" t="str">
        <f>"75"</f>
        <v>75</v>
      </c>
      <c r="I3677" s="1" t="str">
        <f t="shared" si="2549"/>
        <v>160</v>
      </c>
      <c r="J3677" s="1" t="str">
        <f t="shared" ref="J3677:O3677" si="2552">"0"</f>
        <v>0</v>
      </c>
      <c r="K3677" s="1" t="str">
        <f t="shared" si="2542"/>
        <v>103</v>
      </c>
      <c r="L3677" s="1" t="str">
        <f t="shared" si="2543"/>
        <v>47</v>
      </c>
      <c r="M3677" s="1" t="str">
        <f t="shared" si="2552"/>
        <v>0</v>
      </c>
      <c r="N3677" s="1" t="str">
        <f t="shared" si="2552"/>
        <v>0</v>
      </c>
      <c r="O3677" s="1" t="str">
        <f t="shared" si="2552"/>
        <v>0</v>
      </c>
    </row>
    <row r="3678" s="1" customFormat="1" spans="1:15">
      <c r="A3678" s="1" t="str">
        <f t="shared" si="2514"/>
        <v>202406</v>
      </c>
      <c r="B3678" s="1" t="str">
        <f t="shared" si="2515"/>
        <v>150525100</v>
      </c>
      <c r="C3678" s="1" t="str">
        <f>"1014619820"</f>
        <v>1014619820</v>
      </c>
      <c r="D3678" s="1" t="s">
        <v>3732</v>
      </c>
      <c r="E3678" s="1" t="s">
        <v>3733</v>
      </c>
      <c r="F3678" s="1" t="s">
        <v>25</v>
      </c>
      <c r="G3678" s="1" t="s">
        <v>19</v>
      </c>
      <c r="H3678" s="1" t="str">
        <f>"91"</f>
        <v>91</v>
      </c>
      <c r="I3678" s="1" t="str">
        <f>"170"</f>
        <v>170</v>
      </c>
      <c r="J3678" s="1" t="str">
        <f t="shared" ref="J3678:O3678" si="2553">"0"</f>
        <v>0</v>
      </c>
      <c r="K3678" s="1" t="str">
        <f t="shared" si="2542"/>
        <v>103</v>
      </c>
      <c r="L3678" s="1" t="str">
        <f t="shared" si="2543"/>
        <v>47</v>
      </c>
      <c r="M3678" s="1" t="str">
        <f t="shared" si="2553"/>
        <v>0</v>
      </c>
      <c r="N3678" s="1" t="str">
        <f t="shared" si="2553"/>
        <v>0</v>
      </c>
      <c r="O3678" s="1" t="str">
        <f t="shared" si="2553"/>
        <v>0</v>
      </c>
    </row>
    <row r="3679" s="1" customFormat="1" spans="1:15">
      <c r="A3679" s="1" t="str">
        <f t="shared" si="2514"/>
        <v>202406</v>
      </c>
      <c r="B3679" s="1" t="str">
        <f t="shared" si="2515"/>
        <v>150525100</v>
      </c>
      <c r="C3679" s="1" t="str">
        <f>"1014619849"</f>
        <v>1014619849</v>
      </c>
      <c r="D3679" s="1" t="str">
        <f>"152326194807120664"</f>
        <v>152326194807120664</v>
      </c>
      <c r="E3679" s="1" t="s">
        <v>3734</v>
      </c>
      <c r="F3679" s="1" t="s">
        <v>16</v>
      </c>
      <c r="G3679" s="1" t="s">
        <v>17</v>
      </c>
      <c r="H3679" s="1" t="str">
        <f>"76"</f>
        <v>76</v>
      </c>
      <c r="I3679" s="1" t="str">
        <f>"1440"</f>
        <v>1440</v>
      </c>
      <c r="J3679" s="1" t="str">
        <f>"1280"</f>
        <v>1280</v>
      </c>
      <c r="K3679" s="1" t="str">
        <f>"927"</f>
        <v>927</v>
      </c>
      <c r="L3679" s="1" t="str">
        <f>"423"</f>
        <v>423</v>
      </c>
      <c r="M3679" s="1" t="str">
        <f t="shared" ref="M3679:O3679" si="2554">"0"</f>
        <v>0</v>
      </c>
      <c r="N3679" s="1" t="str">
        <f t="shared" si="2554"/>
        <v>0</v>
      </c>
      <c r="O3679" s="1" t="str">
        <f t="shared" si="2554"/>
        <v>0</v>
      </c>
    </row>
    <row r="3680" s="1" customFormat="1" spans="1:15">
      <c r="A3680" s="1" t="str">
        <f t="shared" si="2514"/>
        <v>202406</v>
      </c>
      <c r="B3680" s="1" t="str">
        <f t="shared" si="2515"/>
        <v>150525100</v>
      </c>
      <c r="C3680" s="1" t="str">
        <f>"1014588904"</f>
        <v>1014588904</v>
      </c>
      <c r="D3680" s="1" t="str">
        <f>"152326195510200422"</f>
        <v>152326195510200422</v>
      </c>
      <c r="E3680" s="1" t="s">
        <v>3735</v>
      </c>
      <c r="F3680" s="1" t="s">
        <v>16</v>
      </c>
      <c r="G3680" s="1" t="s">
        <v>17</v>
      </c>
      <c r="H3680" s="1" t="str">
        <f>"69"</f>
        <v>69</v>
      </c>
      <c r="I3680" s="1" t="str">
        <f>"155.1"</f>
        <v>155.1</v>
      </c>
      <c r="J3680" s="1" t="str">
        <f t="shared" ref="J3680:N3680" si="2555">"0"</f>
        <v>0</v>
      </c>
      <c r="K3680" s="1" t="str">
        <f t="shared" ref="K3680:K3689" si="2556">"103"</f>
        <v>103</v>
      </c>
      <c r="L3680" s="1" t="str">
        <f t="shared" ref="L3680:L3689" si="2557">"47"</f>
        <v>47</v>
      </c>
      <c r="M3680" s="1" t="str">
        <f t="shared" si="2555"/>
        <v>0</v>
      </c>
      <c r="N3680" s="1" t="str">
        <f t="shared" si="2555"/>
        <v>0</v>
      </c>
      <c r="O3680" s="1" t="str">
        <f>"5.1"</f>
        <v>5.1</v>
      </c>
    </row>
    <row r="3681" s="1" customFormat="1" spans="1:15">
      <c r="A3681" s="1" t="str">
        <f t="shared" si="2514"/>
        <v>202406</v>
      </c>
      <c r="B3681" s="1" t="str">
        <f t="shared" si="2515"/>
        <v>150525100</v>
      </c>
      <c r="C3681" s="1" t="str">
        <f>"1014612765"</f>
        <v>1014612765</v>
      </c>
      <c r="D3681" s="1" t="str">
        <f>"152326193712250912"</f>
        <v>152326193712250912</v>
      </c>
      <c r="E3681" s="1" t="s">
        <v>3736</v>
      </c>
      <c r="F3681" s="1" t="s">
        <v>25</v>
      </c>
      <c r="G3681" s="1" t="s">
        <v>19</v>
      </c>
      <c r="H3681" s="1" t="str">
        <f>"87"</f>
        <v>87</v>
      </c>
      <c r="I3681" s="1" t="str">
        <f>"170"</f>
        <v>170</v>
      </c>
      <c r="J3681" s="1" t="str">
        <f t="shared" ref="J3681:O3681" si="2558">"0"</f>
        <v>0</v>
      </c>
      <c r="K3681" s="1" t="str">
        <f t="shared" si="2556"/>
        <v>103</v>
      </c>
      <c r="L3681" s="1" t="str">
        <f t="shared" si="2557"/>
        <v>47</v>
      </c>
      <c r="M3681" s="1" t="str">
        <f t="shared" si="2558"/>
        <v>0</v>
      </c>
      <c r="N3681" s="1" t="str">
        <f t="shared" si="2558"/>
        <v>0</v>
      </c>
      <c r="O3681" s="1" t="str">
        <f t="shared" si="2558"/>
        <v>0</v>
      </c>
    </row>
    <row r="3682" s="1" customFormat="1" spans="1:15">
      <c r="A3682" s="1" t="str">
        <f t="shared" si="2514"/>
        <v>202406</v>
      </c>
      <c r="B3682" s="1" t="str">
        <f t="shared" si="2515"/>
        <v>150525100</v>
      </c>
      <c r="C3682" s="1" t="str">
        <f>"1014612774"</f>
        <v>1014612774</v>
      </c>
      <c r="D3682" s="1" t="s">
        <v>3737</v>
      </c>
      <c r="E3682" s="1" t="s">
        <v>3738</v>
      </c>
      <c r="F3682" s="1" t="s">
        <v>25</v>
      </c>
      <c r="G3682" s="1" t="s">
        <v>19</v>
      </c>
      <c r="H3682" s="1" t="str">
        <f>"77"</f>
        <v>77</v>
      </c>
      <c r="I3682" s="1" t="str">
        <f t="shared" ref="I3682:I3685" si="2559">"160"</f>
        <v>160</v>
      </c>
      <c r="J3682" s="1" t="str">
        <f t="shared" ref="J3682:O3682" si="2560">"0"</f>
        <v>0</v>
      </c>
      <c r="K3682" s="1" t="str">
        <f t="shared" si="2556"/>
        <v>103</v>
      </c>
      <c r="L3682" s="1" t="str">
        <f t="shared" si="2557"/>
        <v>47</v>
      </c>
      <c r="M3682" s="1" t="str">
        <f t="shared" si="2560"/>
        <v>0</v>
      </c>
      <c r="N3682" s="1" t="str">
        <f t="shared" si="2560"/>
        <v>0</v>
      </c>
      <c r="O3682" s="1" t="str">
        <f t="shared" si="2560"/>
        <v>0</v>
      </c>
    </row>
    <row r="3683" s="1" customFormat="1" spans="1:15">
      <c r="A3683" s="1" t="str">
        <f t="shared" si="2514"/>
        <v>202406</v>
      </c>
      <c r="B3683" s="1" t="str">
        <f t="shared" si="2515"/>
        <v>150525100</v>
      </c>
      <c r="C3683" s="1" t="str">
        <f>"1014613554"</f>
        <v>1014613554</v>
      </c>
      <c r="D3683" s="1" t="str">
        <f>"152326194610240929"</f>
        <v>152326194610240929</v>
      </c>
      <c r="E3683" s="1" t="s">
        <v>3739</v>
      </c>
      <c r="F3683" s="1" t="s">
        <v>16</v>
      </c>
      <c r="G3683" s="1" t="s">
        <v>19</v>
      </c>
      <c r="H3683" s="1" t="str">
        <f>"78"</f>
        <v>78</v>
      </c>
      <c r="I3683" s="1" t="str">
        <f t="shared" si="2559"/>
        <v>160</v>
      </c>
      <c r="J3683" s="1" t="str">
        <f t="shared" ref="J3683:O3683" si="2561">"0"</f>
        <v>0</v>
      </c>
      <c r="K3683" s="1" t="str">
        <f t="shared" si="2556"/>
        <v>103</v>
      </c>
      <c r="L3683" s="1" t="str">
        <f t="shared" si="2557"/>
        <v>47</v>
      </c>
      <c r="M3683" s="1" t="str">
        <f t="shared" si="2561"/>
        <v>0</v>
      </c>
      <c r="N3683" s="1" t="str">
        <f t="shared" si="2561"/>
        <v>0</v>
      </c>
      <c r="O3683" s="1" t="str">
        <f t="shared" si="2561"/>
        <v>0</v>
      </c>
    </row>
    <row r="3684" s="1" customFormat="1" spans="1:15">
      <c r="A3684" s="1" t="str">
        <f t="shared" si="2514"/>
        <v>202406</v>
      </c>
      <c r="B3684" s="1" t="str">
        <f t="shared" si="2515"/>
        <v>150525100</v>
      </c>
      <c r="C3684" s="1" t="str">
        <f>"1014622490"</f>
        <v>1014622490</v>
      </c>
      <c r="D3684" s="1" t="str">
        <f>"152326195003016380"</f>
        <v>152326195003016380</v>
      </c>
      <c r="E3684" s="1" t="s">
        <v>3740</v>
      </c>
      <c r="F3684" s="1" t="s">
        <v>16</v>
      </c>
      <c r="G3684" s="1" t="s">
        <v>17</v>
      </c>
      <c r="H3684" s="1" t="str">
        <f>"74"</f>
        <v>74</v>
      </c>
      <c r="I3684" s="1" t="str">
        <f t="shared" si="2559"/>
        <v>160</v>
      </c>
      <c r="J3684" s="1" t="str">
        <f t="shared" ref="J3684:O3684" si="2562">"0"</f>
        <v>0</v>
      </c>
      <c r="K3684" s="1" t="str">
        <f t="shared" si="2556"/>
        <v>103</v>
      </c>
      <c r="L3684" s="1" t="str">
        <f t="shared" si="2557"/>
        <v>47</v>
      </c>
      <c r="M3684" s="1" t="str">
        <f t="shared" si="2562"/>
        <v>0</v>
      </c>
      <c r="N3684" s="1" t="str">
        <f t="shared" si="2562"/>
        <v>0</v>
      </c>
      <c r="O3684" s="1" t="str">
        <f t="shared" si="2562"/>
        <v>0</v>
      </c>
    </row>
    <row r="3685" s="1" customFormat="1" spans="1:15">
      <c r="A3685" s="1" t="str">
        <f t="shared" si="2514"/>
        <v>202406</v>
      </c>
      <c r="B3685" s="1" t="str">
        <f t="shared" si="2515"/>
        <v>150525100</v>
      </c>
      <c r="C3685" s="1" t="str">
        <f>"1014623864"</f>
        <v>1014623864</v>
      </c>
      <c r="D3685" s="1" t="str">
        <f>"152326194712050667"</f>
        <v>152326194712050667</v>
      </c>
      <c r="E3685" s="1" t="s">
        <v>2850</v>
      </c>
      <c r="F3685" s="1" t="s">
        <v>16</v>
      </c>
      <c r="G3685" s="1" t="s">
        <v>17</v>
      </c>
      <c r="H3685" s="1" t="str">
        <f>"77"</f>
        <v>77</v>
      </c>
      <c r="I3685" s="1" t="str">
        <f t="shared" si="2559"/>
        <v>160</v>
      </c>
      <c r="J3685" s="1" t="str">
        <f t="shared" ref="J3685:O3685" si="2563">"0"</f>
        <v>0</v>
      </c>
      <c r="K3685" s="1" t="str">
        <f t="shared" si="2556"/>
        <v>103</v>
      </c>
      <c r="L3685" s="1" t="str">
        <f t="shared" si="2557"/>
        <v>47</v>
      </c>
      <c r="M3685" s="1" t="str">
        <f t="shared" si="2563"/>
        <v>0</v>
      </c>
      <c r="N3685" s="1" t="str">
        <f t="shared" si="2563"/>
        <v>0</v>
      </c>
      <c r="O3685" s="1" t="str">
        <f t="shared" si="2563"/>
        <v>0</v>
      </c>
    </row>
    <row r="3686" s="1" customFormat="1" spans="1:15">
      <c r="A3686" s="1" t="str">
        <f t="shared" si="2514"/>
        <v>202406</v>
      </c>
      <c r="B3686" s="1" t="str">
        <f t="shared" si="2515"/>
        <v>150525100</v>
      </c>
      <c r="C3686" s="1" t="str">
        <f>"1014623879"</f>
        <v>1014623879</v>
      </c>
      <c r="D3686" s="1" t="str">
        <f>"152326194312150685"</f>
        <v>152326194312150685</v>
      </c>
      <c r="E3686" s="1" t="s">
        <v>3741</v>
      </c>
      <c r="F3686" s="1" t="s">
        <v>16</v>
      </c>
      <c r="G3686" s="1" t="s">
        <v>17</v>
      </c>
      <c r="H3686" s="1" t="str">
        <f>"81"</f>
        <v>81</v>
      </c>
      <c r="I3686" s="1" t="str">
        <f>"170"</f>
        <v>170</v>
      </c>
      <c r="J3686" s="1" t="str">
        <f t="shared" ref="J3686:O3686" si="2564">"0"</f>
        <v>0</v>
      </c>
      <c r="K3686" s="1" t="str">
        <f t="shared" si="2556"/>
        <v>103</v>
      </c>
      <c r="L3686" s="1" t="str">
        <f t="shared" si="2557"/>
        <v>47</v>
      </c>
      <c r="M3686" s="1" t="str">
        <f t="shared" si="2564"/>
        <v>0</v>
      </c>
      <c r="N3686" s="1" t="str">
        <f t="shared" si="2564"/>
        <v>0</v>
      </c>
      <c r="O3686" s="1" t="str">
        <f t="shared" si="2564"/>
        <v>0</v>
      </c>
    </row>
    <row r="3687" s="1" customFormat="1" spans="1:15">
      <c r="A3687" s="1" t="str">
        <f t="shared" si="2514"/>
        <v>202406</v>
      </c>
      <c r="B3687" s="1" t="str">
        <f t="shared" si="2515"/>
        <v>150525100</v>
      </c>
      <c r="C3687" s="1" t="str">
        <f>"1014624337"</f>
        <v>1014624337</v>
      </c>
      <c r="D3687" s="1" t="str">
        <f>"152326195002173827"</f>
        <v>152326195002173827</v>
      </c>
      <c r="E3687" s="1" t="s">
        <v>3742</v>
      </c>
      <c r="F3687" s="1" t="s">
        <v>16</v>
      </c>
      <c r="G3687" s="1" t="s">
        <v>17</v>
      </c>
      <c r="H3687" s="1" t="str">
        <f>"74"</f>
        <v>74</v>
      </c>
      <c r="I3687" s="1" t="str">
        <f t="shared" ref="I3687:I3693" si="2565">"160"</f>
        <v>160</v>
      </c>
      <c r="J3687" s="1" t="str">
        <f t="shared" ref="J3687:O3687" si="2566">"0"</f>
        <v>0</v>
      </c>
      <c r="K3687" s="1" t="str">
        <f t="shared" si="2556"/>
        <v>103</v>
      </c>
      <c r="L3687" s="1" t="str">
        <f t="shared" si="2557"/>
        <v>47</v>
      </c>
      <c r="M3687" s="1" t="str">
        <f t="shared" si="2566"/>
        <v>0</v>
      </c>
      <c r="N3687" s="1" t="str">
        <f t="shared" si="2566"/>
        <v>0</v>
      </c>
      <c r="O3687" s="1" t="str">
        <f t="shared" si="2566"/>
        <v>0</v>
      </c>
    </row>
    <row r="3688" s="1" customFormat="1" spans="1:15">
      <c r="A3688" s="1" t="str">
        <f t="shared" si="2514"/>
        <v>202406</v>
      </c>
      <c r="B3688" s="1" t="str">
        <f t="shared" si="2515"/>
        <v>150525100</v>
      </c>
      <c r="C3688" s="1" t="str">
        <f>"1014624345"</f>
        <v>1014624345</v>
      </c>
      <c r="D3688" s="1" t="str">
        <f>"152326194808270664"</f>
        <v>152326194808270664</v>
      </c>
      <c r="E3688" s="1" t="s">
        <v>3743</v>
      </c>
      <c r="F3688" s="1" t="s">
        <v>16</v>
      </c>
      <c r="G3688" s="1" t="s">
        <v>17</v>
      </c>
      <c r="H3688" s="1" t="str">
        <f>"76"</f>
        <v>76</v>
      </c>
      <c r="I3688" s="1" t="str">
        <f t="shared" si="2565"/>
        <v>160</v>
      </c>
      <c r="J3688" s="1" t="str">
        <f t="shared" ref="J3688:O3688" si="2567">"0"</f>
        <v>0</v>
      </c>
      <c r="K3688" s="1" t="str">
        <f t="shared" si="2556"/>
        <v>103</v>
      </c>
      <c r="L3688" s="1" t="str">
        <f t="shared" si="2557"/>
        <v>47</v>
      </c>
      <c r="M3688" s="1" t="str">
        <f t="shared" si="2567"/>
        <v>0</v>
      </c>
      <c r="N3688" s="1" t="str">
        <f t="shared" si="2567"/>
        <v>0</v>
      </c>
      <c r="O3688" s="1" t="str">
        <f t="shared" si="2567"/>
        <v>0</v>
      </c>
    </row>
    <row r="3689" s="1" customFormat="1" spans="1:15">
      <c r="A3689" s="1" t="str">
        <f t="shared" si="2514"/>
        <v>202406</v>
      </c>
      <c r="B3689" s="1" t="str">
        <f t="shared" si="2515"/>
        <v>150525100</v>
      </c>
      <c r="C3689" s="1" t="str">
        <f>"1014624350"</f>
        <v>1014624350</v>
      </c>
      <c r="D3689" s="1" t="str">
        <f>"152326194103230662"</f>
        <v>152326194103230662</v>
      </c>
      <c r="E3689" s="1" t="s">
        <v>3744</v>
      </c>
      <c r="F3689" s="1" t="s">
        <v>16</v>
      </c>
      <c r="G3689" s="1" t="s">
        <v>17</v>
      </c>
      <c r="H3689" s="1" t="str">
        <f>"83"</f>
        <v>83</v>
      </c>
      <c r="I3689" s="1" t="str">
        <f>"170"</f>
        <v>170</v>
      </c>
      <c r="J3689" s="1" t="str">
        <f t="shared" ref="J3689:O3689" si="2568">"0"</f>
        <v>0</v>
      </c>
      <c r="K3689" s="1" t="str">
        <f t="shared" si="2556"/>
        <v>103</v>
      </c>
      <c r="L3689" s="1" t="str">
        <f t="shared" si="2557"/>
        <v>47</v>
      </c>
      <c r="M3689" s="1" t="str">
        <f t="shared" si="2568"/>
        <v>0</v>
      </c>
      <c r="N3689" s="1" t="str">
        <f t="shared" si="2568"/>
        <v>0</v>
      </c>
      <c r="O3689" s="1" t="str">
        <f t="shared" si="2568"/>
        <v>0</v>
      </c>
    </row>
    <row r="3690" s="1" customFormat="1" spans="1:15">
      <c r="A3690" s="1" t="str">
        <f t="shared" si="2514"/>
        <v>202406</v>
      </c>
      <c r="B3690" s="1" t="str">
        <f t="shared" si="2515"/>
        <v>150525100</v>
      </c>
      <c r="C3690" s="1" t="str">
        <f>"1014624366"</f>
        <v>1014624366</v>
      </c>
      <c r="D3690" s="1" t="str">
        <f>"152326194907220910"</f>
        <v>152326194907220910</v>
      </c>
      <c r="E3690" s="1" t="s">
        <v>3745</v>
      </c>
      <c r="F3690" s="1" t="s">
        <v>25</v>
      </c>
      <c r="G3690" s="1" t="s">
        <v>19</v>
      </c>
      <c r="H3690" s="1" t="str">
        <f>"75"</f>
        <v>75</v>
      </c>
      <c r="I3690" s="1" t="str">
        <f>"1800"</f>
        <v>1800</v>
      </c>
      <c r="J3690" s="1" t="str">
        <f t="shared" ref="J3690:O3690" si="2569">"0"</f>
        <v>0</v>
      </c>
      <c r="K3690" s="1" t="str">
        <f t="shared" si="2569"/>
        <v>0</v>
      </c>
      <c r="L3690" s="1" t="str">
        <f t="shared" si="2569"/>
        <v>0</v>
      </c>
      <c r="M3690" s="1" t="str">
        <f t="shared" si="2569"/>
        <v>0</v>
      </c>
      <c r="N3690" s="1" t="str">
        <f t="shared" si="2569"/>
        <v>0</v>
      </c>
      <c r="O3690" s="1" t="str">
        <f t="shared" si="2569"/>
        <v>0</v>
      </c>
    </row>
    <row r="3691" s="1" customFormat="1" spans="1:15">
      <c r="A3691" s="1" t="str">
        <f t="shared" si="2514"/>
        <v>202406</v>
      </c>
      <c r="B3691" s="1" t="str">
        <f t="shared" si="2515"/>
        <v>150525100</v>
      </c>
      <c r="C3691" s="1" t="str">
        <f>"1014619910"</f>
        <v>1014619910</v>
      </c>
      <c r="D3691" s="1" t="str">
        <f>"152326195002150684"</f>
        <v>152326195002150684</v>
      </c>
      <c r="E3691" s="1" t="s">
        <v>3746</v>
      </c>
      <c r="F3691" s="1" t="s">
        <v>16</v>
      </c>
      <c r="G3691" s="1" t="s">
        <v>17</v>
      </c>
      <c r="H3691" s="1" t="str">
        <f>"74"</f>
        <v>74</v>
      </c>
      <c r="I3691" s="1" t="str">
        <f t="shared" si="2565"/>
        <v>160</v>
      </c>
      <c r="J3691" s="1" t="str">
        <f t="shared" ref="J3691:O3691" si="2570">"0"</f>
        <v>0</v>
      </c>
      <c r="K3691" s="1" t="str">
        <f t="shared" ref="K3691:K3697" si="2571">"103"</f>
        <v>103</v>
      </c>
      <c r="L3691" s="1" t="str">
        <f t="shared" ref="L3691:L3697" si="2572">"47"</f>
        <v>47</v>
      </c>
      <c r="M3691" s="1" t="str">
        <f t="shared" si="2570"/>
        <v>0</v>
      </c>
      <c r="N3691" s="1" t="str">
        <f t="shared" si="2570"/>
        <v>0</v>
      </c>
      <c r="O3691" s="1" t="str">
        <f t="shared" si="2570"/>
        <v>0</v>
      </c>
    </row>
    <row r="3692" s="1" customFormat="1" spans="1:15">
      <c r="A3692" s="1" t="str">
        <f t="shared" si="2514"/>
        <v>202406</v>
      </c>
      <c r="B3692" s="1" t="str">
        <f t="shared" si="2515"/>
        <v>150525100</v>
      </c>
      <c r="C3692" s="1" t="str">
        <f>"1014629509"</f>
        <v>1014629509</v>
      </c>
      <c r="D3692" s="1" t="str">
        <f>"152326194411210022"</f>
        <v>152326194411210022</v>
      </c>
      <c r="E3692" s="1" t="s">
        <v>3747</v>
      </c>
      <c r="F3692" s="1" t="s">
        <v>16</v>
      </c>
      <c r="G3692" s="1" t="s">
        <v>17</v>
      </c>
      <c r="H3692" s="1" t="str">
        <f>"80"</f>
        <v>80</v>
      </c>
      <c r="I3692" s="1" t="str">
        <f t="shared" si="2565"/>
        <v>160</v>
      </c>
      <c r="J3692" s="1" t="str">
        <f t="shared" ref="J3692:O3692" si="2573">"0"</f>
        <v>0</v>
      </c>
      <c r="K3692" s="1" t="str">
        <f t="shared" si="2571"/>
        <v>103</v>
      </c>
      <c r="L3692" s="1" t="str">
        <f t="shared" si="2572"/>
        <v>47</v>
      </c>
      <c r="M3692" s="1" t="str">
        <f t="shared" si="2573"/>
        <v>0</v>
      </c>
      <c r="N3692" s="1" t="str">
        <f t="shared" si="2573"/>
        <v>0</v>
      </c>
      <c r="O3692" s="1" t="str">
        <f t="shared" si="2573"/>
        <v>0</v>
      </c>
    </row>
    <row r="3693" s="1" customFormat="1" spans="1:15">
      <c r="A3693" s="1" t="str">
        <f t="shared" si="2514"/>
        <v>202406</v>
      </c>
      <c r="B3693" s="1" t="str">
        <f t="shared" si="2515"/>
        <v>150525100</v>
      </c>
      <c r="C3693" s="1" t="str">
        <f>"1014629527"</f>
        <v>1014629527</v>
      </c>
      <c r="D3693" s="1" t="str">
        <f>"152326195112220014"</f>
        <v>152326195112220014</v>
      </c>
      <c r="E3693" s="1" t="s">
        <v>3748</v>
      </c>
      <c r="F3693" s="1" t="s">
        <v>25</v>
      </c>
      <c r="G3693" s="1" t="s">
        <v>17</v>
      </c>
      <c r="H3693" s="1" t="str">
        <f>"73"</f>
        <v>73</v>
      </c>
      <c r="I3693" s="1" t="str">
        <f t="shared" si="2565"/>
        <v>160</v>
      </c>
      <c r="J3693" s="1" t="str">
        <f t="shared" ref="J3693:O3693" si="2574">"0"</f>
        <v>0</v>
      </c>
      <c r="K3693" s="1" t="str">
        <f t="shared" si="2571"/>
        <v>103</v>
      </c>
      <c r="L3693" s="1" t="str">
        <f t="shared" si="2572"/>
        <v>47</v>
      </c>
      <c r="M3693" s="1" t="str">
        <f t="shared" si="2574"/>
        <v>0</v>
      </c>
      <c r="N3693" s="1" t="str">
        <f t="shared" si="2574"/>
        <v>0</v>
      </c>
      <c r="O3693" s="1" t="str">
        <f t="shared" si="2574"/>
        <v>0</v>
      </c>
    </row>
    <row r="3694" s="1" customFormat="1" spans="1:15">
      <c r="A3694" s="1" t="str">
        <f t="shared" si="2514"/>
        <v>202406</v>
      </c>
      <c r="B3694" s="1" t="str">
        <f t="shared" si="2515"/>
        <v>150525100</v>
      </c>
      <c r="C3694" s="1" t="str">
        <f>"1014629536"</f>
        <v>1014629536</v>
      </c>
      <c r="D3694" s="1" t="str">
        <f>"152326193604150025"</f>
        <v>152326193604150025</v>
      </c>
      <c r="E3694" s="1" t="s">
        <v>3749</v>
      </c>
      <c r="F3694" s="1" t="s">
        <v>16</v>
      </c>
      <c r="G3694" s="1" t="s">
        <v>17</v>
      </c>
      <c r="H3694" s="1" t="str">
        <f>"88"</f>
        <v>88</v>
      </c>
      <c r="I3694" s="1" t="str">
        <f>"170"</f>
        <v>170</v>
      </c>
      <c r="J3694" s="1" t="str">
        <f t="shared" ref="J3694:O3694" si="2575">"0"</f>
        <v>0</v>
      </c>
      <c r="K3694" s="1" t="str">
        <f t="shared" si="2571"/>
        <v>103</v>
      </c>
      <c r="L3694" s="1" t="str">
        <f t="shared" si="2572"/>
        <v>47</v>
      </c>
      <c r="M3694" s="1" t="str">
        <f t="shared" si="2575"/>
        <v>0</v>
      </c>
      <c r="N3694" s="1" t="str">
        <f t="shared" si="2575"/>
        <v>0</v>
      </c>
      <c r="O3694" s="1" t="str">
        <f t="shared" si="2575"/>
        <v>0</v>
      </c>
    </row>
    <row r="3695" s="1" customFormat="1" spans="1:15">
      <c r="A3695" s="1" t="str">
        <f t="shared" si="2514"/>
        <v>202406</v>
      </c>
      <c r="B3695" s="1" t="str">
        <f t="shared" si="2515"/>
        <v>150525100</v>
      </c>
      <c r="C3695" s="1" t="str">
        <f>"1014588951"</f>
        <v>1014588951</v>
      </c>
      <c r="D3695" s="1" t="s">
        <v>3750</v>
      </c>
      <c r="E3695" s="1" t="s">
        <v>3751</v>
      </c>
      <c r="F3695" s="1" t="s">
        <v>16</v>
      </c>
      <c r="G3695" s="1" t="s">
        <v>17</v>
      </c>
      <c r="H3695" s="1" t="str">
        <f>"69"</f>
        <v>69</v>
      </c>
      <c r="I3695" s="1" t="str">
        <f>"155.1"</f>
        <v>155.1</v>
      </c>
      <c r="J3695" s="1" t="str">
        <f t="shared" ref="J3695:N3695" si="2576">"0"</f>
        <v>0</v>
      </c>
      <c r="K3695" s="1" t="str">
        <f t="shared" si="2571"/>
        <v>103</v>
      </c>
      <c r="L3695" s="1" t="str">
        <f t="shared" si="2572"/>
        <v>47</v>
      </c>
      <c r="M3695" s="1" t="str">
        <f t="shared" si="2576"/>
        <v>0</v>
      </c>
      <c r="N3695" s="1" t="str">
        <f t="shared" si="2576"/>
        <v>0</v>
      </c>
      <c r="O3695" s="1" t="str">
        <f>"5.1"</f>
        <v>5.1</v>
      </c>
    </row>
    <row r="3696" s="1" customFormat="1" spans="1:15">
      <c r="A3696" s="1" t="str">
        <f t="shared" si="2514"/>
        <v>202406</v>
      </c>
      <c r="B3696" s="1" t="str">
        <f t="shared" si="2515"/>
        <v>150525100</v>
      </c>
      <c r="C3696" s="1" t="str">
        <f>"1014588953"</f>
        <v>1014588953</v>
      </c>
      <c r="D3696" s="1" t="str">
        <f>"152326195712260423"</f>
        <v>152326195712260423</v>
      </c>
      <c r="E3696" s="1" t="s">
        <v>3752</v>
      </c>
      <c r="F3696" s="1" t="s">
        <v>16</v>
      </c>
      <c r="G3696" s="1" t="s">
        <v>17</v>
      </c>
      <c r="H3696" s="1" t="str">
        <f>"67"</f>
        <v>67</v>
      </c>
      <c r="I3696" s="1" t="str">
        <f>"184.89"</f>
        <v>184.89</v>
      </c>
      <c r="J3696" s="1" t="str">
        <f t="shared" ref="J3696:N3696" si="2577">"0"</f>
        <v>0</v>
      </c>
      <c r="K3696" s="1" t="str">
        <f t="shared" si="2571"/>
        <v>103</v>
      </c>
      <c r="L3696" s="1" t="str">
        <f t="shared" si="2572"/>
        <v>47</v>
      </c>
      <c r="M3696" s="1" t="str">
        <f t="shared" si="2577"/>
        <v>0</v>
      </c>
      <c r="N3696" s="1" t="str">
        <f t="shared" si="2577"/>
        <v>0</v>
      </c>
      <c r="O3696" s="1" t="str">
        <f>"34.89"</f>
        <v>34.89</v>
      </c>
    </row>
    <row r="3697" s="1" customFormat="1" spans="1:15">
      <c r="A3697" s="1" t="str">
        <f t="shared" si="2514"/>
        <v>202406</v>
      </c>
      <c r="B3697" s="1" t="str">
        <f t="shared" si="2515"/>
        <v>150525100</v>
      </c>
      <c r="C3697" s="1" t="str">
        <f>"1042690965"</f>
        <v>1042690965</v>
      </c>
      <c r="D3697" s="1" t="str">
        <f>"152326196309033321"</f>
        <v>152326196309033321</v>
      </c>
      <c r="E3697" s="1" t="s">
        <v>3753</v>
      </c>
      <c r="F3697" s="1" t="s">
        <v>16</v>
      </c>
      <c r="G3697" s="1" t="s">
        <v>17</v>
      </c>
      <c r="H3697" s="1" t="str">
        <f>"61"</f>
        <v>61</v>
      </c>
      <c r="I3697" s="1" t="str">
        <f>"167.84"</f>
        <v>167.84</v>
      </c>
      <c r="J3697" s="1" t="str">
        <f t="shared" ref="J3697:N3697" si="2578">"0"</f>
        <v>0</v>
      </c>
      <c r="K3697" s="1" t="str">
        <f t="shared" si="2571"/>
        <v>103</v>
      </c>
      <c r="L3697" s="1" t="str">
        <f t="shared" si="2572"/>
        <v>47</v>
      </c>
      <c r="M3697" s="1" t="str">
        <f t="shared" si="2578"/>
        <v>0</v>
      </c>
      <c r="N3697" s="1" t="str">
        <f t="shared" si="2578"/>
        <v>0</v>
      </c>
      <c r="O3697" s="1" t="str">
        <f>"17.84"</f>
        <v>17.84</v>
      </c>
    </row>
    <row r="3698" s="1" customFormat="1" spans="1:15">
      <c r="A3698" s="1" t="str">
        <f t="shared" si="2514"/>
        <v>202406</v>
      </c>
      <c r="B3698" s="1" t="str">
        <f t="shared" si="2515"/>
        <v>150525100</v>
      </c>
      <c r="C3698" s="1" t="str">
        <f>"1014656419"</f>
        <v>1014656419</v>
      </c>
      <c r="D3698" s="1" t="str">
        <f>"152326196006163823"</f>
        <v>152326196006163823</v>
      </c>
      <c r="E3698" s="1" t="s">
        <v>191</v>
      </c>
      <c r="F3698" s="1" t="s">
        <v>16</v>
      </c>
      <c r="G3698" s="1" t="s">
        <v>17</v>
      </c>
      <c r="H3698" s="1" t="str">
        <f>"64"</f>
        <v>64</v>
      </c>
      <c r="I3698" s="1" t="str">
        <f>"1687.8"</f>
        <v>1687.8</v>
      </c>
      <c r="J3698" s="1" t="str">
        <f>"1519.02"</f>
        <v>1519.02</v>
      </c>
      <c r="K3698" s="1" t="str">
        <f>"1030"</f>
        <v>1030</v>
      </c>
      <c r="L3698" s="1" t="str">
        <f>"470"</f>
        <v>470</v>
      </c>
      <c r="M3698" s="1" t="str">
        <f>"0"</f>
        <v>0</v>
      </c>
      <c r="N3698" s="1" t="str">
        <f>"0"</f>
        <v>0</v>
      </c>
      <c r="O3698" s="1" t="str">
        <f>"187.8"</f>
        <v>187.8</v>
      </c>
    </row>
    <row r="3699" s="1" customFormat="1" spans="1:15">
      <c r="A3699" s="1" t="str">
        <f t="shared" si="2514"/>
        <v>202406</v>
      </c>
      <c r="B3699" s="1" t="str">
        <f t="shared" si="2515"/>
        <v>150525100</v>
      </c>
      <c r="C3699" s="1" t="str">
        <f>"1014656430"</f>
        <v>1014656430</v>
      </c>
      <c r="D3699" s="1" t="str">
        <f>"152326196202060442"</f>
        <v>152326196202060442</v>
      </c>
      <c r="E3699" s="1" t="s">
        <v>3754</v>
      </c>
      <c r="F3699" s="1" t="s">
        <v>16</v>
      </c>
      <c r="G3699" s="1" t="s">
        <v>17</v>
      </c>
      <c r="H3699" s="1" t="str">
        <f t="shared" ref="H3699:H3703" si="2579">"62"</f>
        <v>62</v>
      </c>
      <c r="I3699" s="1" t="str">
        <f>"162.68"</f>
        <v>162.68</v>
      </c>
      <c r="J3699" s="1" t="str">
        <f t="shared" ref="J3699:N3699" si="2580">"0"</f>
        <v>0</v>
      </c>
      <c r="K3699" s="1" t="str">
        <f t="shared" ref="K3699:K3744" si="2581">"103"</f>
        <v>103</v>
      </c>
      <c r="L3699" s="1" t="str">
        <f t="shared" ref="L3699:L3744" si="2582">"47"</f>
        <v>47</v>
      </c>
      <c r="M3699" s="1" t="str">
        <f t="shared" si="2580"/>
        <v>0</v>
      </c>
      <c r="N3699" s="1" t="str">
        <f t="shared" si="2580"/>
        <v>0</v>
      </c>
      <c r="O3699" s="1" t="str">
        <f>"12.68"</f>
        <v>12.68</v>
      </c>
    </row>
    <row r="3700" s="1" customFormat="1" spans="1:15">
      <c r="A3700" s="1" t="str">
        <f t="shared" si="2514"/>
        <v>202406</v>
      </c>
      <c r="B3700" s="1" t="str">
        <f t="shared" si="2515"/>
        <v>150525100</v>
      </c>
      <c r="C3700" s="1" t="str">
        <f>"1014656435"</f>
        <v>1014656435</v>
      </c>
      <c r="D3700" s="1" t="str">
        <f>"152326196206100421"</f>
        <v>152326196206100421</v>
      </c>
      <c r="E3700" s="1" t="s">
        <v>3755</v>
      </c>
      <c r="F3700" s="1" t="s">
        <v>16</v>
      </c>
      <c r="G3700" s="1" t="s">
        <v>17</v>
      </c>
      <c r="H3700" s="1" t="str">
        <f t="shared" si="2579"/>
        <v>62</v>
      </c>
      <c r="I3700" s="1" t="str">
        <f>"163.06"</f>
        <v>163.06</v>
      </c>
      <c r="J3700" s="1" t="str">
        <f t="shared" ref="J3700:N3700" si="2583">"0"</f>
        <v>0</v>
      </c>
      <c r="K3700" s="1" t="str">
        <f t="shared" si="2581"/>
        <v>103</v>
      </c>
      <c r="L3700" s="1" t="str">
        <f t="shared" si="2582"/>
        <v>47</v>
      </c>
      <c r="M3700" s="1" t="str">
        <f t="shared" si="2583"/>
        <v>0</v>
      </c>
      <c r="N3700" s="1" t="str">
        <f t="shared" si="2583"/>
        <v>0</v>
      </c>
      <c r="O3700" s="1" t="str">
        <f>"13.06"</f>
        <v>13.06</v>
      </c>
    </row>
    <row r="3701" s="1" customFormat="1" spans="1:15">
      <c r="A3701" s="1" t="str">
        <f t="shared" si="2514"/>
        <v>202406</v>
      </c>
      <c r="B3701" s="1" t="str">
        <f t="shared" si="2515"/>
        <v>150525100</v>
      </c>
      <c r="C3701" s="1" t="str">
        <f>"1014660688"</f>
        <v>1014660688</v>
      </c>
      <c r="D3701" s="1" t="str">
        <f>"152326195705173815"</f>
        <v>152326195705173815</v>
      </c>
      <c r="E3701" s="1" t="s">
        <v>3756</v>
      </c>
      <c r="F3701" s="1" t="s">
        <v>25</v>
      </c>
      <c r="G3701" s="1" t="s">
        <v>96</v>
      </c>
      <c r="H3701" s="1" t="str">
        <f>"67"</f>
        <v>67</v>
      </c>
      <c r="I3701" s="1" t="str">
        <f>"155.83"</f>
        <v>155.83</v>
      </c>
      <c r="J3701" s="1" t="str">
        <f t="shared" ref="J3701:N3701" si="2584">"0"</f>
        <v>0</v>
      </c>
      <c r="K3701" s="1" t="str">
        <f t="shared" si="2581"/>
        <v>103</v>
      </c>
      <c r="L3701" s="1" t="str">
        <f t="shared" si="2582"/>
        <v>47</v>
      </c>
      <c r="M3701" s="1" t="str">
        <f t="shared" si="2584"/>
        <v>0</v>
      </c>
      <c r="N3701" s="1" t="str">
        <f t="shared" si="2584"/>
        <v>0</v>
      </c>
      <c r="O3701" s="1" t="str">
        <f>"5.83"</f>
        <v>5.83</v>
      </c>
    </row>
    <row r="3702" s="1" customFormat="1" spans="1:15">
      <c r="A3702" s="1" t="str">
        <f t="shared" si="2514"/>
        <v>202406</v>
      </c>
      <c r="B3702" s="1" t="str">
        <f t="shared" si="2515"/>
        <v>150525100</v>
      </c>
      <c r="C3702" s="1" t="str">
        <f>"1014656006"</f>
        <v>1014656006</v>
      </c>
      <c r="D3702" s="1" t="str">
        <f>"152326196110130677"</f>
        <v>152326196110130677</v>
      </c>
      <c r="E3702" s="1" t="s">
        <v>3757</v>
      </c>
      <c r="F3702" s="1" t="s">
        <v>25</v>
      </c>
      <c r="G3702" s="1" t="s">
        <v>17</v>
      </c>
      <c r="H3702" s="1" t="str">
        <f>"63"</f>
        <v>63</v>
      </c>
      <c r="I3702" s="1" t="str">
        <f>"163.47"</f>
        <v>163.47</v>
      </c>
      <c r="J3702" s="1" t="str">
        <f t="shared" ref="J3702:N3702" si="2585">"0"</f>
        <v>0</v>
      </c>
      <c r="K3702" s="1" t="str">
        <f t="shared" si="2581"/>
        <v>103</v>
      </c>
      <c r="L3702" s="1" t="str">
        <f t="shared" si="2582"/>
        <v>47</v>
      </c>
      <c r="M3702" s="1" t="str">
        <f t="shared" si="2585"/>
        <v>0</v>
      </c>
      <c r="N3702" s="1" t="str">
        <f t="shared" si="2585"/>
        <v>0</v>
      </c>
      <c r="O3702" s="1" t="str">
        <f>"13.47"</f>
        <v>13.47</v>
      </c>
    </row>
    <row r="3703" s="1" customFormat="1" spans="1:15">
      <c r="A3703" s="1" t="str">
        <f t="shared" si="2514"/>
        <v>202406</v>
      </c>
      <c r="B3703" s="1" t="str">
        <f t="shared" si="2515"/>
        <v>150525100</v>
      </c>
      <c r="C3703" s="1" t="str">
        <f>"1014656007"</f>
        <v>1014656007</v>
      </c>
      <c r="D3703" s="1" t="str">
        <f>"152326196209180674"</f>
        <v>152326196209180674</v>
      </c>
      <c r="E3703" s="1" t="s">
        <v>3758</v>
      </c>
      <c r="F3703" s="1" t="s">
        <v>25</v>
      </c>
      <c r="G3703" s="1" t="s">
        <v>17</v>
      </c>
      <c r="H3703" s="1" t="str">
        <f t="shared" si="2579"/>
        <v>62</v>
      </c>
      <c r="I3703" s="1" t="str">
        <f>"163.93"</f>
        <v>163.93</v>
      </c>
      <c r="J3703" s="1" t="str">
        <f t="shared" ref="J3703:N3703" si="2586">"0"</f>
        <v>0</v>
      </c>
      <c r="K3703" s="1" t="str">
        <f t="shared" si="2581"/>
        <v>103</v>
      </c>
      <c r="L3703" s="1" t="str">
        <f t="shared" si="2582"/>
        <v>47</v>
      </c>
      <c r="M3703" s="1" t="str">
        <f t="shared" si="2586"/>
        <v>0</v>
      </c>
      <c r="N3703" s="1" t="str">
        <f t="shared" si="2586"/>
        <v>0</v>
      </c>
      <c r="O3703" s="1" t="str">
        <f>"13.93"</f>
        <v>13.93</v>
      </c>
    </row>
    <row r="3704" s="1" customFormat="1" spans="1:15">
      <c r="A3704" s="1" t="str">
        <f t="shared" si="2514"/>
        <v>202406</v>
      </c>
      <c r="B3704" s="1" t="str">
        <f t="shared" si="2515"/>
        <v>150525100</v>
      </c>
      <c r="C3704" s="1" t="str">
        <f>"1014667433"</f>
        <v>1014667433</v>
      </c>
      <c r="D3704" s="1" t="str">
        <f>"152326195208050929"</f>
        <v>152326195208050929</v>
      </c>
      <c r="E3704" s="1" t="s">
        <v>3759</v>
      </c>
      <c r="F3704" s="1" t="s">
        <v>16</v>
      </c>
      <c r="G3704" s="1" t="s">
        <v>19</v>
      </c>
      <c r="H3704" s="1" t="str">
        <f>"72"</f>
        <v>72</v>
      </c>
      <c r="I3704" s="1" t="str">
        <f>"162.14"</f>
        <v>162.14</v>
      </c>
      <c r="J3704" s="1" t="str">
        <f t="shared" ref="J3704:N3704" si="2587">"0"</f>
        <v>0</v>
      </c>
      <c r="K3704" s="1" t="str">
        <f t="shared" si="2581"/>
        <v>103</v>
      </c>
      <c r="L3704" s="1" t="str">
        <f t="shared" si="2582"/>
        <v>47</v>
      </c>
      <c r="M3704" s="1" t="str">
        <f t="shared" si="2587"/>
        <v>0</v>
      </c>
      <c r="N3704" s="1" t="str">
        <f t="shared" si="2587"/>
        <v>0</v>
      </c>
      <c r="O3704" s="1" t="str">
        <f>"2.14"</f>
        <v>2.14</v>
      </c>
    </row>
    <row r="3705" s="1" customFormat="1" spans="1:15">
      <c r="A3705" s="1" t="str">
        <f t="shared" si="2514"/>
        <v>202406</v>
      </c>
      <c r="B3705" s="1" t="str">
        <f t="shared" si="2515"/>
        <v>150525100</v>
      </c>
      <c r="C3705" s="1" t="str">
        <f>"1041183953"</f>
        <v>1041183953</v>
      </c>
      <c r="D3705" s="1" t="s">
        <v>3760</v>
      </c>
      <c r="E3705" s="1" t="s">
        <v>3761</v>
      </c>
      <c r="F3705" s="1" t="s">
        <v>16</v>
      </c>
      <c r="G3705" s="1" t="s">
        <v>19</v>
      </c>
      <c r="H3705" s="1" t="str">
        <f>"67"</f>
        <v>67</v>
      </c>
      <c r="I3705" s="1" t="str">
        <f>"155.42"</f>
        <v>155.42</v>
      </c>
      <c r="J3705" s="1" t="str">
        <f t="shared" ref="J3705:N3705" si="2588">"0"</f>
        <v>0</v>
      </c>
      <c r="K3705" s="1" t="str">
        <f t="shared" si="2581"/>
        <v>103</v>
      </c>
      <c r="L3705" s="1" t="str">
        <f t="shared" si="2582"/>
        <v>47</v>
      </c>
      <c r="M3705" s="1" t="str">
        <f t="shared" si="2588"/>
        <v>0</v>
      </c>
      <c r="N3705" s="1" t="str">
        <f t="shared" si="2588"/>
        <v>0</v>
      </c>
      <c r="O3705" s="1" t="str">
        <f>"5.42"</f>
        <v>5.42</v>
      </c>
    </row>
    <row r="3706" s="1" customFormat="1" spans="1:15">
      <c r="A3706" s="1" t="str">
        <f t="shared" si="2514"/>
        <v>202406</v>
      </c>
      <c r="B3706" s="1" t="str">
        <f t="shared" si="2515"/>
        <v>150525100</v>
      </c>
      <c r="C3706" s="1" t="str">
        <f>"1041183954"</f>
        <v>1041183954</v>
      </c>
      <c r="D3706" s="1" t="s">
        <v>3762</v>
      </c>
      <c r="E3706" s="1" t="s">
        <v>3763</v>
      </c>
      <c r="F3706" s="1" t="s">
        <v>25</v>
      </c>
      <c r="G3706" s="1" t="s">
        <v>17</v>
      </c>
      <c r="H3706" s="1" t="str">
        <f>"68"</f>
        <v>68</v>
      </c>
      <c r="I3706" s="1" t="str">
        <f>"155.42"</f>
        <v>155.42</v>
      </c>
      <c r="J3706" s="1" t="str">
        <f t="shared" ref="J3706:N3706" si="2589">"0"</f>
        <v>0</v>
      </c>
      <c r="K3706" s="1" t="str">
        <f t="shared" si="2581"/>
        <v>103</v>
      </c>
      <c r="L3706" s="1" t="str">
        <f t="shared" si="2582"/>
        <v>47</v>
      </c>
      <c r="M3706" s="1" t="str">
        <f t="shared" si="2589"/>
        <v>0</v>
      </c>
      <c r="N3706" s="1" t="str">
        <f t="shared" si="2589"/>
        <v>0</v>
      </c>
      <c r="O3706" s="1" t="str">
        <f>"5.42"</f>
        <v>5.42</v>
      </c>
    </row>
    <row r="3707" s="1" customFormat="1" spans="1:15">
      <c r="A3707" s="1" t="str">
        <f t="shared" si="2514"/>
        <v>202406</v>
      </c>
      <c r="B3707" s="1" t="str">
        <f t="shared" si="2515"/>
        <v>150525100</v>
      </c>
      <c r="C3707" s="1" t="str">
        <f>"1041479218"</f>
        <v>1041479218</v>
      </c>
      <c r="D3707" s="1" t="str">
        <f>"152326195412273812"</f>
        <v>152326195412273812</v>
      </c>
      <c r="E3707" s="1" t="s">
        <v>3764</v>
      </c>
      <c r="F3707" s="1" t="s">
        <v>25</v>
      </c>
      <c r="G3707" s="1" t="s">
        <v>17</v>
      </c>
      <c r="H3707" s="1" t="str">
        <f>"70"</f>
        <v>70</v>
      </c>
      <c r="I3707" s="1" t="str">
        <f>"154.13"</f>
        <v>154.13</v>
      </c>
      <c r="J3707" s="1" t="str">
        <f t="shared" ref="J3707:N3707" si="2590">"0"</f>
        <v>0</v>
      </c>
      <c r="K3707" s="1" t="str">
        <f t="shared" si="2581"/>
        <v>103</v>
      </c>
      <c r="L3707" s="1" t="str">
        <f t="shared" si="2582"/>
        <v>47</v>
      </c>
      <c r="M3707" s="1" t="str">
        <f t="shared" si="2590"/>
        <v>0</v>
      </c>
      <c r="N3707" s="1" t="str">
        <f t="shared" si="2590"/>
        <v>0</v>
      </c>
      <c r="O3707" s="1" t="str">
        <f>"4.13"</f>
        <v>4.13</v>
      </c>
    </row>
    <row r="3708" s="1" customFormat="1" spans="1:15">
      <c r="A3708" s="1" t="str">
        <f t="shared" si="2514"/>
        <v>202406</v>
      </c>
      <c r="B3708" s="1" t="str">
        <f t="shared" si="2515"/>
        <v>150525100</v>
      </c>
      <c r="C3708" s="1" t="str">
        <f>"1015188656"</f>
        <v>1015188656</v>
      </c>
      <c r="D3708" s="1" t="str">
        <f>"152326193702133827"</f>
        <v>152326193702133827</v>
      </c>
      <c r="E3708" s="1" t="s">
        <v>3765</v>
      </c>
      <c r="F3708" s="1" t="s">
        <v>16</v>
      </c>
      <c r="G3708" s="1" t="s">
        <v>17</v>
      </c>
      <c r="H3708" s="1" t="str">
        <f>"87"</f>
        <v>87</v>
      </c>
      <c r="I3708" s="1" t="str">
        <f>"170"</f>
        <v>170</v>
      </c>
      <c r="J3708" s="1" t="str">
        <f t="shared" ref="J3708:O3708" si="2591">"0"</f>
        <v>0</v>
      </c>
      <c r="K3708" s="1" t="str">
        <f t="shared" si="2581"/>
        <v>103</v>
      </c>
      <c r="L3708" s="1" t="str">
        <f t="shared" si="2582"/>
        <v>47</v>
      </c>
      <c r="M3708" s="1" t="str">
        <f t="shared" si="2591"/>
        <v>0</v>
      </c>
      <c r="N3708" s="1" t="str">
        <f t="shared" si="2591"/>
        <v>0</v>
      </c>
      <c r="O3708" s="1" t="str">
        <f t="shared" si="2591"/>
        <v>0</v>
      </c>
    </row>
    <row r="3709" s="1" customFormat="1" spans="1:15">
      <c r="A3709" s="1" t="str">
        <f t="shared" si="2514"/>
        <v>202406</v>
      </c>
      <c r="B3709" s="1" t="str">
        <f t="shared" si="2515"/>
        <v>150525100</v>
      </c>
      <c r="C3709" s="1" t="str">
        <f>"1014583712"</f>
        <v>1014583712</v>
      </c>
      <c r="D3709" s="1" t="str">
        <f>"152326196403140414"</f>
        <v>152326196403140414</v>
      </c>
      <c r="E3709" s="1" t="s">
        <v>3766</v>
      </c>
      <c r="F3709" s="1" t="s">
        <v>25</v>
      </c>
      <c r="G3709" s="1" t="s">
        <v>17</v>
      </c>
      <c r="H3709" s="1" t="str">
        <f>"60"</f>
        <v>60</v>
      </c>
      <c r="I3709" s="1" t="str">
        <f>"166.79"</f>
        <v>166.79</v>
      </c>
      <c r="J3709" s="1" t="str">
        <f t="shared" ref="J3709:N3709" si="2592">"0"</f>
        <v>0</v>
      </c>
      <c r="K3709" s="1" t="str">
        <f t="shared" si="2581"/>
        <v>103</v>
      </c>
      <c r="L3709" s="1" t="str">
        <f t="shared" si="2582"/>
        <v>47</v>
      </c>
      <c r="M3709" s="1" t="str">
        <f t="shared" si="2592"/>
        <v>0</v>
      </c>
      <c r="N3709" s="1" t="str">
        <f t="shared" si="2592"/>
        <v>0</v>
      </c>
      <c r="O3709" s="1" t="str">
        <f>"16.79"</f>
        <v>16.79</v>
      </c>
    </row>
    <row r="3710" s="1" customFormat="1" spans="1:15">
      <c r="A3710" s="1" t="str">
        <f t="shared" si="2514"/>
        <v>202406</v>
      </c>
      <c r="B3710" s="1" t="str">
        <f t="shared" si="2515"/>
        <v>150525100</v>
      </c>
      <c r="C3710" s="1" t="str">
        <f>"1014547806"</f>
        <v>1014547806</v>
      </c>
      <c r="D3710" s="1" t="str">
        <f>"152326195508276380"</f>
        <v>152326195508276380</v>
      </c>
      <c r="E3710" s="1" t="s">
        <v>3767</v>
      </c>
      <c r="F3710" s="1" t="s">
        <v>16</v>
      </c>
      <c r="G3710" s="1" t="s">
        <v>96</v>
      </c>
      <c r="H3710" s="1" t="str">
        <f>"69"</f>
        <v>69</v>
      </c>
      <c r="I3710" s="1" t="str">
        <f>"155.1"</f>
        <v>155.1</v>
      </c>
      <c r="J3710" s="1" t="str">
        <f t="shared" ref="J3710:N3710" si="2593">"0"</f>
        <v>0</v>
      </c>
      <c r="K3710" s="1" t="str">
        <f t="shared" si="2581"/>
        <v>103</v>
      </c>
      <c r="L3710" s="1" t="str">
        <f t="shared" si="2582"/>
        <v>47</v>
      </c>
      <c r="M3710" s="1" t="str">
        <f t="shared" si="2593"/>
        <v>0</v>
      </c>
      <c r="N3710" s="1" t="str">
        <f t="shared" si="2593"/>
        <v>0</v>
      </c>
      <c r="O3710" s="1" t="str">
        <f>"5.1"</f>
        <v>5.1</v>
      </c>
    </row>
    <row r="3711" s="1" customFormat="1" spans="1:15">
      <c r="A3711" s="1" t="str">
        <f t="shared" si="2514"/>
        <v>202406</v>
      </c>
      <c r="B3711" s="1" t="str">
        <f t="shared" si="2515"/>
        <v>150525100</v>
      </c>
      <c r="C3711" s="1" t="str">
        <f>"1041123838"</f>
        <v>1041123838</v>
      </c>
      <c r="D3711" s="1" t="str">
        <f>"152326196305286380"</f>
        <v>152326196305286380</v>
      </c>
      <c r="E3711" s="1" t="s">
        <v>3043</v>
      </c>
      <c r="F3711" s="1" t="s">
        <v>16</v>
      </c>
      <c r="G3711" s="1" t="s">
        <v>17</v>
      </c>
      <c r="H3711" s="1" t="str">
        <f>"61"</f>
        <v>61</v>
      </c>
      <c r="I3711" s="1" t="str">
        <f>"220.97"</f>
        <v>220.97</v>
      </c>
      <c r="J3711" s="1" t="str">
        <f t="shared" ref="J3711:N3711" si="2594">"0"</f>
        <v>0</v>
      </c>
      <c r="K3711" s="1" t="str">
        <f t="shared" si="2581"/>
        <v>103</v>
      </c>
      <c r="L3711" s="1" t="str">
        <f t="shared" si="2582"/>
        <v>47</v>
      </c>
      <c r="M3711" s="1" t="str">
        <f t="shared" si="2594"/>
        <v>0</v>
      </c>
      <c r="N3711" s="1" t="str">
        <f t="shared" si="2594"/>
        <v>0</v>
      </c>
      <c r="O3711" s="1" t="str">
        <f>"70.97"</f>
        <v>70.97</v>
      </c>
    </row>
    <row r="3712" s="1" customFormat="1" spans="1:15">
      <c r="A3712" s="1" t="str">
        <f t="shared" si="2514"/>
        <v>202406</v>
      </c>
      <c r="B3712" s="1" t="str">
        <f t="shared" si="2515"/>
        <v>150525100</v>
      </c>
      <c r="C3712" s="1" t="str">
        <f>"1015190795"</f>
        <v>1015190795</v>
      </c>
      <c r="D3712" s="1" t="str">
        <f>"152326194308290669"</f>
        <v>152326194308290669</v>
      </c>
      <c r="E3712" s="1" t="s">
        <v>933</v>
      </c>
      <c r="F3712" s="1" t="s">
        <v>16</v>
      </c>
      <c r="G3712" s="1" t="s">
        <v>17</v>
      </c>
      <c r="H3712" s="1" t="str">
        <f>"81"</f>
        <v>81</v>
      </c>
      <c r="I3712" s="1" t="str">
        <f>"170"</f>
        <v>170</v>
      </c>
      <c r="J3712" s="1" t="str">
        <f t="shared" ref="J3712:O3712" si="2595">"0"</f>
        <v>0</v>
      </c>
      <c r="K3712" s="1" t="str">
        <f t="shared" si="2581"/>
        <v>103</v>
      </c>
      <c r="L3712" s="1" t="str">
        <f t="shared" si="2582"/>
        <v>47</v>
      </c>
      <c r="M3712" s="1" t="str">
        <f t="shared" si="2595"/>
        <v>0</v>
      </c>
      <c r="N3712" s="1" t="str">
        <f t="shared" si="2595"/>
        <v>0</v>
      </c>
      <c r="O3712" s="1" t="str">
        <f t="shared" si="2595"/>
        <v>0</v>
      </c>
    </row>
    <row r="3713" s="1" customFormat="1" spans="1:15">
      <c r="A3713" s="1" t="str">
        <f t="shared" si="2514"/>
        <v>202406</v>
      </c>
      <c r="B3713" s="1" t="str">
        <f t="shared" si="2515"/>
        <v>150525100</v>
      </c>
      <c r="C3713" s="1" t="str">
        <f>"1040937409"</f>
        <v>1040937409</v>
      </c>
      <c r="D3713" s="1" t="str">
        <f>"152326196004100423"</f>
        <v>152326196004100423</v>
      </c>
      <c r="E3713" s="1" t="s">
        <v>812</v>
      </c>
      <c r="F3713" s="1" t="s">
        <v>16</v>
      </c>
      <c r="G3713" s="1" t="s">
        <v>17</v>
      </c>
      <c r="H3713" s="1" t="str">
        <f>"64"</f>
        <v>64</v>
      </c>
      <c r="I3713" s="1" t="str">
        <f>"158.29"</f>
        <v>158.29</v>
      </c>
      <c r="J3713" s="1" t="str">
        <f t="shared" ref="J3713:N3713" si="2596">"0"</f>
        <v>0</v>
      </c>
      <c r="K3713" s="1" t="str">
        <f t="shared" si="2581"/>
        <v>103</v>
      </c>
      <c r="L3713" s="1" t="str">
        <f t="shared" si="2582"/>
        <v>47</v>
      </c>
      <c r="M3713" s="1" t="str">
        <f t="shared" si="2596"/>
        <v>0</v>
      </c>
      <c r="N3713" s="1" t="str">
        <f t="shared" si="2596"/>
        <v>0</v>
      </c>
      <c r="O3713" s="1" t="str">
        <f>"8.29"</f>
        <v>8.29</v>
      </c>
    </row>
    <row r="3714" s="1" customFormat="1" spans="1:15">
      <c r="A3714" s="1" t="str">
        <f t="shared" ref="A3714:A3777" si="2597">"202406"</f>
        <v>202406</v>
      </c>
      <c r="B3714" s="1" t="str">
        <f t="shared" ref="B3714:B3777" si="2598">"150525100"</f>
        <v>150525100</v>
      </c>
      <c r="C3714" s="1" t="str">
        <f>"1040937412"</f>
        <v>1040937412</v>
      </c>
      <c r="D3714" s="1" t="str">
        <f>"152326195711040429"</f>
        <v>152326195711040429</v>
      </c>
      <c r="E3714" s="1" t="s">
        <v>2503</v>
      </c>
      <c r="F3714" s="1" t="s">
        <v>16</v>
      </c>
      <c r="G3714" s="1" t="s">
        <v>19</v>
      </c>
      <c r="H3714" s="1" t="str">
        <f>"67"</f>
        <v>67</v>
      </c>
      <c r="I3714" s="1" t="str">
        <f>"155.51"</f>
        <v>155.51</v>
      </c>
      <c r="J3714" s="1" t="str">
        <f t="shared" ref="J3714:N3714" si="2599">"0"</f>
        <v>0</v>
      </c>
      <c r="K3714" s="1" t="str">
        <f t="shared" si="2581"/>
        <v>103</v>
      </c>
      <c r="L3714" s="1" t="str">
        <f t="shared" si="2582"/>
        <v>47</v>
      </c>
      <c r="M3714" s="1" t="str">
        <f t="shared" si="2599"/>
        <v>0</v>
      </c>
      <c r="N3714" s="1" t="str">
        <f t="shared" si="2599"/>
        <v>0</v>
      </c>
      <c r="O3714" s="1" t="str">
        <f>"5.51"</f>
        <v>5.51</v>
      </c>
    </row>
    <row r="3715" s="1" customFormat="1" spans="1:15">
      <c r="A3715" s="1" t="str">
        <f t="shared" si="2597"/>
        <v>202406</v>
      </c>
      <c r="B3715" s="1" t="str">
        <f t="shared" si="2598"/>
        <v>150525100</v>
      </c>
      <c r="C3715" s="1" t="str">
        <f>"1040937415"</f>
        <v>1040937415</v>
      </c>
      <c r="D3715" s="1" t="str">
        <f>"152326196309160419"</f>
        <v>152326196309160419</v>
      </c>
      <c r="E3715" s="1" t="s">
        <v>3768</v>
      </c>
      <c r="F3715" s="1" t="s">
        <v>25</v>
      </c>
      <c r="G3715" s="1" t="s">
        <v>19</v>
      </c>
      <c r="H3715" s="1" t="str">
        <f>"61"</f>
        <v>61</v>
      </c>
      <c r="I3715" s="1" t="str">
        <f>"164.17"</f>
        <v>164.17</v>
      </c>
      <c r="J3715" s="1" t="str">
        <f t="shared" ref="J3715:N3715" si="2600">"0"</f>
        <v>0</v>
      </c>
      <c r="K3715" s="1" t="str">
        <f t="shared" si="2581"/>
        <v>103</v>
      </c>
      <c r="L3715" s="1" t="str">
        <f t="shared" si="2582"/>
        <v>47</v>
      </c>
      <c r="M3715" s="1" t="str">
        <f t="shared" si="2600"/>
        <v>0</v>
      </c>
      <c r="N3715" s="1" t="str">
        <f t="shared" si="2600"/>
        <v>0</v>
      </c>
      <c r="O3715" s="1" t="str">
        <f>"14.17"</f>
        <v>14.17</v>
      </c>
    </row>
    <row r="3716" s="1" customFormat="1" spans="1:15">
      <c r="A3716" s="1" t="str">
        <f t="shared" si="2597"/>
        <v>202406</v>
      </c>
      <c r="B3716" s="1" t="str">
        <f t="shared" si="2598"/>
        <v>150525100</v>
      </c>
      <c r="C3716" s="1" t="str">
        <f>"1040937451"</f>
        <v>1040937451</v>
      </c>
      <c r="D3716" s="1" t="str">
        <f>"152326195512250925"</f>
        <v>152326195512250925</v>
      </c>
      <c r="E3716" s="1" t="s">
        <v>3769</v>
      </c>
      <c r="F3716" s="1" t="s">
        <v>16</v>
      </c>
      <c r="G3716" s="1" t="s">
        <v>19</v>
      </c>
      <c r="H3716" s="1" t="str">
        <f t="shared" ref="H3716:H3719" si="2601">"69"</f>
        <v>69</v>
      </c>
      <c r="I3716" s="1" t="str">
        <f>"154.51"</f>
        <v>154.51</v>
      </c>
      <c r="J3716" s="1" t="str">
        <f t="shared" ref="J3716:N3716" si="2602">"0"</f>
        <v>0</v>
      </c>
      <c r="K3716" s="1" t="str">
        <f t="shared" si="2581"/>
        <v>103</v>
      </c>
      <c r="L3716" s="1" t="str">
        <f t="shared" si="2582"/>
        <v>47</v>
      </c>
      <c r="M3716" s="1" t="str">
        <f t="shared" si="2602"/>
        <v>0</v>
      </c>
      <c r="N3716" s="1" t="str">
        <f t="shared" si="2602"/>
        <v>0</v>
      </c>
      <c r="O3716" s="1" t="str">
        <f>"4.51"</f>
        <v>4.51</v>
      </c>
    </row>
    <row r="3717" s="1" customFormat="1" spans="1:15">
      <c r="A3717" s="1" t="str">
        <f t="shared" si="2597"/>
        <v>202406</v>
      </c>
      <c r="B3717" s="1" t="str">
        <f t="shared" si="2598"/>
        <v>150525100</v>
      </c>
      <c r="C3717" s="1" t="str">
        <f>"1014575761"</f>
        <v>1014575761</v>
      </c>
      <c r="D3717" s="1" t="str">
        <f>"152326195503100714"</f>
        <v>152326195503100714</v>
      </c>
      <c r="E3717" s="1" t="s">
        <v>3770</v>
      </c>
      <c r="F3717" s="1" t="s">
        <v>25</v>
      </c>
      <c r="G3717" s="1" t="s">
        <v>17</v>
      </c>
      <c r="H3717" s="1" t="str">
        <f t="shared" si="2601"/>
        <v>69</v>
      </c>
      <c r="I3717" s="1" t="str">
        <f>"154.94"</f>
        <v>154.94</v>
      </c>
      <c r="J3717" s="1" t="str">
        <f t="shared" ref="J3717:N3717" si="2603">"0"</f>
        <v>0</v>
      </c>
      <c r="K3717" s="1" t="str">
        <f t="shared" si="2581"/>
        <v>103</v>
      </c>
      <c r="L3717" s="1" t="str">
        <f t="shared" si="2582"/>
        <v>47</v>
      </c>
      <c r="M3717" s="1" t="str">
        <f t="shared" si="2603"/>
        <v>0</v>
      </c>
      <c r="N3717" s="1" t="str">
        <f t="shared" si="2603"/>
        <v>0</v>
      </c>
      <c r="O3717" s="1" t="str">
        <f>"4.94"</f>
        <v>4.94</v>
      </c>
    </row>
    <row r="3718" s="1" customFormat="1" spans="1:15">
      <c r="A3718" s="1" t="str">
        <f t="shared" si="2597"/>
        <v>202406</v>
      </c>
      <c r="B3718" s="1" t="str">
        <f t="shared" si="2598"/>
        <v>150525100</v>
      </c>
      <c r="C3718" s="1" t="str">
        <f>"1014575771"</f>
        <v>1014575771</v>
      </c>
      <c r="D3718" s="1" t="str">
        <f>"152326195607070660"</f>
        <v>152326195607070660</v>
      </c>
      <c r="E3718" s="1" t="s">
        <v>3771</v>
      </c>
      <c r="F3718" s="1" t="s">
        <v>16</v>
      </c>
      <c r="G3718" s="1" t="s">
        <v>17</v>
      </c>
      <c r="H3718" s="1" t="str">
        <f>"68"</f>
        <v>68</v>
      </c>
      <c r="I3718" s="1" t="str">
        <f>"155.91"</f>
        <v>155.91</v>
      </c>
      <c r="J3718" s="1" t="str">
        <f t="shared" ref="J3718:N3718" si="2604">"0"</f>
        <v>0</v>
      </c>
      <c r="K3718" s="1" t="str">
        <f t="shared" si="2581"/>
        <v>103</v>
      </c>
      <c r="L3718" s="1" t="str">
        <f t="shared" si="2582"/>
        <v>47</v>
      </c>
      <c r="M3718" s="1" t="str">
        <f t="shared" si="2604"/>
        <v>0</v>
      </c>
      <c r="N3718" s="1" t="str">
        <f t="shared" si="2604"/>
        <v>0</v>
      </c>
      <c r="O3718" s="1" t="str">
        <f>"5.91"</f>
        <v>5.91</v>
      </c>
    </row>
    <row r="3719" s="1" customFormat="1" spans="1:15">
      <c r="A3719" s="1" t="str">
        <f t="shared" si="2597"/>
        <v>202406</v>
      </c>
      <c r="B3719" s="1" t="str">
        <f t="shared" si="2598"/>
        <v>150525100</v>
      </c>
      <c r="C3719" s="1" t="str">
        <f>"1014576100"</f>
        <v>1014576100</v>
      </c>
      <c r="D3719" s="1" t="s">
        <v>3772</v>
      </c>
      <c r="E3719" s="1" t="s">
        <v>3773</v>
      </c>
      <c r="F3719" s="1" t="s">
        <v>16</v>
      </c>
      <c r="G3719" s="1" t="s">
        <v>17</v>
      </c>
      <c r="H3719" s="1" t="str">
        <f t="shared" si="2601"/>
        <v>69</v>
      </c>
      <c r="I3719" s="1" t="str">
        <f>"155.1"</f>
        <v>155.1</v>
      </c>
      <c r="J3719" s="1" t="str">
        <f t="shared" ref="J3719:N3719" si="2605">"0"</f>
        <v>0</v>
      </c>
      <c r="K3719" s="1" t="str">
        <f t="shared" si="2581"/>
        <v>103</v>
      </c>
      <c r="L3719" s="1" t="str">
        <f t="shared" si="2582"/>
        <v>47</v>
      </c>
      <c r="M3719" s="1" t="str">
        <f t="shared" si="2605"/>
        <v>0</v>
      </c>
      <c r="N3719" s="1" t="str">
        <f t="shared" si="2605"/>
        <v>0</v>
      </c>
      <c r="O3719" s="1" t="str">
        <f>"5.1"</f>
        <v>5.1</v>
      </c>
    </row>
    <row r="3720" s="1" customFormat="1" spans="1:15">
      <c r="A3720" s="1" t="str">
        <f t="shared" si="2597"/>
        <v>202406</v>
      </c>
      <c r="B3720" s="1" t="str">
        <f t="shared" si="2598"/>
        <v>150525100</v>
      </c>
      <c r="C3720" s="1" t="str">
        <f>"1014576106"</f>
        <v>1014576106</v>
      </c>
      <c r="D3720" s="1" t="s">
        <v>3774</v>
      </c>
      <c r="E3720" s="1" t="s">
        <v>3775</v>
      </c>
      <c r="F3720" s="1" t="s">
        <v>25</v>
      </c>
      <c r="G3720" s="1" t="s">
        <v>17</v>
      </c>
      <c r="H3720" s="1" t="str">
        <f>"67"</f>
        <v>67</v>
      </c>
      <c r="I3720" s="1" t="str">
        <f>"156.09"</f>
        <v>156.09</v>
      </c>
      <c r="J3720" s="1" t="str">
        <f t="shared" ref="J3720:N3720" si="2606">"0"</f>
        <v>0</v>
      </c>
      <c r="K3720" s="1" t="str">
        <f t="shared" si="2581"/>
        <v>103</v>
      </c>
      <c r="L3720" s="1" t="str">
        <f t="shared" si="2582"/>
        <v>47</v>
      </c>
      <c r="M3720" s="1" t="str">
        <f t="shared" si="2606"/>
        <v>0</v>
      </c>
      <c r="N3720" s="1" t="str">
        <f t="shared" si="2606"/>
        <v>0</v>
      </c>
      <c r="O3720" s="1" t="str">
        <f>"6.09"</f>
        <v>6.09</v>
      </c>
    </row>
    <row r="3721" s="1" customFormat="1" spans="1:15">
      <c r="A3721" s="1" t="str">
        <f t="shared" si="2597"/>
        <v>202406</v>
      </c>
      <c r="B3721" s="1" t="str">
        <f t="shared" si="2598"/>
        <v>150525100</v>
      </c>
      <c r="C3721" s="1" t="str">
        <f>"1014576109"</f>
        <v>1014576109</v>
      </c>
      <c r="D3721" s="1" t="s">
        <v>3776</v>
      </c>
      <c r="E3721" s="1" t="s">
        <v>3777</v>
      </c>
      <c r="F3721" s="1" t="s">
        <v>25</v>
      </c>
      <c r="G3721" s="1" t="s">
        <v>17</v>
      </c>
      <c r="H3721" s="1" t="str">
        <f>"64"</f>
        <v>64</v>
      </c>
      <c r="I3721" s="1" t="str">
        <f>"159.16"</f>
        <v>159.16</v>
      </c>
      <c r="J3721" s="1" t="str">
        <f t="shared" ref="J3721:N3721" si="2607">"0"</f>
        <v>0</v>
      </c>
      <c r="K3721" s="1" t="str">
        <f t="shared" si="2581"/>
        <v>103</v>
      </c>
      <c r="L3721" s="1" t="str">
        <f t="shared" si="2582"/>
        <v>47</v>
      </c>
      <c r="M3721" s="1" t="str">
        <f t="shared" si="2607"/>
        <v>0</v>
      </c>
      <c r="N3721" s="1" t="str">
        <f t="shared" si="2607"/>
        <v>0</v>
      </c>
      <c r="O3721" s="1" t="str">
        <f>"9.16"</f>
        <v>9.16</v>
      </c>
    </row>
    <row r="3722" s="1" customFormat="1" spans="1:15">
      <c r="A3722" s="1" t="str">
        <f t="shared" si="2597"/>
        <v>202406</v>
      </c>
      <c r="B3722" s="1" t="str">
        <f t="shared" si="2598"/>
        <v>150525100</v>
      </c>
      <c r="C3722" s="1" t="str">
        <f>"1014576111"</f>
        <v>1014576111</v>
      </c>
      <c r="D3722" s="1" t="s">
        <v>3778</v>
      </c>
      <c r="E3722" s="1" t="s">
        <v>3779</v>
      </c>
      <c r="F3722" s="1" t="s">
        <v>16</v>
      </c>
      <c r="G3722" s="1" t="s">
        <v>17</v>
      </c>
      <c r="H3722" s="1" t="str">
        <f>"63"</f>
        <v>63</v>
      </c>
      <c r="I3722" s="1" t="str">
        <f>"163.3"</f>
        <v>163.3</v>
      </c>
      <c r="J3722" s="1" t="str">
        <f t="shared" ref="J3722:N3722" si="2608">"0"</f>
        <v>0</v>
      </c>
      <c r="K3722" s="1" t="str">
        <f t="shared" si="2581"/>
        <v>103</v>
      </c>
      <c r="L3722" s="1" t="str">
        <f t="shared" si="2582"/>
        <v>47</v>
      </c>
      <c r="M3722" s="1" t="str">
        <f t="shared" si="2608"/>
        <v>0</v>
      </c>
      <c r="N3722" s="1" t="str">
        <f t="shared" si="2608"/>
        <v>0</v>
      </c>
      <c r="O3722" s="1" t="str">
        <f>"13.3"</f>
        <v>13.3</v>
      </c>
    </row>
    <row r="3723" s="1" customFormat="1" spans="1:15">
      <c r="A3723" s="1" t="str">
        <f t="shared" si="2597"/>
        <v>202406</v>
      </c>
      <c r="B3723" s="1" t="str">
        <f t="shared" si="2598"/>
        <v>150525100</v>
      </c>
      <c r="C3723" s="1" t="str">
        <f>"1014548029"</f>
        <v>1014548029</v>
      </c>
      <c r="D3723" s="1" t="s">
        <v>3780</v>
      </c>
      <c r="E3723" s="1" t="s">
        <v>3781</v>
      </c>
      <c r="F3723" s="1" t="s">
        <v>25</v>
      </c>
      <c r="G3723" s="1" t="s">
        <v>17</v>
      </c>
      <c r="H3723" s="1" t="str">
        <f>"62"</f>
        <v>62</v>
      </c>
      <c r="I3723" s="1" t="str">
        <f>"175.72"</f>
        <v>175.72</v>
      </c>
      <c r="J3723" s="1" t="str">
        <f t="shared" ref="J3723:N3723" si="2609">"0"</f>
        <v>0</v>
      </c>
      <c r="K3723" s="1" t="str">
        <f t="shared" si="2581"/>
        <v>103</v>
      </c>
      <c r="L3723" s="1" t="str">
        <f t="shared" si="2582"/>
        <v>47</v>
      </c>
      <c r="M3723" s="1" t="str">
        <f t="shared" si="2609"/>
        <v>0</v>
      </c>
      <c r="N3723" s="1" t="str">
        <f t="shared" si="2609"/>
        <v>0</v>
      </c>
      <c r="O3723" s="1" t="str">
        <f>"25.72"</f>
        <v>25.72</v>
      </c>
    </row>
    <row r="3724" s="1" customFormat="1" spans="1:15">
      <c r="A3724" s="1" t="str">
        <f t="shared" si="2597"/>
        <v>202406</v>
      </c>
      <c r="B3724" s="1" t="str">
        <f t="shared" si="2598"/>
        <v>150525100</v>
      </c>
      <c r="C3724" s="1" t="str">
        <f>"1014548103"</f>
        <v>1014548103</v>
      </c>
      <c r="D3724" s="1" t="str">
        <f>"152326196205100913"</f>
        <v>152326196205100913</v>
      </c>
      <c r="E3724" s="1" t="s">
        <v>3782</v>
      </c>
      <c r="F3724" s="1" t="s">
        <v>25</v>
      </c>
      <c r="G3724" s="1" t="s">
        <v>19</v>
      </c>
      <c r="H3724" s="1" t="str">
        <f>"62"</f>
        <v>62</v>
      </c>
      <c r="I3724" s="1" t="str">
        <f>"161.79"</f>
        <v>161.79</v>
      </c>
      <c r="J3724" s="1" t="str">
        <f t="shared" ref="J3724:N3724" si="2610">"0"</f>
        <v>0</v>
      </c>
      <c r="K3724" s="1" t="str">
        <f t="shared" si="2581"/>
        <v>103</v>
      </c>
      <c r="L3724" s="1" t="str">
        <f t="shared" si="2582"/>
        <v>47</v>
      </c>
      <c r="M3724" s="1" t="str">
        <f t="shared" si="2610"/>
        <v>0</v>
      </c>
      <c r="N3724" s="1" t="str">
        <f t="shared" si="2610"/>
        <v>0</v>
      </c>
      <c r="O3724" s="1" t="str">
        <f>"11.79"</f>
        <v>11.79</v>
      </c>
    </row>
    <row r="3725" s="1" customFormat="1" spans="1:15">
      <c r="A3725" s="1" t="str">
        <f t="shared" si="2597"/>
        <v>202406</v>
      </c>
      <c r="B3725" s="1" t="str">
        <f t="shared" si="2598"/>
        <v>150525100</v>
      </c>
      <c r="C3725" s="1" t="str">
        <f>"1014576648"</f>
        <v>1014576648</v>
      </c>
      <c r="D3725" s="1" t="str">
        <f>"152326195909180670"</f>
        <v>152326195909180670</v>
      </c>
      <c r="E3725" s="1" t="s">
        <v>3783</v>
      </c>
      <c r="F3725" s="1" t="s">
        <v>25</v>
      </c>
      <c r="G3725" s="1" t="s">
        <v>19</v>
      </c>
      <c r="H3725" s="1" t="str">
        <f>"65"</f>
        <v>65</v>
      </c>
      <c r="I3725" s="1" t="str">
        <f>"158.18"</f>
        <v>158.18</v>
      </c>
      <c r="J3725" s="1" t="str">
        <f t="shared" ref="J3725:N3725" si="2611">"0"</f>
        <v>0</v>
      </c>
      <c r="K3725" s="1" t="str">
        <f t="shared" si="2581"/>
        <v>103</v>
      </c>
      <c r="L3725" s="1" t="str">
        <f t="shared" si="2582"/>
        <v>47</v>
      </c>
      <c r="M3725" s="1" t="str">
        <f t="shared" si="2611"/>
        <v>0</v>
      </c>
      <c r="N3725" s="1" t="str">
        <f t="shared" si="2611"/>
        <v>0</v>
      </c>
      <c r="O3725" s="1" t="str">
        <f>"8.18"</f>
        <v>8.18</v>
      </c>
    </row>
    <row r="3726" s="1" customFormat="1" spans="1:15">
      <c r="A3726" s="1" t="str">
        <f t="shared" si="2597"/>
        <v>202406</v>
      </c>
      <c r="B3726" s="1" t="str">
        <f t="shared" si="2598"/>
        <v>150525100</v>
      </c>
      <c r="C3726" s="1" t="str">
        <f>"1014548041"</f>
        <v>1014548041</v>
      </c>
      <c r="D3726" s="1" t="str">
        <f>"152326195607143823"</f>
        <v>152326195607143823</v>
      </c>
      <c r="E3726" s="1" t="s">
        <v>3175</v>
      </c>
      <c r="F3726" s="1" t="s">
        <v>16</v>
      </c>
      <c r="G3726" s="1" t="s">
        <v>17</v>
      </c>
      <c r="H3726" s="1" t="str">
        <f>"68"</f>
        <v>68</v>
      </c>
      <c r="I3726" s="1" t="str">
        <f>"155.78"</f>
        <v>155.78</v>
      </c>
      <c r="J3726" s="1" t="str">
        <f t="shared" ref="J3726:N3726" si="2612">"0"</f>
        <v>0</v>
      </c>
      <c r="K3726" s="1" t="str">
        <f t="shared" si="2581"/>
        <v>103</v>
      </c>
      <c r="L3726" s="1" t="str">
        <f t="shared" si="2582"/>
        <v>47</v>
      </c>
      <c r="M3726" s="1" t="str">
        <f t="shared" si="2612"/>
        <v>0</v>
      </c>
      <c r="N3726" s="1" t="str">
        <f t="shared" si="2612"/>
        <v>0</v>
      </c>
      <c r="O3726" s="1" t="str">
        <f>"5.78"</f>
        <v>5.78</v>
      </c>
    </row>
    <row r="3727" s="1" customFormat="1" spans="1:15">
      <c r="A3727" s="1" t="str">
        <f t="shared" si="2597"/>
        <v>202406</v>
      </c>
      <c r="B3727" s="1" t="str">
        <f t="shared" si="2598"/>
        <v>150525100</v>
      </c>
      <c r="C3727" s="1" t="str">
        <f>"1014548131"</f>
        <v>1014548131</v>
      </c>
      <c r="D3727" s="1" t="str">
        <f>"152326196109163084"</f>
        <v>152326196109163084</v>
      </c>
      <c r="E3727" s="1" t="s">
        <v>3784</v>
      </c>
      <c r="F3727" s="1" t="s">
        <v>16</v>
      </c>
      <c r="G3727" s="1" t="s">
        <v>17</v>
      </c>
      <c r="H3727" s="1" t="str">
        <f>"63"</f>
        <v>63</v>
      </c>
      <c r="I3727" s="1" t="str">
        <f>"160.37"</f>
        <v>160.37</v>
      </c>
      <c r="J3727" s="1" t="str">
        <f t="shared" ref="J3727:N3727" si="2613">"0"</f>
        <v>0</v>
      </c>
      <c r="K3727" s="1" t="str">
        <f t="shared" si="2581"/>
        <v>103</v>
      </c>
      <c r="L3727" s="1" t="str">
        <f t="shared" si="2582"/>
        <v>47</v>
      </c>
      <c r="M3727" s="1" t="str">
        <f t="shared" si="2613"/>
        <v>0</v>
      </c>
      <c r="N3727" s="1" t="str">
        <f t="shared" si="2613"/>
        <v>0</v>
      </c>
      <c r="O3727" s="1" t="str">
        <f>"10.37"</f>
        <v>10.37</v>
      </c>
    </row>
    <row r="3728" s="1" customFormat="1" spans="1:15">
      <c r="A3728" s="1" t="str">
        <f t="shared" si="2597"/>
        <v>202406</v>
      </c>
      <c r="B3728" s="1" t="str">
        <f t="shared" si="2598"/>
        <v>150525100</v>
      </c>
      <c r="C3728" s="1" t="str">
        <f>"1014548137"</f>
        <v>1014548137</v>
      </c>
      <c r="D3728" s="1" t="str">
        <f>"152326196310183087"</f>
        <v>152326196310183087</v>
      </c>
      <c r="E3728" s="1" t="s">
        <v>3785</v>
      </c>
      <c r="F3728" s="1" t="s">
        <v>16</v>
      </c>
      <c r="G3728" s="1" t="s">
        <v>17</v>
      </c>
      <c r="H3728" s="1" t="str">
        <f>"61"</f>
        <v>61</v>
      </c>
      <c r="I3728" s="1" t="str">
        <f>"165.1"</f>
        <v>165.1</v>
      </c>
      <c r="J3728" s="1" t="str">
        <f t="shared" ref="J3728:N3728" si="2614">"0"</f>
        <v>0</v>
      </c>
      <c r="K3728" s="1" t="str">
        <f t="shared" si="2581"/>
        <v>103</v>
      </c>
      <c r="L3728" s="1" t="str">
        <f t="shared" si="2582"/>
        <v>47</v>
      </c>
      <c r="M3728" s="1" t="str">
        <f t="shared" si="2614"/>
        <v>0</v>
      </c>
      <c r="N3728" s="1" t="str">
        <f t="shared" si="2614"/>
        <v>0</v>
      </c>
      <c r="O3728" s="1" t="str">
        <f>"15.1"</f>
        <v>15.1</v>
      </c>
    </row>
    <row r="3729" s="1" customFormat="1" spans="1:15">
      <c r="A3729" s="1" t="str">
        <f t="shared" si="2597"/>
        <v>202406</v>
      </c>
      <c r="B3729" s="1" t="str">
        <f t="shared" si="2598"/>
        <v>150525100</v>
      </c>
      <c r="C3729" s="1" t="str">
        <f>"1014552416"</f>
        <v>1014552416</v>
      </c>
      <c r="D3729" s="1" t="str">
        <f>"152326195107073849"</f>
        <v>152326195107073849</v>
      </c>
      <c r="E3729" s="1" t="s">
        <v>3786</v>
      </c>
      <c r="F3729" s="1" t="s">
        <v>16</v>
      </c>
      <c r="G3729" s="1" t="s">
        <v>17</v>
      </c>
      <c r="H3729" s="1" t="str">
        <f>"73"</f>
        <v>73</v>
      </c>
      <c r="I3729" s="1" t="str">
        <f>"160"</f>
        <v>160</v>
      </c>
      <c r="J3729" s="1" t="str">
        <f t="shared" ref="J3729:O3729" si="2615">"0"</f>
        <v>0</v>
      </c>
      <c r="K3729" s="1" t="str">
        <f t="shared" si="2581"/>
        <v>103</v>
      </c>
      <c r="L3729" s="1" t="str">
        <f t="shared" si="2582"/>
        <v>47</v>
      </c>
      <c r="M3729" s="1" t="str">
        <f t="shared" si="2615"/>
        <v>0</v>
      </c>
      <c r="N3729" s="1" t="str">
        <f t="shared" si="2615"/>
        <v>0</v>
      </c>
      <c r="O3729" s="1" t="str">
        <f t="shared" si="2615"/>
        <v>0</v>
      </c>
    </row>
    <row r="3730" s="1" customFormat="1" spans="1:15">
      <c r="A3730" s="1" t="str">
        <f t="shared" si="2597"/>
        <v>202406</v>
      </c>
      <c r="B3730" s="1" t="str">
        <f t="shared" si="2598"/>
        <v>150525100</v>
      </c>
      <c r="C3730" s="1" t="str">
        <f>"1014576184"</f>
        <v>1014576184</v>
      </c>
      <c r="D3730" s="1" t="str">
        <f>"152326195610163825"</f>
        <v>152326195610163825</v>
      </c>
      <c r="E3730" s="1" t="s">
        <v>1304</v>
      </c>
      <c r="F3730" s="1" t="s">
        <v>16</v>
      </c>
      <c r="G3730" s="1" t="s">
        <v>19</v>
      </c>
      <c r="H3730" s="1" t="str">
        <f>"68"</f>
        <v>68</v>
      </c>
      <c r="I3730" s="1" t="str">
        <f>"156.01"</f>
        <v>156.01</v>
      </c>
      <c r="J3730" s="1" t="str">
        <f t="shared" ref="J3730:N3730" si="2616">"0"</f>
        <v>0</v>
      </c>
      <c r="K3730" s="1" t="str">
        <f t="shared" si="2581"/>
        <v>103</v>
      </c>
      <c r="L3730" s="1" t="str">
        <f t="shared" si="2582"/>
        <v>47</v>
      </c>
      <c r="M3730" s="1" t="str">
        <f t="shared" si="2616"/>
        <v>0</v>
      </c>
      <c r="N3730" s="1" t="str">
        <f t="shared" si="2616"/>
        <v>0</v>
      </c>
      <c r="O3730" s="1" t="str">
        <f>"6.01"</f>
        <v>6.01</v>
      </c>
    </row>
    <row r="3731" s="1" customFormat="1" spans="1:15">
      <c r="A3731" s="1" t="str">
        <f t="shared" si="2597"/>
        <v>202406</v>
      </c>
      <c r="B3731" s="1" t="str">
        <f t="shared" si="2598"/>
        <v>150525100</v>
      </c>
      <c r="C3731" s="1" t="str">
        <f>"1014576468"</f>
        <v>1014576468</v>
      </c>
      <c r="D3731" s="1" t="s">
        <v>3787</v>
      </c>
      <c r="E3731" s="1" t="s">
        <v>3788</v>
      </c>
      <c r="F3731" s="1" t="s">
        <v>25</v>
      </c>
      <c r="G3731" s="1" t="s">
        <v>19</v>
      </c>
      <c r="H3731" s="1" t="str">
        <f>"65"</f>
        <v>65</v>
      </c>
      <c r="I3731" s="1" t="str">
        <f>"158.21"</f>
        <v>158.21</v>
      </c>
      <c r="J3731" s="1" t="str">
        <f t="shared" ref="J3731:N3731" si="2617">"0"</f>
        <v>0</v>
      </c>
      <c r="K3731" s="1" t="str">
        <f t="shared" si="2581"/>
        <v>103</v>
      </c>
      <c r="L3731" s="1" t="str">
        <f t="shared" si="2582"/>
        <v>47</v>
      </c>
      <c r="M3731" s="1" t="str">
        <f t="shared" si="2617"/>
        <v>0</v>
      </c>
      <c r="N3731" s="1" t="str">
        <f t="shared" si="2617"/>
        <v>0</v>
      </c>
      <c r="O3731" s="1" t="str">
        <f>"8.21"</f>
        <v>8.21</v>
      </c>
    </row>
    <row r="3732" s="1" customFormat="1" spans="1:15">
      <c r="A3732" s="1" t="str">
        <f t="shared" si="2597"/>
        <v>202406</v>
      </c>
      <c r="B3732" s="1" t="str">
        <f t="shared" si="2598"/>
        <v>150525100</v>
      </c>
      <c r="C3732" s="1" t="str">
        <f>"1014576469"</f>
        <v>1014576469</v>
      </c>
      <c r="D3732" s="1" t="s">
        <v>3789</v>
      </c>
      <c r="E3732" s="1" t="s">
        <v>919</v>
      </c>
      <c r="F3732" s="1" t="s">
        <v>16</v>
      </c>
      <c r="G3732" s="1" t="s">
        <v>19</v>
      </c>
      <c r="H3732" s="1" t="str">
        <f t="shared" ref="H3732:H3737" si="2618">"62"</f>
        <v>62</v>
      </c>
      <c r="I3732" s="1" t="str">
        <f>"163.01"</f>
        <v>163.01</v>
      </c>
      <c r="J3732" s="1" t="str">
        <f t="shared" ref="J3732:N3732" si="2619">"0"</f>
        <v>0</v>
      </c>
      <c r="K3732" s="1" t="str">
        <f t="shared" si="2581"/>
        <v>103</v>
      </c>
      <c r="L3732" s="1" t="str">
        <f t="shared" si="2582"/>
        <v>47</v>
      </c>
      <c r="M3732" s="1" t="str">
        <f t="shared" si="2619"/>
        <v>0</v>
      </c>
      <c r="N3732" s="1" t="str">
        <f t="shared" si="2619"/>
        <v>0</v>
      </c>
      <c r="O3732" s="1" t="str">
        <f>"13.01"</f>
        <v>13.01</v>
      </c>
    </row>
    <row r="3733" s="1" customFormat="1" spans="1:15">
      <c r="A3733" s="1" t="str">
        <f t="shared" si="2597"/>
        <v>202406</v>
      </c>
      <c r="B3733" s="1" t="str">
        <f t="shared" si="2598"/>
        <v>150525100</v>
      </c>
      <c r="C3733" s="1" t="str">
        <f>"1014576477"</f>
        <v>1014576477</v>
      </c>
      <c r="D3733" s="1" t="str">
        <f>"152326195803236373"</f>
        <v>152326195803236373</v>
      </c>
      <c r="E3733" s="1" t="s">
        <v>3790</v>
      </c>
      <c r="F3733" s="1" t="s">
        <v>25</v>
      </c>
      <c r="G3733" s="1" t="s">
        <v>17</v>
      </c>
      <c r="H3733" s="1" t="str">
        <f>"66"</f>
        <v>66</v>
      </c>
      <c r="I3733" s="1" t="str">
        <f>"157.01"</f>
        <v>157.01</v>
      </c>
      <c r="J3733" s="1" t="str">
        <f t="shared" ref="J3733:N3733" si="2620">"0"</f>
        <v>0</v>
      </c>
      <c r="K3733" s="1" t="str">
        <f t="shared" si="2581"/>
        <v>103</v>
      </c>
      <c r="L3733" s="1" t="str">
        <f t="shared" si="2582"/>
        <v>47</v>
      </c>
      <c r="M3733" s="1" t="str">
        <f t="shared" si="2620"/>
        <v>0</v>
      </c>
      <c r="N3733" s="1" t="str">
        <f t="shared" si="2620"/>
        <v>0</v>
      </c>
      <c r="O3733" s="1" t="str">
        <f>"7.01"</f>
        <v>7.01</v>
      </c>
    </row>
    <row r="3734" s="1" customFormat="1" spans="1:15">
      <c r="A3734" s="1" t="str">
        <f t="shared" si="2597"/>
        <v>202406</v>
      </c>
      <c r="B3734" s="1" t="str">
        <f t="shared" si="2598"/>
        <v>150525100</v>
      </c>
      <c r="C3734" s="1" t="str">
        <f>"1014576480"</f>
        <v>1014576480</v>
      </c>
      <c r="D3734" s="1" t="str">
        <f>"152326196002246138"</f>
        <v>152326196002246138</v>
      </c>
      <c r="E3734" s="1" t="s">
        <v>3791</v>
      </c>
      <c r="F3734" s="1" t="s">
        <v>25</v>
      </c>
      <c r="G3734" s="1" t="s">
        <v>17</v>
      </c>
      <c r="H3734" s="1" t="str">
        <f>"64"</f>
        <v>64</v>
      </c>
      <c r="I3734" s="1" t="str">
        <f>"158.95"</f>
        <v>158.95</v>
      </c>
      <c r="J3734" s="1" t="str">
        <f t="shared" ref="J3734:N3734" si="2621">"0"</f>
        <v>0</v>
      </c>
      <c r="K3734" s="1" t="str">
        <f t="shared" si="2581"/>
        <v>103</v>
      </c>
      <c r="L3734" s="1" t="str">
        <f t="shared" si="2582"/>
        <v>47</v>
      </c>
      <c r="M3734" s="1" t="str">
        <f t="shared" si="2621"/>
        <v>0</v>
      </c>
      <c r="N3734" s="1" t="str">
        <f t="shared" si="2621"/>
        <v>0</v>
      </c>
      <c r="O3734" s="1" t="str">
        <f>"8.95"</f>
        <v>8.95</v>
      </c>
    </row>
    <row r="3735" s="1" customFormat="1" spans="1:15">
      <c r="A3735" s="1" t="str">
        <f t="shared" si="2597"/>
        <v>202406</v>
      </c>
      <c r="B3735" s="1" t="str">
        <f t="shared" si="2598"/>
        <v>150525100</v>
      </c>
      <c r="C3735" s="1" t="str">
        <f>"1014576487"</f>
        <v>1014576487</v>
      </c>
      <c r="D3735" s="1" t="str">
        <f>"152326196206216379"</f>
        <v>152326196206216379</v>
      </c>
      <c r="E3735" s="1" t="s">
        <v>3792</v>
      </c>
      <c r="F3735" s="1" t="s">
        <v>25</v>
      </c>
      <c r="G3735" s="1" t="s">
        <v>17</v>
      </c>
      <c r="H3735" s="1" t="str">
        <f t="shared" si="2618"/>
        <v>62</v>
      </c>
      <c r="I3735" s="1" t="str">
        <f>"162.79"</f>
        <v>162.79</v>
      </c>
      <c r="J3735" s="1" t="str">
        <f t="shared" ref="J3735:N3735" si="2622">"0"</f>
        <v>0</v>
      </c>
      <c r="K3735" s="1" t="str">
        <f t="shared" si="2581"/>
        <v>103</v>
      </c>
      <c r="L3735" s="1" t="str">
        <f t="shared" si="2582"/>
        <v>47</v>
      </c>
      <c r="M3735" s="1" t="str">
        <f t="shared" si="2622"/>
        <v>0</v>
      </c>
      <c r="N3735" s="1" t="str">
        <f t="shared" si="2622"/>
        <v>0</v>
      </c>
      <c r="O3735" s="1" t="str">
        <f>"12.79"</f>
        <v>12.79</v>
      </c>
    </row>
    <row r="3736" s="1" customFormat="1" spans="1:15">
      <c r="A3736" s="1" t="str">
        <f t="shared" si="2597"/>
        <v>202406</v>
      </c>
      <c r="B3736" s="1" t="str">
        <f t="shared" si="2598"/>
        <v>150525100</v>
      </c>
      <c r="C3736" s="1" t="str">
        <f>"1014576489"</f>
        <v>1014576489</v>
      </c>
      <c r="D3736" s="1" t="str">
        <f>"152326196211066387"</f>
        <v>152326196211066387</v>
      </c>
      <c r="E3736" s="1" t="s">
        <v>3793</v>
      </c>
      <c r="F3736" s="1" t="s">
        <v>16</v>
      </c>
      <c r="G3736" s="1" t="s">
        <v>17</v>
      </c>
      <c r="H3736" s="1" t="str">
        <f t="shared" si="2618"/>
        <v>62</v>
      </c>
      <c r="I3736" s="1" t="str">
        <f>"163.24"</f>
        <v>163.24</v>
      </c>
      <c r="J3736" s="1" t="str">
        <f t="shared" ref="J3736:N3736" si="2623">"0"</f>
        <v>0</v>
      </c>
      <c r="K3736" s="1" t="str">
        <f t="shared" si="2581"/>
        <v>103</v>
      </c>
      <c r="L3736" s="1" t="str">
        <f t="shared" si="2582"/>
        <v>47</v>
      </c>
      <c r="M3736" s="1" t="str">
        <f t="shared" si="2623"/>
        <v>0</v>
      </c>
      <c r="N3736" s="1" t="str">
        <f t="shared" si="2623"/>
        <v>0</v>
      </c>
      <c r="O3736" s="1" t="str">
        <f>"13.24"</f>
        <v>13.24</v>
      </c>
    </row>
    <row r="3737" s="1" customFormat="1" spans="1:15">
      <c r="A3737" s="1" t="str">
        <f t="shared" si="2597"/>
        <v>202406</v>
      </c>
      <c r="B3737" s="1" t="str">
        <f t="shared" si="2598"/>
        <v>150525100</v>
      </c>
      <c r="C3737" s="1" t="str">
        <f>"1014576490"</f>
        <v>1014576490</v>
      </c>
      <c r="D3737" s="1" t="str">
        <f>"152326196211206140"</f>
        <v>152326196211206140</v>
      </c>
      <c r="E3737" s="1" t="s">
        <v>3794</v>
      </c>
      <c r="F3737" s="1" t="s">
        <v>16</v>
      </c>
      <c r="G3737" s="1" t="s">
        <v>17</v>
      </c>
      <c r="H3737" s="1" t="str">
        <f t="shared" si="2618"/>
        <v>62</v>
      </c>
      <c r="I3737" s="1" t="str">
        <f>"162.69"</f>
        <v>162.69</v>
      </c>
      <c r="J3737" s="1" t="str">
        <f t="shared" ref="J3737:N3737" si="2624">"0"</f>
        <v>0</v>
      </c>
      <c r="K3737" s="1" t="str">
        <f t="shared" si="2581"/>
        <v>103</v>
      </c>
      <c r="L3737" s="1" t="str">
        <f t="shared" si="2582"/>
        <v>47</v>
      </c>
      <c r="M3737" s="1" t="str">
        <f t="shared" si="2624"/>
        <v>0</v>
      </c>
      <c r="N3737" s="1" t="str">
        <f t="shared" si="2624"/>
        <v>0</v>
      </c>
      <c r="O3737" s="1" t="str">
        <f>"12.69"</f>
        <v>12.69</v>
      </c>
    </row>
    <row r="3738" s="1" customFormat="1" spans="1:15">
      <c r="A3738" s="1" t="str">
        <f t="shared" si="2597"/>
        <v>202406</v>
      </c>
      <c r="B3738" s="1" t="str">
        <f t="shared" si="2598"/>
        <v>150525100</v>
      </c>
      <c r="C3738" s="1" t="str">
        <f>"1014576493"</f>
        <v>1014576493</v>
      </c>
      <c r="D3738" s="1" t="str">
        <f>"152326196405066406"</f>
        <v>152326196405066406</v>
      </c>
      <c r="E3738" s="1" t="s">
        <v>3795</v>
      </c>
      <c r="F3738" s="1" t="s">
        <v>16</v>
      </c>
      <c r="G3738" s="1" t="s">
        <v>17</v>
      </c>
      <c r="H3738" s="1" t="str">
        <f>"60"</f>
        <v>60</v>
      </c>
      <c r="I3738" s="1" t="str">
        <f>"166.32"</f>
        <v>166.32</v>
      </c>
      <c r="J3738" s="1" t="str">
        <f t="shared" ref="J3738:N3738" si="2625">"0"</f>
        <v>0</v>
      </c>
      <c r="K3738" s="1" t="str">
        <f t="shared" si="2581"/>
        <v>103</v>
      </c>
      <c r="L3738" s="1" t="str">
        <f t="shared" si="2582"/>
        <v>47</v>
      </c>
      <c r="M3738" s="1" t="str">
        <f t="shared" si="2625"/>
        <v>0</v>
      </c>
      <c r="N3738" s="1" t="str">
        <f t="shared" si="2625"/>
        <v>0</v>
      </c>
      <c r="O3738" s="1" t="str">
        <f>"16.32"</f>
        <v>16.32</v>
      </c>
    </row>
    <row r="3739" s="1" customFormat="1" spans="1:15">
      <c r="A3739" s="1" t="str">
        <f t="shared" si="2597"/>
        <v>202406</v>
      </c>
      <c r="B3739" s="1" t="str">
        <f t="shared" si="2598"/>
        <v>150525100</v>
      </c>
      <c r="C3739" s="1" t="str">
        <f>"1014576696"</f>
        <v>1014576696</v>
      </c>
      <c r="D3739" s="1" t="str">
        <f>"152326195301140662"</f>
        <v>152326195301140662</v>
      </c>
      <c r="E3739" s="1" t="s">
        <v>3796</v>
      </c>
      <c r="F3739" s="1" t="s">
        <v>16</v>
      </c>
      <c r="G3739" s="1" t="s">
        <v>17</v>
      </c>
      <c r="H3739" s="1" t="str">
        <f>"71"</f>
        <v>71</v>
      </c>
      <c r="I3739" s="1" t="str">
        <f>"163.16"</f>
        <v>163.16</v>
      </c>
      <c r="J3739" s="1" t="str">
        <f t="shared" ref="J3739:N3739" si="2626">"0"</f>
        <v>0</v>
      </c>
      <c r="K3739" s="1" t="str">
        <f t="shared" si="2581"/>
        <v>103</v>
      </c>
      <c r="L3739" s="1" t="str">
        <f t="shared" si="2582"/>
        <v>47</v>
      </c>
      <c r="M3739" s="1" t="str">
        <f t="shared" si="2626"/>
        <v>0</v>
      </c>
      <c r="N3739" s="1" t="str">
        <f t="shared" si="2626"/>
        <v>0</v>
      </c>
      <c r="O3739" s="1" t="str">
        <f>"3.16"</f>
        <v>3.16</v>
      </c>
    </row>
    <row r="3740" s="1" customFormat="1" spans="1:15">
      <c r="A3740" s="1" t="str">
        <f t="shared" si="2597"/>
        <v>202406</v>
      </c>
      <c r="B3740" s="1" t="str">
        <f t="shared" si="2598"/>
        <v>150525100</v>
      </c>
      <c r="C3740" s="1" t="str">
        <f>"1014548084"</f>
        <v>1014548084</v>
      </c>
      <c r="D3740" s="1" t="str">
        <f>"152326195203030697"</f>
        <v>152326195203030697</v>
      </c>
      <c r="E3740" s="1" t="s">
        <v>3797</v>
      </c>
      <c r="F3740" s="1" t="s">
        <v>25</v>
      </c>
      <c r="G3740" s="1" t="s">
        <v>17</v>
      </c>
      <c r="H3740" s="1" t="str">
        <f>"72"</f>
        <v>72</v>
      </c>
      <c r="I3740" s="1" t="str">
        <f>"162.15"</f>
        <v>162.15</v>
      </c>
      <c r="J3740" s="1" t="str">
        <f t="shared" ref="J3740:N3740" si="2627">"0"</f>
        <v>0</v>
      </c>
      <c r="K3740" s="1" t="str">
        <f t="shared" si="2581"/>
        <v>103</v>
      </c>
      <c r="L3740" s="1" t="str">
        <f t="shared" si="2582"/>
        <v>47</v>
      </c>
      <c r="M3740" s="1" t="str">
        <f t="shared" si="2627"/>
        <v>0</v>
      </c>
      <c r="N3740" s="1" t="str">
        <f t="shared" si="2627"/>
        <v>0</v>
      </c>
      <c r="O3740" s="1" t="str">
        <f>"2.15"</f>
        <v>2.15</v>
      </c>
    </row>
    <row r="3741" s="1" customFormat="1" spans="1:15">
      <c r="A3741" s="1" t="str">
        <f t="shared" si="2597"/>
        <v>202406</v>
      </c>
      <c r="B3741" s="1" t="str">
        <f t="shared" si="2598"/>
        <v>150525100</v>
      </c>
      <c r="C3741" s="1" t="str">
        <f>"1014570239"</f>
        <v>1014570239</v>
      </c>
      <c r="D3741" s="1" t="str">
        <f>"152326195704163842"</f>
        <v>152326195704163842</v>
      </c>
      <c r="E3741" s="1" t="s">
        <v>3798</v>
      </c>
      <c r="F3741" s="1" t="s">
        <v>16</v>
      </c>
      <c r="G3741" s="1" t="s">
        <v>17</v>
      </c>
      <c r="H3741" s="1" t="str">
        <f>"67"</f>
        <v>67</v>
      </c>
      <c r="I3741" s="1" t="str">
        <f>"157"</f>
        <v>157</v>
      </c>
      <c r="J3741" s="1" t="str">
        <f t="shared" ref="J3741:N3741" si="2628">"0"</f>
        <v>0</v>
      </c>
      <c r="K3741" s="1" t="str">
        <f t="shared" si="2581"/>
        <v>103</v>
      </c>
      <c r="L3741" s="1" t="str">
        <f t="shared" si="2582"/>
        <v>47</v>
      </c>
      <c r="M3741" s="1" t="str">
        <f t="shared" si="2628"/>
        <v>0</v>
      </c>
      <c r="N3741" s="1" t="str">
        <f t="shared" si="2628"/>
        <v>0</v>
      </c>
      <c r="O3741" s="1" t="str">
        <f>"7"</f>
        <v>7</v>
      </c>
    </row>
    <row r="3742" s="1" customFormat="1" spans="1:15">
      <c r="A3742" s="1" t="str">
        <f t="shared" si="2597"/>
        <v>202406</v>
      </c>
      <c r="B3742" s="1" t="str">
        <f t="shared" si="2598"/>
        <v>150525100</v>
      </c>
      <c r="C3742" s="1" t="str">
        <f>"1014570249"</f>
        <v>1014570249</v>
      </c>
      <c r="D3742" s="1" t="str">
        <f>"152326195612023818"</f>
        <v>152326195612023818</v>
      </c>
      <c r="E3742" s="1" t="s">
        <v>3799</v>
      </c>
      <c r="F3742" s="1" t="s">
        <v>25</v>
      </c>
      <c r="G3742" s="1" t="s">
        <v>17</v>
      </c>
      <c r="H3742" s="1" t="str">
        <f>"68"</f>
        <v>68</v>
      </c>
      <c r="I3742" s="1" t="str">
        <f>"202.08"</f>
        <v>202.08</v>
      </c>
      <c r="J3742" s="1" t="str">
        <f t="shared" ref="J3742:J3796" si="2629">"0"</f>
        <v>0</v>
      </c>
      <c r="K3742" s="1" t="str">
        <f t="shared" si="2581"/>
        <v>103</v>
      </c>
      <c r="L3742" s="1" t="str">
        <f t="shared" si="2582"/>
        <v>47</v>
      </c>
      <c r="M3742" s="1" t="str">
        <f t="shared" ref="M3742:M3807" si="2630">"0"</f>
        <v>0</v>
      </c>
      <c r="N3742" s="1" t="str">
        <f>"45.96"</f>
        <v>45.96</v>
      </c>
      <c r="O3742" s="1" t="str">
        <f>"6.12"</f>
        <v>6.12</v>
      </c>
    </row>
    <row r="3743" s="1" customFormat="1" spans="1:15">
      <c r="A3743" s="1" t="str">
        <f t="shared" si="2597"/>
        <v>202406</v>
      </c>
      <c r="B3743" s="1" t="str">
        <f t="shared" si="2598"/>
        <v>150525100</v>
      </c>
      <c r="C3743" s="1" t="str">
        <f>"1014552425"</f>
        <v>1014552425</v>
      </c>
      <c r="D3743" s="1" t="str">
        <f>"152326196305263867"</f>
        <v>152326196305263867</v>
      </c>
      <c r="E3743" s="1" t="s">
        <v>3800</v>
      </c>
      <c r="F3743" s="1" t="s">
        <v>16</v>
      </c>
      <c r="G3743" s="1" t="s">
        <v>19</v>
      </c>
      <c r="H3743" s="1" t="str">
        <f>"61"</f>
        <v>61</v>
      </c>
      <c r="I3743" s="1" t="str">
        <f>"165.81"</f>
        <v>165.81</v>
      </c>
      <c r="J3743" s="1" t="str">
        <f t="shared" ref="J3743:N3743" si="2631">"0"</f>
        <v>0</v>
      </c>
      <c r="K3743" s="1" t="str">
        <f t="shared" si="2581"/>
        <v>103</v>
      </c>
      <c r="L3743" s="1" t="str">
        <f t="shared" si="2582"/>
        <v>47</v>
      </c>
      <c r="M3743" s="1" t="str">
        <f t="shared" si="2631"/>
        <v>0</v>
      </c>
      <c r="N3743" s="1" t="str">
        <f t="shared" si="2631"/>
        <v>0</v>
      </c>
      <c r="O3743" s="1" t="str">
        <f>"15.81"</f>
        <v>15.81</v>
      </c>
    </row>
    <row r="3744" s="1" customFormat="1" spans="1:15">
      <c r="A3744" s="1" t="str">
        <f t="shared" si="2597"/>
        <v>202406</v>
      </c>
      <c r="B3744" s="1" t="str">
        <f t="shared" si="2598"/>
        <v>150525100</v>
      </c>
      <c r="C3744" s="1" t="str">
        <f>"1014552429"</f>
        <v>1014552429</v>
      </c>
      <c r="D3744" s="1" t="str">
        <f>"152326196105133822"</f>
        <v>152326196105133822</v>
      </c>
      <c r="E3744" s="1" t="s">
        <v>3801</v>
      </c>
      <c r="F3744" s="1" t="s">
        <v>16</v>
      </c>
      <c r="G3744" s="1" t="s">
        <v>17</v>
      </c>
      <c r="H3744" s="1" t="str">
        <f>"63"</f>
        <v>63</v>
      </c>
      <c r="I3744" s="1" t="str">
        <f>"160.38"</f>
        <v>160.38</v>
      </c>
      <c r="J3744" s="1" t="str">
        <f t="shared" ref="J3744:N3744" si="2632">"0"</f>
        <v>0</v>
      </c>
      <c r="K3744" s="1" t="str">
        <f t="shared" si="2581"/>
        <v>103</v>
      </c>
      <c r="L3744" s="1" t="str">
        <f t="shared" si="2582"/>
        <v>47</v>
      </c>
      <c r="M3744" s="1" t="str">
        <f t="shared" si="2632"/>
        <v>0</v>
      </c>
      <c r="N3744" s="1" t="str">
        <f t="shared" si="2632"/>
        <v>0</v>
      </c>
      <c r="O3744" s="1" t="str">
        <f>"10.38"</f>
        <v>10.38</v>
      </c>
    </row>
    <row r="3745" s="1" customFormat="1" spans="1:15">
      <c r="A3745" s="1" t="str">
        <f t="shared" si="2597"/>
        <v>202406</v>
      </c>
      <c r="B3745" s="1" t="str">
        <f t="shared" si="2598"/>
        <v>150525100</v>
      </c>
      <c r="C3745" s="1" t="str">
        <f>"1014576353"</f>
        <v>1014576353</v>
      </c>
      <c r="D3745" s="1" t="str">
        <f>"152326196310030670"</f>
        <v>152326196310030670</v>
      </c>
      <c r="E3745" s="1" t="s">
        <v>3802</v>
      </c>
      <c r="F3745" s="1" t="s">
        <v>25</v>
      </c>
      <c r="G3745" s="1" t="s">
        <v>19</v>
      </c>
      <c r="H3745" s="1" t="str">
        <f>"61"</f>
        <v>61</v>
      </c>
      <c r="I3745" s="1" t="str">
        <f>"999.36"</f>
        <v>999.36</v>
      </c>
      <c r="J3745" s="1" t="str">
        <f>"832.8"</f>
        <v>832.8</v>
      </c>
      <c r="K3745" s="1" t="str">
        <f>"618"</f>
        <v>618</v>
      </c>
      <c r="L3745" s="1" t="str">
        <f>"282"</f>
        <v>282</v>
      </c>
      <c r="M3745" s="1" t="str">
        <f t="shared" si="2630"/>
        <v>0</v>
      </c>
      <c r="N3745" s="1" t="str">
        <f t="shared" ref="N3745:N3766" si="2633">"0"</f>
        <v>0</v>
      </c>
      <c r="O3745" s="1" t="str">
        <f>"99.36"</f>
        <v>99.36</v>
      </c>
    </row>
    <row r="3746" s="1" customFormat="1" spans="1:15">
      <c r="A3746" s="1" t="str">
        <f t="shared" si="2597"/>
        <v>202406</v>
      </c>
      <c r="B3746" s="1" t="str">
        <f t="shared" si="2598"/>
        <v>150525100</v>
      </c>
      <c r="C3746" s="1" t="str">
        <f>"1014576354"</f>
        <v>1014576354</v>
      </c>
      <c r="D3746" s="1" t="str">
        <f>"152326196402020680"</f>
        <v>152326196402020680</v>
      </c>
      <c r="E3746" s="1" t="s">
        <v>1005</v>
      </c>
      <c r="F3746" s="1" t="s">
        <v>16</v>
      </c>
      <c r="G3746" s="1" t="s">
        <v>19</v>
      </c>
      <c r="H3746" s="1" t="str">
        <f>"60"</f>
        <v>60</v>
      </c>
      <c r="I3746" s="1" t="str">
        <f>"408.93"</f>
        <v>408.93</v>
      </c>
      <c r="J3746" s="1" t="str">
        <f t="shared" si="2629"/>
        <v>0</v>
      </c>
      <c r="K3746" s="1" t="str">
        <f t="shared" ref="K3746:K3796" si="2634">"103"</f>
        <v>103</v>
      </c>
      <c r="L3746" s="1" t="str">
        <f t="shared" ref="L3746:L3796" si="2635">"47"</f>
        <v>47</v>
      </c>
      <c r="M3746" s="1" t="str">
        <f t="shared" si="2630"/>
        <v>0</v>
      </c>
      <c r="N3746" s="1" t="str">
        <f t="shared" si="2633"/>
        <v>0</v>
      </c>
      <c r="O3746" s="1" t="str">
        <f>"258.93"</f>
        <v>258.93</v>
      </c>
    </row>
    <row r="3747" s="1" customFormat="1" spans="1:15">
      <c r="A3747" s="1" t="str">
        <f t="shared" si="2597"/>
        <v>202406</v>
      </c>
      <c r="B3747" s="1" t="str">
        <f t="shared" si="2598"/>
        <v>150525100</v>
      </c>
      <c r="C3747" s="1" t="str">
        <f>"1014576527"</f>
        <v>1014576527</v>
      </c>
      <c r="D3747" s="1" t="str">
        <f>"152326196403066373"</f>
        <v>152326196403066373</v>
      </c>
      <c r="E3747" s="1" t="s">
        <v>3803</v>
      </c>
      <c r="F3747" s="1" t="s">
        <v>25</v>
      </c>
      <c r="G3747" s="1" t="s">
        <v>19</v>
      </c>
      <c r="H3747" s="1" t="str">
        <f>"60"</f>
        <v>60</v>
      </c>
      <c r="I3747" s="1" t="str">
        <f>"171.45"</f>
        <v>171.45</v>
      </c>
      <c r="J3747" s="1" t="str">
        <f t="shared" si="2629"/>
        <v>0</v>
      </c>
      <c r="K3747" s="1" t="str">
        <f t="shared" si="2634"/>
        <v>103</v>
      </c>
      <c r="L3747" s="1" t="str">
        <f t="shared" si="2635"/>
        <v>47</v>
      </c>
      <c r="M3747" s="1" t="str">
        <f t="shared" si="2630"/>
        <v>0</v>
      </c>
      <c r="N3747" s="1" t="str">
        <f t="shared" si="2633"/>
        <v>0</v>
      </c>
      <c r="O3747" s="1" t="str">
        <f>"21.45"</f>
        <v>21.45</v>
      </c>
    </row>
    <row r="3748" s="1" customFormat="1" spans="1:15">
      <c r="A3748" s="1" t="str">
        <f t="shared" si="2597"/>
        <v>202406</v>
      </c>
      <c r="B3748" s="1" t="str">
        <f t="shared" si="2598"/>
        <v>150525100</v>
      </c>
      <c r="C3748" s="1" t="str">
        <f>"1014576721"</f>
        <v>1014576721</v>
      </c>
      <c r="D3748" s="1" t="str">
        <f>"152326195504060670"</f>
        <v>152326195504060670</v>
      </c>
      <c r="E3748" s="1" t="s">
        <v>3804</v>
      </c>
      <c r="F3748" s="1" t="s">
        <v>25</v>
      </c>
      <c r="G3748" s="1" t="s">
        <v>17</v>
      </c>
      <c r="H3748" s="1" t="str">
        <f>"69"</f>
        <v>69</v>
      </c>
      <c r="I3748" s="1" t="str">
        <f>"155.1"</f>
        <v>155.1</v>
      </c>
      <c r="J3748" s="1" t="str">
        <f t="shared" si="2629"/>
        <v>0</v>
      </c>
      <c r="K3748" s="1" t="str">
        <f t="shared" si="2634"/>
        <v>103</v>
      </c>
      <c r="L3748" s="1" t="str">
        <f t="shared" si="2635"/>
        <v>47</v>
      </c>
      <c r="M3748" s="1" t="str">
        <f t="shared" si="2630"/>
        <v>0</v>
      </c>
      <c r="N3748" s="1" t="str">
        <f t="shared" si="2633"/>
        <v>0</v>
      </c>
      <c r="O3748" s="1" t="str">
        <f>"5.1"</f>
        <v>5.1</v>
      </c>
    </row>
    <row r="3749" s="1" customFormat="1" spans="1:15">
      <c r="A3749" s="1" t="str">
        <f t="shared" si="2597"/>
        <v>202406</v>
      </c>
      <c r="B3749" s="1" t="str">
        <f t="shared" si="2598"/>
        <v>150525100</v>
      </c>
      <c r="C3749" s="1" t="str">
        <f>"1014576731"</f>
        <v>1014576731</v>
      </c>
      <c r="D3749" s="1" t="str">
        <f>"152326195509170676"</f>
        <v>152326195509170676</v>
      </c>
      <c r="E3749" s="1" t="s">
        <v>3805</v>
      </c>
      <c r="F3749" s="1" t="s">
        <v>25</v>
      </c>
      <c r="G3749" s="1" t="s">
        <v>17</v>
      </c>
      <c r="H3749" s="1" t="str">
        <f>"69"</f>
        <v>69</v>
      </c>
      <c r="I3749" s="1" t="str">
        <f>"155.1"</f>
        <v>155.1</v>
      </c>
      <c r="J3749" s="1" t="str">
        <f t="shared" si="2629"/>
        <v>0</v>
      </c>
      <c r="K3749" s="1" t="str">
        <f t="shared" si="2634"/>
        <v>103</v>
      </c>
      <c r="L3749" s="1" t="str">
        <f t="shared" si="2635"/>
        <v>47</v>
      </c>
      <c r="M3749" s="1" t="str">
        <f t="shared" si="2630"/>
        <v>0</v>
      </c>
      <c r="N3749" s="1" t="str">
        <f t="shared" si="2633"/>
        <v>0</v>
      </c>
      <c r="O3749" s="1" t="str">
        <f>"5.1"</f>
        <v>5.1</v>
      </c>
    </row>
    <row r="3750" s="1" customFormat="1" spans="1:15">
      <c r="A3750" s="1" t="str">
        <f t="shared" si="2597"/>
        <v>202406</v>
      </c>
      <c r="B3750" s="1" t="str">
        <f t="shared" si="2598"/>
        <v>150525100</v>
      </c>
      <c r="C3750" s="1" t="str">
        <f>"1014548187"</f>
        <v>1014548187</v>
      </c>
      <c r="D3750" s="1" t="str">
        <f>"152326196301133838"</f>
        <v>152326196301133838</v>
      </c>
      <c r="E3750" s="1" t="s">
        <v>3806</v>
      </c>
      <c r="F3750" s="1" t="s">
        <v>25</v>
      </c>
      <c r="G3750" s="1" t="s">
        <v>19</v>
      </c>
      <c r="H3750" s="1" t="str">
        <f>"61"</f>
        <v>61</v>
      </c>
      <c r="I3750" s="1" t="str">
        <f>"164.93"</f>
        <v>164.93</v>
      </c>
      <c r="J3750" s="1" t="str">
        <f t="shared" si="2629"/>
        <v>0</v>
      </c>
      <c r="K3750" s="1" t="str">
        <f t="shared" si="2634"/>
        <v>103</v>
      </c>
      <c r="L3750" s="1" t="str">
        <f t="shared" si="2635"/>
        <v>47</v>
      </c>
      <c r="M3750" s="1" t="str">
        <f t="shared" si="2630"/>
        <v>0</v>
      </c>
      <c r="N3750" s="1" t="str">
        <f t="shared" si="2633"/>
        <v>0</v>
      </c>
      <c r="O3750" s="1" t="str">
        <f>"14.93"</f>
        <v>14.93</v>
      </c>
    </row>
    <row r="3751" s="1" customFormat="1" spans="1:15">
      <c r="A3751" s="1" t="str">
        <f t="shared" si="2597"/>
        <v>202406</v>
      </c>
      <c r="B3751" s="1" t="str">
        <f t="shared" si="2598"/>
        <v>150525100</v>
      </c>
      <c r="C3751" s="1" t="str">
        <f>"1014548189"</f>
        <v>1014548189</v>
      </c>
      <c r="D3751" s="1" t="str">
        <f>"152326196209023820"</f>
        <v>152326196209023820</v>
      </c>
      <c r="E3751" s="1" t="s">
        <v>3807</v>
      </c>
      <c r="F3751" s="1" t="s">
        <v>16</v>
      </c>
      <c r="G3751" s="1" t="s">
        <v>19</v>
      </c>
      <c r="H3751" s="1" t="str">
        <f>"62"</f>
        <v>62</v>
      </c>
      <c r="I3751" s="1" t="str">
        <f>"163.14"</f>
        <v>163.14</v>
      </c>
      <c r="J3751" s="1" t="str">
        <f t="shared" si="2629"/>
        <v>0</v>
      </c>
      <c r="K3751" s="1" t="str">
        <f t="shared" si="2634"/>
        <v>103</v>
      </c>
      <c r="L3751" s="1" t="str">
        <f t="shared" si="2635"/>
        <v>47</v>
      </c>
      <c r="M3751" s="1" t="str">
        <f t="shared" si="2630"/>
        <v>0</v>
      </c>
      <c r="N3751" s="1" t="str">
        <f t="shared" si="2633"/>
        <v>0</v>
      </c>
      <c r="O3751" s="1" t="str">
        <f>"13.14"</f>
        <v>13.14</v>
      </c>
    </row>
    <row r="3752" s="1" customFormat="1" spans="1:15">
      <c r="A3752" s="1" t="str">
        <f t="shared" si="2597"/>
        <v>202406</v>
      </c>
      <c r="B3752" s="1" t="str">
        <f t="shared" si="2598"/>
        <v>150525100</v>
      </c>
      <c r="C3752" s="1" t="str">
        <f>"1014576989"</f>
        <v>1014576989</v>
      </c>
      <c r="D3752" s="1" t="str">
        <f>"152326195312220684"</f>
        <v>152326195312220684</v>
      </c>
      <c r="E3752" s="1" t="s">
        <v>3808</v>
      </c>
      <c r="F3752" s="1" t="s">
        <v>16</v>
      </c>
      <c r="G3752" s="1" t="s">
        <v>17</v>
      </c>
      <c r="H3752" s="1" t="str">
        <f>"71"</f>
        <v>71</v>
      </c>
      <c r="I3752" s="1" t="str">
        <f>"163.16"</f>
        <v>163.16</v>
      </c>
      <c r="J3752" s="1" t="str">
        <f t="shared" si="2629"/>
        <v>0</v>
      </c>
      <c r="K3752" s="1" t="str">
        <f t="shared" si="2634"/>
        <v>103</v>
      </c>
      <c r="L3752" s="1" t="str">
        <f t="shared" si="2635"/>
        <v>47</v>
      </c>
      <c r="M3752" s="1" t="str">
        <f t="shared" si="2630"/>
        <v>0</v>
      </c>
      <c r="N3752" s="1" t="str">
        <f t="shared" si="2633"/>
        <v>0</v>
      </c>
      <c r="O3752" s="1" t="str">
        <f>"3.16"</f>
        <v>3.16</v>
      </c>
    </row>
    <row r="3753" s="1" customFormat="1" spans="1:15">
      <c r="A3753" s="1" t="str">
        <f t="shared" si="2597"/>
        <v>202406</v>
      </c>
      <c r="B3753" s="1" t="str">
        <f t="shared" si="2598"/>
        <v>150525100</v>
      </c>
      <c r="C3753" s="1" t="str">
        <f>"1014548233"</f>
        <v>1014548233</v>
      </c>
      <c r="D3753" s="1" t="str">
        <f>"152326195610193071"</f>
        <v>152326195610193071</v>
      </c>
      <c r="E3753" s="1" t="s">
        <v>3809</v>
      </c>
      <c r="F3753" s="1" t="s">
        <v>25</v>
      </c>
      <c r="G3753" s="1" t="s">
        <v>96</v>
      </c>
      <c r="H3753" s="1" t="str">
        <f t="shared" ref="H3753:H3756" si="2636">"68"</f>
        <v>68</v>
      </c>
      <c r="I3753" s="1" t="str">
        <f>"156.01"</f>
        <v>156.01</v>
      </c>
      <c r="J3753" s="1" t="str">
        <f t="shared" si="2629"/>
        <v>0</v>
      </c>
      <c r="K3753" s="1" t="str">
        <f t="shared" si="2634"/>
        <v>103</v>
      </c>
      <c r="L3753" s="1" t="str">
        <f t="shared" si="2635"/>
        <v>47</v>
      </c>
      <c r="M3753" s="1" t="str">
        <f t="shared" si="2630"/>
        <v>0</v>
      </c>
      <c r="N3753" s="1" t="str">
        <f t="shared" si="2633"/>
        <v>0</v>
      </c>
      <c r="O3753" s="1" t="str">
        <f>"6.01"</f>
        <v>6.01</v>
      </c>
    </row>
    <row r="3754" s="1" customFormat="1" spans="1:15">
      <c r="A3754" s="1" t="str">
        <f t="shared" si="2597"/>
        <v>202406</v>
      </c>
      <c r="B3754" s="1" t="str">
        <f t="shared" si="2598"/>
        <v>150525100</v>
      </c>
      <c r="C3754" s="1" t="str">
        <f>"1014570309"</f>
        <v>1014570309</v>
      </c>
      <c r="D3754" s="1" t="str">
        <f>"152326196210103836"</f>
        <v>152326196210103836</v>
      </c>
      <c r="E3754" s="1" t="s">
        <v>3810</v>
      </c>
      <c r="F3754" s="1" t="s">
        <v>25</v>
      </c>
      <c r="G3754" s="1" t="s">
        <v>19</v>
      </c>
      <c r="H3754" s="1" t="str">
        <f>"62"</f>
        <v>62</v>
      </c>
      <c r="I3754" s="1" t="str">
        <f>"163.16"</f>
        <v>163.16</v>
      </c>
      <c r="J3754" s="1" t="str">
        <f t="shared" si="2629"/>
        <v>0</v>
      </c>
      <c r="K3754" s="1" t="str">
        <f t="shared" si="2634"/>
        <v>103</v>
      </c>
      <c r="L3754" s="1" t="str">
        <f t="shared" si="2635"/>
        <v>47</v>
      </c>
      <c r="M3754" s="1" t="str">
        <f t="shared" si="2630"/>
        <v>0</v>
      </c>
      <c r="N3754" s="1" t="str">
        <f t="shared" si="2633"/>
        <v>0</v>
      </c>
      <c r="O3754" s="1" t="str">
        <f>"13.16"</f>
        <v>13.16</v>
      </c>
    </row>
    <row r="3755" s="1" customFormat="1" spans="1:15">
      <c r="A3755" s="1" t="str">
        <f t="shared" si="2597"/>
        <v>202406</v>
      </c>
      <c r="B3755" s="1" t="str">
        <f t="shared" si="2598"/>
        <v>150525100</v>
      </c>
      <c r="C3755" s="1" t="str">
        <f>"1014570428"</f>
        <v>1014570428</v>
      </c>
      <c r="D3755" s="1" t="s">
        <v>3811</v>
      </c>
      <c r="E3755" s="1" t="s">
        <v>3812</v>
      </c>
      <c r="F3755" s="1" t="s">
        <v>16</v>
      </c>
      <c r="G3755" s="1" t="s">
        <v>17</v>
      </c>
      <c r="H3755" s="1" t="str">
        <f t="shared" si="2636"/>
        <v>68</v>
      </c>
      <c r="I3755" s="1" t="str">
        <f>"156.02"</f>
        <v>156.02</v>
      </c>
      <c r="J3755" s="1" t="str">
        <f t="shared" si="2629"/>
        <v>0</v>
      </c>
      <c r="K3755" s="1" t="str">
        <f t="shared" si="2634"/>
        <v>103</v>
      </c>
      <c r="L3755" s="1" t="str">
        <f t="shared" si="2635"/>
        <v>47</v>
      </c>
      <c r="M3755" s="1" t="str">
        <f t="shared" si="2630"/>
        <v>0</v>
      </c>
      <c r="N3755" s="1" t="str">
        <f t="shared" si="2633"/>
        <v>0</v>
      </c>
      <c r="O3755" s="1" t="str">
        <f>"6.02"</f>
        <v>6.02</v>
      </c>
    </row>
    <row r="3756" s="1" customFormat="1" spans="1:15">
      <c r="A3756" s="1" t="str">
        <f t="shared" si="2597"/>
        <v>202406</v>
      </c>
      <c r="B3756" s="1" t="str">
        <f t="shared" si="2598"/>
        <v>150525100</v>
      </c>
      <c r="C3756" s="1" t="str">
        <f>"1014572380"</f>
        <v>1014572380</v>
      </c>
      <c r="D3756" s="1" t="str">
        <f>"152326195607250020"</f>
        <v>152326195607250020</v>
      </c>
      <c r="E3756" s="1" t="s">
        <v>3813</v>
      </c>
      <c r="F3756" s="1" t="s">
        <v>16</v>
      </c>
      <c r="G3756" s="1" t="s">
        <v>19</v>
      </c>
      <c r="H3756" s="1" t="str">
        <f t="shared" si="2636"/>
        <v>68</v>
      </c>
      <c r="I3756" s="1" t="str">
        <f>"186.74"</f>
        <v>186.74</v>
      </c>
      <c r="J3756" s="1" t="str">
        <f t="shared" si="2629"/>
        <v>0</v>
      </c>
      <c r="K3756" s="1" t="str">
        <f t="shared" si="2634"/>
        <v>103</v>
      </c>
      <c r="L3756" s="1" t="str">
        <f t="shared" si="2635"/>
        <v>47</v>
      </c>
      <c r="M3756" s="1" t="str">
        <f t="shared" si="2630"/>
        <v>0</v>
      </c>
      <c r="N3756" s="1" t="str">
        <f t="shared" si="2633"/>
        <v>0</v>
      </c>
      <c r="O3756" s="1" t="str">
        <f>"36.74"</f>
        <v>36.74</v>
      </c>
    </row>
    <row r="3757" s="1" customFormat="1" spans="1:15">
      <c r="A3757" s="1" t="str">
        <f t="shared" si="2597"/>
        <v>202406</v>
      </c>
      <c r="B3757" s="1" t="str">
        <f t="shared" si="2598"/>
        <v>150525100</v>
      </c>
      <c r="C3757" s="1" t="str">
        <f>"1014552485"</f>
        <v>1014552485</v>
      </c>
      <c r="D3757" s="1" t="str">
        <f>"152326196211053818"</f>
        <v>152326196211053818</v>
      </c>
      <c r="E3757" s="1" t="s">
        <v>3814</v>
      </c>
      <c r="F3757" s="1" t="s">
        <v>25</v>
      </c>
      <c r="G3757" s="1" t="s">
        <v>19</v>
      </c>
      <c r="H3757" s="1" t="str">
        <f>"62"</f>
        <v>62</v>
      </c>
      <c r="I3757" s="1" t="str">
        <f>"163.19"</f>
        <v>163.19</v>
      </c>
      <c r="J3757" s="1" t="str">
        <f t="shared" si="2629"/>
        <v>0</v>
      </c>
      <c r="K3757" s="1" t="str">
        <f t="shared" si="2634"/>
        <v>103</v>
      </c>
      <c r="L3757" s="1" t="str">
        <f t="shared" si="2635"/>
        <v>47</v>
      </c>
      <c r="M3757" s="1" t="str">
        <f t="shared" si="2630"/>
        <v>0</v>
      </c>
      <c r="N3757" s="1" t="str">
        <f t="shared" si="2633"/>
        <v>0</v>
      </c>
      <c r="O3757" s="1" t="str">
        <f>"13.19"</f>
        <v>13.19</v>
      </c>
    </row>
    <row r="3758" s="1" customFormat="1" spans="1:15">
      <c r="A3758" s="1" t="str">
        <f t="shared" si="2597"/>
        <v>202406</v>
      </c>
      <c r="B3758" s="1" t="str">
        <f t="shared" si="2598"/>
        <v>150525100</v>
      </c>
      <c r="C3758" s="1" t="str">
        <f>"1014552494"</f>
        <v>1014552494</v>
      </c>
      <c r="D3758" s="1" t="str">
        <f>"152326195209163837"</f>
        <v>152326195209163837</v>
      </c>
      <c r="E3758" s="1" t="s">
        <v>115</v>
      </c>
      <c r="F3758" s="1" t="s">
        <v>25</v>
      </c>
      <c r="G3758" s="1" t="s">
        <v>17</v>
      </c>
      <c r="H3758" s="1" t="str">
        <f t="shared" ref="H3758:H3760" si="2637">"72"</f>
        <v>72</v>
      </c>
      <c r="I3758" s="1" t="str">
        <f>"176.28"</f>
        <v>176.28</v>
      </c>
      <c r="J3758" s="1" t="str">
        <f t="shared" si="2629"/>
        <v>0</v>
      </c>
      <c r="K3758" s="1" t="str">
        <f t="shared" si="2634"/>
        <v>103</v>
      </c>
      <c r="L3758" s="1" t="str">
        <f t="shared" si="2635"/>
        <v>47</v>
      </c>
      <c r="M3758" s="1" t="str">
        <f t="shared" si="2630"/>
        <v>0</v>
      </c>
      <c r="N3758" s="1" t="str">
        <f t="shared" si="2633"/>
        <v>0</v>
      </c>
      <c r="O3758" s="1" t="str">
        <f>"16.28"</f>
        <v>16.28</v>
      </c>
    </row>
    <row r="3759" s="1" customFormat="1" spans="1:15">
      <c r="A3759" s="1" t="str">
        <f t="shared" si="2597"/>
        <v>202406</v>
      </c>
      <c r="B3759" s="1" t="str">
        <f t="shared" si="2598"/>
        <v>150525100</v>
      </c>
      <c r="C3759" s="1" t="str">
        <f>"1014577032"</f>
        <v>1014577032</v>
      </c>
      <c r="D3759" s="1" t="s">
        <v>3815</v>
      </c>
      <c r="E3759" s="1" t="s">
        <v>2012</v>
      </c>
      <c r="F3759" s="1" t="s">
        <v>16</v>
      </c>
      <c r="G3759" s="1" t="s">
        <v>17</v>
      </c>
      <c r="H3759" s="1" t="str">
        <f t="shared" si="2637"/>
        <v>72</v>
      </c>
      <c r="I3759" s="1" t="str">
        <f>"162.14"</f>
        <v>162.14</v>
      </c>
      <c r="J3759" s="1" t="str">
        <f t="shared" si="2629"/>
        <v>0</v>
      </c>
      <c r="K3759" s="1" t="str">
        <f t="shared" si="2634"/>
        <v>103</v>
      </c>
      <c r="L3759" s="1" t="str">
        <f t="shared" si="2635"/>
        <v>47</v>
      </c>
      <c r="M3759" s="1" t="str">
        <f t="shared" si="2630"/>
        <v>0</v>
      </c>
      <c r="N3759" s="1" t="str">
        <f t="shared" si="2633"/>
        <v>0</v>
      </c>
      <c r="O3759" s="1" t="str">
        <f>"2.14"</f>
        <v>2.14</v>
      </c>
    </row>
    <row r="3760" s="1" customFormat="1" spans="1:15">
      <c r="A3760" s="1" t="str">
        <f t="shared" si="2597"/>
        <v>202406</v>
      </c>
      <c r="B3760" s="1" t="str">
        <f t="shared" si="2598"/>
        <v>150525100</v>
      </c>
      <c r="C3760" s="1" t="str">
        <f>"1014577036"</f>
        <v>1014577036</v>
      </c>
      <c r="D3760" s="1" t="str">
        <f>"152326195212130665"</f>
        <v>152326195212130665</v>
      </c>
      <c r="E3760" s="1" t="s">
        <v>3816</v>
      </c>
      <c r="F3760" s="1" t="s">
        <v>16</v>
      </c>
      <c r="G3760" s="1" t="s">
        <v>17</v>
      </c>
      <c r="H3760" s="1" t="str">
        <f t="shared" si="2637"/>
        <v>72</v>
      </c>
      <c r="I3760" s="1" t="str">
        <f>"162.14"</f>
        <v>162.14</v>
      </c>
      <c r="J3760" s="1" t="str">
        <f t="shared" si="2629"/>
        <v>0</v>
      </c>
      <c r="K3760" s="1" t="str">
        <f t="shared" si="2634"/>
        <v>103</v>
      </c>
      <c r="L3760" s="1" t="str">
        <f t="shared" si="2635"/>
        <v>47</v>
      </c>
      <c r="M3760" s="1" t="str">
        <f t="shared" si="2630"/>
        <v>0</v>
      </c>
      <c r="N3760" s="1" t="str">
        <f t="shared" si="2633"/>
        <v>0</v>
      </c>
      <c r="O3760" s="1" t="str">
        <f>"2.14"</f>
        <v>2.14</v>
      </c>
    </row>
    <row r="3761" s="1" customFormat="1" spans="1:15">
      <c r="A3761" s="1" t="str">
        <f t="shared" si="2597"/>
        <v>202406</v>
      </c>
      <c r="B3761" s="1" t="str">
        <f t="shared" si="2598"/>
        <v>150525100</v>
      </c>
      <c r="C3761" s="1" t="str">
        <f>"1014548257"</f>
        <v>1014548257</v>
      </c>
      <c r="D3761" s="1" t="s">
        <v>3817</v>
      </c>
      <c r="E3761" s="1" t="s">
        <v>3818</v>
      </c>
      <c r="F3761" s="1" t="s">
        <v>25</v>
      </c>
      <c r="G3761" s="1" t="s">
        <v>17</v>
      </c>
      <c r="H3761" s="1" t="str">
        <f>"67"</f>
        <v>67</v>
      </c>
      <c r="I3761" s="1" t="str">
        <f>"156.04"</f>
        <v>156.04</v>
      </c>
      <c r="J3761" s="1" t="str">
        <f t="shared" si="2629"/>
        <v>0</v>
      </c>
      <c r="K3761" s="1" t="str">
        <f t="shared" si="2634"/>
        <v>103</v>
      </c>
      <c r="L3761" s="1" t="str">
        <f t="shared" si="2635"/>
        <v>47</v>
      </c>
      <c r="M3761" s="1" t="str">
        <f t="shared" si="2630"/>
        <v>0</v>
      </c>
      <c r="N3761" s="1" t="str">
        <f t="shared" si="2633"/>
        <v>0</v>
      </c>
      <c r="O3761" s="1" t="str">
        <f>"6.04"</f>
        <v>6.04</v>
      </c>
    </row>
    <row r="3762" s="1" customFormat="1" spans="1:15">
      <c r="A3762" s="1" t="str">
        <f t="shared" si="2597"/>
        <v>202406</v>
      </c>
      <c r="B3762" s="1" t="str">
        <f t="shared" si="2598"/>
        <v>150525100</v>
      </c>
      <c r="C3762" s="1" t="str">
        <f>"1014548270"</f>
        <v>1014548270</v>
      </c>
      <c r="D3762" s="1" t="str">
        <f>"152326195503093817"</f>
        <v>152326195503093817</v>
      </c>
      <c r="E3762" s="1" t="s">
        <v>3819</v>
      </c>
      <c r="F3762" s="1" t="s">
        <v>25</v>
      </c>
      <c r="G3762" s="1" t="s">
        <v>19</v>
      </c>
      <c r="H3762" s="1" t="str">
        <f>"69"</f>
        <v>69</v>
      </c>
      <c r="I3762" s="1" t="str">
        <f>"155.1"</f>
        <v>155.1</v>
      </c>
      <c r="J3762" s="1" t="str">
        <f t="shared" si="2629"/>
        <v>0</v>
      </c>
      <c r="K3762" s="1" t="str">
        <f t="shared" si="2634"/>
        <v>103</v>
      </c>
      <c r="L3762" s="1" t="str">
        <f t="shared" si="2635"/>
        <v>47</v>
      </c>
      <c r="M3762" s="1" t="str">
        <f t="shared" si="2630"/>
        <v>0</v>
      </c>
      <c r="N3762" s="1" t="str">
        <f t="shared" si="2633"/>
        <v>0</v>
      </c>
      <c r="O3762" s="1" t="str">
        <f>"5.1"</f>
        <v>5.1</v>
      </c>
    </row>
    <row r="3763" s="1" customFormat="1" spans="1:15">
      <c r="A3763" s="1" t="str">
        <f t="shared" si="2597"/>
        <v>202406</v>
      </c>
      <c r="B3763" s="1" t="str">
        <f t="shared" si="2598"/>
        <v>150525100</v>
      </c>
      <c r="C3763" s="1" t="str">
        <f>"1014577055"</f>
        <v>1014577055</v>
      </c>
      <c r="D3763" s="1" t="str">
        <f>"152326195609160686"</f>
        <v>152326195609160686</v>
      </c>
      <c r="E3763" s="1" t="s">
        <v>3820</v>
      </c>
      <c r="F3763" s="1" t="s">
        <v>16</v>
      </c>
      <c r="G3763" s="1" t="s">
        <v>17</v>
      </c>
      <c r="H3763" s="1" t="str">
        <f t="shared" ref="H3763:H3766" si="2638">"68"</f>
        <v>68</v>
      </c>
      <c r="I3763" s="1" t="str">
        <f>"156.01"</f>
        <v>156.01</v>
      </c>
      <c r="J3763" s="1" t="str">
        <f t="shared" si="2629"/>
        <v>0</v>
      </c>
      <c r="K3763" s="1" t="str">
        <f t="shared" si="2634"/>
        <v>103</v>
      </c>
      <c r="L3763" s="1" t="str">
        <f t="shared" si="2635"/>
        <v>47</v>
      </c>
      <c r="M3763" s="1" t="str">
        <f t="shared" si="2630"/>
        <v>0</v>
      </c>
      <c r="N3763" s="1" t="str">
        <f t="shared" si="2633"/>
        <v>0</v>
      </c>
      <c r="O3763" s="1" t="str">
        <f>"6.01"</f>
        <v>6.01</v>
      </c>
    </row>
    <row r="3764" s="1" customFormat="1" spans="1:15">
      <c r="A3764" s="1" t="str">
        <f t="shared" si="2597"/>
        <v>202406</v>
      </c>
      <c r="B3764" s="1" t="str">
        <f t="shared" si="2598"/>
        <v>150525100</v>
      </c>
      <c r="C3764" s="1" t="str">
        <f>"1014548293"</f>
        <v>1014548293</v>
      </c>
      <c r="D3764" s="1" t="str">
        <f>"152326195606067638"</f>
        <v>152326195606067638</v>
      </c>
      <c r="E3764" s="1" t="s">
        <v>3821</v>
      </c>
      <c r="F3764" s="1" t="s">
        <v>25</v>
      </c>
      <c r="G3764" s="1" t="s">
        <v>19</v>
      </c>
      <c r="H3764" s="1" t="str">
        <f t="shared" si="2638"/>
        <v>68</v>
      </c>
      <c r="I3764" s="1" t="str">
        <f>"156.02"</f>
        <v>156.02</v>
      </c>
      <c r="J3764" s="1" t="str">
        <f t="shared" si="2629"/>
        <v>0</v>
      </c>
      <c r="K3764" s="1" t="str">
        <f t="shared" si="2634"/>
        <v>103</v>
      </c>
      <c r="L3764" s="1" t="str">
        <f t="shared" si="2635"/>
        <v>47</v>
      </c>
      <c r="M3764" s="1" t="str">
        <f t="shared" si="2630"/>
        <v>0</v>
      </c>
      <c r="N3764" s="1" t="str">
        <f t="shared" si="2633"/>
        <v>0</v>
      </c>
      <c r="O3764" s="1" t="str">
        <f>"6.02"</f>
        <v>6.02</v>
      </c>
    </row>
    <row r="3765" s="1" customFormat="1" spans="1:15">
      <c r="A3765" s="1" t="str">
        <f t="shared" si="2597"/>
        <v>202406</v>
      </c>
      <c r="B3765" s="1" t="str">
        <f t="shared" si="2598"/>
        <v>150525100</v>
      </c>
      <c r="C3765" s="1" t="str">
        <f>"1014548301"</f>
        <v>1014548301</v>
      </c>
      <c r="D3765" s="1" t="str">
        <f>"152326195707300662"</f>
        <v>152326195707300662</v>
      </c>
      <c r="E3765" s="1" t="s">
        <v>3822</v>
      </c>
      <c r="F3765" s="1" t="s">
        <v>16</v>
      </c>
      <c r="G3765" s="1" t="s">
        <v>19</v>
      </c>
      <c r="H3765" s="1" t="str">
        <f>"67"</f>
        <v>67</v>
      </c>
      <c r="I3765" s="1" t="str">
        <f>"156.07"</f>
        <v>156.07</v>
      </c>
      <c r="J3765" s="1" t="str">
        <f t="shared" si="2629"/>
        <v>0</v>
      </c>
      <c r="K3765" s="1" t="str">
        <f t="shared" si="2634"/>
        <v>103</v>
      </c>
      <c r="L3765" s="1" t="str">
        <f t="shared" si="2635"/>
        <v>47</v>
      </c>
      <c r="M3765" s="1" t="str">
        <f t="shared" si="2630"/>
        <v>0</v>
      </c>
      <c r="N3765" s="1" t="str">
        <f t="shared" si="2633"/>
        <v>0</v>
      </c>
      <c r="O3765" s="1" t="str">
        <f>"6.07"</f>
        <v>6.07</v>
      </c>
    </row>
    <row r="3766" s="1" customFormat="1" spans="1:15">
      <c r="A3766" s="1" t="str">
        <f t="shared" si="2597"/>
        <v>202406</v>
      </c>
      <c r="B3766" s="1" t="str">
        <f t="shared" si="2598"/>
        <v>150525100</v>
      </c>
      <c r="C3766" s="1" t="str">
        <f>"1014570338"</f>
        <v>1014570338</v>
      </c>
      <c r="D3766" s="1" t="str">
        <f>"152326195604223828"</f>
        <v>152326195604223828</v>
      </c>
      <c r="E3766" s="1" t="s">
        <v>519</v>
      </c>
      <c r="F3766" s="1" t="s">
        <v>16</v>
      </c>
      <c r="G3766" s="1" t="s">
        <v>19</v>
      </c>
      <c r="H3766" s="1" t="str">
        <f t="shared" si="2638"/>
        <v>68</v>
      </c>
      <c r="I3766" s="1" t="str">
        <f>"156.02"</f>
        <v>156.02</v>
      </c>
      <c r="J3766" s="1" t="str">
        <f t="shared" si="2629"/>
        <v>0</v>
      </c>
      <c r="K3766" s="1" t="str">
        <f t="shared" si="2634"/>
        <v>103</v>
      </c>
      <c r="L3766" s="1" t="str">
        <f t="shared" si="2635"/>
        <v>47</v>
      </c>
      <c r="M3766" s="1" t="str">
        <f t="shared" si="2630"/>
        <v>0</v>
      </c>
      <c r="N3766" s="1" t="str">
        <f t="shared" si="2633"/>
        <v>0</v>
      </c>
      <c r="O3766" s="1" t="str">
        <f>"6.02"</f>
        <v>6.02</v>
      </c>
    </row>
    <row r="3767" s="1" customFormat="1" spans="1:15">
      <c r="A3767" s="1" t="str">
        <f t="shared" si="2597"/>
        <v>202406</v>
      </c>
      <c r="B3767" s="1" t="str">
        <f t="shared" si="2598"/>
        <v>150525100</v>
      </c>
      <c r="C3767" s="1" t="str">
        <f>"1014572298"</f>
        <v>1014572298</v>
      </c>
      <c r="D3767" s="1" t="str">
        <f>"152326195807073081"</f>
        <v>152326195807073081</v>
      </c>
      <c r="E3767" s="1" t="s">
        <v>3823</v>
      </c>
      <c r="F3767" s="1" t="s">
        <v>16</v>
      </c>
      <c r="G3767" s="1" t="s">
        <v>96</v>
      </c>
      <c r="H3767" s="1" t="str">
        <f>"66"</f>
        <v>66</v>
      </c>
      <c r="I3767" s="1" t="str">
        <f>"181.36"</f>
        <v>181.36</v>
      </c>
      <c r="J3767" s="1" t="str">
        <f t="shared" si="2629"/>
        <v>0</v>
      </c>
      <c r="K3767" s="1" t="str">
        <f t="shared" si="2634"/>
        <v>103</v>
      </c>
      <c r="L3767" s="1" t="str">
        <f t="shared" si="2635"/>
        <v>47</v>
      </c>
      <c r="M3767" s="1" t="str">
        <f t="shared" si="2630"/>
        <v>0</v>
      </c>
      <c r="N3767" s="1" t="str">
        <f>"24.49"</f>
        <v>24.49</v>
      </c>
      <c r="O3767" s="1" t="str">
        <f>"6.87"</f>
        <v>6.87</v>
      </c>
    </row>
    <row r="3768" s="1" customFormat="1" spans="1:15">
      <c r="A3768" s="1" t="str">
        <f t="shared" si="2597"/>
        <v>202406</v>
      </c>
      <c r="B3768" s="1" t="str">
        <f t="shared" si="2598"/>
        <v>150525100</v>
      </c>
      <c r="C3768" s="1" t="str">
        <f>"1014572595"</f>
        <v>1014572595</v>
      </c>
      <c r="D3768" s="1" t="str">
        <f>"152326195611253099"</f>
        <v>152326195611253099</v>
      </c>
      <c r="E3768" s="1" t="s">
        <v>3824</v>
      </c>
      <c r="F3768" s="1" t="s">
        <v>25</v>
      </c>
      <c r="G3768" s="1" t="s">
        <v>19</v>
      </c>
      <c r="H3768" s="1" t="str">
        <f>"68"</f>
        <v>68</v>
      </c>
      <c r="I3768" s="1" t="str">
        <f>"156.01"</f>
        <v>156.01</v>
      </c>
      <c r="J3768" s="1" t="str">
        <f t="shared" si="2629"/>
        <v>0</v>
      </c>
      <c r="K3768" s="1" t="str">
        <f t="shared" si="2634"/>
        <v>103</v>
      </c>
      <c r="L3768" s="1" t="str">
        <f t="shared" si="2635"/>
        <v>47</v>
      </c>
      <c r="M3768" s="1" t="str">
        <f t="shared" si="2630"/>
        <v>0</v>
      </c>
      <c r="N3768" s="1" t="str">
        <f t="shared" ref="N3768:N3813" si="2639">"0"</f>
        <v>0</v>
      </c>
      <c r="O3768" s="1" t="str">
        <f>"6.01"</f>
        <v>6.01</v>
      </c>
    </row>
    <row r="3769" s="1" customFormat="1" spans="1:15">
      <c r="A3769" s="1" t="str">
        <f t="shared" si="2597"/>
        <v>202406</v>
      </c>
      <c r="B3769" s="1" t="str">
        <f t="shared" si="2598"/>
        <v>150525100</v>
      </c>
      <c r="C3769" s="1" t="str">
        <f>"1014572596"</f>
        <v>1014572596</v>
      </c>
      <c r="D3769" s="1" t="str">
        <f>"152326195612080927"</f>
        <v>152326195612080927</v>
      </c>
      <c r="E3769" s="1" t="s">
        <v>3825</v>
      </c>
      <c r="F3769" s="1" t="s">
        <v>16</v>
      </c>
      <c r="G3769" s="1" t="s">
        <v>19</v>
      </c>
      <c r="H3769" s="1" t="str">
        <f>"68"</f>
        <v>68</v>
      </c>
      <c r="I3769" s="1" t="str">
        <f>"155.52"</f>
        <v>155.52</v>
      </c>
      <c r="J3769" s="1" t="str">
        <f t="shared" si="2629"/>
        <v>0</v>
      </c>
      <c r="K3769" s="1" t="str">
        <f t="shared" si="2634"/>
        <v>103</v>
      </c>
      <c r="L3769" s="1" t="str">
        <f t="shared" si="2635"/>
        <v>47</v>
      </c>
      <c r="M3769" s="1" t="str">
        <f t="shared" si="2630"/>
        <v>0</v>
      </c>
      <c r="N3769" s="1" t="str">
        <f t="shared" si="2639"/>
        <v>0</v>
      </c>
      <c r="O3769" s="1" t="str">
        <f>"5.52"</f>
        <v>5.52</v>
      </c>
    </row>
    <row r="3770" s="1" customFormat="1" spans="1:15">
      <c r="A3770" s="1" t="str">
        <f t="shared" si="2597"/>
        <v>202406</v>
      </c>
      <c r="B3770" s="1" t="str">
        <f t="shared" si="2598"/>
        <v>150525100</v>
      </c>
      <c r="C3770" s="1" t="str">
        <f>"1014572604"</f>
        <v>1014572604</v>
      </c>
      <c r="D3770" s="1" t="str">
        <f>"152326195707300929"</f>
        <v>152326195707300929</v>
      </c>
      <c r="E3770" s="1" t="s">
        <v>1449</v>
      </c>
      <c r="F3770" s="1" t="s">
        <v>16</v>
      </c>
      <c r="G3770" s="1" t="s">
        <v>19</v>
      </c>
      <c r="H3770" s="1" t="str">
        <f>"67"</f>
        <v>67</v>
      </c>
      <c r="I3770" s="1" t="str">
        <f>"155.58"</f>
        <v>155.58</v>
      </c>
      <c r="J3770" s="1" t="str">
        <f t="shared" si="2629"/>
        <v>0</v>
      </c>
      <c r="K3770" s="1" t="str">
        <f t="shared" si="2634"/>
        <v>103</v>
      </c>
      <c r="L3770" s="1" t="str">
        <f t="shared" si="2635"/>
        <v>47</v>
      </c>
      <c r="M3770" s="1" t="str">
        <f t="shared" si="2630"/>
        <v>0</v>
      </c>
      <c r="N3770" s="1" t="str">
        <f t="shared" si="2639"/>
        <v>0</v>
      </c>
      <c r="O3770" s="1" t="str">
        <f>"5.58"</f>
        <v>5.58</v>
      </c>
    </row>
    <row r="3771" s="1" customFormat="1" spans="1:15">
      <c r="A3771" s="1" t="str">
        <f t="shared" si="2597"/>
        <v>202406</v>
      </c>
      <c r="B3771" s="1" t="str">
        <f t="shared" si="2598"/>
        <v>150525100</v>
      </c>
      <c r="C3771" s="1" t="str">
        <f>"1014572605"</f>
        <v>1014572605</v>
      </c>
      <c r="D3771" s="1" t="str">
        <f>"152326195710183081"</f>
        <v>152326195710183081</v>
      </c>
      <c r="E3771" s="1" t="s">
        <v>3826</v>
      </c>
      <c r="F3771" s="1" t="s">
        <v>16</v>
      </c>
      <c r="G3771" s="1" t="s">
        <v>19</v>
      </c>
      <c r="H3771" s="1" t="str">
        <f>"67"</f>
        <v>67</v>
      </c>
      <c r="I3771" s="1" t="str">
        <f>"156.09"</f>
        <v>156.09</v>
      </c>
      <c r="J3771" s="1" t="str">
        <f t="shared" si="2629"/>
        <v>0</v>
      </c>
      <c r="K3771" s="1" t="str">
        <f t="shared" si="2634"/>
        <v>103</v>
      </c>
      <c r="L3771" s="1" t="str">
        <f t="shared" si="2635"/>
        <v>47</v>
      </c>
      <c r="M3771" s="1" t="str">
        <f t="shared" si="2630"/>
        <v>0</v>
      </c>
      <c r="N3771" s="1" t="str">
        <f t="shared" si="2639"/>
        <v>0</v>
      </c>
      <c r="O3771" s="1" t="str">
        <f>"6.09"</f>
        <v>6.09</v>
      </c>
    </row>
    <row r="3772" s="1" customFormat="1" spans="1:15">
      <c r="A3772" s="1" t="str">
        <f t="shared" si="2597"/>
        <v>202406</v>
      </c>
      <c r="B3772" s="1" t="str">
        <f t="shared" si="2598"/>
        <v>150525100</v>
      </c>
      <c r="C3772" s="1" t="str">
        <f>"1014572607"</f>
        <v>1014572607</v>
      </c>
      <c r="D3772" s="1" t="str">
        <f>"152326195802033080"</f>
        <v>152326195802033080</v>
      </c>
      <c r="E3772" s="1" t="s">
        <v>3827</v>
      </c>
      <c r="F3772" s="1" t="s">
        <v>16</v>
      </c>
      <c r="G3772" s="1" t="s">
        <v>19</v>
      </c>
      <c r="H3772" s="1" t="str">
        <f>"66"</f>
        <v>66</v>
      </c>
      <c r="I3772" s="1" t="str">
        <f>"157.07"</f>
        <v>157.07</v>
      </c>
      <c r="J3772" s="1" t="str">
        <f t="shared" si="2629"/>
        <v>0</v>
      </c>
      <c r="K3772" s="1" t="str">
        <f t="shared" si="2634"/>
        <v>103</v>
      </c>
      <c r="L3772" s="1" t="str">
        <f t="shared" si="2635"/>
        <v>47</v>
      </c>
      <c r="M3772" s="1" t="str">
        <f t="shared" si="2630"/>
        <v>0</v>
      </c>
      <c r="N3772" s="1" t="str">
        <f t="shared" si="2639"/>
        <v>0</v>
      </c>
      <c r="O3772" s="1" t="str">
        <f>"7.07"</f>
        <v>7.07</v>
      </c>
    </row>
    <row r="3773" s="1" customFormat="1" spans="1:15">
      <c r="A3773" s="1" t="str">
        <f t="shared" si="2597"/>
        <v>202406</v>
      </c>
      <c r="B3773" s="1" t="str">
        <f t="shared" si="2598"/>
        <v>150525100</v>
      </c>
      <c r="C3773" s="1" t="str">
        <f>"1014552547"</f>
        <v>1014552547</v>
      </c>
      <c r="D3773" s="1" t="str">
        <f>"152326195601013825"</f>
        <v>152326195601013825</v>
      </c>
      <c r="E3773" s="1" t="s">
        <v>3284</v>
      </c>
      <c r="F3773" s="1" t="s">
        <v>16</v>
      </c>
      <c r="G3773" s="1" t="s">
        <v>17</v>
      </c>
      <c r="H3773" s="1" t="str">
        <f>"69"</f>
        <v>69</v>
      </c>
      <c r="I3773" s="1" t="str">
        <f>"155.78"</f>
        <v>155.78</v>
      </c>
      <c r="J3773" s="1" t="str">
        <f t="shared" si="2629"/>
        <v>0</v>
      </c>
      <c r="K3773" s="1" t="str">
        <f t="shared" si="2634"/>
        <v>103</v>
      </c>
      <c r="L3773" s="1" t="str">
        <f t="shared" si="2635"/>
        <v>47</v>
      </c>
      <c r="M3773" s="1" t="str">
        <f t="shared" si="2630"/>
        <v>0</v>
      </c>
      <c r="N3773" s="1" t="str">
        <f t="shared" si="2639"/>
        <v>0</v>
      </c>
      <c r="O3773" s="1" t="str">
        <f>"5.78"</f>
        <v>5.78</v>
      </c>
    </row>
    <row r="3774" s="1" customFormat="1" spans="1:15">
      <c r="A3774" s="1" t="str">
        <f t="shared" si="2597"/>
        <v>202406</v>
      </c>
      <c r="B3774" s="1" t="str">
        <f t="shared" si="2598"/>
        <v>150525100</v>
      </c>
      <c r="C3774" s="1" t="str">
        <f>"1014548332"</f>
        <v>1014548332</v>
      </c>
      <c r="D3774" s="1" t="str">
        <f>"152326195201250661"</f>
        <v>152326195201250661</v>
      </c>
      <c r="E3774" s="1" t="s">
        <v>3828</v>
      </c>
      <c r="F3774" s="1" t="s">
        <v>16</v>
      </c>
      <c r="G3774" s="1" t="s">
        <v>17</v>
      </c>
      <c r="H3774" s="1" t="str">
        <f>"72"</f>
        <v>72</v>
      </c>
      <c r="I3774" s="1" t="str">
        <f>"162.15"</f>
        <v>162.15</v>
      </c>
      <c r="J3774" s="1" t="str">
        <f t="shared" si="2629"/>
        <v>0</v>
      </c>
      <c r="K3774" s="1" t="str">
        <f t="shared" si="2634"/>
        <v>103</v>
      </c>
      <c r="L3774" s="1" t="str">
        <f t="shared" si="2635"/>
        <v>47</v>
      </c>
      <c r="M3774" s="1" t="str">
        <f t="shared" si="2630"/>
        <v>0</v>
      </c>
      <c r="N3774" s="1" t="str">
        <f t="shared" si="2639"/>
        <v>0</v>
      </c>
      <c r="O3774" s="1" t="str">
        <f>"2.15"</f>
        <v>2.15</v>
      </c>
    </row>
    <row r="3775" s="1" customFormat="1" spans="1:15">
      <c r="A3775" s="1" t="str">
        <f t="shared" si="2597"/>
        <v>202406</v>
      </c>
      <c r="B3775" s="1" t="str">
        <f t="shared" si="2598"/>
        <v>150525100</v>
      </c>
      <c r="C3775" s="1" t="str">
        <f>"1014572337"</f>
        <v>1014572337</v>
      </c>
      <c r="D3775" s="1" t="s">
        <v>3829</v>
      </c>
      <c r="E3775" s="1" t="s">
        <v>3830</v>
      </c>
      <c r="F3775" s="1" t="s">
        <v>25</v>
      </c>
      <c r="G3775" s="1" t="s">
        <v>19</v>
      </c>
      <c r="H3775" s="1" t="str">
        <f>"61"</f>
        <v>61</v>
      </c>
      <c r="I3775" s="1" t="str">
        <f>"470.01"</f>
        <v>470.01</v>
      </c>
      <c r="J3775" s="1" t="str">
        <f t="shared" si="2629"/>
        <v>0</v>
      </c>
      <c r="K3775" s="1" t="str">
        <f t="shared" si="2634"/>
        <v>103</v>
      </c>
      <c r="L3775" s="1" t="str">
        <f t="shared" si="2635"/>
        <v>47</v>
      </c>
      <c r="M3775" s="1" t="str">
        <f t="shared" si="2630"/>
        <v>0</v>
      </c>
      <c r="N3775" s="1" t="str">
        <f t="shared" si="2639"/>
        <v>0</v>
      </c>
      <c r="O3775" s="1" t="str">
        <f>"320.01"</f>
        <v>320.01</v>
      </c>
    </row>
    <row r="3776" s="1" customFormat="1" spans="1:15">
      <c r="A3776" s="1" t="str">
        <f t="shared" si="2597"/>
        <v>202406</v>
      </c>
      <c r="B3776" s="1" t="str">
        <f t="shared" si="2598"/>
        <v>150525100</v>
      </c>
      <c r="C3776" s="1" t="str">
        <f>"1014572466"</f>
        <v>1014572466</v>
      </c>
      <c r="D3776" s="1" t="str">
        <f>"152326195309250911"</f>
        <v>152326195309250911</v>
      </c>
      <c r="E3776" s="1" t="s">
        <v>3831</v>
      </c>
      <c r="F3776" s="1" t="s">
        <v>25</v>
      </c>
      <c r="G3776" s="1" t="s">
        <v>19</v>
      </c>
      <c r="H3776" s="1" t="str">
        <f t="shared" ref="H3776:H3779" si="2640">"71"</f>
        <v>71</v>
      </c>
      <c r="I3776" s="1" t="str">
        <f>"162.91"</f>
        <v>162.91</v>
      </c>
      <c r="J3776" s="1" t="str">
        <f t="shared" si="2629"/>
        <v>0</v>
      </c>
      <c r="K3776" s="1" t="str">
        <f t="shared" si="2634"/>
        <v>103</v>
      </c>
      <c r="L3776" s="1" t="str">
        <f t="shared" si="2635"/>
        <v>47</v>
      </c>
      <c r="M3776" s="1" t="str">
        <f t="shared" si="2630"/>
        <v>0</v>
      </c>
      <c r="N3776" s="1" t="str">
        <f t="shared" si="2639"/>
        <v>0</v>
      </c>
      <c r="O3776" s="1" t="str">
        <f>"2.91"</f>
        <v>2.91</v>
      </c>
    </row>
    <row r="3777" s="1" customFormat="1" spans="1:15">
      <c r="A3777" s="1" t="str">
        <f t="shared" si="2597"/>
        <v>202406</v>
      </c>
      <c r="B3777" s="1" t="str">
        <f t="shared" si="2598"/>
        <v>150525100</v>
      </c>
      <c r="C3777" s="1" t="str">
        <f>"1014572571"</f>
        <v>1014572571</v>
      </c>
      <c r="D3777" s="1" t="str">
        <f>"152326195407153082"</f>
        <v>152326195407153082</v>
      </c>
      <c r="E3777" s="1" t="s">
        <v>3272</v>
      </c>
      <c r="F3777" s="1" t="s">
        <v>16</v>
      </c>
      <c r="G3777" s="1" t="s">
        <v>19</v>
      </c>
      <c r="H3777" s="1" t="str">
        <f>"70"</f>
        <v>70</v>
      </c>
      <c r="I3777" s="1" t="str">
        <f>"164.3"</f>
        <v>164.3</v>
      </c>
      <c r="J3777" s="1" t="str">
        <f t="shared" si="2629"/>
        <v>0</v>
      </c>
      <c r="K3777" s="1" t="str">
        <f t="shared" si="2634"/>
        <v>103</v>
      </c>
      <c r="L3777" s="1" t="str">
        <f t="shared" si="2635"/>
        <v>47</v>
      </c>
      <c r="M3777" s="1" t="str">
        <f t="shared" si="2630"/>
        <v>0</v>
      </c>
      <c r="N3777" s="1" t="str">
        <f t="shared" si="2639"/>
        <v>0</v>
      </c>
      <c r="O3777" s="1" t="str">
        <f>"14.3"</f>
        <v>14.3</v>
      </c>
    </row>
    <row r="3778" s="1" customFormat="1" spans="1:15">
      <c r="A3778" s="1" t="str">
        <f t="shared" ref="A3778:A3841" si="2641">"202406"</f>
        <v>202406</v>
      </c>
      <c r="B3778" s="1" t="str">
        <f t="shared" ref="B3778:B3841" si="2642">"150525100"</f>
        <v>150525100</v>
      </c>
      <c r="C3778" s="1" t="str">
        <f>"1014572630"</f>
        <v>1014572630</v>
      </c>
      <c r="D3778" s="1" t="str">
        <f>"152326195303060041"</f>
        <v>152326195303060041</v>
      </c>
      <c r="E3778" s="1" t="s">
        <v>3832</v>
      </c>
      <c r="F3778" s="1" t="s">
        <v>16</v>
      </c>
      <c r="G3778" s="1" t="s">
        <v>17</v>
      </c>
      <c r="H3778" s="1" t="str">
        <f t="shared" si="2640"/>
        <v>71</v>
      </c>
      <c r="I3778" s="1" t="str">
        <f>"163.16"</f>
        <v>163.16</v>
      </c>
      <c r="J3778" s="1" t="str">
        <f t="shared" si="2629"/>
        <v>0</v>
      </c>
      <c r="K3778" s="1" t="str">
        <f t="shared" si="2634"/>
        <v>103</v>
      </c>
      <c r="L3778" s="1" t="str">
        <f t="shared" si="2635"/>
        <v>47</v>
      </c>
      <c r="M3778" s="1" t="str">
        <f t="shared" si="2630"/>
        <v>0</v>
      </c>
      <c r="N3778" s="1" t="str">
        <f t="shared" si="2639"/>
        <v>0</v>
      </c>
      <c r="O3778" s="1" t="str">
        <f>"3.16"</f>
        <v>3.16</v>
      </c>
    </row>
    <row r="3779" s="1" customFormat="1" spans="1:15">
      <c r="A3779" s="1" t="str">
        <f t="shared" si="2641"/>
        <v>202406</v>
      </c>
      <c r="B3779" s="1" t="str">
        <f t="shared" si="2642"/>
        <v>150525100</v>
      </c>
      <c r="C3779" s="1" t="str">
        <f>"1014572636"</f>
        <v>1014572636</v>
      </c>
      <c r="D3779" s="1" t="str">
        <f>"152326195305200423"</f>
        <v>152326195305200423</v>
      </c>
      <c r="E3779" s="1" t="s">
        <v>3833</v>
      </c>
      <c r="F3779" s="1" t="s">
        <v>16</v>
      </c>
      <c r="G3779" s="1" t="s">
        <v>17</v>
      </c>
      <c r="H3779" s="1" t="str">
        <f t="shared" si="2640"/>
        <v>71</v>
      </c>
      <c r="I3779" s="1" t="str">
        <f>"163.16"</f>
        <v>163.16</v>
      </c>
      <c r="J3779" s="1" t="str">
        <f t="shared" si="2629"/>
        <v>0</v>
      </c>
      <c r="K3779" s="1" t="str">
        <f t="shared" si="2634"/>
        <v>103</v>
      </c>
      <c r="L3779" s="1" t="str">
        <f t="shared" si="2635"/>
        <v>47</v>
      </c>
      <c r="M3779" s="1" t="str">
        <f t="shared" si="2630"/>
        <v>0</v>
      </c>
      <c r="N3779" s="1" t="str">
        <f t="shared" si="2639"/>
        <v>0</v>
      </c>
      <c r="O3779" s="1" t="str">
        <f>"3.16"</f>
        <v>3.16</v>
      </c>
    </row>
    <row r="3780" s="1" customFormat="1" spans="1:15">
      <c r="A3780" s="1" t="str">
        <f t="shared" si="2641"/>
        <v>202406</v>
      </c>
      <c r="B3780" s="1" t="str">
        <f t="shared" si="2642"/>
        <v>150525100</v>
      </c>
      <c r="C3780" s="1" t="str">
        <f>"1014644449"</f>
        <v>1014644449</v>
      </c>
      <c r="D3780" s="1" t="str">
        <f>"152326196205103831"</f>
        <v>152326196205103831</v>
      </c>
      <c r="E3780" s="1" t="s">
        <v>3834</v>
      </c>
      <c r="F3780" s="1" t="s">
        <v>25</v>
      </c>
      <c r="G3780" s="1" t="s">
        <v>17</v>
      </c>
      <c r="H3780" s="1" t="str">
        <f t="shared" ref="H3780:H3783" si="2643">"62"</f>
        <v>62</v>
      </c>
      <c r="I3780" s="1" t="str">
        <f>"163.02"</f>
        <v>163.02</v>
      </c>
      <c r="J3780" s="1" t="str">
        <f t="shared" si="2629"/>
        <v>0</v>
      </c>
      <c r="K3780" s="1" t="str">
        <f t="shared" si="2634"/>
        <v>103</v>
      </c>
      <c r="L3780" s="1" t="str">
        <f t="shared" si="2635"/>
        <v>47</v>
      </c>
      <c r="M3780" s="1" t="str">
        <f t="shared" si="2630"/>
        <v>0</v>
      </c>
      <c r="N3780" s="1" t="str">
        <f t="shared" si="2639"/>
        <v>0</v>
      </c>
      <c r="O3780" s="1" t="str">
        <f>"13.02"</f>
        <v>13.02</v>
      </c>
    </row>
    <row r="3781" s="1" customFormat="1" spans="1:15">
      <c r="A3781" s="1" t="str">
        <f t="shared" si="2641"/>
        <v>202406</v>
      </c>
      <c r="B3781" s="1" t="str">
        <f t="shared" si="2642"/>
        <v>150525100</v>
      </c>
      <c r="C3781" s="1" t="str">
        <f>"1041429739"</f>
        <v>1041429739</v>
      </c>
      <c r="D3781" s="1" t="str">
        <f>"152326196207133081"</f>
        <v>152326196207133081</v>
      </c>
      <c r="E3781" s="1" t="s">
        <v>3835</v>
      </c>
      <c r="F3781" s="1" t="s">
        <v>16</v>
      </c>
      <c r="G3781" s="1" t="s">
        <v>19</v>
      </c>
      <c r="H3781" s="1" t="str">
        <f t="shared" si="2643"/>
        <v>62</v>
      </c>
      <c r="I3781" s="1" t="str">
        <f>"161.5"</f>
        <v>161.5</v>
      </c>
      <c r="J3781" s="1" t="str">
        <f t="shared" si="2629"/>
        <v>0</v>
      </c>
      <c r="K3781" s="1" t="str">
        <f t="shared" si="2634"/>
        <v>103</v>
      </c>
      <c r="L3781" s="1" t="str">
        <f t="shared" si="2635"/>
        <v>47</v>
      </c>
      <c r="M3781" s="1" t="str">
        <f t="shared" si="2630"/>
        <v>0</v>
      </c>
      <c r="N3781" s="1" t="str">
        <f t="shared" si="2639"/>
        <v>0</v>
      </c>
      <c r="O3781" s="1" t="str">
        <f>"11.5"</f>
        <v>11.5</v>
      </c>
    </row>
    <row r="3782" s="1" customFormat="1" spans="1:15">
      <c r="A3782" s="1" t="str">
        <f t="shared" si="2641"/>
        <v>202406</v>
      </c>
      <c r="B3782" s="1" t="str">
        <f t="shared" si="2642"/>
        <v>150525100</v>
      </c>
      <c r="C3782" s="1" t="str">
        <f>"1014567723"</f>
        <v>1014567723</v>
      </c>
      <c r="D3782" s="1" t="str">
        <f>"152326195710073827"</f>
        <v>152326195710073827</v>
      </c>
      <c r="E3782" s="1" t="s">
        <v>3836</v>
      </c>
      <c r="F3782" s="1" t="s">
        <v>16</v>
      </c>
      <c r="G3782" s="1" t="s">
        <v>17</v>
      </c>
      <c r="H3782" s="1" t="str">
        <f>"67"</f>
        <v>67</v>
      </c>
      <c r="I3782" s="1" t="str">
        <f>"156.11"</f>
        <v>156.11</v>
      </c>
      <c r="J3782" s="1" t="str">
        <f t="shared" si="2629"/>
        <v>0</v>
      </c>
      <c r="K3782" s="1" t="str">
        <f t="shared" si="2634"/>
        <v>103</v>
      </c>
      <c r="L3782" s="1" t="str">
        <f t="shared" si="2635"/>
        <v>47</v>
      </c>
      <c r="M3782" s="1" t="str">
        <f t="shared" si="2630"/>
        <v>0</v>
      </c>
      <c r="N3782" s="1" t="str">
        <f t="shared" si="2639"/>
        <v>0</v>
      </c>
      <c r="O3782" s="1" t="str">
        <f>"6.11"</f>
        <v>6.11</v>
      </c>
    </row>
    <row r="3783" s="1" customFormat="1" spans="1:15">
      <c r="A3783" s="1" t="str">
        <f t="shared" si="2641"/>
        <v>202406</v>
      </c>
      <c r="B3783" s="1" t="str">
        <f t="shared" si="2642"/>
        <v>150525100</v>
      </c>
      <c r="C3783" s="1" t="str">
        <f>"1014568745"</f>
        <v>1014568745</v>
      </c>
      <c r="D3783" s="1" t="str">
        <f>"152326196206163828"</f>
        <v>152326196206163828</v>
      </c>
      <c r="E3783" s="1" t="s">
        <v>3837</v>
      </c>
      <c r="F3783" s="1" t="s">
        <v>16</v>
      </c>
      <c r="G3783" s="1" t="s">
        <v>19</v>
      </c>
      <c r="H3783" s="1" t="str">
        <f t="shared" si="2643"/>
        <v>62</v>
      </c>
      <c r="I3783" s="1" t="str">
        <f>"163.08"</f>
        <v>163.08</v>
      </c>
      <c r="J3783" s="1" t="str">
        <f t="shared" si="2629"/>
        <v>0</v>
      </c>
      <c r="K3783" s="1" t="str">
        <f t="shared" si="2634"/>
        <v>103</v>
      </c>
      <c r="L3783" s="1" t="str">
        <f t="shared" si="2635"/>
        <v>47</v>
      </c>
      <c r="M3783" s="1" t="str">
        <f t="shared" si="2630"/>
        <v>0</v>
      </c>
      <c r="N3783" s="1" t="str">
        <f t="shared" si="2639"/>
        <v>0</v>
      </c>
      <c r="O3783" s="1" t="str">
        <f>"13.08"</f>
        <v>13.08</v>
      </c>
    </row>
    <row r="3784" s="1" customFormat="1" spans="1:15">
      <c r="A3784" s="1" t="str">
        <f t="shared" si="2641"/>
        <v>202406</v>
      </c>
      <c r="B3784" s="1" t="str">
        <f t="shared" si="2642"/>
        <v>150525100</v>
      </c>
      <c r="C3784" s="1" t="str">
        <f>"1014568756"</f>
        <v>1014568756</v>
      </c>
      <c r="D3784" s="1" t="str">
        <f>"152326196309023828"</f>
        <v>152326196309023828</v>
      </c>
      <c r="E3784" s="1" t="s">
        <v>3838</v>
      </c>
      <c r="F3784" s="1" t="s">
        <v>16</v>
      </c>
      <c r="G3784" s="1" t="s">
        <v>19</v>
      </c>
      <c r="H3784" s="1" t="str">
        <f>"61"</f>
        <v>61</v>
      </c>
      <c r="I3784" s="1" t="str">
        <f>"165.09"</f>
        <v>165.09</v>
      </c>
      <c r="J3784" s="1" t="str">
        <f t="shared" si="2629"/>
        <v>0</v>
      </c>
      <c r="K3784" s="1" t="str">
        <f t="shared" si="2634"/>
        <v>103</v>
      </c>
      <c r="L3784" s="1" t="str">
        <f t="shared" si="2635"/>
        <v>47</v>
      </c>
      <c r="M3784" s="1" t="str">
        <f t="shared" si="2630"/>
        <v>0</v>
      </c>
      <c r="N3784" s="1" t="str">
        <f t="shared" si="2639"/>
        <v>0</v>
      </c>
      <c r="O3784" s="1" t="str">
        <f>"15.09"</f>
        <v>15.09</v>
      </c>
    </row>
    <row r="3785" s="1" customFormat="1" spans="1:15">
      <c r="A3785" s="1" t="str">
        <f t="shared" si="2641"/>
        <v>202406</v>
      </c>
      <c r="B3785" s="1" t="str">
        <f t="shared" si="2642"/>
        <v>150525100</v>
      </c>
      <c r="C3785" s="1" t="str">
        <f>"1014563204"</f>
        <v>1014563204</v>
      </c>
      <c r="D3785" s="1" t="str">
        <f>"152326195910090410"</f>
        <v>152326195910090410</v>
      </c>
      <c r="E3785" s="1" t="s">
        <v>3839</v>
      </c>
      <c r="F3785" s="1" t="s">
        <v>25</v>
      </c>
      <c r="G3785" s="1" t="s">
        <v>17</v>
      </c>
      <c r="H3785" s="1" t="str">
        <f>"65"</f>
        <v>65</v>
      </c>
      <c r="I3785" s="1" t="str">
        <f>"158.22"</f>
        <v>158.22</v>
      </c>
      <c r="J3785" s="1" t="str">
        <f t="shared" si="2629"/>
        <v>0</v>
      </c>
      <c r="K3785" s="1" t="str">
        <f t="shared" si="2634"/>
        <v>103</v>
      </c>
      <c r="L3785" s="1" t="str">
        <f t="shared" si="2635"/>
        <v>47</v>
      </c>
      <c r="M3785" s="1" t="str">
        <f t="shared" si="2630"/>
        <v>0</v>
      </c>
      <c r="N3785" s="1" t="str">
        <f t="shared" si="2639"/>
        <v>0</v>
      </c>
      <c r="O3785" s="1" t="str">
        <f>"8.22"</f>
        <v>8.22</v>
      </c>
    </row>
    <row r="3786" s="1" customFormat="1" spans="1:15">
      <c r="A3786" s="1" t="str">
        <f t="shared" si="2641"/>
        <v>202406</v>
      </c>
      <c r="B3786" s="1" t="str">
        <f t="shared" si="2642"/>
        <v>150525100</v>
      </c>
      <c r="C3786" s="1" t="str">
        <f>"1014584009"</f>
        <v>1014584009</v>
      </c>
      <c r="D3786" s="1" t="str">
        <f>"152326195701070667"</f>
        <v>152326195701070667</v>
      </c>
      <c r="E3786" s="1" t="s">
        <v>1575</v>
      </c>
      <c r="F3786" s="1" t="s">
        <v>16</v>
      </c>
      <c r="G3786" s="1" t="s">
        <v>17</v>
      </c>
      <c r="H3786" s="1" t="str">
        <f>"68"</f>
        <v>68</v>
      </c>
      <c r="I3786" s="1" t="str">
        <f>"157.04"</f>
        <v>157.04</v>
      </c>
      <c r="J3786" s="1" t="str">
        <f t="shared" si="2629"/>
        <v>0</v>
      </c>
      <c r="K3786" s="1" t="str">
        <f t="shared" si="2634"/>
        <v>103</v>
      </c>
      <c r="L3786" s="1" t="str">
        <f t="shared" si="2635"/>
        <v>47</v>
      </c>
      <c r="M3786" s="1" t="str">
        <f t="shared" si="2630"/>
        <v>0</v>
      </c>
      <c r="N3786" s="1" t="str">
        <f t="shared" si="2639"/>
        <v>0</v>
      </c>
      <c r="O3786" s="1" t="str">
        <f>"7.04"</f>
        <v>7.04</v>
      </c>
    </row>
    <row r="3787" s="1" customFormat="1" spans="1:15">
      <c r="A3787" s="1" t="str">
        <f t="shared" si="2641"/>
        <v>202406</v>
      </c>
      <c r="B3787" s="1" t="str">
        <f t="shared" si="2642"/>
        <v>150525100</v>
      </c>
      <c r="C3787" s="1" t="str">
        <f>"1014584020"</f>
        <v>1014584020</v>
      </c>
      <c r="D3787" s="1" t="str">
        <f>"152326195707160428"</f>
        <v>152326195707160428</v>
      </c>
      <c r="E3787" s="1" t="s">
        <v>3840</v>
      </c>
      <c r="F3787" s="1" t="s">
        <v>16</v>
      </c>
      <c r="G3787" s="1" t="s">
        <v>17</v>
      </c>
      <c r="H3787" s="1" t="str">
        <f>"67"</f>
        <v>67</v>
      </c>
      <c r="I3787" s="1" t="str">
        <f>"156.07"</f>
        <v>156.07</v>
      </c>
      <c r="J3787" s="1" t="str">
        <f t="shared" si="2629"/>
        <v>0</v>
      </c>
      <c r="K3787" s="1" t="str">
        <f t="shared" si="2634"/>
        <v>103</v>
      </c>
      <c r="L3787" s="1" t="str">
        <f t="shared" si="2635"/>
        <v>47</v>
      </c>
      <c r="M3787" s="1" t="str">
        <f t="shared" si="2630"/>
        <v>0</v>
      </c>
      <c r="N3787" s="1" t="str">
        <f t="shared" si="2639"/>
        <v>0</v>
      </c>
      <c r="O3787" s="1" t="str">
        <f>"6.07"</f>
        <v>6.07</v>
      </c>
    </row>
    <row r="3788" s="1" customFormat="1" spans="1:15">
      <c r="A3788" s="1" t="str">
        <f t="shared" si="2641"/>
        <v>202406</v>
      </c>
      <c r="B3788" s="1" t="str">
        <f t="shared" si="2642"/>
        <v>150525100</v>
      </c>
      <c r="C3788" s="1" t="str">
        <f>"1014584339"</f>
        <v>1014584339</v>
      </c>
      <c r="D3788" s="1" t="str">
        <f>"152326195201050416"</f>
        <v>152326195201050416</v>
      </c>
      <c r="E3788" s="1" t="s">
        <v>3841</v>
      </c>
      <c r="F3788" s="1" t="s">
        <v>25</v>
      </c>
      <c r="G3788" s="1" t="s">
        <v>17</v>
      </c>
      <c r="H3788" s="1" t="str">
        <f>"73"</f>
        <v>73</v>
      </c>
      <c r="I3788" s="1" t="str">
        <f>"162.14"</f>
        <v>162.14</v>
      </c>
      <c r="J3788" s="1" t="str">
        <f t="shared" si="2629"/>
        <v>0</v>
      </c>
      <c r="K3788" s="1" t="str">
        <f t="shared" si="2634"/>
        <v>103</v>
      </c>
      <c r="L3788" s="1" t="str">
        <f t="shared" si="2635"/>
        <v>47</v>
      </c>
      <c r="M3788" s="1" t="str">
        <f t="shared" si="2630"/>
        <v>0</v>
      </c>
      <c r="N3788" s="1" t="str">
        <f t="shared" si="2639"/>
        <v>0</v>
      </c>
      <c r="O3788" s="1" t="str">
        <f>"2.14"</f>
        <v>2.14</v>
      </c>
    </row>
    <row r="3789" s="1" customFormat="1" spans="1:15">
      <c r="A3789" s="1" t="str">
        <f t="shared" si="2641"/>
        <v>202406</v>
      </c>
      <c r="B3789" s="1" t="str">
        <f t="shared" si="2642"/>
        <v>150525100</v>
      </c>
      <c r="C3789" s="1" t="str">
        <f>"1014550415"</f>
        <v>1014550415</v>
      </c>
      <c r="D3789" s="1" t="str">
        <f>"152326196311260662"</f>
        <v>152326196311260662</v>
      </c>
      <c r="E3789" s="1" t="s">
        <v>741</v>
      </c>
      <c r="F3789" s="1" t="s">
        <v>16</v>
      </c>
      <c r="G3789" s="1" t="s">
        <v>17</v>
      </c>
      <c r="H3789" s="1" t="str">
        <f>"61"</f>
        <v>61</v>
      </c>
      <c r="I3789" s="1" t="str">
        <f>"165.14"</f>
        <v>165.14</v>
      </c>
      <c r="J3789" s="1" t="str">
        <f t="shared" si="2629"/>
        <v>0</v>
      </c>
      <c r="K3789" s="1" t="str">
        <f t="shared" si="2634"/>
        <v>103</v>
      </c>
      <c r="L3789" s="1" t="str">
        <f t="shared" si="2635"/>
        <v>47</v>
      </c>
      <c r="M3789" s="1" t="str">
        <f t="shared" si="2630"/>
        <v>0</v>
      </c>
      <c r="N3789" s="1" t="str">
        <f t="shared" si="2639"/>
        <v>0</v>
      </c>
      <c r="O3789" s="1" t="str">
        <f>"15.14"</f>
        <v>15.14</v>
      </c>
    </row>
    <row r="3790" s="1" customFormat="1" spans="1:15">
      <c r="A3790" s="1" t="str">
        <f t="shared" si="2641"/>
        <v>202406</v>
      </c>
      <c r="B3790" s="1" t="str">
        <f t="shared" si="2642"/>
        <v>150525100</v>
      </c>
      <c r="C3790" s="1" t="str">
        <f>"1014584449"</f>
        <v>1014584449</v>
      </c>
      <c r="D3790" s="1" t="str">
        <f>"152326195212300417"</f>
        <v>152326195212300417</v>
      </c>
      <c r="E3790" s="1" t="s">
        <v>3842</v>
      </c>
      <c r="F3790" s="1" t="s">
        <v>25</v>
      </c>
      <c r="G3790" s="1" t="s">
        <v>17</v>
      </c>
      <c r="H3790" s="1" t="str">
        <f>"72"</f>
        <v>72</v>
      </c>
      <c r="I3790" s="1" t="str">
        <f>"162.14"</f>
        <v>162.14</v>
      </c>
      <c r="J3790" s="1" t="str">
        <f t="shared" si="2629"/>
        <v>0</v>
      </c>
      <c r="K3790" s="1" t="str">
        <f t="shared" si="2634"/>
        <v>103</v>
      </c>
      <c r="L3790" s="1" t="str">
        <f t="shared" si="2635"/>
        <v>47</v>
      </c>
      <c r="M3790" s="1" t="str">
        <f t="shared" si="2630"/>
        <v>0</v>
      </c>
      <c r="N3790" s="1" t="str">
        <f t="shared" si="2639"/>
        <v>0</v>
      </c>
      <c r="O3790" s="1" t="str">
        <f>"2.14"</f>
        <v>2.14</v>
      </c>
    </row>
    <row r="3791" s="1" customFormat="1" spans="1:15">
      <c r="A3791" s="1" t="str">
        <f t="shared" si="2641"/>
        <v>202406</v>
      </c>
      <c r="B3791" s="1" t="str">
        <f t="shared" si="2642"/>
        <v>150525100</v>
      </c>
      <c r="C3791" s="1" t="str">
        <f>"1014584949"</f>
        <v>1014584949</v>
      </c>
      <c r="D3791" s="1" t="str">
        <f>"152326195312010425"</f>
        <v>152326195312010425</v>
      </c>
      <c r="E3791" s="1" t="s">
        <v>3843</v>
      </c>
      <c r="F3791" s="1" t="s">
        <v>16</v>
      </c>
      <c r="G3791" s="1" t="s">
        <v>17</v>
      </c>
      <c r="H3791" s="1" t="str">
        <f>"71"</f>
        <v>71</v>
      </c>
      <c r="I3791" s="1" t="str">
        <f>"163.16"</f>
        <v>163.16</v>
      </c>
      <c r="J3791" s="1" t="str">
        <f t="shared" si="2629"/>
        <v>0</v>
      </c>
      <c r="K3791" s="1" t="str">
        <f t="shared" si="2634"/>
        <v>103</v>
      </c>
      <c r="L3791" s="1" t="str">
        <f t="shared" si="2635"/>
        <v>47</v>
      </c>
      <c r="M3791" s="1" t="str">
        <f t="shared" si="2630"/>
        <v>0</v>
      </c>
      <c r="N3791" s="1" t="str">
        <f t="shared" si="2639"/>
        <v>0</v>
      </c>
      <c r="O3791" s="1" t="str">
        <f>"3.16"</f>
        <v>3.16</v>
      </c>
    </row>
    <row r="3792" s="1" customFormat="1" spans="1:15">
      <c r="A3792" s="1" t="str">
        <f t="shared" si="2641"/>
        <v>202406</v>
      </c>
      <c r="B3792" s="1" t="str">
        <f t="shared" si="2642"/>
        <v>150525100</v>
      </c>
      <c r="C3792" s="1" t="str">
        <f>"1014584963"</f>
        <v>1014584963</v>
      </c>
      <c r="D3792" s="1" t="str">
        <f>"152326195511290415"</f>
        <v>152326195511290415</v>
      </c>
      <c r="E3792" s="1" t="s">
        <v>3844</v>
      </c>
      <c r="F3792" s="1" t="s">
        <v>25</v>
      </c>
      <c r="G3792" s="1" t="s">
        <v>17</v>
      </c>
      <c r="H3792" s="1" t="str">
        <f>"69"</f>
        <v>69</v>
      </c>
      <c r="I3792" s="1" t="str">
        <f>"155.1"</f>
        <v>155.1</v>
      </c>
      <c r="J3792" s="1" t="str">
        <f t="shared" si="2629"/>
        <v>0</v>
      </c>
      <c r="K3792" s="1" t="str">
        <f t="shared" si="2634"/>
        <v>103</v>
      </c>
      <c r="L3792" s="1" t="str">
        <f t="shared" si="2635"/>
        <v>47</v>
      </c>
      <c r="M3792" s="1" t="str">
        <f t="shared" si="2630"/>
        <v>0</v>
      </c>
      <c r="N3792" s="1" t="str">
        <f t="shared" si="2639"/>
        <v>0</v>
      </c>
      <c r="O3792" s="1" t="str">
        <f>"5.1"</f>
        <v>5.1</v>
      </c>
    </row>
    <row r="3793" s="1" customFormat="1" spans="1:15">
      <c r="A3793" s="1" t="str">
        <f t="shared" si="2641"/>
        <v>202406</v>
      </c>
      <c r="B3793" s="1" t="str">
        <f t="shared" si="2642"/>
        <v>150525100</v>
      </c>
      <c r="C3793" s="1" t="str">
        <f>"1014568770"</f>
        <v>1014568770</v>
      </c>
      <c r="D3793" s="1" t="str">
        <f>"152326195504013823"</f>
        <v>152326195504013823</v>
      </c>
      <c r="E3793" s="1" t="s">
        <v>3845</v>
      </c>
      <c r="F3793" s="1" t="s">
        <v>16</v>
      </c>
      <c r="G3793" s="1" t="s">
        <v>17</v>
      </c>
      <c r="H3793" s="1" t="str">
        <f>"69"</f>
        <v>69</v>
      </c>
      <c r="I3793" s="1" t="str">
        <f>"155.1"</f>
        <v>155.1</v>
      </c>
      <c r="J3793" s="1" t="str">
        <f t="shared" si="2629"/>
        <v>0</v>
      </c>
      <c r="K3793" s="1" t="str">
        <f t="shared" si="2634"/>
        <v>103</v>
      </c>
      <c r="L3793" s="1" t="str">
        <f t="shared" si="2635"/>
        <v>47</v>
      </c>
      <c r="M3793" s="1" t="str">
        <f t="shared" si="2630"/>
        <v>0</v>
      </c>
      <c r="N3793" s="1" t="str">
        <f t="shared" si="2639"/>
        <v>0</v>
      </c>
      <c r="O3793" s="1" t="str">
        <f>"5.1"</f>
        <v>5.1</v>
      </c>
    </row>
    <row r="3794" s="1" customFormat="1" spans="1:15">
      <c r="A3794" s="1" t="str">
        <f t="shared" si="2641"/>
        <v>202406</v>
      </c>
      <c r="B3794" s="1" t="str">
        <f t="shared" si="2642"/>
        <v>150525100</v>
      </c>
      <c r="C3794" s="1" t="str">
        <f>"1014562829"</f>
        <v>1014562829</v>
      </c>
      <c r="D3794" s="1" t="str">
        <f>"152326195303100429"</f>
        <v>152326195303100429</v>
      </c>
      <c r="E3794" s="1" t="s">
        <v>3461</v>
      </c>
      <c r="F3794" s="1" t="s">
        <v>16</v>
      </c>
      <c r="G3794" s="1" t="s">
        <v>17</v>
      </c>
      <c r="H3794" s="1" t="str">
        <f>"71"</f>
        <v>71</v>
      </c>
      <c r="I3794" s="1" t="str">
        <f>"163.18"</f>
        <v>163.18</v>
      </c>
      <c r="J3794" s="1" t="str">
        <f t="shared" si="2629"/>
        <v>0</v>
      </c>
      <c r="K3794" s="1" t="str">
        <f t="shared" si="2634"/>
        <v>103</v>
      </c>
      <c r="L3794" s="1" t="str">
        <f t="shared" si="2635"/>
        <v>47</v>
      </c>
      <c r="M3794" s="1" t="str">
        <f t="shared" si="2630"/>
        <v>0</v>
      </c>
      <c r="N3794" s="1" t="str">
        <f t="shared" si="2639"/>
        <v>0</v>
      </c>
      <c r="O3794" s="1" t="str">
        <f>"3.18"</f>
        <v>3.18</v>
      </c>
    </row>
    <row r="3795" s="1" customFormat="1" spans="1:15">
      <c r="A3795" s="1" t="str">
        <f t="shared" si="2641"/>
        <v>202406</v>
      </c>
      <c r="B3795" s="1" t="str">
        <f t="shared" si="2642"/>
        <v>150525100</v>
      </c>
      <c r="C3795" s="1" t="str">
        <f>"1014562836"</f>
        <v>1014562836</v>
      </c>
      <c r="D3795" s="1" t="str">
        <f>"152326196104020420"</f>
        <v>152326196104020420</v>
      </c>
      <c r="E3795" s="1" t="s">
        <v>3846</v>
      </c>
      <c r="F3795" s="1" t="s">
        <v>16</v>
      </c>
      <c r="G3795" s="1" t="s">
        <v>17</v>
      </c>
      <c r="H3795" s="1" t="str">
        <f>"63"</f>
        <v>63</v>
      </c>
      <c r="I3795" s="1" t="str">
        <f>"161.07"</f>
        <v>161.07</v>
      </c>
      <c r="J3795" s="1" t="str">
        <f t="shared" si="2629"/>
        <v>0</v>
      </c>
      <c r="K3795" s="1" t="str">
        <f t="shared" si="2634"/>
        <v>103</v>
      </c>
      <c r="L3795" s="1" t="str">
        <f t="shared" si="2635"/>
        <v>47</v>
      </c>
      <c r="M3795" s="1" t="str">
        <f t="shared" si="2630"/>
        <v>0</v>
      </c>
      <c r="N3795" s="1" t="str">
        <f t="shared" si="2639"/>
        <v>0</v>
      </c>
      <c r="O3795" s="1" t="str">
        <f>"11.07"</f>
        <v>11.07</v>
      </c>
    </row>
    <row r="3796" s="1" customFormat="1" spans="1:15">
      <c r="A3796" s="1" t="str">
        <f t="shared" si="2641"/>
        <v>202406</v>
      </c>
      <c r="B3796" s="1" t="str">
        <f t="shared" si="2642"/>
        <v>150525100</v>
      </c>
      <c r="C3796" s="1" t="str">
        <f>"1014562860"</f>
        <v>1014562860</v>
      </c>
      <c r="D3796" s="1" t="str">
        <f>"152326196102200428"</f>
        <v>152326196102200428</v>
      </c>
      <c r="E3796" s="1" t="s">
        <v>3847</v>
      </c>
      <c r="F3796" s="1" t="s">
        <v>16</v>
      </c>
      <c r="G3796" s="1" t="s">
        <v>19</v>
      </c>
      <c r="H3796" s="1" t="str">
        <f>"63"</f>
        <v>63</v>
      </c>
      <c r="I3796" s="1" t="str">
        <f>"161.03"</f>
        <v>161.03</v>
      </c>
      <c r="J3796" s="1" t="str">
        <f t="shared" si="2629"/>
        <v>0</v>
      </c>
      <c r="K3796" s="1" t="str">
        <f t="shared" si="2634"/>
        <v>103</v>
      </c>
      <c r="L3796" s="1" t="str">
        <f t="shared" si="2635"/>
        <v>47</v>
      </c>
      <c r="M3796" s="1" t="str">
        <f t="shared" si="2630"/>
        <v>0</v>
      </c>
      <c r="N3796" s="1" t="str">
        <f t="shared" si="2639"/>
        <v>0</v>
      </c>
      <c r="O3796" s="1" t="str">
        <f>"11.03"</f>
        <v>11.03</v>
      </c>
    </row>
    <row r="3797" s="1" customFormat="1" spans="1:15">
      <c r="A3797" s="1" t="str">
        <f t="shared" si="2641"/>
        <v>202406</v>
      </c>
      <c r="B3797" s="1" t="str">
        <f t="shared" si="2642"/>
        <v>150525100</v>
      </c>
      <c r="C3797" s="1" t="str">
        <f>"1014563210"</f>
        <v>1014563210</v>
      </c>
      <c r="D3797" s="1" t="str">
        <f>"152326195611220422"</f>
        <v>152326195611220422</v>
      </c>
      <c r="E3797" s="1" t="s">
        <v>3848</v>
      </c>
      <c r="F3797" s="1" t="s">
        <v>16</v>
      </c>
      <c r="G3797" s="1" t="s">
        <v>17</v>
      </c>
      <c r="H3797" s="1" t="str">
        <f>"68"</f>
        <v>68</v>
      </c>
      <c r="I3797" s="1" t="str">
        <f>"936.24"</f>
        <v>936.24</v>
      </c>
      <c r="J3797" s="1" t="str">
        <f>"780.2"</f>
        <v>780.2</v>
      </c>
      <c r="K3797" s="1" t="str">
        <f>"618"</f>
        <v>618</v>
      </c>
      <c r="L3797" s="1" t="str">
        <f>"282"</f>
        <v>282</v>
      </c>
      <c r="M3797" s="1" t="str">
        <f t="shared" si="2630"/>
        <v>0</v>
      </c>
      <c r="N3797" s="1" t="str">
        <f t="shared" si="2639"/>
        <v>0</v>
      </c>
      <c r="O3797" s="1" t="str">
        <f>"36.24"</f>
        <v>36.24</v>
      </c>
    </row>
    <row r="3798" s="1" customFormat="1" spans="1:15">
      <c r="A3798" s="1" t="str">
        <f t="shared" si="2641"/>
        <v>202406</v>
      </c>
      <c r="B3798" s="1" t="str">
        <f t="shared" si="2642"/>
        <v>150525100</v>
      </c>
      <c r="C3798" s="1" t="str">
        <f>"1014569670"</f>
        <v>1014569670</v>
      </c>
      <c r="D3798" s="1" t="str">
        <f>"152326195208290412"</f>
        <v>152326195208290412</v>
      </c>
      <c r="E3798" s="1" t="s">
        <v>3849</v>
      </c>
      <c r="F3798" s="1" t="s">
        <v>25</v>
      </c>
      <c r="G3798" s="1" t="s">
        <v>17</v>
      </c>
      <c r="H3798" s="1" t="str">
        <f>"72"</f>
        <v>72</v>
      </c>
      <c r="I3798" s="1" t="str">
        <f>"162.15"</f>
        <v>162.15</v>
      </c>
      <c r="J3798" s="1" t="str">
        <f t="shared" ref="J3798:J3855" si="2644">"0"</f>
        <v>0</v>
      </c>
      <c r="K3798" s="1" t="str">
        <f t="shared" ref="K3798:K3855" si="2645">"103"</f>
        <v>103</v>
      </c>
      <c r="L3798" s="1" t="str">
        <f t="shared" ref="L3798:L3855" si="2646">"47"</f>
        <v>47</v>
      </c>
      <c r="M3798" s="1" t="str">
        <f t="shared" si="2630"/>
        <v>0</v>
      </c>
      <c r="N3798" s="1" t="str">
        <f t="shared" si="2639"/>
        <v>0</v>
      </c>
      <c r="O3798" s="1" t="str">
        <f>"2.15"</f>
        <v>2.15</v>
      </c>
    </row>
    <row r="3799" s="1" customFormat="1" spans="1:15">
      <c r="A3799" s="1" t="str">
        <f t="shared" si="2641"/>
        <v>202406</v>
      </c>
      <c r="B3799" s="1" t="str">
        <f t="shared" si="2642"/>
        <v>150525100</v>
      </c>
      <c r="C3799" s="1" t="str">
        <f>"1014549922"</f>
        <v>1014549922</v>
      </c>
      <c r="D3799" s="1" t="str">
        <f>"152326195501200666"</f>
        <v>152326195501200666</v>
      </c>
      <c r="E3799" s="1" t="s">
        <v>3850</v>
      </c>
      <c r="F3799" s="1" t="s">
        <v>16</v>
      </c>
      <c r="G3799" s="1" t="s">
        <v>17</v>
      </c>
      <c r="H3799" s="1" t="str">
        <f t="shared" ref="H3799:H3805" si="2647">"69"</f>
        <v>69</v>
      </c>
      <c r="I3799" s="1" t="str">
        <f>"155.11"</f>
        <v>155.11</v>
      </c>
      <c r="J3799" s="1" t="str">
        <f t="shared" si="2644"/>
        <v>0</v>
      </c>
      <c r="K3799" s="1" t="str">
        <f t="shared" si="2645"/>
        <v>103</v>
      </c>
      <c r="L3799" s="1" t="str">
        <f t="shared" si="2646"/>
        <v>47</v>
      </c>
      <c r="M3799" s="1" t="str">
        <f t="shared" si="2630"/>
        <v>0</v>
      </c>
      <c r="N3799" s="1" t="str">
        <f t="shared" si="2639"/>
        <v>0</v>
      </c>
      <c r="O3799" s="1" t="str">
        <f>"5.11"</f>
        <v>5.11</v>
      </c>
    </row>
    <row r="3800" s="1" customFormat="1" spans="1:15">
      <c r="A3800" s="1" t="str">
        <f t="shared" si="2641"/>
        <v>202406</v>
      </c>
      <c r="B3800" s="1" t="str">
        <f t="shared" si="2642"/>
        <v>150525100</v>
      </c>
      <c r="C3800" s="1" t="str">
        <f>"1014549039"</f>
        <v>1014549039</v>
      </c>
      <c r="D3800" s="1" t="str">
        <f>"152326195206013323"</f>
        <v>152326195206013323</v>
      </c>
      <c r="E3800" s="1" t="s">
        <v>3851</v>
      </c>
      <c r="F3800" s="1" t="s">
        <v>16</v>
      </c>
      <c r="G3800" s="1" t="s">
        <v>17</v>
      </c>
      <c r="H3800" s="1" t="str">
        <f>"72"</f>
        <v>72</v>
      </c>
      <c r="I3800" s="1" t="str">
        <f>"176.25"</f>
        <v>176.25</v>
      </c>
      <c r="J3800" s="1" t="str">
        <f t="shared" si="2644"/>
        <v>0</v>
      </c>
      <c r="K3800" s="1" t="str">
        <f t="shared" si="2645"/>
        <v>103</v>
      </c>
      <c r="L3800" s="1" t="str">
        <f t="shared" si="2646"/>
        <v>47</v>
      </c>
      <c r="M3800" s="1" t="str">
        <f t="shared" si="2630"/>
        <v>0</v>
      </c>
      <c r="N3800" s="1" t="str">
        <f t="shared" si="2639"/>
        <v>0</v>
      </c>
      <c r="O3800" s="1" t="str">
        <f>"16.25"</f>
        <v>16.25</v>
      </c>
    </row>
    <row r="3801" s="1" customFormat="1" spans="1:15">
      <c r="A3801" s="1" t="str">
        <f t="shared" si="2641"/>
        <v>202406</v>
      </c>
      <c r="B3801" s="1" t="str">
        <f t="shared" si="2642"/>
        <v>150525100</v>
      </c>
      <c r="C3801" s="1" t="str">
        <f>"1014584474"</f>
        <v>1014584474</v>
      </c>
      <c r="D3801" s="1" t="str">
        <f>"152326195411250424"</f>
        <v>152326195411250424</v>
      </c>
      <c r="E3801" s="1" t="s">
        <v>3852</v>
      </c>
      <c r="F3801" s="1" t="s">
        <v>16</v>
      </c>
      <c r="G3801" s="1" t="s">
        <v>17</v>
      </c>
      <c r="H3801" s="1" t="str">
        <f>"70"</f>
        <v>70</v>
      </c>
      <c r="I3801" s="1" t="str">
        <f>"154.14"</f>
        <v>154.14</v>
      </c>
      <c r="J3801" s="1" t="str">
        <f t="shared" si="2644"/>
        <v>0</v>
      </c>
      <c r="K3801" s="1" t="str">
        <f t="shared" si="2645"/>
        <v>103</v>
      </c>
      <c r="L3801" s="1" t="str">
        <f t="shared" si="2646"/>
        <v>47</v>
      </c>
      <c r="M3801" s="1" t="str">
        <f t="shared" si="2630"/>
        <v>0</v>
      </c>
      <c r="N3801" s="1" t="str">
        <f t="shared" si="2639"/>
        <v>0</v>
      </c>
      <c r="O3801" s="1" t="str">
        <f>"4.14"</f>
        <v>4.14</v>
      </c>
    </row>
    <row r="3802" s="1" customFormat="1" spans="1:15">
      <c r="A3802" s="1" t="str">
        <f t="shared" si="2641"/>
        <v>202406</v>
      </c>
      <c r="B3802" s="1" t="str">
        <f t="shared" si="2642"/>
        <v>150525100</v>
      </c>
      <c r="C3802" s="1" t="str">
        <f>"1014584990"</f>
        <v>1014584990</v>
      </c>
      <c r="D3802" s="1" t="str">
        <f>"152326195808100416"</f>
        <v>152326195808100416</v>
      </c>
      <c r="E3802" s="1" t="s">
        <v>3853</v>
      </c>
      <c r="F3802" s="1" t="s">
        <v>25</v>
      </c>
      <c r="G3802" s="1" t="s">
        <v>17</v>
      </c>
      <c r="H3802" s="1" t="str">
        <f>"66"</f>
        <v>66</v>
      </c>
      <c r="I3802" s="1" t="str">
        <f>"157.12"</f>
        <v>157.12</v>
      </c>
      <c r="J3802" s="1" t="str">
        <f t="shared" si="2644"/>
        <v>0</v>
      </c>
      <c r="K3802" s="1" t="str">
        <f t="shared" si="2645"/>
        <v>103</v>
      </c>
      <c r="L3802" s="1" t="str">
        <f t="shared" si="2646"/>
        <v>47</v>
      </c>
      <c r="M3802" s="1" t="str">
        <f t="shared" si="2630"/>
        <v>0</v>
      </c>
      <c r="N3802" s="1" t="str">
        <f t="shared" si="2639"/>
        <v>0</v>
      </c>
      <c r="O3802" s="1" t="str">
        <f>"7.12"</f>
        <v>7.12</v>
      </c>
    </row>
    <row r="3803" s="1" customFormat="1" spans="1:15">
      <c r="A3803" s="1" t="str">
        <f t="shared" si="2641"/>
        <v>202406</v>
      </c>
      <c r="B3803" s="1" t="str">
        <f t="shared" si="2642"/>
        <v>150525100</v>
      </c>
      <c r="C3803" s="1" t="str">
        <f>"1040833009"</f>
        <v>1040833009</v>
      </c>
      <c r="D3803" s="1" t="str">
        <f>"152326195503060695"</f>
        <v>152326195503060695</v>
      </c>
      <c r="E3803" s="1" t="s">
        <v>3854</v>
      </c>
      <c r="F3803" s="1" t="s">
        <v>25</v>
      </c>
      <c r="G3803" s="1" t="s">
        <v>17</v>
      </c>
      <c r="H3803" s="1" t="str">
        <f t="shared" si="2647"/>
        <v>69</v>
      </c>
      <c r="I3803" s="1" t="str">
        <f>"154.51"</f>
        <v>154.51</v>
      </c>
      <c r="J3803" s="1" t="str">
        <f t="shared" si="2644"/>
        <v>0</v>
      </c>
      <c r="K3803" s="1" t="str">
        <f t="shared" si="2645"/>
        <v>103</v>
      </c>
      <c r="L3803" s="1" t="str">
        <f t="shared" si="2646"/>
        <v>47</v>
      </c>
      <c r="M3803" s="1" t="str">
        <f t="shared" si="2630"/>
        <v>0</v>
      </c>
      <c r="N3803" s="1" t="str">
        <f t="shared" si="2639"/>
        <v>0</v>
      </c>
      <c r="O3803" s="1" t="str">
        <f>"4.51"</f>
        <v>4.51</v>
      </c>
    </row>
    <row r="3804" s="1" customFormat="1" spans="1:15">
      <c r="A3804" s="1" t="str">
        <f t="shared" si="2641"/>
        <v>202406</v>
      </c>
      <c r="B3804" s="1" t="str">
        <f t="shared" si="2642"/>
        <v>150525100</v>
      </c>
      <c r="C3804" s="1" t="str">
        <f>"1040833010"</f>
        <v>1040833010</v>
      </c>
      <c r="D3804" s="1" t="str">
        <f>"152326195503130702"</f>
        <v>152326195503130702</v>
      </c>
      <c r="E3804" s="1" t="s">
        <v>3855</v>
      </c>
      <c r="F3804" s="1" t="s">
        <v>16</v>
      </c>
      <c r="G3804" s="1" t="s">
        <v>17</v>
      </c>
      <c r="H3804" s="1" t="str">
        <f t="shared" si="2647"/>
        <v>69</v>
      </c>
      <c r="I3804" s="1" t="str">
        <f>"154.52"</f>
        <v>154.52</v>
      </c>
      <c r="J3804" s="1" t="str">
        <f t="shared" si="2644"/>
        <v>0</v>
      </c>
      <c r="K3804" s="1" t="str">
        <f t="shared" si="2645"/>
        <v>103</v>
      </c>
      <c r="L3804" s="1" t="str">
        <f t="shared" si="2646"/>
        <v>47</v>
      </c>
      <c r="M3804" s="1" t="str">
        <f t="shared" si="2630"/>
        <v>0</v>
      </c>
      <c r="N3804" s="1" t="str">
        <f t="shared" si="2639"/>
        <v>0</v>
      </c>
      <c r="O3804" s="1" t="str">
        <f>"4.52"</f>
        <v>4.52</v>
      </c>
    </row>
    <row r="3805" s="1" customFormat="1" spans="1:15">
      <c r="A3805" s="1" t="str">
        <f t="shared" si="2641"/>
        <v>202406</v>
      </c>
      <c r="B3805" s="1" t="str">
        <f t="shared" si="2642"/>
        <v>150525100</v>
      </c>
      <c r="C3805" s="1" t="str">
        <f>"1040833015"</f>
        <v>1040833015</v>
      </c>
      <c r="D3805" s="1" t="s">
        <v>3856</v>
      </c>
      <c r="E3805" s="1" t="s">
        <v>3857</v>
      </c>
      <c r="F3805" s="1" t="s">
        <v>16</v>
      </c>
      <c r="G3805" s="1" t="s">
        <v>17</v>
      </c>
      <c r="H3805" s="1" t="str">
        <f t="shared" si="2647"/>
        <v>69</v>
      </c>
      <c r="I3805" s="1" t="str">
        <f>"154.52"</f>
        <v>154.52</v>
      </c>
      <c r="J3805" s="1" t="str">
        <f t="shared" si="2644"/>
        <v>0</v>
      </c>
      <c r="K3805" s="1" t="str">
        <f t="shared" si="2645"/>
        <v>103</v>
      </c>
      <c r="L3805" s="1" t="str">
        <f t="shared" si="2646"/>
        <v>47</v>
      </c>
      <c r="M3805" s="1" t="str">
        <f t="shared" si="2630"/>
        <v>0</v>
      </c>
      <c r="N3805" s="1" t="str">
        <f t="shared" si="2639"/>
        <v>0</v>
      </c>
      <c r="O3805" s="1" t="str">
        <f>"4.52"</f>
        <v>4.52</v>
      </c>
    </row>
    <row r="3806" s="1" customFormat="1" spans="1:15">
      <c r="A3806" s="1" t="str">
        <f t="shared" si="2641"/>
        <v>202406</v>
      </c>
      <c r="B3806" s="1" t="str">
        <f t="shared" si="2642"/>
        <v>150525100</v>
      </c>
      <c r="C3806" s="1" t="str">
        <f>"1014567780"</f>
        <v>1014567780</v>
      </c>
      <c r="D3806" s="1" t="str">
        <f>"152326195806053820"</f>
        <v>152326195806053820</v>
      </c>
      <c r="E3806" s="1" t="s">
        <v>3858</v>
      </c>
      <c r="F3806" s="1" t="s">
        <v>16</v>
      </c>
      <c r="G3806" s="1" t="s">
        <v>96</v>
      </c>
      <c r="H3806" s="1" t="str">
        <f>"66"</f>
        <v>66</v>
      </c>
      <c r="I3806" s="1" t="str">
        <f>"157.11"</f>
        <v>157.11</v>
      </c>
      <c r="J3806" s="1" t="str">
        <f t="shared" si="2644"/>
        <v>0</v>
      </c>
      <c r="K3806" s="1" t="str">
        <f t="shared" si="2645"/>
        <v>103</v>
      </c>
      <c r="L3806" s="1" t="str">
        <f t="shared" si="2646"/>
        <v>47</v>
      </c>
      <c r="M3806" s="1" t="str">
        <f t="shared" si="2630"/>
        <v>0</v>
      </c>
      <c r="N3806" s="1" t="str">
        <f t="shared" si="2639"/>
        <v>0</v>
      </c>
      <c r="O3806" s="1" t="str">
        <f>"7.11"</f>
        <v>7.11</v>
      </c>
    </row>
    <row r="3807" s="1" customFormat="1" spans="1:15">
      <c r="A3807" s="1" t="str">
        <f t="shared" si="2641"/>
        <v>202406</v>
      </c>
      <c r="B3807" s="1" t="str">
        <f t="shared" si="2642"/>
        <v>150525100</v>
      </c>
      <c r="C3807" s="1" t="str">
        <f>"1014567788"</f>
        <v>1014567788</v>
      </c>
      <c r="D3807" s="1" t="str">
        <f>"152326195503023835"</f>
        <v>152326195503023835</v>
      </c>
      <c r="E3807" s="1" t="s">
        <v>3859</v>
      </c>
      <c r="F3807" s="1" t="s">
        <v>25</v>
      </c>
      <c r="G3807" s="1" t="s">
        <v>17</v>
      </c>
      <c r="H3807" s="1" t="str">
        <f t="shared" ref="H3807:H3810" si="2648">"69"</f>
        <v>69</v>
      </c>
      <c r="I3807" s="1" t="str">
        <f>"155.1"</f>
        <v>155.1</v>
      </c>
      <c r="J3807" s="1" t="str">
        <f t="shared" si="2644"/>
        <v>0</v>
      </c>
      <c r="K3807" s="1" t="str">
        <f t="shared" si="2645"/>
        <v>103</v>
      </c>
      <c r="L3807" s="1" t="str">
        <f t="shared" si="2646"/>
        <v>47</v>
      </c>
      <c r="M3807" s="1" t="str">
        <f t="shared" si="2630"/>
        <v>0</v>
      </c>
      <c r="N3807" s="1" t="str">
        <f t="shared" si="2639"/>
        <v>0</v>
      </c>
      <c r="O3807" s="1" t="str">
        <f>"5.1"</f>
        <v>5.1</v>
      </c>
    </row>
    <row r="3808" s="1" customFormat="1" spans="1:15">
      <c r="A3808" s="1" t="str">
        <f t="shared" si="2641"/>
        <v>202406</v>
      </c>
      <c r="B3808" s="1" t="str">
        <f t="shared" si="2642"/>
        <v>150525100</v>
      </c>
      <c r="C3808" s="1" t="str">
        <f>"1014562867"</f>
        <v>1014562867</v>
      </c>
      <c r="D3808" s="1" t="str">
        <f>"152326195607120445"</f>
        <v>152326195607120445</v>
      </c>
      <c r="E3808" s="1" t="s">
        <v>2369</v>
      </c>
      <c r="F3808" s="1" t="s">
        <v>16</v>
      </c>
      <c r="G3808" s="1" t="s">
        <v>19</v>
      </c>
      <c r="H3808" s="1" t="str">
        <f>"68"</f>
        <v>68</v>
      </c>
      <c r="I3808" s="1" t="str">
        <f>"156.01"</f>
        <v>156.01</v>
      </c>
      <c r="J3808" s="1" t="str">
        <f t="shared" si="2644"/>
        <v>0</v>
      </c>
      <c r="K3808" s="1" t="str">
        <f t="shared" si="2645"/>
        <v>103</v>
      </c>
      <c r="L3808" s="1" t="str">
        <f t="shared" si="2646"/>
        <v>47</v>
      </c>
      <c r="M3808" s="1" t="str">
        <f t="shared" ref="M3808:M3871" si="2649">"0"</f>
        <v>0</v>
      </c>
      <c r="N3808" s="1" t="str">
        <f t="shared" si="2639"/>
        <v>0</v>
      </c>
      <c r="O3808" s="1" t="str">
        <f>"6.01"</f>
        <v>6.01</v>
      </c>
    </row>
    <row r="3809" s="1" customFormat="1" spans="1:15">
      <c r="A3809" s="1" t="str">
        <f t="shared" si="2641"/>
        <v>202406</v>
      </c>
      <c r="B3809" s="1" t="str">
        <f t="shared" si="2642"/>
        <v>150525100</v>
      </c>
      <c r="C3809" s="1" t="str">
        <f>"1014569690"</f>
        <v>1014569690</v>
      </c>
      <c r="D3809" s="1" t="str">
        <f>"152326195502040422"</f>
        <v>152326195502040422</v>
      </c>
      <c r="E3809" s="1" t="s">
        <v>3860</v>
      </c>
      <c r="F3809" s="1" t="s">
        <v>16</v>
      </c>
      <c r="G3809" s="1" t="s">
        <v>17</v>
      </c>
      <c r="H3809" s="1" t="str">
        <f t="shared" si="2648"/>
        <v>69</v>
      </c>
      <c r="I3809" s="1" t="str">
        <f>"155.1"</f>
        <v>155.1</v>
      </c>
      <c r="J3809" s="1" t="str">
        <f t="shared" si="2644"/>
        <v>0</v>
      </c>
      <c r="K3809" s="1" t="str">
        <f t="shared" si="2645"/>
        <v>103</v>
      </c>
      <c r="L3809" s="1" t="str">
        <f t="shared" si="2646"/>
        <v>47</v>
      </c>
      <c r="M3809" s="1" t="str">
        <f t="shared" si="2649"/>
        <v>0</v>
      </c>
      <c r="N3809" s="1" t="str">
        <f t="shared" si="2639"/>
        <v>0</v>
      </c>
      <c r="O3809" s="1" t="str">
        <f>"5.1"</f>
        <v>5.1</v>
      </c>
    </row>
    <row r="3810" s="1" customFormat="1" spans="1:15">
      <c r="A3810" s="1" t="str">
        <f t="shared" si="2641"/>
        <v>202406</v>
      </c>
      <c r="B3810" s="1" t="str">
        <f t="shared" si="2642"/>
        <v>150525100</v>
      </c>
      <c r="C3810" s="1" t="str">
        <f>"1014549952"</f>
        <v>1014549952</v>
      </c>
      <c r="D3810" s="1" t="str">
        <f>"152326195509280672"</f>
        <v>152326195509280672</v>
      </c>
      <c r="E3810" s="1" t="s">
        <v>3861</v>
      </c>
      <c r="F3810" s="1" t="s">
        <v>25</v>
      </c>
      <c r="G3810" s="1" t="s">
        <v>17</v>
      </c>
      <c r="H3810" s="1" t="str">
        <f t="shared" si="2648"/>
        <v>69</v>
      </c>
      <c r="I3810" s="1" t="str">
        <f>"155.11"</f>
        <v>155.11</v>
      </c>
      <c r="J3810" s="1" t="str">
        <f t="shared" si="2644"/>
        <v>0</v>
      </c>
      <c r="K3810" s="1" t="str">
        <f t="shared" si="2645"/>
        <v>103</v>
      </c>
      <c r="L3810" s="1" t="str">
        <f t="shared" si="2646"/>
        <v>47</v>
      </c>
      <c r="M3810" s="1" t="str">
        <f t="shared" si="2649"/>
        <v>0</v>
      </c>
      <c r="N3810" s="1" t="str">
        <f t="shared" si="2639"/>
        <v>0</v>
      </c>
      <c r="O3810" s="1" t="str">
        <f>"5.11"</f>
        <v>5.11</v>
      </c>
    </row>
    <row r="3811" s="1" customFormat="1" spans="1:15">
      <c r="A3811" s="1" t="str">
        <f t="shared" si="2641"/>
        <v>202406</v>
      </c>
      <c r="B3811" s="1" t="str">
        <f t="shared" si="2642"/>
        <v>150525100</v>
      </c>
      <c r="C3811" s="1" t="str">
        <f>"1014550478"</f>
        <v>1014550478</v>
      </c>
      <c r="D3811" s="1" t="str">
        <f>"152326195201010668"</f>
        <v>152326195201010668</v>
      </c>
      <c r="E3811" s="1" t="s">
        <v>2238</v>
      </c>
      <c r="F3811" s="1" t="s">
        <v>16</v>
      </c>
      <c r="G3811" s="1" t="s">
        <v>17</v>
      </c>
      <c r="H3811" s="1" t="str">
        <f>"73"</f>
        <v>73</v>
      </c>
      <c r="I3811" s="1" t="str">
        <f t="shared" ref="I3811:I3813" si="2650">"162.15"</f>
        <v>162.15</v>
      </c>
      <c r="J3811" s="1" t="str">
        <f t="shared" si="2644"/>
        <v>0</v>
      </c>
      <c r="K3811" s="1" t="str">
        <f t="shared" si="2645"/>
        <v>103</v>
      </c>
      <c r="L3811" s="1" t="str">
        <f t="shared" si="2646"/>
        <v>47</v>
      </c>
      <c r="M3811" s="1" t="str">
        <f t="shared" si="2649"/>
        <v>0</v>
      </c>
      <c r="N3811" s="1" t="str">
        <f t="shared" si="2639"/>
        <v>0</v>
      </c>
      <c r="O3811" s="1" t="str">
        <f t="shared" ref="O3811:O3813" si="2651">"2.15"</f>
        <v>2.15</v>
      </c>
    </row>
    <row r="3812" s="1" customFormat="1" spans="1:15">
      <c r="A3812" s="1" t="str">
        <f t="shared" si="2641"/>
        <v>202406</v>
      </c>
      <c r="B3812" s="1" t="str">
        <f t="shared" si="2642"/>
        <v>150525100</v>
      </c>
      <c r="C3812" s="1" t="str">
        <f>"1014550481"</f>
        <v>1014550481</v>
      </c>
      <c r="D3812" s="1" t="str">
        <f>"152326195201150679"</f>
        <v>152326195201150679</v>
      </c>
      <c r="E3812" s="1" t="s">
        <v>3862</v>
      </c>
      <c r="F3812" s="1" t="s">
        <v>25</v>
      </c>
      <c r="G3812" s="1" t="s">
        <v>17</v>
      </c>
      <c r="H3812" s="1" t="str">
        <f t="shared" ref="H3812:H3815" si="2652">"72"</f>
        <v>72</v>
      </c>
      <c r="I3812" s="1" t="str">
        <f t="shared" si="2650"/>
        <v>162.15</v>
      </c>
      <c r="J3812" s="1" t="str">
        <f t="shared" si="2644"/>
        <v>0</v>
      </c>
      <c r="K3812" s="1" t="str">
        <f t="shared" si="2645"/>
        <v>103</v>
      </c>
      <c r="L3812" s="1" t="str">
        <f t="shared" si="2646"/>
        <v>47</v>
      </c>
      <c r="M3812" s="1" t="str">
        <f t="shared" si="2649"/>
        <v>0</v>
      </c>
      <c r="N3812" s="1" t="str">
        <f t="shared" si="2639"/>
        <v>0</v>
      </c>
      <c r="O3812" s="1" t="str">
        <f t="shared" si="2651"/>
        <v>2.15</v>
      </c>
    </row>
    <row r="3813" s="1" customFormat="1" spans="1:15">
      <c r="A3813" s="1" t="str">
        <f t="shared" si="2641"/>
        <v>202406</v>
      </c>
      <c r="B3813" s="1" t="str">
        <f t="shared" si="2642"/>
        <v>150525100</v>
      </c>
      <c r="C3813" s="1" t="str">
        <f>"1014550488"</f>
        <v>1014550488</v>
      </c>
      <c r="D3813" s="1" t="str">
        <f>"152326195202283078"</f>
        <v>152326195202283078</v>
      </c>
      <c r="E3813" s="1" t="s">
        <v>3863</v>
      </c>
      <c r="F3813" s="1" t="s">
        <v>25</v>
      </c>
      <c r="G3813" s="1" t="s">
        <v>17</v>
      </c>
      <c r="H3813" s="1" t="str">
        <f t="shared" si="2652"/>
        <v>72</v>
      </c>
      <c r="I3813" s="1" t="str">
        <f t="shared" si="2650"/>
        <v>162.15</v>
      </c>
      <c r="J3813" s="1" t="str">
        <f t="shared" si="2644"/>
        <v>0</v>
      </c>
      <c r="K3813" s="1" t="str">
        <f t="shared" si="2645"/>
        <v>103</v>
      </c>
      <c r="L3813" s="1" t="str">
        <f t="shared" si="2646"/>
        <v>47</v>
      </c>
      <c r="M3813" s="1" t="str">
        <f t="shared" si="2649"/>
        <v>0</v>
      </c>
      <c r="N3813" s="1" t="str">
        <f t="shared" si="2639"/>
        <v>0</v>
      </c>
      <c r="O3813" s="1" t="str">
        <f t="shared" si="2651"/>
        <v>2.15</v>
      </c>
    </row>
    <row r="3814" s="1" customFormat="1" spans="1:15">
      <c r="A3814" s="1" t="str">
        <f t="shared" si="2641"/>
        <v>202406</v>
      </c>
      <c r="B3814" s="1" t="str">
        <f t="shared" si="2642"/>
        <v>150525100</v>
      </c>
      <c r="C3814" s="1" t="str">
        <f>"1014550489"</f>
        <v>1014550489</v>
      </c>
      <c r="D3814" s="1" t="str">
        <f>"152326195203030662"</f>
        <v>152326195203030662</v>
      </c>
      <c r="E3814" s="1" t="s">
        <v>3864</v>
      </c>
      <c r="F3814" s="1" t="s">
        <v>16</v>
      </c>
      <c r="G3814" s="1" t="s">
        <v>19</v>
      </c>
      <c r="H3814" s="1" t="str">
        <f t="shared" si="2652"/>
        <v>72</v>
      </c>
      <c r="I3814" s="1" t="str">
        <f>"172.23"</f>
        <v>172.23</v>
      </c>
      <c r="J3814" s="1" t="str">
        <f t="shared" si="2644"/>
        <v>0</v>
      </c>
      <c r="K3814" s="1" t="str">
        <f t="shared" si="2645"/>
        <v>103</v>
      </c>
      <c r="L3814" s="1" t="str">
        <f t="shared" si="2646"/>
        <v>47</v>
      </c>
      <c r="M3814" s="1" t="str">
        <f t="shared" si="2649"/>
        <v>0</v>
      </c>
      <c r="N3814" s="1" t="str">
        <f>"10.35"</f>
        <v>10.35</v>
      </c>
      <c r="O3814" s="1" t="str">
        <f>"1.88"</f>
        <v>1.88</v>
      </c>
    </row>
    <row r="3815" s="1" customFormat="1" spans="1:15">
      <c r="A3815" s="1" t="str">
        <f t="shared" si="2641"/>
        <v>202406</v>
      </c>
      <c r="B3815" s="1" t="str">
        <f t="shared" si="2642"/>
        <v>150525100</v>
      </c>
      <c r="C3815" s="1" t="str">
        <f>"1014550495"</f>
        <v>1014550495</v>
      </c>
      <c r="D3815" s="1" t="str">
        <f>"152326195204130665"</f>
        <v>152326195204130665</v>
      </c>
      <c r="E3815" s="1" t="s">
        <v>3865</v>
      </c>
      <c r="F3815" s="1" t="s">
        <v>16</v>
      </c>
      <c r="G3815" s="1" t="s">
        <v>17</v>
      </c>
      <c r="H3815" s="1" t="str">
        <f t="shared" si="2652"/>
        <v>72</v>
      </c>
      <c r="I3815" s="1" t="str">
        <f>"162.15"</f>
        <v>162.15</v>
      </c>
      <c r="J3815" s="1" t="str">
        <f t="shared" si="2644"/>
        <v>0</v>
      </c>
      <c r="K3815" s="1" t="str">
        <f t="shared" si="2645"/>
        <v>103</v>
      </c>
      <c r="L3815" s="1" t="str">
        <f t="shared" si="2646"/>
        <v>47</v>
      </c>
      <c r="M3815" s="1" t="str">
        <f t="shared" si="2649"/>
        <v>0</v>
      </c>
      <c r="N3815" s="1" t="str">
        <f t="shared" ref="N3815:N3878" si="2653">"0"</f>
        <v>0</v>
      </c>
      <c r="O3815" s="1" t="str">
        <f>"2.15"</f>
        <v>2.15</v>
      </c>
    </row>
    <row r="3816" s="1" customFormat="1" spans="1:15">
      <c r="A3816" s="1" t="str">
        <f t="shared" si="2641"/>
        <v>202406</v>
      </c>
      <c r="B3816" s="1" t="str">
        <f t="shared" si="2642"/>
        <v>150525100</v>
      </c>
      <c r="C3816" s="1" t="str">
        <f>"1014549063"</f>
        <v>1014549063</v>
      </c>
      <c r="D3816" s="1" t="str">
        <f>"152326196111123321"</f>
        <v>152326196111123321</v>
      </c>
      <c r="E3816" s="1" t="s">
        <v>2229</v>
      </c>
      <c r="F3816" s="1" t="s">
        <v>16</v>
      </c>
      <c r="G3816" s="1" t="s">
        <v>19</v>
      </c>
      <c r="H3816" s="1" t="str">
        <f>"63"</f>
        <v>63</v>
      </c>
      <c r="I3816" s="1" t="str">
        <f>"161.15"</f>
        <v>161.15</v>
      </c>
      <c r="J3816" s="1" t="str">
        <f t="shared" si="2644"/>
        <v>0</v>
      </c>
      <c r="K3816" s="1" t="str">
        <f t="shared" si="2645"/>
        <v>103</v>
      </c>
      <c r="L3816" s="1" t="str">
        <f t="shared" si="2646"/>
        <v>47</v>
      </c>
      <c r="M3816" s="1" t="str">
        <f t="shared" si="2649"/>
        <v>0</v>
      </c>
      <c r="N3816" s="1" t="str">
        <f t="shared" si="2653"/>
        <v>0</v>
      </c>
      <c r="O3816" s="1" t="str">
        <f>"11.15"</f>
        <v>11.15</v>
      </c>
    </row>
    <row r="3817" s="1" customFormat="1" spans="1:15">
      <c r="A3817" s="1" t="str">
        <f t="shared" si="2641"/>
        <v>202406</v>
      </c>
      <c r="B3817" s="1" t="str">
        <f t="shared" si="2642"/>
        <v>150525100</v>
      </c>
      <c r="C3817" s="1" t="str">
        <f>"1040832971"</f>
        <v>1040832971</v>
      </c>
      <c r="D3817" s="1" t="str">
        <f>"150430195206180904"</f>
        <v>150430195206180904</v>
      </c>
      <c r="E3817" s="1" t="s">
        <v>3866</v>
      </c>
      <c r="F3817" s="1" t="s">
        <v>16</v>
      </c>
      <c r="G3817" s="1" t="s">
        <v>17</v>
      </c>
      <c r="H3817" s="1" t="str">
        <f>"72"</f>
        <v>72</v>
      </c>
      <c r="I3817" s="1" t="str">
        <f>"173.96"</f>
        <v>173.96</v>
      </c>
      <c r="J3817" s="1" t="str">
        <f t="shared" si="2644"/>
        <v>0</v>
      </c>
      <c r="K3817" s="1" t="str">
        <f t="shared" si="2645"/>
        <v>103</v>
      </c>
      <c r="L3817" s="1" t="str">
        <f t="shared" si="2646"/>
        <v>47</v>
      </c>
      <c r="M3817" s="1" t="str">
        <f t="shared" si="2649"/>
        <v>0</v>
      </c>
      <c r="N3817" s="1" t="str">
        <f t="shared" si="2653"/>
        <v>0</v>
      </c>
      <c r="O3817" s="1" t="str">
        <f>"13.96"</f>
        <v>13.96</v>
      </c>
    </row>
    <row r="3818" s="1" customFormat="1" spans="1:15">
      <c r="A3818" s="1" t="str">
        <f t="shared" si="2641"/>
        <v>202406</v>
      </c>
      <c r="B3818" s="1" t="str">
        <f t="shared" si="2642"/>
        <v>150525100</v>
      </c>
      <c r="C3818" s="1" t="str">
        <f>"1040832994"</f>
        <v>1040832994</v>
      </c>
      <c r="D3818" s="1" t="str">
        <f>"152326195402270677"</f>
        <v>152326195402270677</v>
      </c>
      <c r="E3818" s="1" t="s">
        <v>3867</v>
      </c>
      <c r="F3818" s="1" t="s">
        <v>25</v>
      </c>
      <c r="G3818" s="1" t="s">
        <v>17</v>
      </c>
      <c r="H3818" s="1" t="str">
        <f t="shared" ref="H3818:H3820" si="2654">"70"</f>
        <v>70</v>
      </c>
      <c r="I3818" s="1" t="str">
        <f>"162.93"</f>
        <v>162.93</v>
      </c>
      <c r="J3818" s="1" t="str">
        <f t="shared" si="2644"/>
        <v>0</v>
      </c>
      <c r="K3818" s="1" t="str">
        <f t="shared" si="2645"/>
        <v>103</v>
      </c>
      <c r="L3818" s="1" t="str">
        <f t="shared" si="2646"/>
        <v>47</v>
      </c>
      <c r="M3818" s="1" t="str">
        <f t="shared" si="2649"/>
        <v>0</v>
      </c>
      <c r="N3818" s="1" t="str">
        <f t="shared" si="2653"/>
        <v>0</v>
      </c>
      <c r="O3818" s="1" t="str">
        <f>"2.93"</f>
        <v>2.93</v>
      </c>
    </row>
    <row r="3819" s="1" customFormat="1" spans="1:15">
      <c r="A3819" s="1" t="str">
        <f t="shared" si="2641"/>
        <v>202406</v>
      </c>
      <c r="B3819" s="1" t="str">
        <f t="shared" si="2642"/>
        <v>150525100</v>
      </c>
      <c r="C3819" s="1" t="str">
        <f>"1040832998"</f>
        <v>1040832998</v>
      </c>
      <c r="D3819" s="1" t="str">
        <f>"152326195404290663"</f>
        <v>152326195404290663</v>
      </c>
      <c r="E3819" s="1" t="s">
        <v>3239</v>
      </c>
      <c r="F3819" s="1" t="s">
        <v>16</v>
      </c>
      <c r="G3819" s="1" t="s">
        <v>17</v>
      </c>
      <c r="H3819" s="1" t="str">
        <f t="shared" si="2654"/>
        <v>70</v>
      </c>
      <c r="I3819" s="1" t="str">
        <f>"163.55"</f>
        <v>163.55</v>
      </c>
      <c r="J3819" s="1" t="str">
        <f t="shared" si="2644"/>
        <v>0</v>
      </c>
      <c r="K3819" s="1" t="str">
        <f t="shared" si="2645"/>
        <v>103</v>
      </c>
      <c r="L3819" s="1" t="str">
        <f t="shared" si="2646"/>
        <v>47</v>
      </c>
      <c r="M3819" s="1" t="str">
        <f t="shared" si="2649"/>
        <v>0</v>
      </c>
      <c r="N3819" s="1" t="str">
        <f t="shared" si="2653"/>
        <v>0</v>
      </c>
      <c r="O3819" s="1" t="str">
        <f>"3.55"</f>
        <v>3.55</v>
      </c>
    </row>
    <row r="3820" s="1" customFormat="1" spans="1:15">
      <c r="A3820" s="1" t="str">
        <f t="shared" si="2641"/>
        <v>202406</v>
      </c>
      <c r="B3820" s="1" t="str">
        <f t="shared" si="2642"/>
        <v>150525100</v>
      </c>
      <c r="C3820" s="1" t="str">
        <f>"1040833000"</f>
        <v>1040833000</v>
      </c>
      <c r="D3820" s="1" t="str">
        <f>"152326195408030674"</f>
        <v>152326195408030674</v>
      </c>
      <c r="E3820" s="1" t="s">
        <v>3868</v>
      </c>
      <c r="F3820" s="1" t="s">
        <v>25</v>
      </c>
      <c r="G3820" s="1" t="s">
        <v>17</v>
      </c>
      <c r="H3820" s="1" t="str">
        <f t="shared" si="2654"/>
        <v>70</v>
      </c>
      <c r="I3820" s="1" t="str">
        <f>"153.56"</f>
        <v>153.56</v>
      </c>
      <c r="J3820" s="1" t="str">
        <f t="shared" si="2644"/>
        <v>0</v>
      </c>
      <c r="K3820" s="1" t="str">
        <f t="shared" si="2645"/>
        <v>103</v>
      </c>
      <c r="L3820" s="1" t="str">
        <f t="shared" si="2646"/>
        <v>47</v>
      </c>
      <c r="M3820" s="1" t="str">
        <f t="shared" si="2649"/>
        <v>0</v>
      </c>
      <c r="N3820" s="1" t="str">
        <f t="shared" si="2653"/>
        <v>0</v>
      </c>
      <c r="O3820" s="1" t="str">
        <f>"3.56"</f>
        <v>3.56</v>
      </c>
    </row>
    <row r="3821" s="1" customFormat="1" spans="1:15">
      <c r="A3821" s="1" t="str">
        <f t="shared" si="2641"/>
        <v>202406</v>
      </c>
      <c r="B3821" s="1" t="str">
        <f t="shared" si="2642"/>
        <v>150525100</v>
      </c>
      <c r="C3821" s="1" t="str">
        <f>"1040833027"</f>
        <v>1040833027</v>
      </c>
      <c r="D3821" s="1" t="str">
        <f>"150525195101250026"</f>
        <v>150525195101250026</v>
      </c>
      <c r="E3821" s="1" t="s">
        <v>539</v>
      </c>
      <c r="F3821" s="1" t="s">
        <v>16</v>
      </c>
      <c r="G3821" s="1" t="s">
        <v>17</v>
      </c>
      <c r="H3821" s="1" t="str">
        <f>"73"</f>
        <v>73</v>
      </c>
      <c r="I3821" s="1" t="str">
        <f>"160"</f>
        <v>160</v>
      </c>
      <c r="J3821" s="1" t="str">
        <f t="shared" si="2644"/>
        <v>0</v>
      </c>
      <c r="K3821" s="1" t="str">
        <f t="shared" si="2645"/>
        <v>103</v>
      </c>
      <c r="L3821" s="1" t="str">
        <f t="shared" si="2646"/>
        <v>47</v>
      </c>
      <c r="M3821" s="1" t="str">
        <f t="shared" si="2649"/>
        <v>0</v>
      </c>
      <c r="N3821" s="1" t="str">
        <f t="shared" si="2653"/>
        <v>0</v>
      </c>
      <c r="O3821" s="1" t="str">
        <f>"0"</f>
        <v>0</v>
      </c>
    </row>
    <row r="3822" s="1" customFormat="1" spans="1:15">
      <c r="A3822" s="1" t="str">
        <f t="shared" si="2641"/>
        <v>202406</v>
      </c>
      <c r="B3822" s="1" t="str">
        <f t="shared" si="2642"/>
        <v>150525100</v>
      </c>
      <c r="C3822" s="1" t="str">
        <f>"1040833034"</f>
        <v>1040833034</v>
      </c>
      <c r="D3822" s="1" t="str">
        <f>"152326195401023324"</f>
        <v>152326195401023324</v>
      </c>
      <c r="E3822" s="1" t="s">
        <v>3869</v>
      </c>
      <c r="F3822" s="1" t="s">
        <v>16</v>
      </c>
      <c r="G3822" s="1" t="s">
        <v>17</v>
      </c>
      <c r="H3822" s="1" t="str">
        <f>"71"</f>
        <v>71</v>
      </c>
      <c r="I3822" s="1" t="str">
        <f>"163.56"</f>
        <v>163.56</v>
      </c>
      <c r="J3822" s="1" t="str">
        <f t="shared" si="2644"/>
        <v>0</v>
      </c>
      <c r="K3822" s="1" t="str">
        <f t="shared" si="2645"/>
        <v>103</v>
      </c>
      <c r="L3822" s="1" t="str">
        <f t="shared" si="2646"/>
        <v>47</v>
      </c>
      <c r="M3822" s="1" t="str">
        <f t="shared" si="2649"/>
        <v>0</v>
      </c>
      <c r="N3822" s="1" t="str">
        <f t="shared" si="2653"/>
        <v>0</v>
      </c>
      <c r="O3822" s="1" t="str">
        <f>"3.56"</f>
        <v>3.56</v>
      </c>
    </row>
    <row r="3823" s="1" customFormat="1" spans="1:15">
      <c r="A3823" s="1" t="str">
        <f t="shared" si="2641"/>
        <v>202406</v>
      </c>
      <c r="B3823" s="1" t="str">
        <f t="shared" si="2642"/>
        <v>150525100</v>
      </c>
      <c r="C3823" s="1" t="str">
        <f>"1014567829"</f>
        <v>1014567829</v>
      </c>
      <c r="D3823" s="1" t="str">
        <f>"152326195501153812"</f>
        <v>152326195501153812</v>
      </c>
      <c r="E3823" s="1" t="s">
        <v>3870</v>
      </c>
      <c r="F3823" s="1" t="s">
        <v>25</v>
      </c>
      <c r="G3823" s="1" t="s">
        <v>19</v>
      </c>
      <c r="H3823" s="1" t="str">
        <f>"69"</f>
        <v>69</v>
      </c>
      <c r="I3823" s="1" t="str">
        <f>"155.1"</f>
        <v>155.1</v>
      </c>
      <c r="J3823" s="1" t="str">
        <f t="shared" si="2644"/>
        <v>0</v>
      </c>
      <c r="K3823" s="1" t="str">
        <f t="shared" si="2645"/>
        <v>103</v>
      </c>
      <c r="L3823" s="1" t="str">
        <f t="shared" si="2646"/>
        <v>47</v>
      </c>
      <c r="M3823" s="1" t="str">
        <f t="shared" si="2649"/>
        <v>0</v>
      </c>
      <c r="N3823" s="1" t="str">
        <f t="shared" si="2653"/>
        <v>0</v>
      </c>
      <c r="O3823" s="1" t="str">
        <f>"5.1"</f>
        <v>5.1</v>
      </c>
    </row>
    <row r="3824" s="1" customFormat="1" spans="1:15">
      <c r="A3824" s="1" t="str">
        <f t="shared" si="2641"/>
        <v>202406</v>
      </c>
      <c r="B3824" s="1" t="str">
        <f t="shared" si="2642"/>
        <v>150525100</v>
      </c>
      <c r="C3824" s="1" t="str">
        <f>"1014562895"</f>
        <v>1014562895</v>
      </c>
      <c r="D3824" s="1" t="str">
        <f>"152326196210150413"</f>
        <v>152326196210150413</v>
      </c>
      <c r="E3824" s="1" t="s">
        <v>3871</v>
      </c>
      <c r="F3824" s="1" t="s">
        <v>25</v>
      </c>
      <c r="G3824" s="1" t="s">
        <v>17</v>
      </c>
      <c r="H3824" s="1" t="str">
        <f>"62"</f>
        <v>62</v>
      </c>
      <c r="I3824" s="1" t="str">
        <f>"163.17"</f>
        <v>163.17</v>
      </c>
      <c r="J3824" s="1" t="str">
        <f t="shared" si="2644"/>
        <v>0</v>
      </c>
      <c r="K3824" s="1" t="str">
        <f t="shared" si="2645"/>
        <v>103</v>
      </c>
      <c r="L3824" s="1" t="str">
        <f t="shared" si="2646"/>
        <v>47</v>
      </c>
      <c r="M3824" s="1" t="str">
        <f t="shared" si="2649"/>
        <v>0</v>
      </c>
      <c r="N3824" s="1" t="str">
        <f t="shared" si="2653"/>
        <v>0</v>
      </c>
      <c r="O3824" s="1" t="str">
        <f>"13.17"</f>
        <v>13.17</v>
      </c>
    </row>
    <row r="3825" s="1" customFormat="1" spans="1:15">
      <c r="A3825" s="1" t="str">
        <f t="shared" si="2641"/>
        <v>202406</v>
      </c>
      <c r="B3825" s="1" t="str">
        <f t="shared" si="2642"/>
        <v>150525100</v>
      </c>
      <c r="C3825" s="1" t="str">
        <f>"1014562900"</f>
        <v>1014562900</v>
      </c>
      <c r="D3825" s="1" t="str">
        <f>"152326196210130420"</f>
        <v>152326196210130420</v>
      </c>
      <c r="E3825" s="1" t="s">
        <v>3872</v>
      </c>
      <c r="F3825" s="1" t="s">
        <v>16</v>
      </c>
      <c r="G3825" s="1" t="s">
        <v>17</v>
      </c>
      <c r="H3825" s="1" t="str">
        <f>"62"</f>
        <v>62</v>
      </c>
      <c r="I3825" s="1" t="str">
        <f>"162.41"</f>
        <v>162.41</v>
      </c>
      <c r="J3825" s="1" t="str">
        <f t="shared" si="2644"/>
        <v>0</v>
      </c>
      <c r="K3825" s="1" t="str">
        <f t="shared" si="2645"/>
        <v>103</v>
      </c>
      <c r="L3825" s="1" t="str">
        <f t="shared" si="2646"/>
        <v>47</v>
      </c>
      <c r="M3825" s="1" t="str">
        <f t="shared" si="2649"/>
        <v>0</v>
      </c>
      <c r="N3825" s="1" t="str">
        <f t="shared" si="2653"/>
        <v>0</v>
      </c>
      <c r="O3825" s="1" t="str">
        <f>"12.41"</f>
        <v>12.41</v>
      </c>
    </row>
    <row r="3826" s="1" customFormat="1" spans="1:15">
      <c r="A3826" s="1" t="str">
        <f t="shared" si="2641"/>
        <v>202406</v>
      </c>
      <c r="B3826" s="1" t="str">
        <f t="shared" si="2642"/>
        <v>150525100</v>
      </c>
      <c r="C3826" s="1" t="str">
        <f>"1014562907"</f>
        <v>1014562907</v>
      </c>
      <c r="D3826" s="1" t="str">
        <f>"152326195411200427"</f>
        <v>152326195411200427</v>
      </c>
      <c r="E3826" s="1" t="s">
        <v>3852</v>
      </c>
      <c r="F3826" s="1" t="s">
        <v>16</v>
      </c>
      <c r="G3826" s="1" t="s">
        <v>17</v>
      </c>
      <c r="H3826" s="1" t="str">
        <f>"70"</f>
        <v>70</v>
      </c>
      <c r="I3826" s="1" t="str">
        <f>"154.16"</f>
        <v>154.16</v>
      </c>
      <c r="J3826" s="1" t="str">
        <f t="shared" si="2644"/>
        <v>0</v>
      </c>
      <c r="K3826" s="1" t="str">
        <f t="shared" si="2645"/>
        <v>103</v>
      </c>
      <c r="L3826" s="1" t="str">
        <f t="shared" si="2646"/>
        <v>47</v>
      </c>
      <c r="M3826" s="1" t="str">
        <f t="shared" si="2649"/>
        <v>0</v>
      </c>
      <c r="N3826" s="1" t="str">
        <f t="shared" si="2653"/>
        <v>0</v>
      </c>
      <c r="O3826" s="1" t="str">
        <f>"4.16"</f>
        <v>4.16</v>
      </c>
    </row>
    <row r="3827" s="1" customFormat="1" spans="1:15">
      <c r="A3827" s="1" t="str">
        <f t="shared" si="2641"/>
        <v>202406</v>
      </c>
      <c r="B3827" s="1" t="str">
        <f t="shared" si="2642"/>
        <v>150525100</v>
      </c>
      <c r="C3827" s="1" t="str">
        <f>"1014562917"</f>
        <v>1014562917</v>
      </c>
      <c r="D3827" s="1" t="str">
        <f>"152326195411110421"</f>
        <v>152326195411110421</v>
      </c>
      <c r="E3827" s="1" t="s">
        <v>3873</v>
      </c>
      <c r="F3827" s="1" t="s">
        <v>16</v>
      </c>
      <c r="G3827" s="1" t="s">
        <v>17</v>
      </c>
      <c r="H3827" s="1" t="str">
        <f>"70"</f>
        <v>70</v>
      </c>
      <c r="I3827" s="1" t="str">
        <f>"154.16"</f>
        <v>154.16</v>
      </c>
      <c r="J3827" s="1" t="str">
        <f t="shared" si="2644"/>
        <v>0</v>
      </c>
      <c r="K3827" s="1" t="str">
        <f t="shared" si="2645"/>
        <v>103</v>
      </c>
      <c r="L3827" s="1" t="str">
        <f t="shared" si="2646"/>
        <v>47</v>
      </c>
      <c r="M3827" s="1" t="str">
        <f t="shared" si="2649"/>
        <v>0</v>
      </c>
      <c r="N3827" s="1" t="str">
        <f t="shared" si="2653"/>
        <v>0</v>
      </c>
      <c r="O3827" s="1" t="str">
        <f>"4.16"</f>
        <v>4.16</v>
      </c>
    </row>
    <row r="3828" s="1" customFormat="1" spans="1:15">
      <c r="A3828" s="1" t="str">
        <f t="shared" si="2641"/>
        <v>202406</v>
      </c>
      <c r="B3828" s="1" t="str">
        <f t="shared" si="2642"/>
        <v>150525100</v>
      </c>
      <c r="C3828" s="1" t="str">
        <f>"1014563276"</f>
        <v>1014563276</v>
      </c>
      <c r="D3828" s="1" t="str">
        <f>"152326195211290413"</f>
        <v>152326195211290413</v>
      </c>
      <c r="E3828" s="1" t="s">
        <v>3874</v>
      </c>
      <c r="F3828" s="1" t="s">
        <v>25</v>
      </c>
      <c r="G3828" s="1" t="s">
        <v>17</v>
      </c>
      <c r="H3828" s="1" t="str">
        <f>"72"</f>
        <v>72</v>
      </c>
      <c r="I3828" s="1" t="str">
        <f>"162.16"</f>
        <v>162.16</v>
      </c>
      <c r="J3828" s="1" t="str">
        <f t="shared" si="2644"/>
        <v>0</v>
      </c>
      <c r="K3828" s="1" t="str">
        <f t="shared" si="2645"/>
        <v>103</v>
      </c>
      <c r="L3828" s="1" t="str">
        <f t="shared" si="2646"/>
        <v>47</v>
      </c>
      <c r="M3828" s="1" t="str">
        <f t="shared" si="2649"/>
        <v>0</v>
      </c>
      <c r="N3828" s="1" t="str">
        <f t="shared" si="2653"/>
        <v>0</v>
      </c>
      <c r="O3828" s="1" t="str">
        <f>"2.16"</f>
        <v>2.16</v>
      </c>
    </row>
    <row r="3829" s="1" customFormat="1" spans="1:15">
      <c r="A3829" s="1" t="str">
        <f t="shared" si="2641"/>
        <v>202406</v>
      </c>
      <c r="B3829" s="1" t="str">
        <f t="shared" si="2642"/>
        <v>150525100</v>
      </c>
      <c r="C3829" s="1" t="str">
        <f>"1014569693"</f>
        <v>1014569693</v>
      </c>
      <c r="D3829" s="1" t="str">
        <f>"152326195505060429"</f>
        <v>152326195505060429</v>
      </c>
      <c r="E3829" s="1" t="s">
        <v>3875</v>
      </c>
      <c r="F3829" s="1" t="s">
        <v>16</v>
      </c>
      <c r="G3829" s="1" t="s">
        <v>96</v>
      </c>
      <c r="H3829" s="1" t="str">
        <f>"69"</f>
        <v>69</v>
      </c>
      <c r="I3829" s="1" t="str">
        <f>"155.1"</f>
        <v>155.1</v>
      </c>
      <c r="J3829" s="1" t="str">
        <f t="shared" si="2644"/>
        <v>0</v>
      </c>
      <c r="K3829" s="1" t="str">
        <f t="shared" si="2645"/>
        <v>103</v>
      </c>
      <c r="L3829" s="1" t="str">
        <f t="shared" si="2646"/>
        <v>47</v>
      </c>
      <c r="M3829" s="1" t="str">
        <f t="shared" si="2649"/>
        <v>0</v>
      </c>
      <c r="N3829" s="1" t="str">
        <f t="shared" si="2653"/>
        <v>0</v>
      </c>
      <c r="O3829" s="1" t="str">
        <f>"5.1"</f>
        <v>5.1</v>
      </c>
    </row>
    <row r="3830" s="1" customFormat="1" spans="1:15">
      <c r="A3830" s="1" t="str">
        <f t="shared" si="2641"/>
        <v>202406</v>
      </c>
      <c r="B3830" s="1" t="str">
        <f t="shared" si="2642"/>
        <v>150525100</v>
      </c>
      <c r="C3830" s="1" t="str">
        <f>"1014569716"</f>
        <v>1014569716</v>
      </c>
      <c r="D3830" s="1" t="str">
        <f>"152326196302010426"</f>
        <v>152326196302010426</v>
      </c>
      <c r="E3830" s="1" t="s">
        <v>3876</v>
      </c>
      <c r="F3830" s="1" t="s">
        <v>16</v>
      </c>
      <c r="G3830" s="1" t="s">
        <v>19</v>
      </c>
      <c r="H3830" s="1" t="str">
        <f>"61"</f>
        <v>61</v>
      </c>
      <c r="I3830" s="1" t="str">
        <f>"164.94"</f>
        <v>164.94</v>
      </c>
      <c r="J3830" s="1" t="str">
        <f t="shared" si="2644"/>
        <v>0</v>
      </c>
      <c r="K3830" s="1" t="str">
        <f t="shared" si="2645"/>
        <v>103</v>
      </c>
      <c r="L3830" s="1" t="str">
        <f t="shared" si="2646"/>
        <v>47</v>
      </c>
      <c r="M3830" s="1" t="str">
        <f t="shared" si="2649"/>
        <v>0</v>
      </c>
      <c r="N3830" s="1" t="str">
        <f t="shared" si="2653"/>
        <v>0</v>
      </c>
      <c r="O3830" s="1" t="str">
        <f>"14.94"</f>
        <v>14.94</v>
      </c>
    </row>
    <row r="3831" s="1" customFormat="1" spans="1:15">
      <c r="A3831" s="1" t="str">
        <f t="shared" si="2641"/>
        <v>202406</v>
      </c>
      <c r="B3831" s="1" t="str">
        <f t="shared" si="2642"/>
        <v>150525100</v>
      </c>
      <c r="C3831" s="1" t="str">
        <f>"1014569720"</f>
        <v>1014569720</v>
      </c>
      <c r="D3831" s="1" t="str">
        <f>"152326196308120415"</f>
        <v>152326196308120415</v>
      </c>
      <c r="E3831" s="1" t="s">
        <v>3877</v>
      </c>
      <c r="F3831" s="1" t="s">
        <v>25</v>
      </c>
      <c r="G3831" s="1" t="s">
        <v>17</v>
      </c>
      <c r="H3831" s="1" t="str">
        <f>"61"</f>
        <v>61</v>
      </c>
      <c r="I3831" s="1" t="str">
        <f>"164.8"</f>
        <v>164.8</v>
      </c>
      <c r="J3831" s="1" t="str">
        <f t="shared" si="2644"/>
        <v>0</v>
      </c>
      <c r="K3831" s="1" t="str">
        <f t="shared" si="2645"/>
        <v>103</v>
      </c>
      <c r="L3831" s="1" t="str">
        <f t="shared" si="2646"/>
        <v>47</v>
      </c>
      <c r="M3831" s="1" t="str">
        <f t="shared" si="2649"/>
        <v>0</v>
      </c>
      <c r="N3831" s="1" t="str">
        <f t="shared" si="2653"/>
        <v>0</v>
      </c>
      <c r="O3831" s="1" t="str">
        <f>"14.8"</f>
        <v>14.8</v>
      </c>
    </row>
    <row r="3832" s="1" customFormat="1" spans="1:15">
      <c r="A3832" s="1" t="str">
        <f t="shared" si="2641"/>
        <v>202406</v>
      </c>
      <c r="B3832" s="1" t="str">
        <f t="shared" si="2642"/>
        <v>150525100</v>
      </c>
      <c r="C3832" s="1" t="str">
        <f>"1014584416"</f>
        <v>1014584416</v>
      </c>
      <c r="D3832" s="1" t="str">
        <f>"152326195201100663"</f>
        <v>152326195201100663</v>
      </c>
      <c r="E3832" s="1" t="s">
        <v>1579</v>
      </c>
      <c r="F3832" s="1" t="s">
        <v>16</v>
      </c>
      <c r="G3832" s="1" t="s">
        <v>17</v>
      </c>
      <c r="H3832" s="1" t="str">
        <f>"72"</f>
        <v>72</v>
      </c>
      <c r="I3832" s="1" t="str">
        <f>"162.14"</f>
        <v>162.14</v>
      </c>
      <c r="J3832" s="1" t="str">
        <f t="shared" si="2644"/>
        <v>0</v>
      </c>
      <c r="K3832" s="1" t="str">
        <f t="shared" si="2645"/>
        <v>103</v>
      </c>
      <c r="L3832" s="1" t="str">
        <f t="shared" si="2646"/>
        <v>47</v>
      </c>
      <c r="M3832" s="1" t="str">
        <f t="shared" si="2649"/>
        <v>0</v>
      </c>
      <c r="N3832" s="1" t="str">
        <f t="shared" si="2653"/>
        <v>0</v>
      </c>
      <c r="O3832" s="1" t="str">
        <f>"2.14"</f>
        <v>2.14</v>
      </c>
    </row>
    <row r="3833" s="1" customFormat="1" spans="1:15">
      <c r="A3833" s="1" t="str">
        <f t="shared" si="2641"/>
        <v>202406</v>
      </c>
      <c r="B3833" s="1" t="str">
        <f t="shared" si="2642"/>
        <v>150525100</v>
      </c>
      <c r="C3833" s="1" t="str">
        <f>"1014585046"</f>
        <v>1014585046</v>
      </c>
      <c r="D3833" s="1" t="str">
        <f>"152326195403110683"</f>
        <v>152326195403110683</v>
      </c>
      <c r="E3833" s="1" t="s">
        <v>3878</v>
      </c>
      <c r="F3833" s="1" t="s">
        <v>16</v>
      </c>
      <c r="G3833" s="1" t="s">
        <v>17</v>
      </c>
      <c r="H3833" s="1" t="str">
        <f>"70"</f>
        <v>70</v>
      </c>
      <c r="I3833" s="1" t="str">
        <f>"164.14"</f>
        <v>164.14</v>
      </c>
      <c r="J3833" s="1" t="str">
        <f t="shared" si="2644"/>
        <v>0</v>
      </c>
      <c r="K3833" s="1" t="str">
        <f t="shared" si="2645"/>
        <v>103</v>
      </c>
      <c r="L3833" s="1" t="str">
        <f t="shared" si="2646"/>
        <v>47</v>
      </c>
      <c r="M3833" s="1" t="str">
        <f t="shared" si="2649"/>
        <v>0</v>
      </c>
      <c r="N3833" s="1" t="str">
        <f t="shared" si="2653"/>
        <v>0</v>
      </c>
      <c r="O3833" s="1" t="str">
        <f>"4.14"</f>
        <v>4.14</v>
      </c>
    </row>
    <row r="3834" s="1" customFormat="1" spans="1:15">
      <c r="A3834" s="1" t="str">
        <f t="shared" si="2641"/>
        <v>202406</v>
      </c>
      <c r="B3834" s="1" t="str">
        <f t="shared" si="2642"/>
        <v>150525100</v>
      </c>
      <c r="C3834" s="1" t="str">
        <f>"1014562925"</f>
        <v>1014562925</v>
      </c>
      <c r="D3834" s="1" t="str">
        <f>"152326195802230439"</f>
        <v>152326195802230439</v>
      </c>
      <c r="E3834" s="1" t="s">
        <v>3879</v>
      </c>
      <c r="F3834" s="1" t="s">
        <v>25</v>
      </c>
      <c r="G3834" s="1" t="s">
        <v>17</v>
      </c>
      <c r="H3834" s="1" t="str">
        <f>"66"</f>
        <v>66</v>
      </c>
      <c r="I3834" s="1" t="str">
        <f>"157.09"</f>
        <v>157.09</v>
      </c>
      <c r="J3834" s="1" t="str">
        <f t="shared" si="2644"/>
        <v>0</v>
      </c>
      <c r="K3834" s="1" t="str">
        <f t="shared" si="2645"/>
        <v>103</v>
      </c>
      <c r="L3834" s="1" t="str">
        <f t="shared" si="2646"/>
        <v>47</v>
      </c>
      <c r="M3834" s="1" t="str">
        <f t="shared" si="2649"/>
        <v>0</v>
      </c>
      <c r="N3834" s="1" t="str">
        <f t="shared" si="2653"/>
        <v>0</v>
      </c>
      <c r="O3834" s="1" t="str">
        <f>"7.09"</f>
        <v>7.09</v>
      </c>
    </row>
    <row r="3835" s="1" customFormat="1" spans="1:15">
      <c r="A3835" s="1" t="str">
        <f t="shared" si="2641"/>
        <v>202406</v>
      </c>
      <c r="B3835" s="1" t="str">
        <f t="shared" si="2642"/>
        <v>150525100</v>
      </c>
      <c r="C3835" s="1" t="str">
        <f>"1014562950"</f>
        <v>1014562950</v>
      </c>
      <c r="D3835" s="1" t="str">
        <f>"152326195205110420"</f>
        <v>152326195205110420</v>
      </c>
      <c r="E3835" s="1" t="s">
        <v>3880</v>
      </c>
      <c r="F3835" s="1" t="s">
        <v>16</v>
      </c>
      <c r="G3835" s="1" t="s">
        <v>17</v>
      </c>
      <c r="H3835" s="1" t="str">
        <f>"72"</f>
        <v>72</v>
      </c>
      <c r="I3835" s="1" t="str">
        <f>"162.16"</f>
        <v>162.16</v>
      </c>
      <c r="J3835" s="1" t="str">
        <f t="shared" si="2644"/>
        <v>0</v>
      </c>
      <c r="K3835" s="1" t="str">
        <f t="shared" si="2645"/>
        <v>103</v>
      </c>
      <c r="L3835" s="1" t="str">
        <f t="shared" si="2646"/>
        <v>47</v>
      </c>
      <c r="M3835" s="1" t="str">
        <f t="shared" si="2649"/>
        <v>0</v>
      </c>
      <c r="N3835" s="1" t="str">
        <f t="shared" si="2653"/>
        <v>0</v>
      </c>
      <c r="O3835" s="1" t="str">
        <f>"2.16"</f>
        <v>2.16</v>
      </c>
    </row>
    <row r="3836" s="1" customFormat="1" spans="1:15">
      <c r="A3836" s="1" t="str">
        <f t="shared" si="2641"/>
        <v>202406</v>
      </c>
      <c r="B3836" s="1" t="str">
        <f t="shared" si="2642"/>
        <v>150525100</v>
      </c>
      <c r="C3836" s="1" t="str">
        <f>"1014569725"</f>
        <v>1014569725</v>
      </c>
      <c r="D3836" s="1" t="str">
        <f>"152326196311270414"</f>
        <v>152326196311270414</v>
      </c>
      <c r="E3836" s="1" t="s">
        <v>3881</v>
      </c>
      <c r="F3836" s="1" t="s">
        <v>25</v>
      </c>
      <c r="G3836" s="1" t="s">
        <v>17</v>
      </c>
      <c r="H3836" s="1" t="str">
        <f>"61"</f>
        <v>61</v>
      </c>
      <c r="I3836" s="1" t="str">
        <f>"165.11"</f>
        <v>165.11</v>
      </c>
      <c r="J3836" s="1" t="str">
        <f t="shared" si="2644"/>
        <v>0</v>
      </c>
      <c r="K3836" s="1" t="str">
        <f t="shared" si="2645"/>
        <v>103</v>
      </c>
      <c r="L3836" s="1" t="str">
        <f t="shared" si="2646"/>
        <v>47</v>
      </c>
      <c r="M3836" s="1" t="str">
        <f t="shared" si="2649"/>
        <v>0</v>
      </c>
      <c r="N3836" s="1" t="str">
        <f t="shared" si="2653"/>
        <v>0</v>
      </c>
      <c r="O3836" s="1" t="str">
        <f>"15.11"</f>
        <v>15.11</v>
      </c>
    </row>
    <row r="3837" s="1" customFormat="1" spans="1:15">
      <c r="A3837" s="1" t="str">
        <f t="shared" si="2641"/>
        <v>202406</v>
      </c>
      <c r="B3837" s="1" t="str">
        <f t="shared" si="2642"/>
        <v>150525100</v>
      </c>
      <c r="C3837" s="1" t="str">
        <f>"1014569746"</f>
        <v>1014569746</v>
      </c>
      <c r="D3837" s="1" t="str">
        <f>"152326195607200445"</f>
        <v>152326195607200445</v>
      </c>
      <c r="E3837" s="1" t="s">
        <v>3882</v>
      </c>
      <c r="F3837" s="1" t="s">
        <v>16</v>
      </c>
      <c r="G3837" s="1" t="s">
        <v>17</v>
      </c>
      <c r="H3837" s="1" t="str">
        <f>"68"</f>
        <v>68</v>
      </c>
      <c r="I3837" s="1" t="str">
        <f>"156"</f>
        <v>156</v>
      </c>
      <c r="J3837" s="1" t="str">
        <f t="shared" si="2644"/>
        <v>0</v>
      </c>
      <c r="K3837" s="1" t="str">
        <f t="shared" si="2645"/>
        <v>103</v>
      </c>
      <c r="L3837" s="1" t="str">
        <f t="shared" si="2646"/>
        <v>47</v>
      </c>
      <c r="M3837" s="1" t="str">
        <f t="shared" si="2649"/>
        <v>0</v>
      </c>
      <c r="N3837" s="1" t="str">
        <f t="shared" si="2653"/>
        <v>0</v>
      </c>
      <c r="O3837" s="1" t="str">
        <f>"6"</f>
        <v>6</v>
      </c>
    </row>
    <row r="3838" s="1" customFormat="1" spans="1:15">
      <c r="A3838" s="1" t="str">
        <f t="shared" si="2641"/>
        <v>202406</v>
      </c>
      <c r="B3838" s="1" t="str">
        <f t="shared" si="2642"/>
        <v>150525100</v>
      </c>
      <c r="C3838" s="1" t="str">
        <f>"1014549523"</f>
        <v>1014549523</v>
      </c>
      <c r="D3838" s="1" t="str">
        <f>"152326195310070424"</f>
        <v>152326195310070424</v>
      </c>
      <c r="E3838" s="1" t="s">
        <v>3883</v>
      </c>
      <c r="F3838" s="1" t="s">
        <v>16</v>
      </c>
      <c r="G3838" s="1" t="s">
        <v>17</v>
      </c>
      <c r="H3838" s="1" t="str">
        <f>"71"</f>
        <v>71</v>
      </c>
      <c r="I3838" s="1" t="str">
        <f>"163.16"</f>
        <v>163.16</v>
      </c>
      <c r="J3838" s="1" t="str">
        <f t="shared" si="2644"/>
        <v>0</v>
      </c>
      <c r="K3838" s="1" t="str">
        <f t="shared" si="2645"/>
        <v>103</v>
      </c>
      <c r="L3838" s="1" t="str">
        <f t="shared" si="2646"/>
        <v>47</v>
      </c>
      <c r="M3838" s="1" t="str">
        <f t="shared" si="2649"/>
        <v>0</v>
      </c>
      <c r="N3838" s="1" t="str">
        <f t="shared" si="2653"/>
        <v>0</v>
      </c>
      <c r="O3838" s="1" t="str">
        <f>"3.16"</f>
        <v>3.16</v>
      </c>
    </row>
    <row r="3839" s="1" customFormat="1" spans="1:15">
      <c r="A3839" s="1" t="str">
        <f t="shared" si="2641"/>
        <v>202406</v>
      </c>
      <c r="B3839" s="1" t="str">
        <f t="shared" si="2642"/>
        <v>150525100</v>
      </c>
      <c r="C3839" s="1" t="str">
        <f>"1014585085"</f>
        <v>1014585085</v>
      </c>
      <c r="D3839" s="1" t="str">
        <f>"152326195503060425"</f>
        <v>152326195503060425</v>
      </c>
      <c r="E3839" s="1" t="s">
        <v>3884</v>
      </c>
      <c r="F3839" s="1" t="s">
        <v>16</v>
      </c>
      <c r="G3839" s="1" t="s">
        <v>17</v>
      </c>
      <c r="H3839" s="1" t="str">
        <f>"69"</f>
        <v>69</v>
      </c>
      <c r="I3839" s="1" t="str">
        <f>"155.09"</f>
        <v>155.09</v>
      </c>
      <c r="J3839" s="1" t="str">
        <f t="shared" si="2644"/>
        <v>0</v>
      </c>
      <c r="K3839" s="1" t="str">
        <f t="shared" si="2645"/>
        <v>103</v>
      </c>
      <c r="L3839" s="1" t="str">
        <f t="shared" si="2646"/>
        <v>47</v>
      </c>
      <c r="M3839" s="1" t="str">
        <f t="shared" si="2649"/>
        <v>0</v>
      </c>
      <c r="N3839" s="1" t="str">
        <f t="shared" si="2653"/>
        <v>0</v>
      </c>
      <c r="O3839" s="1" t="str">
        <f>"5.09"</f>
        <v>5.09</v>
      </c>
    </row>
    <row r="3840" s="1" customFormat="1" spans="1:15">
      <c r="A3840" s="1" t="str">
        <f t="shared" si="2641"/>
        <v>202406</v>
      </c>
      <c r="B3840" s="1" t="str">
        <f t="shared" si="2642"/>
        <v>150525100</v>
      </c>
      <c r="C3840" s="1" t="str">
        <f>"1014561213"</f>
        <v>1014561213</v>
      </c>
      <c r="D3840" s="1" t="str">
        <f>"152326195806040421"</f>
        <v>152326195806040421</v>
      </c>
      <c r="E3840" s="1" t="s">
        <v>3885</v>
      </c>
      <c r="F3840" s="1" t="s">
        <v>16</v>
      </c>
      <c r="G3840" s="1" t="s">
        <v>17</v>
      </c>
      <c r="H3840" s="1" t="str">
        <f>"66"</f>
        <v>66</v>
      </c>
      <c r="I3840" s="1" t="str">
        <f>"157.1"</f>
        <v>157.1</v>
      </c>
      <c r="J3840" s="1" t="str">
        <f t="shared" si="2644"/>
        <v>0</v>
      </c>
      <c r="K3840" s="1" t="str">
        <f t="shared" si="2645"/>
        <v>103</v>
      </c>
      <c r="L3840" s="1" t="str">
        <f t="shared" si="2646"/>
        <v>47</v>
      </c>
      <c r="M3840" s="1" t="str">
        <f t="shared" si="2649"/>
        <v>0</v>
      </c>
      <c r="N3840" s="1" t="str">
        <f t="shared" si="2653"/>
        <v>0</v>
      </c>
      <c r="O3840" s="1" t="str">
        <f>"7.1"</f>
        <v>7.1</v>
      </c>
    </row>
    <row r="3841" s="1" customFormat="1" spans="1:15">
      <c r="A3841" s="1" t="str">
        <f t="shared" si="2641"/>
        <v>202406</v>
      </c>
      <c r="B3841" s="1" t="str">
        <f t="shared" si="2642"/>
        <v>150525100</v>
      </c>
      <c r="C3841" s="1" t="str">
        <f>"1014561224"</f>
        <v>1014561224</v>
      </c>
      <c r="D3841" s="1" t="str">
        <f>"152326195905210422"</f>
        <v>152326195905210422</v>
      </c>
      <c r="E3841" s="1" t="s">
        <v>3886</v>
      </c>
      <c r="F3841" s="1" t="s">
        <v>16</v>
      </c>
      <c r="G3841" s="1" t="s">
        <v>17</v>
      </c>
      <c r="H3841" s="1" t="str">
        <f>"65"</f>
        <v>65</v>
      </c>
      <c r="I3841" s="1" t="str">
        <f>"159.84"</f>
        <v>159.84</v>
      </c>
      <c r="J3841" s="1" t="str">
        <f t="shared" si="2644"/>
        <v>0</v>
      </c>
      <c r="K3841" s="1" t="str">
        <f t="shared" si="2645"/>
        <v>103</v>
      </c>
      <c r="L3841" s="1" t="str">
        <f t="shared" si="2646"/>
        <v>47</v>
      </c>
      <c r="M3841" s="1" t="str">
        <f t="shared" si="2649"/>
        <v>0</v>
      </c>
      <c r="N3841" s="1" t="str">
        <f t="shared" si="2653"/>
        <v>0</v>
      </c>
      <c r="O3841" s="1" t="str">
        <f>"9.84"</f>
        <v>9.84</v>
      </c>
    </row>
    <row r="3842" s="1" customFormat="1" spans="1:15">
      <c r="A3842" s="1" t="str">
        <f t="shared" ref="A3842:A3905" si="2655">"202406"</f>
        <v>202406</v>
      </c>
      <c r="B3842" s="1" t="str">
        <f t="shared" ref="B3842:B3905" si="2656">"150525100"</f>
        <v>150525100</v>
      </c>
      <c r="C3842" s="1" t="str">
        <f>"1040833145"</f>
        <v>1040833145</v>
      </c>
      <c r="D3842" s="1" t="str">
        <f>"152326195505290021"</f>
        <v>152326195505290021</v>
      </c>
      <c r="E3842" s="1" t="s">
        <v>1205</v>
      </c>
      <c r="F3842" s="1" t="s">
        <v>16</v>
      </c>
      <c r="G3842" s="1" t="s">
        <v>17</v>
      </c>
      <c r="H3842" s="1" t="str">
        <f>"69"</f>
        <v>69</v>
      </c>
      <c r="I3842" s="1" t="str">
        <f>"190.04"</f>
        <v>190.04</v>
      </c>
      <c r="J3842" s="1" t="str">
        <f t="shared" si="2644"/>
        <v>0</v>
      </c>
      <c r="K3842" s="1" t="str">
        <f t="shared" si="2645"/>
        <v>103</v>
      </c>
      <c r="L3842" s="1" t="str">
        <f t="shared" si="2646"/>
        <v>47</v>
      </c>
      <c r="M3842" s="1" t="str">
        <f t="shared" si="2649"/>
        <v>0</v>
      </c>
      <c r="N3842" s="1" t="str">
        <f t="shared" si="2653"/>
        <v>0</v>
      </c>
      <c r="O3842" s="1" t="str">
        <f>"40.04"</f>
        <v>40.04</v>
      </c>
    </row>
    <row r="3843" s="1" customFormat="1" spans="1:15">
      <c r="A3843" s="1" t="str">
        <f t="shared" si="2655"/>
        <v>202406</v>
      </c>
      <c r="B3843" s="1" t="str">
        <f t="shared" si="2656"/>
        <v>150525100</v>
      </c>
      <c r="C3843" s="1" t="str">
        <f>"1040833169"</f>
        <v>1040833169</v>
      </c>
      <c r="D3843" s="1" t="str">
        <f>"152326195404290428"</f>
        <v>152326195404290428</v>
      </c>
      <c r="E3843" s="1" t="s">
        <v>3887</v>
      </c>
      <c r="F3843" s="1" t="s">
        <v>16</v>
      </c>
      <c r="G3843" s="1" t="s">
        <v>17</v>
      </c>
      <c r="H3843" s="1" t="str">
        <f t="shared" ref="H3843:H3848" si="2657">"70"</f>
        <v>70</v>
      </c>
      <c r="I3843" s="1" t="str">
        <f>"163.55"</f>
        <v>163.55</v>
      </c>
      <c r="J3843" s="1" t="str">
        <f t="shared" si="2644"/>
        <v>0</v>
      </c>
      <c r="K3843" s="1" t="str">
        <f t="shared" si="2645"/>
        <v>103</v>
      </c>
      <c r="L3843" s="1" t="str">
        <f t="shared" si="2646"/>
        <v>47</v>
      </c>
      <c r="M3843" s="1" t="str">
        <f t="shared" si="2649"/>
        <v>0</v>
      </c>
      <c r="N3843" s="1" t="str">
        <f t="shared" si="2653"/>
        <v>0</v>
      </c>
      <c r="O3843" s="1" t="str">
        <f>"3.55"</f>
        <v>3.55</v>
      </c>
    </row>
    <row r="3844" s="1" customFormat="1" spans="1:15">
      <c r="A3844" s="1" t="str">
        <f t="shared" si="2655"/>
        <v>202406</v>
      </c>
      <c r="B3844" s="1" t="str">
        <f t="shared" si="2656"/>
        <v>150525100</v>
      </c>
      <c r="C3844" s="1" t="str">
        <f>"1040833183"</f>
        <v>1040833183</v>
      </c>
      <c r="D3844" s="1" t="str">
        <f>"152326195210013318"</f>
        <v>152326195210013318</v>
      </c>
      <c r="E3844" s="1" t="s">
        <v>3888</v>
      </c>
      <c r="F3844" s="1" t="s">
        <v>25</v>
      </c>
      <c r="G3844" s="1" t="s">
        <v>17</v>
      </c>
      <c r="H3844" s="1" t="str">
        <f>"72"</f>
        <v>72</v>
      </c>
      <c r="I3844" s="1" t="str">
        <f>"161.51"</f>
        <v>161.51</v>
      </c>
      <c r="J3844" s="1" t="str">
        <f t="shared" si="2644"/>
        <v>0</v>
      </c>
      <c r="K3844" s="1" t="str">
        <f t="shared" si="2645"/>
        <v>103</v>
      </c>
      <c r="L3844" s="1" t="str">
        <f t="shared" si="2646"/>
        <v>47</v>
      </c>
      <c r="M3844" s="1" t="str">
        <f t="shared" si="2649"/>
        <v>0</v>
      </c>
      <c r="N3844" s="1" t="str">
        <f t="shared" si="2653"/>
        <v>0</v>
      </c>
      <c r="O3844" s="1" t="str">
        <f>"1.51"</f>
        <v>1.51</v>
      </c>
    </row>
    <row r="3845" s="1" customFormat="1" spans="1:15">
      <c r="A3845" s="1" t="str">
        <f t="shared" si="2655"/>
        <v>202406</v>
      </c>
      <c r="B3845" s="1" t="str">
        <f t="shared" si="2656"/>
        <v>150525100</v>
      </c>
      <c r="C3845" s="1" t="str">
        <f>"1040833187"</f>
        <v>1040833187</v>
      </c>
      <c r="D3845" s="1" t="str">
        <f>"152326195510120414"</f>
        <v>152326195510120414</v>
      </c>
      <c r="E3845" s="1" t="s">
        <v>3889</v>
      </c>
      <c r="F3845" s="1" t="s">
        <v>25</v>
      </c>
      <c r="G3845" s="1" t="s">
        <v>17</v>
      </c>
      <c r="H3845" s="1" t="str">
        <f>"69"</f>
        <v>69</v>
      </c>
      <c r="I3845" s="1" t="str">
        <f>"153.67"</f>
        <v>153.67</v>
      </c>
      <c r="J3845" s="1" t="str">
        <f t="shared" si="2644"/>
        <v>0</v>
      </c>
      <c r="K3845" s="1" t="str">
        <f t="shared" si="2645"/>
        <v>103</v>
      </c>
      <c r="L3845" s="1" t="str">
        <f t="shared" si="2646"/>
        <v>47</v>
      </c>
      <c r="M3845" s="1" t="str">
        <f t="shared" si="2649"/>
        <v>0</v>
      </c>
      <c r="N3845" s="1" t="str">
        <f t="shared" si="2653"/>
        <v>0</v>
      </c>
      <c r="O3845" s="1" t="str">
        <f>"3.67"</f>
        <v>3.67</v>
      </c>
    </row>
    <row r="3846" s="1" customFormat="1" spans="1:15">
      <c r="A3846" s="1" t="str">
        <f t="shared" si="2655"/>
        <v>202406</v>
      </c>
      <c r="B3846" s="1" t="str">
        <f t="shared" si="2656"/>
        <v>150525100</v>
      </c>
      <c r="C3846" s="1" t="str">
        <f>"1040833193"</f>
        <v>1040833193</v>
      </c>
      <c r="D3846" s="1" t="str">
        <f>"152326195211150672"</f>
        <v>152326195211150672</v>
      </c>
      <c r="E3846" s="1" t="s">
        <v>3890</v>
      </c>
      <c r="F3846" s="1" t="s">
        <v>25</v>
      </c>
      <c r="G3846" s="1" t="s">
        <v>19</v>
      </c>
      <c r="H3846" s="1" t="str">
        <f>"72"</f>
        <v>72</v>
      </c>
      <c r="I3846" s="1" t="str">
        <f>"161.56"</f>
        <v>161.56</v>
      </c>
      <c r="J3846" s="1" t="str">
        <f t="shared" si="2644"/>
        <v>0</v>
      </c>
      <c r="K3846" s="1" t="str">
        <f t="shared" si="2645"/>
        <v>103</v>
      </c>
      <c r="L3846" s="1" t="str">
        <f t="shared" si="2646"/>
        <v>47</v>
      </c>
      <c r="M3846" s="1" t="str">
        <f t="shared" si="2649"/>
        <v>0</v>
      </c>
      <c r="N3846" s="1" t="str">
        <f t="shared" si="2653"/>
        <v>0</v>
      </c>
      <c r="O3846" s="1" t="str">
        <f>"1.56"</f>
        <v>1.56</v>
      </c>
    </row>
    <row r="3847" s="1" customFormat="1" spans="1:15">
      <c r="A3847" s="1" t="str">
        <f t="shared" si="2655"/>
        <v>202406</v>
      </c>
      <c r="B3847" s="1" t="str">
        <f t="shared" si="2656"/>
        <v>150525100</v>
      </c>
      <c r="C3847" s="1" t="str">
        <f>"1040833195"</f>
        <v>1040833195</v>
      </c>
      <c r="D3847" s="1" t="str">
        <f>"152326195406110419"</f>
        <v>152326195406110419</v>
      </c>
      <c r="E3847" s="1" t="s">
        <v>3891</v>
      </c>
      <c r="F3847" s="1" t="s">
        <v>25</v>
      </c>
      <c r="G3847" s="1" t="s">
        <v>17</v>
      </c>
      <c r="H3847" s="1" t="str">
        <f t="shared" si="2657"/>
        <v>70</v>
      </c>
      <c r="I3847" s="1" t="str">
        <f>"166.23"</f>
        <v>166.23</v>
      </c>
      <c r="J3847" s="1" t="str">
        <f t="shared" si="2644"/>
        <v>0</v>
      </c>
      <c r="K3847" s="1" t="str">
        <f t="shared" si="2645"/>
        <v>103</v>
      </c>
      <c r="L3847" s="1" t="str">
        <f t="shared" si="2646"/>
        <v>47</v>
      </c>
      <c r="M3847" s="1" t="str">
        <f t="shared" si="2649"/>
        <v>0</v>
      </c>
      <c r="N3847" s="1" t="str">
        <f t="shared" si="2653"/>
        <v>0</v>
      </c>
      <c r="O3847" s="1" t="str">
        <f>"16.23"</f>
        <v>16.23</v>
      </c>
    </row>
    <row r="3848" s="1" customFormat="1" spans="1:15">
      <c r="A3848" s="1" t="str">
        <f t="shared" si="2655"/>
        <v>202406</v>
      </c>
      <c r="B3848" s="1" t="str">
        <f t="shared" si="2656"/>
        <v>150525100</v>
      </c>
      <c r="C3848" s="1" t="str">
        <f>"1040833201"</f>
        <v>1040833201</v>
      </c>
      <c r="D3848" s="1" t="str">
        <f>"152326195402060688"</f>
        <v>152326195402060688</v>
      </c>
      <c r="E3848" s="1" t="s">
        <v>123</v>
      </c>
      <c r="F3848" s="1" t="s">
        <v>16</v>
      </c>
      <c r="G3848" s="1" t="s">
        <v>17</v>
      </c>
      <c r="H3848" s="1" t="str">
        <f t="shared" si="2657"/>
        <v>70</v>
      </c>
      <c r="I3848" s="1" t="str">
        <f>"163.17"</f>
        <v>163.17</v>
      </c>
      <c r="J3848" s="1" t="str">
        <f t="shared" si="2644"/>
        <v>0</v>
      </c>
      <c r="K3848" s="1" t="str">
        <f t="shared" si="2645"/>
        <v>103</v>
      </c>
      <c r="L3848" s="1" t="str">
        <f t="shared" si="2646"/>
        <v>47</v>
      </c>
      <c r="M3848" s="1" t="str">
        <f t="shared" si="2649"/>
        <v>0</v>
      </c>
      <c r="N3848" s="1" t="str">
        <f t="shared" si="2653"/>
        <v>0</v>
      </c>
      <c r="O3848" s="1" t="str">
        <f>"3.17"</f>
        <v>3.17</v>
      </c>
    </row>
    <row r="3849" s="1" customFormat="1" spans="1:15">
      <c r="A3849" s="1" t="str">
        <f t="shared" si="2655"/>
        <v>202406</v>
      </c>
      <c r="B3849" s="1" t="str">
        <f t="shared" si="2656"/>
        <v>150525100</v>
      </c>
      <c r="C3849" s="1" t="str">
        <f>"1014562960"</f>
        <v>1014562960</v>
      </c>
      <c r="D3849" s="1" t="str">
        <f>"152326196205060413"</f>
        <v>152326196205060413</v>
      </c>
      <c r="E3849" s="1" t="s">
        <v>3892</v>
      </c>
      <c r="F3849" s="1" t="s">
        <v>25</v>
      </c>
      <c r="G3849" s="1" t="s">
        <v>17</v>
      </c>
      <c r="H3849" s="1" t="str">
        <f>"62"</f>
        <v>62</v>
      </c>
      <c r="I3849" s="1" t="str">
        <f>"162.74"</f>
        <v>162.74</v>
      </c>
      <c r="J3849" s="1" t="str">
        <f t="shared" si="2644"/>
        <v>0</v>
      </c>
      <c r="K3849" s="1" t="str">
        <f t="shared" si="2645"/>
        <v>103</v>
      </c>
      <c r="L3849" s="1" t="str">
        <f t="shared" si="2646"/>
        <v>47</v>
      </c>
      <c r="M3849" s="1" t="str">
        <f t="shared" si="2649"/>
        <v>0</v>
      </c>
      <c r="N3849" s="1" t="str">
        <f t="shared" si="2653"/>
        <v>0</v>
      </c>
      <c r="O3849" s="1" t="str">
        <f>"12.74"</f>
        <v>12.74</v>
      </c>
    </row>
    <row r="3850" s="1" customFormat="1" spans="1:15">
      <c r="A3850" s="1" t="str">
        <f t="shared" si="2655"/>
        <v>202406</v>
      </c>
      <c r="B3850" s="1" t="str">
        <f t="shared" si="2656"/>
        <v>150525100</v>
      </c>
      <c r="C3850" s="1" t="str">
        <f>"1014563343"</f>
        <v>1014563343</v>
      </c>
      <c r="D3850" s="1" t="str">
        <f>"152326196212300411"</f>
        <v>152326196212300411</v>
      </c>
      <c r="E3850" s="1" t="s">
        <v>3893</v>
      </c>
      <c r="F3850" s="1" t="s">
        <v>25</v>
      </c>
      <c r="G3850" s="1" t="s">
        <v>17</v>
      </c>
      <c r="H3850" s="1" t="str">
        <f>"62"</f>
        <v>62</v>
      </c>
      <c r="I3850" s="1" t="str">
        <f>"163.21"</f>
        <v>163.21</v>
      </c>
      <c r="J3850" s="1" t="str">
        <f t="shared" si="2644"/>
        <v>0</v>
      </c>
      <c r="K3850" s="1" t="str">
        <f t="shared" si="2645"/>
        <v>103</v>
      </c>
      <c r="L3850" s="1" t="str">
        <f t="shared" si="2646"/>
        <v>47</v>
      </c>
      <c r="M3850" s="1" t="str">
        <f t="shared" si="2649"/>
        <v>0</v>
      </c>
      <c r="N3850" s="1" t="str">
        <f t="shared" si="2653"/>
        <v>0</v>
      </c>
      <c r="O3850" s="1" t="str">
        <f>"13.21"</f>
        <v>13.21</v>
      </c>
    </row>
    <row r="3851" s="1" customFormat="1" spans="1:15">
      <c r="A3851" s="1" t="str">
        <f t="shared" si="2655"/>
        <v>202406</v>
      </c>
      <c r="B3851" s="1" t="str">
        <f t="shared" si="2656"/>
        <v>150525100</v>
      </c>
      <c r="C3851" s="1" t="str">
        <f>"1014569760"</f>
        <v>1014569760</v>
      </c>
      <c r="D3851" s="1" t="str">
        <f>"152326195712280424"</f>
        <v>152326195712280424</v>
      </c>
      <c r="E3851" s="1" t="s">
        <v>3894</v>
      </c>
      <c r="F3851" s="1" t="s">
        <v>16</v>
      </c>
      <c r="G3851" s="1" t="s">
        <v>17</v>
      </c>
      <c r="H3851" s="1" t="str">
        <f>"67"</f>
        <v>67</v>
      </c>
      <c r="I3851" s="1" t="str">
        <f>"156.11"</f>
        <v>156.11</v>
      </c>
      <c r="J3851" s="1" t="str">
        <f t="shared" si="2644"/>
        <v>0</v>
      </c>
      <c r="K3851" s="1" t="str">
        <f t="shared" si="2645"/>
        <v>103</v>
      </c>
      <c r="L3851" s="1" t="str">
        <f t="shared" si="2646"/>
        <v>47</v>
      </c>
      <c r="M3851" s="1" t="str">
        <f t="shared" si="2649"/>
        <v>0</v>
      </c>
      <c r="N3851" s="1" t="str">
        <f t="shared" si="2653"/>
        <v>0</v>
      </c>
      <c r="O3851" s="1" t="str">
        <f>"6.11"</f>
        <v>6.11</v>
      </c>
    </row>
    <row r="3852" s="1" customFormat="1" spans="1:15">
      <c r="A3852" s="1" t="str">
        <f t="shared" si="2655"/>
        <v>202406</v>
      </c>
      <c r="B3852" s="1" t="str">
        <f t="shared" si="2656"/>
        <v>150525100</v>
      </c>
      <c r="C3852" s="1" t="str">
        <f>"1014569763"</f>
        <v>1014569763</v>
      </c>
      <c r="D3852" s="1" t="str">
        <f>"152326195803100425"</f>
        <v>152326195803100425</v>
      </c>
      <c r="E3852" s="1" t="s">
        <v>2079</v>
      </c>
      <c r="F3852" s="1" t="s">
        <v>16</v>
      </c>
      <c r="G3852" s="1" t="s">
        <v>17</v>
      </c>
      <c r="H3852" s="1" t="str">
        <f>"66"</f>
        <v>66</v>
      </c>
      <c r="I3852" s="1" t="str">
        <f>"156.85"</f>
        <v>156.85</v>
      </c>
      <c r="J3852" s="1" t="str">
        <f t="shared" si="2644"/>
        <v>0</v>
      </c>
      <c r="K3852" s="1" t="str">
        <f t="shared" si="2645"/>
        <v>103</v>
      </c>
      <c r="L3852" s="1" t="str">
        <f t="shared" si="2646"/>
        <v>47</v>
      </c>
      <c r="M3852" s="1" t="str">
        <f t="shared" si="2649"/>
        <v>0</v>
      </c>
      <c r="N3852" s="1" t="str">
        <f t="shared" si="2653"/>
        <v>0</v>
      </c>
      <c r="O3852" s="1" t="str">
        <f>"6.85"</f>
        <v>6.85</v>
      </c>
    </row>
    <row r="3853" s="1" customFormat="1" spans="1:15">
      <c r="A3853" s="1" t="str">
        <f t="shared" si="2655"/>
        <v>202406</v>
      </c>
      <c r="B3853" s="1" t="str">
        <f t="shared" si="2656"/>
        <v>150525100</v>
      </c>
      <c r="C3853" s="1" t="str">
        <f>"1014550559"</f>
        <v>1014550559</v>
      </c>
      <c r="D3853" s="1" t="str">
        <f>"152326195206010667"</f>
        <v>152326195206010667</v>
      </c>
      <c r="E3853" s="1" t="s">
        <v>3895</v>
      </c>
      <c r="F3853" s="1" t="s">
        <v>16</v>
      </c>
      <c r="G3853" s="1" t="s">
        <v>17</v>
      </c>
      <c r="H3853" s="1" t="str">
        <f>"72"</f>
        <v>72</v>
      </c>
      <c r="I3853" s="1" t="str">
        <f>"162.15"</f>
        <v>162.15</v>
      </c>
      <c r="J3853" s="1" t="str">
        <f t="shared" si="2644"/>
        <v>0</v>
      </c>
      <c r="K3853" s="1" t="str">
        <f t="shared" si="2645"/>
        <v>103</v>
      </c>
      <c r="L3853" s="1" t="str">
        <f t="shared" si="2646"/>
        <v>47</v>
      </c>
      <c r="M3853" s="1" t="str">
        <f t="shared" si="2649"/>
        <v>0</v>
      </c>
      <c r="N3853" s="1" t="str">
        <f t="shared" si="2653"/>
        <v>0</v>
      </c>
      <c r="O3853" s="1" t="str">
        <f>"2.15"</f>
        <v>2.15</v>
      </c>
    </row>
    <row r="3854" s="1" customFormat="1" spans="1:15">
      <c r="A3854" s="1" t="str">
        <f t="shared" si="2655"/>
        <v>202406</v>
      </c>
      <c r="B3854" s="1" t="str">
        <f t="shared" si="2656"/>
        <v>150525100</v>
      </c>
      <c r="C3854" s="1" t="str">
        <f>"1014550564"</f>
        <v>1014550564</v>
      </c>
      <c r="D3854" s="1" t="str">
        <f>"152326195207090689"</f>
        <v>152326195207090689</v>
      </c>
      <c r="E3854" s="1" t="s">
        <v>3896</v>
      </c>
      <c r="F3854" s="1" t="s">
        <v>16</v>
      </c>
      <c r="G3854" s="1" t="s">
        <v>17</v>
      </c>
      <c r="H3854" s="1" t="str">
        <f>"72"</f>
        <v>72</v>
      </c>
      <c r="I3854" s="1" t="str">
        <f>"162.15"</f>
        <v>162.15</v>
      </c>
      <c r="J3854" s="1" t="str">
        <f t="shared" si="2644"/>
        <v>0</v>
      </c>
      <c r="K3854" s="1" t="str">
        <f t="shared" si="2645"/>
        <v>103</v>
      </c>
      <c r="L3854" s="1" t="str">
        <f t="shared" si="2646"/>
        <v>47</v>
      </c>
      <c r="M3854" s="1" t="str">
        <f t="shared" si="2649"/>
        <v>0</v>
      </c>
      <c r="N3854" s="1" t="str">
        <f t="shared" si="2653"/>
        <v>0</v>
      </c>
      <c r="O3854" s="1" t="str">
        <f>"2.15"</f>
        <v>2.15</v>
      </c>
    </row>
    <row r="3855" s="1" customFormat="1" spans="1:15">
      <c r="A3855" s="1" t="str">
        <f t="shared" si="2655"/>
        <v>202406</v>
      </c>
      <c r="B3855" s="1" t="str">
        <f t="shared" si="2656"/>
        <v>150525100</v>
      </c>
      <c r="C3855" s="1" t="str">
        <f>"1014563001"</f>
        <v>1014563001</v>
      </c>
      <c r="D3855" s="1" t="str">
        <f>"152326195801020448"</f>
        <v>152326195801020448</v>
      </c>
      <c r="E3855" s="1" t="s">
        <v>3897</v>
      </c>
      <c r="F3855" s="1" t="s">
        <v>16</v>
      </c>
      <c r="G3855" s="1" t="s">
        <v>17</v>
      </c>
      <c r="H3855" s="1" t="str">
        <f>"67"</f>
        <v>67</v>
      </c>
      <c r="I3855" s="1" t="str">
        <f>"157.08"</f>
        <v>157.08</v>
      </c>
      <c r="J3855" s="1" t="str">
        <f t="shared" si="2644"/>
        <v>0</v>
      </c>
      <c r="K3855" s="1" t="str">
        <f t="shared" si="2645"/>
        <v>103</v>
      </c>
      <c r="L3855" s="1" t="str">
        <f t="shared" si="2646"/>
        <v>47</v>
      </c>
      <c r="M3855" s="1" t="str">
        <f t="shared" si="2649"/>
        <v>0</v>
      </c>
      <c r="N3855" s="1" t="str">
        <f t="shared" si="2653"/>
        <v>0</v>
      </c>
      <c r="O3855" s="1" t="str">
        <f>"7.08"</f>
        <v>7.08</v>
      </c>
    </row>
    <row r="3856" s="1" customFormat="1" spans="1:15">
      <c r="A3856" s="1" t="str">
        <f t="shared" si="2655"/>
        <v>202406</v>
      </c>
      <c r="B3856" s="1" t="str">
        <f t="shared" si="2656"/>
        <v>150525100</v>
      </c>
      <c r="C3856" s="1" t="str">
        <f>"1014563014"</f>
        <v>1014563014</v>
      </c>
      <c r="D3856" s="1" t="str">
        <f>"152326195406230410"</f>
        <v>152326195406230410</v>
      </c>
      <c r="E3856" s="1" t="s">
        <v>3898</v>
      </c>
      <c r="F3856" s="1" t="s">
        <v>25</v>
      </c>
      <c r="G3856" s="1" t="s">
        <v>17</v>
      </c>
      <c r="H3856" s="1" t="str">
        <f>"70"</f>
        <v>70</v>
      </c>
      <c r="I3856" s="1" t="str">
        <f>"616.64"</f>
        <v>616.64</v>
      </c>
      <c r="J3856" s="1" t="str">
        <f>"462.48"</f>
        <v>462.48</v>
      </c>
      <c r="K3856" s="1" t="str">
        <f>"412"</f>
        <v>412</v>
      </c>
      <c r="L3856" s="1" t="str">
        <f>"188"</f>
        <v>188</v>
      </c>
      <c r="M3856" s="1" t="str">
        <f t="shared" si="2649"/>
        <v>0</v>
      </c>
      <c r="N3856" s="1" t="str">
        <f t="shared" si="2653"/>
        <v>0</v>
      </c>
      <c r="O3856" s="1" t="str">
        <f>"16.64"</f>
        <v>16.64</v>
      </c>
    </row>
    <row r="3857" s="1" customFormat="1" spans="1:15">
      <c r="A3857" s="1" t="str">
        <f t="shared" si="2655"/>
        <v>202406</v>
      </c>
      <c r="B3857" s="1" t="str">
        <f t="shared" si="2656"/>
        <v>150525100</v>
      </c>
      <c r="C3857" s="1" t="str">
        <f>"1014569790"</f>
        <v>1014569790</v>
      </c>
      <c r="D3857" s="1" t="str">
        <f>"152326196109210426"</f>
        <v>152326196109210426</v>
      </c>
      <c r="E3857" s="1" t="s">
        <v>3899</v>
      </c>
      <c r="F3857" s="1" t="s">
        <v>16</v>
      </c>
      <c r="G3857" s="1" t="s">
        <v>17</v>
      </c>
      <c r="H3857" s="1" t="str">
        <f>"63"</f>
        <v>63</v>
      </c>
      <c r="I3857" s="1" t="str">
        <f>"162.7"</f>
        <v>162.7</v>
      </c>
      <c r="J3857" s="1" t="str">
        <f t="shared" ref="J3857:J3920" si="2658">"0"</f>
        <v>0</v>
      </c>
      <c r="K3857" s="1" t="str">
        <f t="shared" ref="K3857:K3920" si="2659">"103"</f>
        <v>103</v>
      </c>
      <c r="L3857" s="1" t="str">
        <f t="shared" ref="L3857:L3920" si="2660">"47"</f>
        <v>47</v>
      </c>
      <c r="M3857" s="1" t="str">
        <f t="shared" si="2649"/>
        <v>0</v>
      </c>
      <c r="N3857" s="1" t="str">
        <f t="shared" si="2653"/>
        <v>0</v>
      </c>
      <c r="O3857" s="1" t="str">
        <f>"12.7"</f>
        <v>12.7</v>
      </c>
    </row>
    <row r="3858" s="1" customFormat="1" spans="1:15">
      <c r="A3858" s="1" t="str">
        <f t="shared" si="2655"/>
        <v>202406</v>
      </c>
      <c r="B3858" s="1" t="str">
        <f t="shared" si="2656"/>
        <v>150525100</v>
      </c>
      <c r="C3858" s="1" t="str">
        <f>"1014549571"</f>
        <v>1014549571</v>
      </c>
      <c r="D3858" s="1" t="s">
        <v>3900</v>
      </c>
      <c r="E3858" s="1" t="s">
        <v>3901</v>
      </c>
      <c r="F3858" s="1" t="s">
        <v>25</v>
      </c>
      <c r="G3858" s="1" t="s">
        <v>17</v>
      </c>
      <c r="H3858" s="1" t="str">
        <f t="shared" ref="H3858:H3861" si="2661">"68"</f>
        <v>68</v>
      </c>
      <c r="I3858" s="1" t="str">
        <f>"155.77"</f>
        <v>155.77</v>
      </c>
      <c r="J3858" s="1" t="str">
        <f t="shared" si="2658"/>
        <v>0</v>
      </c>
      <c r="K3858" s="1" t="str">
        <f t="shared" si="2659"/>
        <v>103</v>
      </c>
      <c r="L3858" s="1" t="str">
        <f t="shared" si="2660"/>
        <v>47</v>
      </c>
      <c r="M3858" s="1" t="str">
        <f t="shared" si="2649"/>
        <v>0</v>
      </c>
      <c r="N3858" s="1" t="str">
        <f t="shared" si="2653"/>
        <v>0</v>
      </c>
      <c r="O3858" s="1" t="str">
        <f>"5.77"</f>
        <v>5.77</v>
      </c>
    </row>
    <row r="3859" s="1" customFormat="1" spans="1:15">
      <c r="A3859" s="1" t="str">
        <f t="shared" si="2655"/>
        <v>202406</v>
      </c>
      <c r="B3859" s="1" t="str">
        <f t="shared" si="2656"/>
        <v>150525100</v>
      </c>
      <c r="C3859" s="1" t="str">
        <f>"1014549579"</f>
        <v>1014549579</v>
      </c>
      <c r="D3859" s="1" t="s">
        <v>3902</v>
      </c>
      <c r="E3859" s="1" t="s">
        <v>3903</v>
      </c>
      <c r="F3859" s="1" t="s">
        <v>16</v>
      </c>
      <c r="G3859" s="1" t="s">
        <v>17</v>
      </c>
      <c r="H3859" s="1" t="str">
        <f>"67"</f>
        <v>67</v>
      </c>
      <c r="I3859" s="1" t="str">
        <f>"156.12"</f>
        <v>156.12</v>
      </c>
      <c r="J3859" s="1" t="str">
        <f t="shared" si="2658"/>
        <v>0</v>
      </c>
      <c r="K3859" s="1" t="str">
        <f t="shared" si="2659"/>
        <v>103</v>
      </c>
      <c r="L3859" s="1" t="str">
        <f t="shared" si="2660"/>
        <v>47</v>
      </c>
      <c r="M3859" s="1" t="str">
        <f t="shared" si="2649"/>
        <v>0</v>
      </c>
      <c r="N3859" s="1" t="str">
        <f t="shared" si="2653"/>
        <v>0</v>
      </c>
      <c r="O3859" s="1" t="str">
        <f>"6.12"</f>
        <v>6.12</v>
      </c>
    </row>
    <row r="3860" s="1" customFormat="1" spans="1:15">
      <c r="A3860" s="1" t="str">
        <f t="shared" si="2655"/>
        <v>202406</v>
      </c>
      <c r="B3860" s="1" t="str">
        <f t="shared" si="2656"/>
        <v>150525100</v>
      </c>
      <c r="C3860" s="1" t="str">
        <f>"1014550076"</f>
        <v>1014550076</v>
      </c>
      <c r="D3860" s="1" t="str">
        <f>"152326195609140693"</f>
        <v>152326195609140693</v>
      </c>
      <c r="E3860" s="1" t="s">
        <v>3904</v>
      </c>
      <c r="F3860" s="1" t="s">
        <v>25</v>
      </c>
      <c r="G3860" s="1" t="s">
        <v>17</v>
      </c>
      <c r="H3860" s="1" t="str">
        <f t="shared" si="2661"/>
        <v>68</v>
      </c>
      <c r="I3860" s="1" t="str">
        <f>"156.02"</f>
        <v>156.02</v>
      </c>
      <c r="J3860" s="1" t="str">
        <f t="shared" si="2658"/>
        <v>0</v>
      </c>
      <c r="K3860" s="1" t="str">
        <f t="shared" si="2659"/>
        <v>103</v>
      </c>
      <c r="L3860" s="1" t="str">
        <f t="shared" si="2660"/>
        <v>47</v>
      </c>
      <c r="M3860" s="1" t="str">
        <f t="shared" si="2649"/>
        <v>0</v>
      </c>
      <c r="N3860" s="1" t="str">
        <f t="shared" si="2653"/>
        <v>0</v>
      </c>
      <c r="O3860" s="1" t="str">
        <f>"6.02"</f>
        <v>6.02</v>
      </c>
    </row>
    <row r="3861" s="1" customFormat="1" spans="1:15">
      <c r="A3861" s="1" t="str">
        <f t="shared" si="2655"/>
        <v>202406</v>
      </c>
      <c r="B3861" s="1" t="str">
        <f t="shared" si="2656"/>
        <v>150525100</v>
      </c>
      <c r="C3861" s="1" t="str">
        <f>"1014550087"</f>
        <v>1014550087</v>
      </c>
      <c r="D3861" s="1" t="str">
        <f>"152326195611230663"</f>
        <v>152326195611230663</v>
      </c>
      <c r="E3861" s="1" t="s">
        <v>2021</v>
      </c>
      <c r="F3861" s="1" t="s">
        <v>16</v>
      </c>
      <c r="G3861" s="1" t="s">
        <v>17</v>
      </c>
      <c r="H3861" s="1" t="str">
        <f t="shared" si="2661"/>
        <v>68</v>
      </c>
      <c r="I3861" s="1" t="str">
        <f>"156.02"</f>
        <v>156.02</v>
      </c>
      <c r="J3861" s="1" t="str">
        <f t="shared" si="2658"/>
        <v>0</v>
      </c>
      <c r="K3861" s="1" t="str">
        <f t="shared" si="2659"/>
        <v>103</v>
      </c>
      <c r="L3861" s="1" t="str">
        <f t="shared" si="2660"/>
        <v>47</v>
      </c>
      <c r="M3861" s="1" t="str">
        <f t="shared" si="2649"/>
        <v>0</v>
      </c>
      <c r="N3861" s="1" t="str">
        <f t="shared" si="2653"/>
        <v>0</v>
      </c>
      <c r="O3861" s="1" t="str">
        <f>"6.02"</f>
        <v>6.02</v>
      </c>
    </row>
    <row r="3862" s="1" customFormat="1" spans="1:15">
      <c r="A3862" s="1" t="str">
        <f t="shared" si="2655"/>
        <v>202406</v>
      </c>
      <c r="B3862" s="1" t="str">
        <f t="shared" si="2656"/>
        <v>150525100</v>
      </c>
      <c r="C3862" s="1" t="str">
        <f>"1014550580"</f>
        <v>1014550580</v>
      </c>
      <c r="D3862" s="1" t="str">
        <f>"152326195210100665"</f>
        <v>152326195210100665</v>
      </c>
      <c r="E3862" s="1" t="s">
        <v>3905</v>
      </c>
      <c r="F3862" s="1" t="s">
        <v>16</v>
      </c>
      <c r="G3862" s="1" t="s">
        <v>17</v>
      </c>
      <c r="H3862" s="1" t="str">
        <f>"72"</f>
        <v>72</v>
      </c>
      <c r="I3862" s="1" t="str">
        <f>"162.15"</f>
        <v>162.15</v>
      </c>
      <c r="J3862" s="1" t="str">
        <f t="shared" si="2658"/>
        <v>0</v>
      </c>
      <c r="K3862" s="1" t="str">
        <f t="shared" si="2659"/>
        <v>103</v>
      </c>
      <c r="L3862" s="1" t="str">
        <f t="shared" si="2660"/>
        <v>47</v>
      </c>
      <c r="M3862" s="1" t="str">
        <f t="shared" si="2649"/>
        <v>0</v>
      </c>
      <c r="N3862" s="1" t="str">
        <f t="shared" si="2653"/>
        <v>0</v>
      </c>
      <c r="O3862" s="1" t="str">
        <f>"2.15"</f>
        <v>2.15</v>
      </c>
    </row>
    <row r="3863" s="1" customFormat="1" spans="1:15">
      <c r="A3863" s="1" t="str">
        <f t="shared" si="2655"/>
        <v>202406</v>
      </c>
      <c r="B3863" s="1" t="str">
        <f t="shared" si="2656"/>
        <v>150525100</v>
      </c>
      <c r="C3863" s="1" t="str">
        <f>"1014585141"</f>
        <v>1014585141</v>
      </c>
      <c r="D3863" s="1" t="str">
        <f>"152326195911060459"</f>
        <v>152326195911060459</v>
      </c>
      <c r="E3863" s="1" t="s">
        <v>1771</v>
      </c>
      <c r="F3863" s="1" t="s">
        <v>25</v>
      </c>
      <c r="G3863" s="1" t="s">
        <v>17</v>
      </c>
      <c r="H3863" s="1" t="str">
        <f>"65"</f>
        <v>65</v>
      </c>
      <c r="I3863" s="1" t="str">
        <f>"162.59"</f>
        <v>162.59</v>
      </c>
      <c r="J3863" s="1" t="str">
        <f t="shared" si="2658"/>
        <v>0</v>
      </c>
      <c r="K3863" s="1" t="str">
        <f t="shared" si="2659"/>
        <v>103</v>
      </c>
      <c r="L3863" s="1" t="str">
        <f t="shared" si="2660"/>
        <v>47</v>
      </c>
      <c r="M3863" s="1" t="str">
        <f t="shared" si="2649"/>
        <v>0</v>
      </c>
      <c r="N3863" s="1" t="str">
        <f t="shared" si="2653"/>
        <v>0</v>
      </c>
      <c r="O3863" s="1" t="str">
        <f>"12.59"</f>
        <v>12.59</v>
      </c>
    </row>
    <row r="3864" s="1" customFormat="1" spans="1:15">
      <c r="A3864" s="1" t="str">
        <f t="shared" si="2655"/>
        <v>202406</v>
      </c>
      <c r="B3864" s="1" t="str">
        <f t="shared" si="2656"/>
        <v>150525100</v>
      </c>
      <c r="C3864" s="1" t="str">
        <f>"1014561297"</f>
        <v>1014561297</v>
      </c>
      <c r="D3864" s="1" t="str">
        <f>"152326196210130412"</f>
        <v>152326196210130412</v>
      </c>
      <c r="E3864" s="1" t="s">
        <v>3906</v>
      </c>
      <c r="F3864" s="1" t="s">
        <v>25</v>
      </c>
      <c r="G3864" s="1" t="s">
        <v>17</v>
      </c>
      <c r="H3864" s="1" t="str">
        <f>"62"</f>
        <v>62</v>
      </c>
      <c r="I3864" s="1" t="str">
        <f>"163.15"</f>
        <v>163.15</v>
      </c>
      <c r="J3864" s="1" t="str">
        <f t="shared" si="2658"/>
        <v>0</v>
      </c>
      <c r="K3864" s="1" t="str">
        <f t="shared" si="2659"/>
        <v>103</v>
      </c>
      <c r="L3864" s="1" t="str">
        <f t="shared" si="2660"/>
        <v>47</v>
      </c>
      <c r="M3864" s="1" t="str">
        <f t="shared" si="2649"/>
        <v>0</v>
      </c>
      <c r="N3864" s="1" t="str">
        <f t="shared" si="2653"/>
        <v>0</v>
      </c>
      <c r="O3864" s="1" t="str">
        <f>"13.15"</f>
        <v>13.15</v>
      </c>
    </row>
    <row r="3865" s="1" customFormat="1" spans="1:15">
      <c r="A3865" s="1" t="str">
        <f t="shared" si="2655"/>
        <v>202406</v>
      </c>
      <c r="B3865" s="1" t="str">
        <f t="shared" si="2656"/>
        <v>150525100</v>
      </c>
      <c r="C3865" s="1" t="str">
        <f>"1014563021"</f>
        <v>1014563021</v>
      </c>
      <c r="D3865" s="1" t="str">
        <f>"152326195510200414"</f>
        <v>152326195510200414</v>
      </c>
      <c r="E3865" s="1" t="s">
        <v>852</v>
      </c>
      <c r="F3865" s="1" t="s">
        <v>25</v>
      </c>
      <c r="G3865" s="1" t="s">
        <v>17</v>
      </c>
      <c r="H3865" s="1" t="str">
        <f>"69"</f>
        <v>69</v>
      </c>
      <c r="I3865" s="1" t="str">
        <f>"155.12"</f>
        <v>155.12</v>
      </c>
      <c r="J3865" s="1" t="str">
        <f t="shared" si="2658"/>
        <v>0</v>
      </c>
      <c r="K3865" s="1" t="str">
        <f t="shared" si="2659"/>
        <v>103</v>
      </c>
      <c r="L3865" s="1" t="str">
        <f t="shared" si="2660"/>
        <v>47</v>
      </c>
      <c r="M3865" s="1" t="str">
        <f t="shared" si="2649"/>
        <v>0</v>
      </c>
      <c r="N3865" s="1" t="str">
        <f t="shared" si="2653"/>
        <v>0</v>
      </c>
      <c r="O3865" s="1" t="str">
        <f>"5.12"</f>
        <v>5.12</v>
      </c>
    </row>
    <row r="3866" s="1" customFormat="1" spans="1:15">
      <c r="A3866" s="1" t="str">
        <f t="shared" si="2655"/>
        <v>202406</v>
      </c>
      <c r="B3866" s="1" t="str">
        <f t="shared" si="2656"/>
        <v>150525100</v>
      </c>
      <c r="C3866" s="1" t="str">
        <f>"1014563025"</f>
        <v>1014563025</v>
      </c>
      <c r="D3866" s="1" t="str">
        <f>"152326196108190419"</f>
        <v>152326196108190419</v>
      </c>
      <c r="E3866" s="1" t="s">
        <v>3430</v>
      </c>
      <c r="F3866" s="1" t="s">
        <v>25</v>
      </c>
      <c r="G3866" s="1" t="s">
        <v>17</v>
      </c>
      <c r="H3866" s="1" t="str">
        <f>"63"</f>
        <v>63</v>
      </c>
      <c r="I3866" s="1" t="str">
        <f>"161.12"</f>
        <v>161.12</v>
      </c>
      <c r="J3866" s="1" t="str">
        <f t="shared" si="2658"/>
        <v>0</v>
      </c>
      <c r="K3866" s="1" t="str">
        <f t="shared" si="2659"/>
        <v>103</v>
      </c>
      <c r="L3866" s="1" t="str">
        <f t="shared" si="2660"/>
        <v>47</v>
      </c>
      <c r="M3866" s="1" t="str">
        <f t="shared" si="2649"/>
        <v>0</v>
      </c>
      <c r="N3866" s="1" t="str">
        <f t="shared" si="2653"/>
        <v>0</v>
      </c>
      <c r="O3866" s="1" t="str">
        <f>"11.12"</f>
        <v>11.12</v>
      </c>
    </row>
    <row r="3867" s="1" customFormat="1" spans="1:15">
      <c r="A3867" s="1" t="str">
        <f t="shared" si="2655"/>
        <v>202406</v>
      </c>
      <c r="B3867" s="1" t="str">
        <f t="shared" si="2656"/>
        <v>150525100</v>
      </c>
      <c r="C3867" s="1" t="str">
        <f>"1014550601"</f>
        <v>1014550601</v>
      </c>
      <c r="D3867" s="1" t="str">
        <f>"152326195302023345"</f>
        <v>152326195302023345</v>
      </c>
      <c r="E3867" s="1" t="s">
        <v>3907</v>
      </c>
      <c r="F3867" s="1" t="s">
        <v>16</v>
      </c>
      <c r="G3867" s="1" t="s">
        <v>17</v>
      </c>
      <c r="H3867" s="1" t="str">
        <f t="shared" ref="H3867:H3870" si="2662">"71"</f>
        <v>71</v>
      </c>
      <c r="I3867" s="1" t="str">
        <f>"163.16"</f>
        <v>163.16</v>
      </c>
      <c r="J3867" s="1" t="str">
        <f t="shared" si="2658"/>
        <v>0</v>
      </c>
      <c r="K3867" s="1" t="str">
        <f t="shared" si="2659"/>
        <v>103</v>
      </c>
      <c r="L3867" s="1" t="str">
        <f t="shared" si="2660"/>
        <v>47</v>
      </c>
      <c r="M3867" s="1" t="str">
        <f t="shared" si="2649"/>
        <v>0</v>
      </c>
      <c r="N3867" s="1" t="str">
        <f t="shared" si="2653"/>
        <v>0</v>
      </c>
      <c r="O3867" s="1" t="str">
        <f>"3.16"</f>
        <v>3.16</v>
      </c>
    </row>
    <row r="3868" s="1" customFormat="1" spans="1:15">
      <c r="A3868" s="1" t="str">
        <f t="shared" si="2655"/>
        <v>202406</v>
      </c>
      <c r="B3868" s="1" t="str">
        <f t="shared" si="2656"/>
        <v>150525100</v>
      </c>
      <c r="C3868" s="1" t="str">
        <f>"1014585182"</f>
        <v>1014585182</v>
      </c>
      <c r="D3868" s="1" t="str">
        <f>"152326196107130676"</f>
        <v>152326196107130676</v>
      </c>
      <c r="E3868" s="1" t="s">
        <v>3908</v>
      </c>
      <c r="F3868" s="1" t="s">
        <v>25</v>
      </c>
      <c r="G3868" s="1" t="s">
        <v>17</v>
      </c>
      <c r="H3868" s="1" t="str">
        <f>"63"</f>
        <v>63</v>
      </c>
      <c r="I3868" s="1" t="str">
        <f>"160.71"</f>
        <v>160.71</v>
      </c>
      <c r="J3868" s="1" t="str">
        <f t="shared" si="2658"/>
        <v>0</v>
      </c>
      <c r="K3868" s="1" t="str">
        <f t="shared" si="2659"/>
        <v>103</v>
      </c>
      <c r="L3868" s="1" t="str">
        <f t="shared" si="2660"/>
        <v>47</v>
      </c>
      <c r="M3868" s="1" t="str">
        <f t="shared" si="2649"/>
        <v>0</v>
      </c>
      <c r="N3868" s="1" t="str">
        <f t="shared" si="2653"/>
        <v>0</v>
      </c>
      <c r="O3868" s="1" t="str">
        <f>"10.71"</f>
        <v>10.71</v>
      </c>
    </row>
    <row r="3869" s="1" customFormat="1" spans="1:15">
      <c r="A3869" s="1" t="str">
        <f t="shared" si="2655"/>
        <v>202406</v>
      </c>
      <c r="B3869" s="1" t="str">
        <f t="shared" si="2656"/>
        <v>150525100</v>
      </c>
      <c r="C3869" s="1" t="str">
        <f>"1015311291"</f>
        <v>1015311291</v>
      </c>
      <c r="D3869" s="1" t="str">
        <f>"152326195306133322"</f>
        <v>152326195306133322</v>
      </c>
      <c r="E3869" s="1" t="s">
        <v>3909</v>
      </c>
      <c r="F3869" s="1" t="s">
        <v>16</v>
      </c>
      <c r="G3869" s="1" t="s">
        <v>17</v>
      </c>
      <c r="H3869" s="1" t="str">
        <f t="shared" si="2662"/>
        <v>71</v>
      </c>
      <c r="I3869" s="1" t="str">
        <f>"162.58"</f>
        <v>162.58</v>
      </c>
      <c r="J3869" s="1" t="str">
        <f t="shared" si="2658"/>
        <v>0</v>
      </c>
      <c r="K3869" s="1" t="str">
        <f t="shared" si="2659"/>
        <v>103</v>
      </c>
      <c r="L3869" s="1" t="str">
        <f t="shared" si="2660"/>
        <v>47</v>
      </c>
      <c r="M3869" s="1" t="str">
        <f t="shared" si="2649"/>
        <v>0</v>
      </c>
      <c r="N3869" s="1" t="str">
        <f t="shared" si="2653"/>
        <v>0</v>
      </c>
      <c r="O3869" s="1" t="str">
        <f>"2.58"</f>
        <v>2.58</v>
      </c>
    </row>
    <row r="3870" s="1" customFormat="1" spans="1:15">
      <c r="A3870" s="1" t="str">
        <f t="shared" si="2655"/>
        <v>202406</v>
      </c>
      <c r="B3870" s="1" t="str">
        <f t="shared" si="2656"/>
        <v>150525100</v>
      </c>
      <c r="C3870" s="1" t="str">
        <f>"1015311293"</f>
        <v>1015311293</v>
      </c>
      <c r="D3870" s="1" t="str">
        <f>"152326195304010919"</f>
        <v>152326195304010919</v>
      </c>
      <c r="E3870" s="1" t="s">
        <v>3910</v>
      </c>
      <c r="F3870" s="1" t="s">
        <v>25</v>
      </c>
      <c r="G3870" s="1" t="s">
        <v>19</v>
      </c>
      <c r="H3870" s="1" t="str">
        <f t="shared" si="2662"/>
        <v>71</v>
      </c>
      <c r="I3870" s="1" t="str">
        <f>"162.31"</f>
        <v>162.31</v>
      </c>
      <c r="J3870" s="1" t="str">
        <f t="shared" si="2658"/>
        <v>0</v>
      </c>
      <c r="K3870" s="1" t="str">
        <f t="shared" si="2659"/>
        <v>103</v>
      </c>
      <c r="L3870" s="1" t="str">
        <f t="shared" si="2660"/>
        <v>47</v>
      </c>
      <c r="M3870" s="1" t="str">
        <f t="shared" si="2649"/>
        <v>0</v>
      </c>
      <c r="N3870" s="1" t="str">
        <f t="shared" si="2653"/>
        <v>0</v>
      </c>
      <c r="O3870" s="1" t="str">
        <f>"2.31"</f>
        <v>2.31</v>
      </c>
    </row>
    <row r="3871" s="1" customFormat="1" spans="1:15">
      <c r="A3871" s="1" t="str">
        <f t="shared" si="2655"/>
        <v>202406</v>
      </c>
      <c r="B3871" s="1" t="str">
        <f t="shared" si="2656"/>
        <v>150525100</v>
      </c>
      <c r="C3871" s="1" t="str">
        <f>"1015311312"</f>
        <v>1015311312</v>
      </c>
      <c r="D3871" s="1" t="str">
        <f>"152326195204290917"</f>
        <v>152326195204290917</v>
      </c>
      <c r="E3871" s="1" t="s">
        <v>3911</v>
      </c>
      <c r="F3871" s="1" t="s">
        <v>25</v>
      </c>
      <c r="G3871" s="1" t="s">
        <v>19</v>
      </c>
      <c r="H3871" s="1" t="str">
        <f t="shared" ref="H3871:H3876" si="2663">"72"</f>
        <v>72</v>
      </c>
      <c r="I3871" s="1" t="str">
        <f>"161.53"</f>
        <v>161.53</v>
      </c>
      <c r="J3871" s="1" t="str">
        <f t="shared" si="2658"/>
        <v>0</v>
      </c>
      <c r="K3871" s="1" t="str">
        <f t="shared" si="2659"/>
        <v>103</v>
      </c>
      <c r="L3871" s="1" t="str">
        <f t="shared" si="2660"/>
        <v>47</v>
      </c>
      <c r="M3871" s="1" t="str">
        <f t="shared" si="2649"/>
        <v>0</v>
      </c>
      <c r="N3871" s="1" t="str">
        <f t="shared" si="2653"/>
        <v>0</v>
      </c>
      <c r="O3871" s="1" t="str">
        <f>"1.53"</f>
        <v>1.53</v>
      </c>
    </row>
    <row r="3872" s="1" customFormat="1" spans="1:15">
      <c r="A3872" s="1" t="str">
        <f t="shared" si="2655"/>
        <v>202406</v>
      </c>
      <c r="B3872" s="1" t="str">
        <f t="shared" si="2656"/>
        <v>150525100</v>
      </c>
      <c r="C3872" s="1" t="str">
        <f>"1015311471"</f>
        <v>1015311471</v>
      </c>
      <c r="D3872" s="1" t="str">
        <f>"152326195211076142"</f>
        <v>152326195211076142</v>
      </c>
      <c r="E3872" s="1" t="s">
        <v>3912</v>
      </c>
      <c r="F3872" s="1" t="s">
        <v>16</v>
      </c>
      <c r="G3872" s="1" t="s">
        <v>17</v>
      </c>
      <c r="H3872" s="1" t="str">
        <f t="shared" si="2663"/>
        <v>72</v>
      </c>
      <c r="I3872" s="1" t="str">
        <f>"161.56"</f>
        <v>161.56</v>
      </c>
      <c r="J3872" s="1" t="str">
        <f t="shared" si="2658"/>
        <v>0</v>
      </c>
      <c r="K3872" s="1" t="str">
        <f t="shared" si="2659"/>
        <v>103</v>
      </c>
      <c r="L3872" s="1" t="str">
        <f t="shared" si="2660"/>
        <v>47</v>
      </c>
      <c r="M3872" s="1" t="str">
        <f t="shared" ref="M3872:M3935" si="2664">"0"</f>
        <v>0</v>
      </c>
      <c r="N3872" s="1" t="str">
        <f t="shared" si="2653"/>
        <v>0</v>
      </c>
      <c r="O3872" s="1" t="str">
        <f>"1.56"</f>
        <v>1.56</v>
      </c>
    </row>
    <row r="3873" s="1" customFormat="1" spans="1:15">
      <c r="A3873" s="1" t="str">
        <f t="shared" si="2655"/>
        <v>202406</v>
      </c>
      <c r="B3873" s="1" t="str">
        <f t="shared" si="2656"/>
        <v>150525100</v>
      </c>
      <c r="C3873" s="1" t="str">
        <f>"1015311330"</f>
        <v>1015311330</v>
      </c>
      <c r="D3873" s="1" t="str">
        <f>"152326195310203821"</f>
        <v>152326195310203821</v>
      </c>
      <c r="E3873" s="1" t="s">
        <v>3913</v>
      </c>
      <c r="F3873" s="1" t="s">
        <v>16</v>
      </c>
      <c r="G3873" s="1" t="s">
        <v>17</v>
      </c>
      <c r="H3873" s="1" t="str">
        <f t="shared" ref="H3873:H3877" si="2665">"71"</f>
        <v>71</v>
      </c>
      <c r="I3873" s="1" t="str">
        <f t="shared" ref="I3873:I3877" si="2666">"162.57"</f>
        <v>162.57</v>
      </c>
      <c r="J3873" s="1" t="str">
        <f t="shared" si="2658"/>
        <v>0</v>
      </c>
      <c r="K3873" s="1" t="str">
        <f t="shared" si="2659"/>
        <v>103</v>
      </c>
      <c r="L3873" s="1" t="str">
        <f t="shared" si="2660"/>
        <v>47</v>
      </c>
      <c r="M3873" s="1" t="str">
        <f t="shared" si="2664"/>
        <v>0</v>
      </c>
      <c r="N3873" s="1" t="str">
        <f t="shared" si="2653"/>
        <v>0</v>
      </c>
      <c r="O3873" s="1" t="str">
        <f t="shared" ref="O3873:O3877" si="2667">"2.57"</f>
        <v>2.57</v>
      </c>
    </row>
    <row r="3874" s="1" customFormat="1" spans="1:15">
      <c r="A3874" s="1" t="str">
        <f t="shared" si="2655"/>
        <v>202406</v>
      </c>
      <c r="B3874" s="1" t="str">
        <f t="shared" si="2656"/>
        <v>150525100</v>
      </c>
      <c r="C3874" s="1" t="str">
        <f>"1015311335"</f>
        <v>1015311335</v>
      </c>
      <c r="D3874" s="1" t="str">
        <f>"152326195310160040"</f>
        <v>152326195310160040</v>
      </c>
      <c r="E3874" s="1" t="s">
        <v>3914</v>
      </c>
      <c r="F3874" s="1" t="s">
        <v>16</v>
      </c>
      <c r="G3874" s="1" t="s">
        <v>17</v>
      </c>
      <c r="H3874" s="1" t="str">
        <f t="shared" si="2665"/>
        <v>71</v>
      </c>
      <c r="I3874" s="1" t="str">
        <f t="shared" si="2666"/>
        <v>162.57</v>
      </c>
      <c r="J3874" s="1" t="str">
        <f t="shared" si="2658"/>
        <v>0</v>
      </c>
      <c r="K3874" s="1" t="str">
        <f t="shared" si="2659"/>
        <v>103</v>
      </c>
      <c r="L3874" s="1" t="str">
        <f t="shared" si="2660"/>
        <v>47</v>
      </c>
      <c r="M3874" s="1" t="str">
        <f t="shared" si="2664"/>
        <v>0</v>
      </c>
      <c r="N3874" s="1" t="str">
        <f t="shared" si="2653"/>
        <v>0</v>
      </c>
      <c r="O3874" s="1" t="str">
        <f t="shared" si="2667"/>
        <v>2.57</v>
      </c>
    </row>
    <row r="3875" s="1" customFormat="1" spans="1:15">
      <c r="A3875" s="1" t="str">
        <f t="shared" si="2655"/>
        <v>202406</v>
      </c>
      <c r="B3875" s="1" t="str">
        <f t="shared" si="2656"/>
        <v>150525100</v>
      </c>
      <c r="C3875" s="1" t="str">
        <f>"1015311487"</f>
        <v>1015311487</v>
      </c>
      <c r="D3875" s="1" t="str">
        <f>"152326195205140419"</f>
        <v>152326195205140419</v>
      </c>
      <c r="E3875" s="1" t="s">
        <v>3915</v>
      </c>
      <c r="F3875" s="1" t="s">
        <v>25</v>
      </c>
      <c r="G3875" s="1" t="s">
        <v>17</v>
      </c>
      <c r="H3875" s="1" t="str">
        <f t="shared" si="2663"/>
        <v>72</v>
      </c>
      <c r="I3875" s="1" t="str">
        <f>"161.56"</f>
        <v>161.56</v>
      </c>
      <c r="J3875" s="1" t="str">
        <f t="shared" si="2658"/>
        <v>0</v>
      </c>
      <c r="K3875" s="1" t="str">
        <f t="shared" si="2659"/>
        <v>103</v>
      </c>
      <c r="L3875" s="1" t="str">
        <f t="shared" si="2660"/>
        <v>47</v>
      </c>
      <c r="M3875" s="1" t="str">
        <f t="shared" si="2664"/>
        <v>0</v>
      </c>
      <c r="N3875" s="1" t="str">
        <f t="shared" si="2653"/>
        <v>0</v>
      </c>
      <c r="O3875" s="1" t="str">
        <f>"1.56"</f>
        <v>1.56</v>
      </c>
    </row>
    <row r="3876" s="1" customFormat="1" spans="1:15">
      <c r="A3876" s="1" t="str">
        <f t="shared" si="2655"/>
        <v>202406</v>
      </c>
      <c r="B3876" s="1" t="str">
        <f t="shared" si="2656"/>
        <v>150525100</v>
      </c>
      <c r="C3876" s="1" t="str">
        <f>"1015311507"</f>
        <v>1015311507</v>
      </c>
      <c r="D3876" s="1" t="str">
        <f>"152326195211270674"</f>
        <v>152326195211270674</v>
      </c>
      <c r="E3876" s="1" t="s">
        <v>1600</v>
      </c>
      <c r="F3876" s="1" t="s">
        <v>25</v>
      </c>
      <c r="G3876" s="1" t="s">
        <v>17</v>
      </c>
      <c r="H3876" s="1" t="str">
        <f t="shared" si="2663"/>
        <v>72</v>
      </c>
      <c r="I3876" s="1" t="str">
        <f t="shared" si="2666"/>
        <v>162.57</v>
      </c>
      <c r="J3876" s="1" t="str">
        <f t="shared" si="2658"/>
        <v>0</v>
      </c>
      <c r="K3876" s="1" t="str">
        <f t="shared" si="2659"/>
        <v>103</v>
      </c>
      <c r="L3876" s="1" t="str">
        <f t="shared" si="2660"/>
        <v>47</v>
      </c>
      <c r="M3876" s="1" t="str">
        <f t="shared" si="2664"/>
        <v>0</v>
      </c>
      <c r="N3876" s="1" t="str">
        <f t="shared" si="2653"/>
        <v>0</v>
      </c>
      <c r="O3876" s="1" t="str">
        <f t="shared" si="2667"/>
        <v>2.57</v>
      </c>
    </row>
    <row r="3877" s="1" customFormat="1" spans="1:15">
      <c r="A3877" s="1" t="str">
        <f t="shared" si="2655"/>
        <v>202406</v>
      </c>
      <c r="B3877" s="1" t="str">
        <f t="shared" si="2656"/>
        <v>150525100</v>
      </c>
      <c r="C3877" s="1" t="str">
        <f>"1015311509"</f>
        <v>1015311509</v>
      </c>
      <c r="D3877" s="1" t="str">
        <f>"152326195302060664"</f>
        <v>152326195302060664</v>
      </c>
      <c r="E3877" s="1" t="s">
        <v>3916</v>
      </c>
      <c r="F3877" s="1" t="s">
        <v>16</v>
      </c>
      <c r="G3877" s="1" t="s">
        <v>96</v>
      </c>
      <c r="H3877" s="1" t="str">
        <f t="shared" si="2665"/>
        <v>71</v>
      </c>
      <c r="I3877" s="1" t="str">
        <f t="shared" si="2666"/>
        <v>162.57</v>
      </c>
      <c r="J3877" s="1" t="str">
        <f t="shared" si="2658"/>
        <v>0</v>
      </c>
      <c r="K3877" s="1" t="str">
        <f t="shared" si="2659"/>
        <v>103</v>
      </c>
      <c r="L3877" s="1" t="str">
        <f t="shared" si="2660"/>
        <v>47</v>
      </c>
      <c r="M3877" s="1" t="str">
        <f t="shared" si="2664"/>
        <v>0</v>
      </c>
      <c r="N3877" s="1" t="str">
        <f t="shared" si="2653"/>
        <v>0</v>
      </c>
      <c r="O3877" s="1" t="str">
        <f t="shared" si="2667"/>
        <v>2.57</v>
      </c>
    </row>
    <row r="3878" s="1" customFormat="1" spans="1:15">
      <c r="A3878" s="1" t="str">
        <f t="shared" si="2655"/>
        <v>202406</v>
      </c>
      <c r="B3878" s="1" t="str">
        <f t="shared" si="2656"/>
        <v>150525100</v>
      </c>
      <c r="C3878" s="1" t="str">
        <f>"1015311663"</f>
        <v>1015311663</v>
      </c>
      <c r="D3878" s="1" t="str">
        <f>"152326195202080924"</f>
        <v>152326195202080924</v>
      </c>
      <c r="E3878" s="1" t="s">
        <v>3917</v>
      </c>
      <c r="F3878" s="1" t="s">
        <v>16</v>
      </c>
      <c r="G3878" s="1" t="s">
        <v>19</v>
      </c>
      <c r="H3878" s="1" t="str">
        <f>"72"</f>
        <v>72</v>
      </c>
      <c r="I3878" s="1" t="str">
        <f>"161.56"</f>
        <v>161.56</v>
      </c>
      <c r="J3878" s="1" t="str">
        <f t="shared" si="2658"/>
        <v>0</v>
      </c>
      <c r="K3878" s="1" t="str">
        <f t="shared" si="2659"/>
        <v>103</v>
      </c>
      <c r="L3878" s="1" t="str">
        <f t="shared" si="2660"/>
        <v>47</v>
      </c>
      <c r="M3878" s="1" t="str">
        <f t="shared" si="2664"/>
        <v>0</v>
      </c>
      <c r="N3878" s="1" t="str">
        <f t="shared" si="2653"/>
        <v>0</v>
      </c>
      <c r="O3878" s="1" t="str">
        <f>"1.56"</f>
        <v>1.56</v>
      </c>
    </row>
    <row r="3879" s="1" customFormat="1" spans="1:15">
      <c r="A3879" s="1" t="str">
        <f t="shared" si="2655"/>
        <v>202406</v>
      </c>
      <c r="B3879" s="1" t="str">
        <f t="shared" si="2656"/>
        <v>150525100</v>
      </c>
      <c r="C3879" s="1" t="str">
        <f>"1015311673"</f>
        <v>1015311673</v>
      </c>
      <c r="D3879" s="1" t="str">
        <f>"152326195302163321"</f>
        <v>152326195302163321</v>
      </c>
      <c r="E3879" s="1" t="s">
        <v>3918</v>
      </c>
      <c r="F3879" s="1" t="s">
        <v>16</v>
      </c>
      <c r="G3879" s="1" t="s">
        <v>17</v>
      </c>
      <c r="H3879" s="1" t="str">
        <f>"71"</f>
        <v>71</v>
      </c>
      <c r="I3879" s="1" t="str">
        <f>"162.58"</f>
        <v>162.58</v>
      </c>
      <c r="J3879" s="1" t="str">
        <f t="shared" si="2658"/>
        <v>0</v>
      </c>
      <c r="K3879" s="1" t="str">
        <f t="shared" si="2659"/>
        <v>103</v>
      </c>
      <c r="L3879" s="1" t="str">
        <f t="shared" si="2660"/>
        <v>47</v>
      </c>
      <c r="M3879" s="1" t="str">
        <f t="shared" si="2664"/>
        <v>0</v>
      </c>
      <c r="N3879" s="1" t="str">
        <f t="shared" ref="N3879:N3942" si="2668">"0"</f>
        <v>0</v>
      </c>
      <c r="O3879" s="1" t="str">
        <f>"2.58"</f>
        <v>2.58</v>
      </c>
    </row>
    <row r="3880" s="1" customFormat="1" spans="1:15">
      <c r="A3880" s="1" t="str">
        <f t="shared" si="2655"/>
        <v>202406</v>
      </c>
      <c r="B3880" s="1" t="str">
        <f t="shared" si="2656"/>
        <v>150525100</v>
      </c>
      <c r="C3880" s="1" t="str">
        <f>"1040833127"</f>
        <v>1040833127</v>
      </c>
      <c r="D3880" s="1" t="str">
        <f>"152326195406293083"</f>
        <v>152326195406293083</v>
      </c>
      <c r="E3880" s="1" t="s">
        <v>3919</v>
      </c>
      <c r="F3880" s="1" t="s">
        <v>16</v>
      </c>
      <c r="G3880" s="1" t="s">
        <v>17</v>
      </c>
      <c r="H3880" s="1" t="str">
        <f t="shared" ref="H3880:H3883" si="2669">"70"</f>
        <v>70</v>
      </c>
      <c r="I3880" s="1" t="str">
        <f>"153.28"</f>
        <v>153.28</v>
      </c>
      <c r="J3880" s="1" t="str">
        <f t="shared" si="2658"/>
        <v>0</v>
      </c>
      <c r="K3880" s="1" t="str">
        <f t="shared" si="2659"/>
        <v>103</v>
      </c>
      <c r="L3880" s="1" t="str">
        <f t="shared" si="2660"/>
        <v>47</v>
      </c>
      <c r="M3880" s="1" t="str">
        <f t="shared" si="2664"/>
        <v>0</v>
      </c>
      <c r="N3880" s="1" t="str">
        <f t="shared" si="2668"/>
        <v>0</v>
      </c>
      <c r="O3880" s="1" t="str">
        <f>"3.28"</f>
        <v>3.28</v>
      </c>
    </row>
    <row r="3881" s="1" customFormat="1" spans="1:15">
      <c r="A3881" s="1" t="str">
        <f t="shared" si="2655"/>
        <v>202406</v>
      </c>
      <c r="B3881" s="1" t="str">
        <f t="shared" si="2656"/>
        <v>150525100</v>
      </c>
      <c r="C3881" s="1" t="str">
        <f>"1040833129"</f>
        <v>1040833129</v>
      </c>
      <c r="D3881" s="1" t="str">
        <f>"152326195402230018"</f>
        <v>152326195402230018</v>
      </c>
      <c r="E3881" s="1" t="s">
        <v>3920</v>
      </c>
      <c r="F3881" s="1" t="s">
        <v>25</v>
      </c>
      <c r="G3881" s="1" t="s">
        <v>17</v>
      </c>
      <c r="H3881" s="1" t="str">
        <f t="shared" si="2669"/>
        <v>70</v>
      </c>
      <c r="I3881" s="1" t="str">
        <f>"163.55"</f>
        <v>163.55</v>
      </c>
      <c r="J3881" s="1" t="str">
        <f t="shared" si="2658"/>
        <v>0</v>
      </c>
      <c r="K3881" s="1" t="str">
        <f t="shared" si="2659"/>
        <v>103</v>
      </c>
      <c r="L3881" s="1" t="str">
        <f t="shared" si="2660"/>
        <v>47</v>
      </c>
      <c r="M3881" s="1" t="str">
        <f t="shared" si="2664"/>
        <v>0</v>
      </c>
      <c r="N3881" s="1" t="str">
        <f t="shared" si="2668"/>
        <v>0</v>
      </c>
      <c r="O3881" s="1" t="str">
        <f t="shared" ref="O3881:O3883" si="2670">"3.55"</f>
        <v>3.55</v>
      </c>
    </row>
    <row r="3882" s="1" customFormat="1" spans="1:15">
      <c r="A3882" s="1" t="str">
        <f t="shared" si="2655"/>
        <v>202406</v>
      </c>
      <c r="B3882" s="1" t="str">
        <f t="shared" si="2656"/>
        <v>150525100</v>
      </c>
      <c r="C3882" s="1" t="str">
        <f>"1040833130"</f>
        <v>1040833130</v>
      </c>
      <c r="D3882" s="1" t="str">
        <f>"152326195403060049"</f>
        <v>152326195403060049</v>
      </c>
      <c r="E3882" s="1" t="s">
        <v>3921</v>
      </c>
      <c r="F3882" s="1" t="s">
        <v>16</v>
      </c>
      <c r="G3882" s="1" t="s">
        <v>17</v>
      </c>
      <c r="H3882" s="1" t="str">
        <f t="shared" si="2669"/>
        <v>70</v>
      </c>
      <c r="I3882" s="1" t="str">
        <f>"163.55"</f>
        <v>163.55</v>
      </c>
      <c r="J3882" s="1" t="str">
        <f t="shared" si="2658"/>
        <v>0</v>
      </c>
      <c r="K3882" s="1" t="str">
        <f t="shared" si="2659"/>
        <v>103</v>
      </c>
      <c r="L3882" s="1" t="str">
        <f t="shared" si="2660"/>
        <v>47</v>
      </c>
      <c r="M3882" s="1" t="str">
        <f t="shared" si="2664"/>
        <v>0</v>
      </c>
      <c r="N3882" s="1" t="str">
        <f t="shared" si="2668"/>
        <v>0</v>
      </c>
      <c r="O3882" s="1" t="str">
        <f t="shared" si="2670"/>
        <v>3.55</v>
      </c>
    </row>
    <row r="3883" s="1" customFormat="1" spans="1:15">
      <c r="A3883" s="1" t="str">
        <f t="shared" si="2655"/>
        <v>202406</v>
      </c>
      <c r="B3883" s="1" t="str">
        <f t="shared" si="2656"/>
        <v>150525100</v>
      </c>
      <c r="C3883" s="1" t="str">
        <f>"1040833133"</f>
        <v>1040833133</v>
      </c>
      <c r="D3883" s="1" t="str">
        <f>"152326195406050065"</f>
        <v>152326195406050065</v>
      </c>
      <c r="E3883" s="1" t="s">
        <v>3922</v>
      </c>
      <c r="F3883" s="1" t="s">
        <v>16</v>
      </c>
      <c r="G3883" s="1" t="s">
        <v>17</v>
      </c>
      <c r="H3883" s="1" t="str">
        <f t="shared" si="2669"/>
        <v>70</v>
      </c>
      <c r="I3883" s="1" t="str">
        <f>"153.55"</f>
        <v>153.55</v>
      </c>
      <c r="J3883" s="1" t="str">
        <f t="shared" si="2658"/>
        <v>0</v>
      </c>
      <c r="K3883" s="1" t="str">
        <f t="shared" si="2659"/>
        <v>103</v>
      </c>
      <c r="L3883" s="1" t="str">
        <f t="shared" si="2660"/>
        <v>47</v>
      </c>
      <c r="M3883" s="1" t="str">
        <f t="shared" si="2664"/>
        <v>0</v>
      </c>
      <c r="N3883" s="1" t="str">
        <f t="shared" si="2668"/>
        <v>0</v>
      </c>
      <c r="O3883" s="1" t="str">
        <f t="shared" si="2670"/>
        <v>3.55</v>
      </c>
    </row>
    <row r="3884" s="1" customFormat="1" spans="1:15">
      <c r="A3884" s="1" t="str">
        <f t="shared" si="2655"/>
        <v>202406</v>
      </c>
      <c r="B3884" s="1" t="str">
        <f t="shared" si="2656"/>
        <v>150525100</v>
      </c>
      <c r="C3884" s="1" t="str">
        <f>"1040833141"</f>
        <v>1040833141</v>
      </c>
      <c r="D3884" s="1" t="str">
        <f>"152326195503050059"</f>
        <v>152326195503050059</v>
      </c>
      <c r="E3884" s="1" t="s">
        <v>3923</v>
      </c>
      <c r="F3884" s="1" t="s">
        <v>25</v>
      </c>
      <c r="G3884" s="1" t="s">
        <v>17</v>
      </c>
      <c r="H3884" s="1" t="str">
        <f>"69"</f>
        <v>69</v>
      </c>
      <c r="I3884" s="1" t="str">
        <f>"154.51"</f>
        <v>154.51</v>
      </c>
      <c r="J3884" s="1" t="str">
        <f t="shared" si="2658"/>
        <v>0</v>
      </c>
      <c r="K3884" s="1" t="str">
        <f t="shared" si="2659"/>
        <v>103</v>
      </c>
      <c r="L3884" s="1" t="str">
        <f t="shared" si="2660"/>
        <v>47</v>
      </c>
      <c r="M3884" s="1" t="str">
        <f t="shared" si="2664"/>
        <v>0</v>
      </c>
      <c r="N3884" s="1" t="str">
        <f t="shared" si="2668"/>
        <v>0</v>
      </c>
      <c r="O3884" s="1" t="str">
        <f>"4.51"</f>
        <v>4.51</v>
      </c>
    </row>
    <row r="3885" s="1" customFormat="1" spans="1:15">
      <c r="A3885" s="1" t="str">
        <f t="shared" si="2655"/>
        <v>202406</v>
      </c>
      <c r="B3885" s="1" t="str">
        <f t="shared" si="2656"/>
        <v>150525100</v>
      </c>
      <c r="C3885" s="1" t="str">
        <f>"1015311812"</f>
        <v>1015311812</v>
      </c>
      <c r="D3885" s="1" t="str">
        <f>"152326195303193311"</f>
        <v>152326195303193311</v>
      </c>
      <c r="E3885" s="1" t="s">
        <v>962</v>
      </c>
      <c r="F3885" s="1" t="s">
        <v>25</v>
      </c>
      <c r="G3885" s="1" t="s">
        <v>19</v>
      </c>
      <c r="H3885" s="1" t="str">
        <f t="shared" ref="H3885:H3887" si="2671">"71"</f>
        <v>71</v>
      </c>
      <c r="I3885" s="1" t="str">
        <f t="shared" ref="I3885:I3890" si="2672">"162.58"</f>
        <v>162.58</v>
      </c>
      <c r="J3885" s="1" t="str">
        <f t="shared" si="2658"/>
        <v>0</v>
      </c>
      <c r="K3885" s="1" t="str">
        <f t="shared" si="2659"/>
        <v>103</v>
      </c>
      <c r="L3885" s="1" t="str">
        <f t="shared" si="2660"/>
        <v>47</v>
      </c>
      <c r="M3885" s="1" t="str">
        <f t="shared" si="2664"/>
        <v>0</v>
      </c>
      <c r="N3885" s="1" t="str">
        <f t="shared" si="2668"/>
        <v>0</v>
      </c>
      <c r="O3885" s="1" t="str">
        <f t="shared" ref="O3885:O3890" si="2673">"2.58"</f>
        <v>2.58</v>
      </c>
    </row>
    <row r="3886" s="1" customFormat="1" spans="1:15">
      <c r="A3886" s="1" t="str">
        <f t="shared" si="2655"/>
        <v>202406</v>
      </c>
      <c r="B3886" s="1" t="str">
        <f t="shared" si="2656"/>
        <v>150525100</v>
      </c>
      <c r="C3886" s="1" t="str">
        <f>"1015311814"</f>
        <v>1015311814</v>
      </c>
      <c r="D3886" s="1" t="str">
        <f>"152326195306253316"</f>
        <v>152326195306253316</v>
      </c>
      <c r="E3886" s="1" t="s">
        <v>3924</v>
      </c>
      <c r="F3886" s="1" t="s">
        <v>25</v>
      </c>
      <c r="G3886" s="1" t="s">
        <v>19</v>
      </c>
      <c r="H3886" s="1" t="str">
        <f t="shared" si="2671"/>
        <v>71</v>
      </c>
      <c r="I3886" s="1" t="str">
        <f t="shared" si="2672"/>
        <v>162.58</v>
      </c>
      <c r="J3886" s="1" t="str">
        <f t="shared" si="2658"/>
        <v>0</v>
      </c>
      <c r="K3886" s="1" t="str">
        <f t="shared" si="2659"/>
        <v>103</v>
      </c>
      <c r="L3886" s="1" t="str">
        <f t="shared" si="2660"/>
        <v>47</v>
      </c>
      <c r="M3886" s="1" t="str">
        <f t="shared" si="2664"/>
        <v>0</v>
      </c>
      <c r="N3886" s="1" t="str">
        <f t="shared" si="2668"/>
        <v>0</v>
      </c>
      <c r="O3886" s="1" t="str">
        <f t="shared" si="2673"/>
        <v>2.58</v>
      </c>
    </row>
    <row r="3887" s="1" customFormat="1" spans="1:15">
      <c r="A3887" s="1" t="str">
        <f t="shared" si="2655"/>
        <v>202406</v>
      </c>
      <c r="B3887" s="1" t="str">
        <f t="shared" si="2656"/>
        <v>150525100</v>
      </c>
      <c r="C3887" s="1" t="str">
        <f>"1015311353"</f>
        <v>1015311353</v>
      </c>
      <c r="D3887" s="1" t="str">
        <f>"152326195308093811"</f>
        <v>152326195308093811</v>
      </c>
      <c r="E3887" s="1" t="s">
        <v>2575</v>
      </c>
      <c r="F3887" s="1" t="s">
        <v>25</v>
      </c>
      <c r="G3887" s="1" t="s">
        <v>19</v>
      </c>
      <c r="H3887" s="1" t="str">
        <f t="shared" si="2671"/>
        <v>71</v>
      </c>
      <c r="I3887" s="1" t="str">
        <f>"162.3"</f>
        <v>162.3</v>
      </c>
      <c r="J3887" s="1" t="str">
        <f t="shared" si="2658"/>
        <v>0</v>
      </c>
      <c r="K3887" s="1" t="str">
        <f t="shared" si="2659"/>
        <v>103</v>
      </c>
      <c r="L3887" s="1" t="str">
        <f t="shared" si="2660"/>
        <v>47</v>
      </c>
      <c r="M3887" s="1" t="str">
        <f t="shared" si="2664"/>
        <v>0</v>
      </c>
      <c r="N3887" s="1" t="str">
        <f t="shared" si="2668"/>
        <v>0</v>
      </c>
      <c r="O3887" s="1" t="str">
        <f>"2.3"</f>
        <v>2.3</v>
      </c>
    </row>
    <row r="3888" s="1" customFormat="1" spans="1:15">
      <c r="A3888" s="1" t="str">
        <f t="shared" si="2655"/>
        <v>202406</v>
      </c>
      <c r="B3888" s="1" t="str">
        <f t="shared" si="2656"/>
        <v>150525100</v>
      </c>
      <c r="C3888" s="1" t="str">
        <f>"1015311372"</f>
        <v>1015311372</v>
      </c>
      <c r="D3888" s="1" t="str">
        <f>"152326195203193314"</f>
        <v>152326195203193314</v>
      </c>
      <c r="E3888" s="1" t="s">
        <v>3925</v>
      </c>
      <c r="F3888" s="1" t="s">
        <v>25</v>
      </c>
      <c r="G3888" s="1" t="s">
        <v>17</v>
      </c>
      <c r="H3888" s="1" t="str">
        <f>"72"</f>
        <v>72</v>
      </c>
      <c r="I3888" s="1" t="str">
        <f>"161.56"</f>
        <v>161.56</v>
      </c>
      <c r="J3888" s="1" t="str">
        <f t="shared" si="2658"/>
        <v>0</v>
      </c>
      <c r="K3888" s="1" t="str">
        <f t="shared" si="2659"/>
        <v>103</v>
      </c>
      <c r="L3888" s="1" t="str">
        <f t="shared" si="2660"/>
        <v>47</v>
      </c>
      <c r="M3888" s="1" t="str">
        <f t="shared" si="2664"/>
        <v>0</v>
      </c>
      <c r="N3888" s="1" t="str">
        <f t="shared" si="2668"/>
        <v>0</v>
      </c>
      <c r="O3888" s="1" t="str">
        <f>"1.56"</f>
        <v>1.56</v>
      </c>
    </row>
    <row r="3889" s="1" customFormat="1" spans="1:15">
      <c r="A3889" s="1" t="str">
        <f t="shared" si="2655"/>
        <v>202406</v>
      </c>
      <c r="B3889" s="1" t="str">
        <f t="shared" si="2656"/>
        <v>150525100</v>
      </c>
      <c r="C3889" s="1" t="str">
        <f>"1015311376"</f>
        <v>1015311376</v>
      </c>
      <c r="D3889" s="1" t="str">
        <f>"152326195201033325"</f>
        <v>152326195201033325</v>
      </c>
      <c r="E3889" s="1" t="s">
        <v>3926</v>
      </c>
      <c r="F3889" s="1" t="s">
        <v>16</v>
      </c>
      <c r="G3889" s="1" t="s">
        <v>17</v>
      </c>
      <c r="H3889" s="1" t="str">
        <f>"73"</f>
        <v>73</v>
      </c>
      <c r="I3889" s="1" t="str">
        <f>"161.56"</f>
        <v>161.56</v>
      </c>
      <c r="J3889" s="1" t="str">
        <f t="shared" si="2658"/>
        <v>0</v>
      </c>
      <c r="K3889" s="1" t="str">
        <f t="shared" si="2659"/>
        <v>103</v>
      </c>
      <c r="L3889" s="1" t="str">
        <f t="shared" si="2660"/>
        <v>47</v>
      </c>
      <c r="M3889" s="1" t="str">
        <f t="shared" si="2664"/>
        <v>0</v>
      </c>
      <c r="N3889" s="1" t="str">
        <f t="shared" si="2668"/>
        <v>0</v>
      </c>
      <c r="O3889" s="1" t="str">
        <f>"1.56"</f>
        <v>1.56</v>
      </c>
    </row>
    <row r="3890" s="1" customFormat="1" spans="1:15">
      <c r="A3890" s="1" t="str">
        <f t="shared" si="2655"/>
        <v>202406</v>
      </c>
      <c r="B3890" s="1" t="str">
        <f t="shared" si="2656"/>
        <v>150525100</v>
      </c>
      <c r="C3890" s="1" t="str">
        <f>"1015311382"</f>
        <v>1015311382</v>
      </c>
      <c r="D3890" s="1" t="str">
        <f>"152326195305143326"</f>
        <v>152326195305143326</v>
      </c>
      <c r="E3890" s="1" t="s">
        <v>3927</v>
      </c>
      <c r="F3890" s="1" t="s">
        <v>16</v>
      </c>
      <c r="G3890" s="1" t="s">
        <v>17</v>
      </c>
      <c r="H3890" s="1" t="str">
        <f t="shared" ref="H3890:H3894" si="2674">"71"</f>
        <v>71</v>
      </c>
      <c r="I3890" s="1" t="str">
        <f t="shared" si="2672"/>
        <v>162.58</v>
      </c>
      <c r="J3890" s="1" t="str">
        <f t="shared" si="2658"/>
        <v>0</v>
      </c>
      <c r="K3890" s="1" t="str">
        <f t="shared" si="2659"/>
        <v>103</v>
      </c>
      <c r="L3890" s="1" t="str">
        <f t="shared" si="2660"/>
        <v>47</v>
      </c>
      <c r="M3890" s="1" t="str">
        <f t="shared" si="2664"/>
        <v>0</v>
      </c>
      <c r="N3890" s="1" t="str">
        <f t="shared" si="2668"/>
        <v>0</v>
      </c>
      <c r="O3890" s="1" t="str">
        <f t="shared" si="2673"/>
        <v>2.58</v>
      </c>
    </row>
    <row r="3891" s="1" customFormat="1" spans="1:15">
      <c r="A3891" s="1" t="str">
        <f t="shared" si="2655"/>
        <v>202406</v>
      </c>
      <c r="B3891" s="1" t="str">
        <f t="shared" si="2656"/>
        <v>150525100</v>
      </c>
      <c r="C3891" s="1" t="str">
        <f>"1015311523"</f>
        <v>1015311523</v>
      </c>
      <c r="D3891" s="1" t="str">
        <f>"152326195304113096"</f>
        <v>152326195304113096</v>
      </c>
      <c r="E3891" s="1" t="s">
        <v>3928</v>
      </c>
      <c r="F3891" s="1" t="s">
        <v>25</v>
      </c>
      <c r="G3891" s="1" t="s">
        <v>17</v>
      </c>
      <c r="H3891" s="1" t="str">
        <f t="shared" si="2674"/>
        <v>71</v>
      </c>
      <c r="I3891" s="1" t="str">
        <f t="shared" ref="I3891:I3894" si="2675">"162.31"</f>
        <v>162.31</v>
      </c>
      <c r="J3891" s="1" t="str">
        <f t="shared" si="2658"/>
        <v>0</v>
      </c>
      <c r="K3891" s="1" t="str">
        <f t="shared" si="2659"/>
        <v>103</v>
      </c>
      <c r="L3891" s="1" t="str">
        <f t="shared" si="2660"/>
        <v>47</v>
      </c>
      <c r="M3891" s="1" t="str">
        <f t="shared" si="2664"/>
        <v>0</v>
      </c>
      <c r="N3891" s="1" t="str">
        <f t="shared" si="2668"/>
        <v>0</v>
      </c>
      <c r="O3891" s="1" t="str">
        <f t="shared" ref="O3891:O3894" si="2676">"2.31"</f>
        <v>2.31</v>
      </c>
    </row>
    <row r="3892" s="1" customFormat="1" spans="1:15">
      <c r="A3892" s="1" t="str">
        <f t="shared" si="2655"/>
        <v>202406</v>
      </c>
      <c r="B3892" s="1" t="str">
        <f t="shared" si="2656"/>
        <v>150525100</v>
      </c>
      <c r="C3892" s="1" t="str">
        <f>"1015311819"</f>
        <v>1015311819</v>
      </c>
      <c r="D3892" s="1" t="str">
        <f>"152326195312263318"</f>
        <v>152326195312263318</v>
      </c>
      <c r="E3892" s="1" t="s">
        <v>3929</v>
      </c>
      <c r="F3892" s="1" t="s">
        <v>25</v>
      </c>
      <c r="G3892" s="1" t="s">
        <v>19</v>
      </c>
      <c r="H3892" s="1" t="str">
        <f t="shared" si="2674"/>
        <v>71</v>
      </c>
      <c r="I3892" s="1" t="str">
        <f>"162.58"</f>
        <v>162.58</v>
      </c>
      <c r="J3892" s="1" t="str">
        <f t="shared" si="2658"/>
        <v>0</v>
      </c>
      <c r="K3892" s="1" t="str">
        <f t="shared" si="2659"/>
        <v>103</v>
      </c>
      <c r="L3892" s="1" t="str">
        <f t="shared" si="2660"/>
        <v>47</v>
      </c>
      <c r="M3892" s="1" t="str">
        <f t="shared" si="2664"/>
        <v>0</v>
      </c>
      <c r="N3892" s="1" t="str">
        <f t="shared" si="2668"/>
        <v>0</v>
      </c>
      <c r="O3892" s="1" t="str">
        <f>"2.58"</f>
        <v>2.58</v>
      </c>
    </row>
    <row r="3893" s="1" customFormat="1" spans="1:15">
      <c r="A3893" s="1" t="str">
        <f t="shared" si="2655"/>
        <v>202406</v>
      </c>
      <c r="B3893" s="1" t="str">
        <f t="shared" si="2656"/>
        <v>150525100</v>
      </c>
      <c r="C3893" s="1" t="str">
        <f>"1015311399"</f>
        <v>1015311399</v>
      </c>
      <c r="D3893" s="1" t="str">
        <f>"152326195304200675"</f>
        <v>152326195304200675</v>
      </c>
      <c r="E3893" s="1" t="s">
        <v>3930</v>
      </c>
      <c r="F3893" s="1" t="s">
        <v>25</v>
      </c>
      <c r="G3893" s="1" t="s">
        <v>17</v>
      </c>
      <c r="H3893" s="1" t="str">
        <f t="shared" si="2674"/>
        <v>71</v>
      </c>
      <c r="I3893" s="1" t="str">
        <f t="shared" si="2675"/>
        <v>162.31</v>
      </c>
      <c r="J3893" s="1" t="str">
        <f t="shared" si="2658"/>
        <v>0</v>
      </c>
      <c r="K3893" s="1" t="str">
        <f t="shared" si="2659"/>
        <v>103</v>
      </c>
      <c r="L3893" s="1" t="str">
        <f t="shared" si="2660"/>
        <v>47</v>
      </c>
      <c r="M3893" s="1" t="str">
        <f t="shared" si="2664"/>
        <v>0</v>
      </c>
      <c r="N3893" s="1" t="str">
        <f t="shared" si="2668"/>
        <v>0</v>
      </c>
      <c r="O3893" s="1" t="str">
        <f t="shared" si="2676"/>
        <v>2.31</v>
      </c>
    </row>
    <row r="3894" s="1" customFormat="1" spans="1:15">
      <c r="A3894" s="1" t="str">
        <f t="shared" si="2655"/>
        <v>202406</v>
      </c>
      <c r="B3894" s="1" t="str">
        <f t="shared" si="2656"/>
        <v>150525100</v>
      </c>
      <c r="C3894" s="1" t="str">
        <f>"1015311610"</f>
        <v>1015311610</v>
      </c>
      <c r="D3894" s="1" t="str">
        <f>"152326195301300670"</f>
        <v>152326195301300670</v>
      </c>
      <c r="E3894" s="1" t="s">
        <v>3931</v>
      </c>
      <c r="F3894" s="1" t="s">
        <v>25</v>
      </c>
      <c r="G3894" s="1" t="s">
        <v>17</v>
      </c>
      <c r="H3894" s="1" t="str">
        <f t="shared" si="2674"/>
        <v>71</v>
      </c>
      <c r="I3894" s="1" t="str">
        <f t="shared" si="2675"/>
        <v>162.31</v>
      </c>
      <c r="J3894" s="1" t="str">
        <f t="shared" si="2658"/>
        <v>0</v>
      </c>
      <c r="K3894" s="1" t="str">
        <f t="shared" si="2659"/>
        <v>103</v>
      </c>
      <c r="L3894" s="1" t="str">
        <f t="shared" si="2660"/>
        <v>47</v>
      </c>
      <c r="M3894" s="1" t="str">
        <f t="shared" si="2664"/>
        <v>0</v>
      </c>
      <c r="N3894" s="1" t="str">
        <f t="shared" si="2668"/>
        <v>0</v>
      </c>
      <c r="O3894" s="1" t="str">
        <f t="shared" si="2676"/>
        <v>2.31</v>
      </c>
    </row>
    <row r="3895" s="1" customFormat="1" spans="1:15">
      <c r="A3895" s="1" t="str">
        <f t="shared" si="2655"/>
        <v>202406</v>
      </c>
      <c r="B3895" s="1" t="str">
        <f t="shared" si="2656"/>
        <v>150525100</v>
      </c>
      <c r="C3895" s="1" t="str">
        <f>"1015311783"</f>
        <v>1015311783</v>
      </c>
      <c r="D3895" s="1" t="str">
        <f>"152326195210250663"</f>
        <v>152326195210250663</v>
      </c>
      <c r="E3895" s="1" t="s">
        <v>3932</v>
      </c>
      <c r="F3895" s="1" t="s">
        <v>16</v>
      </c>
      <c r="G3895" s="1" t="s">
        <v>17</v>
      </c>
      <c r="H3895" s="1" t="str">
        <f>"72"</f>
        <v>72</v>
      </c>
      <c r="I3895" s="1" t="str">
        <f>"161.53"</f>
        <v>161.53</v>
      </c>
      <c r="J3895" s="1" t="str">
        <f t="shared" si="2658"/>
        <v>0</v>
      </c>
      <c r="K3895" s="1" t="str">
        <f t="shared" si="2659"/>
        <v>103</v>
      </c>
      <c r="L3895" s="1" t="str">
        <f t="shared" si="2660"/>
        <v>47</v>
      </c>
      <c r="M3895" s="1" t="str">
        <f t="shared" si="2664"/>
        <v>0</v>
      </c>
      <c r="N3895" s="1" t="str">
        <f t="shared" si="2668"/>
        <v>0</v>
      </c>
      <c r="O3895" s="1" t="str">
        <f>"1.53"</f>
        <v>1.53</v>
      </c>
    </row>
    <row r="3896" s="1" customFormat="1" spans="1:15">
      <c r="A3896" s="1" t="str">
        <f t="shared" si="2655"/>
        <v>202406</v>
      </c>
      <c r="B3896" s="1" t="str">
        <f t="shared" si="2656"/>
        <v>150525100</v>
      </c>
      <c r="C3896" s="1" t="str">
        <f>"1015311785"</f>
        <v>1015311785</v>
      </c>
      <c r="D3896" s="1" t="str">
        <f>"152326195311190663"</f>
        <v>152326195311190663</v>
      </c>
      <c r="E3896" s="1" t="s">
        <v>1253</v>
      </c>
      <c r="F3896" s="1" t="s">
        <v>16</v>
      </c>
      <c r="G3896" s="1" t="s">
        <v>17</v>
      </c>
      <c r="H3896" s="1" t="str">
        <f>"71"</f>
        <v>71</v>
      </c>
      <c r="I3896" s="1" t="str">
        <f>"162.57"</f>
        <v>162.57</v>
      </c>
      <c r="J3896" s="1" t="str">
        <f t="shared" si="2658"/>
        <v>0</v>
      </c>
      <c r="K3896" s="1" t="str">
        <f t="shared" si="2659"/>
        <v>103</v>
      </c>
      <c r="L3896" s="1" t="str">
        <f t="shared" si="2660"/>
        <v>47</v>
      </c>
      <c r="M3896" s="1" t="str">
        <f t="shared" si="2664"/>
        <v>0</v>
      </c>
      <c r="N3896" s="1" t="str">
        <f t="shared" si="2668"/>
        <v>0</v>
      </c>
      <c r="O3896" s="1" t="str">
        <f>"2.57"</f>
        <v>2.57</v>
      </c>
    </row>
    <row r="3897" s="1" customFormat="1" spans="1:15">
      <c r="A3897" s="1" t="str">
        <f t="shared" si="2655"/>
        <v>202406</v>
      </c>
      <c r="B3897" s="1" t="str">
        <f t="shared" si="2656"/>
        <v>150525100</v>
      </c>
      <c r="C3897" s="1" t="str">
        <f>"1015311793"</f>
        <v>1015311793</v>
      </c>
      <c r="D3897" s="1" t="str">
        <f>"152326195202080668"</f>
        <v>152326195202080668</v>
      </c>
      <c r="E3897" s="1" t="s">
        <v>582</v>
      </c>
      <c r="F3897" s="1" t="s">
        <v>16</v>
      </c>
      <c r="G3897" s="1" t="s">
        <v>17</v>
      </c>
      <c r="H3897" s="1" t="str">
        <f>"72"</f>
        <v>72</v>
      </c>
      <c r="I3897" s="1" t="str">
        <f>"161.56"</f>
        <v>161.56</v>
      </c>
      <c r="J3897" s="1" t="str">
        <f t="shared" si="2658"/>
        <v>0</v>
      </c>
      <c r="K3897" s="1" t="str">
        <f t="shared" si="2659"/>
        <v>103</v>
      </c>
      <c r="L3897" s="1" t="str">
        <f t="shared" si="2660"/>
        <v>47</v>
      </c>
      <c r="M3897" s="1" t="str">
        <f t="shared" si="2664"/>
        <v>0</v>
      </c>
      <c r="N3897" s="1" t="str">
        <f t="shared" si="2668"/>
        <v>0</v>
      </c>
      <c r="O3897" s="1" t="str">
        <f>"1.56"</f>
        <v>1.56</v>
      </c>
    </row>
    <row r="3898" s="1" customFormat="1" spans="1:15">
      <c r="A3898" s="1" t="str">
        <f t="shared" si="2655"/>
        <v>202406</v>
      </c>
      <c r="B3898" s="1" t="str">
        <f t="shared" si="2656"/>
        <v>150525100</v>
      </c>
      <c r="C3898" s="1" t="str">
        <f>"1015311809"</f>
        <v>1015311809</v>
      </c>
      <c r="D3898" s="1" t="str">
        <f>"150525195310130020"</f>
        <v>150525195310130020</v>
      </c>
      <c r="E3898" s="1" t="s">
        <v>3933</v>
      </c>
      <c r="F3898" s="1" t="s">
        <v>16</v>
      </c>
      <c r="G3898" s="1" t="s">
        <v>19</v>
      </c>
      <c r="H3898" s="1" t="str">
        <f>"71"</f>
        <v>71</v>
      </c>
      <c r="I3898" s="1" t="str">
        <f>"162.57"</f>
        <v>162.57</v>
      </c>
      <c r="J3898" s="1" t="str">
        <f t="shared" si="2658"/>
        <v>0</v>
      </c>
      <c r="K3898" s="1" t="str">
        <f t="shared" si="2659"/>
        <v>103</v>
      </c>
      <c r="L3898" s="1" t="str">
        <f t="shared" si="2660"/>
        <v>47</v>
      </c>
      <c r="M3898" s="1" t="str">
        <f t="shared" si="2664"/>
        <v>0</v>
      </c>
      <c r="N3898" s="1" t="str">
        <f t="shared" si="2668"/>
        <v>0</v>
      </c>
      <c r="O3898" s="1" t="str">
        <f>"2.57"</f>
        <v>2.57</v>
      </c>
    </row>
    <row r="3899" s="1" customFormat="1" spans="1:15">
      <c r="A3899" s="1" t="str">
        <f t="shared" si="2655"/>
        <v>202406</v>
      </c>
      <c r="B3899" s="1" t="str">
        <f t="shared" si="2656"/>
        <v>150525100</v>
      </c>
      <c r="C3899" s="1" t="str">
        <f>"1041065261"</f>
        <v>1041065261</v>
      </c>
      <c r="D3899" s="1" t="str">
        <f>"152326195709050425"</f>
        <v>152326195709050425</v>
      </c>
      <c r="E3899" s="1" t="s">
        <v>3934</v>
      </c>
      <c r="F3899" s="1" t="s">
        <v>16</v>
      </c>
      <c r="G3899" s="1" t="s">
        <v>17</v>
      </c>
      <c r="H3899" s="1" t="str">
        <f>"67"</f>
        <v>67</v>
      </c>
      <c r="I3899" s="1" t="str">
        <f>"154.32"</f>
        <v>154.32</v>
      </c>
      <c r="J3899" s="1" t="str">
        <f t="shared" si="2658"/>
        <v>0</v>
      </c>
      <c r="K3899" s="1" t="str">
        <f t="shared" si="2659"/>
        <v>103</v>
      </c>
      <c r="L3899" s="1" t="str">
        <f t="shared" si="2660"/>
        <v>47</v>
      </c>
      <c r="M3899" s="1" t="str">
        <f t="shared" si="2664"/>
        <v>0</v>
      </c>
      <c r="N3899" s="1" t="str">
        <f t="shared" si="2668"/>
        <v>0</v>
      </c>
      <c r="O3899" s="1" t="str">
        <f>"4.32"</f>
        <v>4.32</v>
      </c>
    </row>
    <row r="3900" s="1" customFormat="1" spans="1:15">
      <c r="A3900" s="1" t="str">
        <f t="shared" si="2655"/>
        <v>202406</v>
      </c>
      <c r="B3900" s="1" t="str">
        <f t="shared" si="2656"/>
        <v>150525100</v>
      </c>
      <c r="C3900" s="1" t="str">
        <f>"1040648258"</f>
        <v>1040648258</v>
      </c>
      <c r="D3900" s="1" t="str">
        <f>"152326195905303821"</f>
        <v>152326195905303821</v>
      </c>
      <c r="E3900" s="1" t="s">
        <v>3935</v>
      </c>
      <c r="F3900" s="1" t="s">
        <v>16</v>
      </c>
      <c r="G3900" s="1" t="s">
        <v>19</v>
      </c>
      <c r="H3900" s="1" t="str">
        <f>"65"</f>
        <v>65</v>
      </c>
      <c r="I3900" s="1" t="str">
        <f>"157.54"</f>
        <v>157.54</v>
      </c>
      <c r="J3900" s="1" t="str">
        <f t="shared" si="2658"/>
        <v>0</v>
      </c>
      <c r="K3900" s="1" t="str">
        <f t="shared" si="2659"/>
        <v>103</v>
      </c>
      <c r="L3900" s="1" t="str">
        <f t="shared" si="2660"/>
        <v>47</v>
      </c>
      <c r="M3900" s="1" t="str">
        <f t="shared" si="2664"/>
        <v>0</v>
      </c>
      <c r="N3900" s="1" t="str">
        <f t="shared" si="2668"/>
        <v>0</v>
      </c>
      <c r="O3900" s="1" t="str">
        <f>"7.54"</f>
        <v>7.54</v>
      </c>
    </row>
    <row r="3901" s="1" customFormat="1" spans="1:15">
      <c r="A3901" s="1" t="str">
        <f t="shared" si="2655"/>
        <v>202406</v>
      </c>
      <c r="B3901" s="1" t="str">
        <f t="shared" si="2656"/>
        <v>150525100</v>
      </c>
      <c r="C3901" s="1" t="str">
        <f>"1040648261"</f>
        <v>1040648261</v>
      </c>
      <c r="D3901" s="1" t="str">
        <f>"152326195602253820"</f>
        <v>152326195602253820</v>
      </c>
      <c r="E3901" s="1" t="s">
        <v>3936</v>
      </c>
      <c r="F3901" s="1" t="s">
        <v>16</v>
      </c>
      <c r="G3901" s="1" t="s">
        <v>19</v>
      </c>
      <c r="H3901" s="1" t="str">
        <f t="shared" ref="H3901:H3904" si="2677">"68"</f>
        <v>68</v>
      </c>
      <c r="I3901" s="1" t="str">
        <f>"155.38"</f>
        <v>155.38</v>
      </c>
      <c r="J3901" s="1" t="str">
        <f t="shared" si="2658"/>
        <v>0</v>
      </c>
      <c r="K3901" s="1" t="str">
        <f t="shared" si="2659"/>
        <v>103</v>
      </c>
      <c r="L3901" s="1" t="str">
        <f t="shared" si="2660"/>
        <v>47</v>
      </c>
      <c r="M3901" s="1" t="str">
        <f t="shared" si="2664"/>
        <v>0</v>
      </c>
      <c r="N3901" s="1" t="str">
        <f t="shared" si="2668"/>
        <v>0</v>
      </c>
      <c r="O3901" s="1" t="str">
        <f>"5.38"</f>
        <v>5.38</v>
      </c>
    </row>
    <row r="3902" s="1" customFormat="1" spans="1:15">
      <c r="A3902" s="1" t="str">
        <f t="shared" si="2655"/>
        <v>202406</v>
      </c>
      <c r="B3902" s="1" t="str">
        <f t="shared" si="2656"/>
        <v>150525100</v>
      </c>
      <c r="C3902" s="1" t="str">
        <f>"1040760010"</f>
        <v>1040760010</v>
      </c>
      <c r="D3902" s="1" t="str">
        <f>"152326195606223071"</f>
        <v>152326195606223071</v>
      </c>
      <c r="E3902" s="1" t="s">
        <v>3937</v>
      </c>
      <c r="F3902" s="1" t="s">
        <v>25</v>
      </c>
      <c r="G3902" s="1" t="s">
        <v>17</v>
      </c>
      <c r="H3902" s="1" t="str">
        <f t="shared" si="2677"/>
        <v>68</v>
      </c>
      <c r="I3902" s="1" t="str">
        <f>"154.53"</f>
        <v>154.53</v>
      </c>
      <c r="J3902" s="1" t="str">
        <f t="shared" si="2658"/>
        <v>0</v>
      </c>
      <c r="K3902" s="1" t="str">
        <f t="shared" si="2659"/>
        <v>103</v>
      </c>
      <c r="L3902" s="1" t="str">
        <f t="shared" si="2660"/>
        <v>47</v>
      </c>
      <c r="M3902" s="1" t="str">
        <f t="shared" si="2664"/>
        <v>0</v>
      </c>
      <c r="N3902" s="1" t="str">
        <f t="shared" si="2668"/>
        <v>0</v>
      </c>
      <c r="O3902" s="1" t="str">
        <f>"4.53"</f>
        <v>4.53</v>
      </c>
    </row>
    <row r="3903" s="1" customFormat="1" spans="1:15">
      <c r="A3903" s="1" t="str">
        <f t="shared" si="2655"/>
        <v>202406</v>
      </c>
      <c r="B3903" s="1" t="str">
        <f t="shared" si="2656"/>
        <v>150525100</v>
      </c>
      <c r="C3903" s="1" t="str">
        <f>"1040685787"</f>
        <v>1040685787</v>
      </c>
      <c r="D3903" s="1" t="str">
        <f>"152326195703103311"</f>
        <v>152326195703103311</v>
      </c>
      <c r="E3903" s="1" t="s">
        <v>3938</v>
      </c>
      <c r="F3903" s="1" t="s">
        <v>25</v>
      </c>
      <c r="G3903" s="1" t="s">
        <v>17</v>
      </c>
      <c r="H3903" s="1" t="str">
        <f>"67"</f>
        <v>67</v>
      </c>
      <c r="I3903" s="1" t="str">
        <f>"154.56"</f>
        <v>154.56</v>
      </c>
      <c r="J3903" s="1" t="str">
        <f t="shared" si="2658"/>
        <v>0</v>
      </c>
      <c r="K3903" s="1" t="str">
        <f t="shared" si="2659"/>
        <v>103</v>
      </c>
      <c r="L3903" s="1" t="str">
        <f t="shared" si="2660"/>
        <v>47</v>
      </c>
      <c r="M3903" s="1" t="str">
        <f t="shared" si="2664"/>
        <v>0</v>
      </c>
      <c r="N3903" s="1" t="str">
        <f t="shared" si="2668"/>
        <v>0</v>
      </c>
      <c r="O3903" s="1" t="str">
        <f>"4.56"</f>
        <v>4.56</v>
      </c>
    </row>
    <row r="3904" s="1" customFormat="1" spans="1:15">
      <c r="A3904" s="1" t="str">
        <f t="shared" si="2655"/>
        <v>202406</v>
      </c>
      <c r="B3904" s="1" t="str">
        <f t="shared" si="2656"/>
        <v>150525100</v>
      </c>
      <c r="C3904" s="1" t="str">
        <f>"1040693073"</f>
        <v>1040693073</v>
      </c>
      <c r="D3904" s="1" t="str">
        <f>"152326195609023083"</f>
        <v>152326195609023083</v>
      </c>
      <c r="E3904" s="1" t="s">
        <v>367</v>
      </c>
      <c r="F3904" s="1" t="s">
        <v>16</v>
      </c>
      <c r="G3904" s="1" t="s">
        <v>17</v>
      </c>
      <c r="H3904" s="1" t="str">
        <f t="shared" si="2677"/>
        <v>68</v>
      </c>
      <c r="I3904" s="1" t="str">
        <f>"154.54"</f>
        <v>154.54</v>
      </c>
      <c r="J3904" s="1" t="str">
        <f t="shared" si="2658"/>
        <v>0</v>
      </c>
      <c r="K3904" s="1" t="str">
        <f t="shared" si="2659"/>
        <v>103</v>
      </c>
      <c r="L3904" s="1" t="str">
        <f t="shared" si="2660"/>
        <v>47</v>
      </c>
      <c r="M3904" s="1" t="str">
        <f t="shared" si="2664"/>
        <v>0</v>
      </c>
      <c r="N3904" s="1" t="str">
        <f t="shared" si="2668"/>
        <v>0</v>
      </c>
      <c r="O3904" s="1" t="str">
        <f>"4.54"</f>
        <v>4.54</v>
      </c>
    </row>
    <row r="3905" s="1" customFormat="1" spans="1:15">
      <c r="A3905" s="1" t="str">
        <f t="shared" si="2655"/>
        <v>202406</v>
      </c>
      <c r="B3905" s="1" t="str">
        <f t="shared" si="2656"/>
        <v>150525100</v>
      </c>
      <c r="C3905" s="1" t="str">
        <f>"1040653629"</f>
        <v>1040653629</v>
      </c>
      <c r="D3905" s="1" t="s">
        <v>3939</v>
      </c>
      <c r="E3905" s="1" t="s">
        <v>3940</v>
      </c>
      <c r="F3905" s="1" t="s">
        <v>25</v>
      </c>
      <c r="G3905" s="1" t="s">
        <v>19</v>
      </c>
      <c r="H3905" s="1" t="str">
        <f>"61"</f>
        <v>61</v>
      </c>
      <c r="I3905" s="1" t="str">
        <f>"164.13"</f>
        <v>164.13</v>
      </c>
      <c r="J3905" s="1" t="str">
        <f t="shared" si="2658"/>
        <v>0</v>
      </c>
      <c r="K3905" s="1" t="str">
        <f t="shared" si="2659"/>
        <v>103</v>
      </c>
      <c r="L3905" s="1" t="str">
        <f t="shared" si="2660"/>
        <v>47</v>
      </c>
      <c r="M3905" s="1" t="str">
        <f t="shared" si="2664"/>
        <v>0</v>
      </c>
      <c r="N3905" s="1" t="str">
        <f t="shared" si="2668"/>
        <v>0</v>
      </c>
      <c r="O3905" s="1" t="str">
        <f>"14.13"</f>
        <v>14.13</v>
      </c>
    </row>
    <row r="3906" s="1" customFormat="1" spans="1:15">
      <c r="A3906" s="1" t="str">
        <f t="shared" ref="A3906:A3969" si="2678">"202406"</f>
        <v>202406</v>
      </c>
      <c r="B3906" s="1" t="str">
        <f t="shared" ref="B3906:B3969" si="2679">"150525100"</f>
        <v>150525100</v>
      </c>
      <c r="C3906" s="1" t="str">
        <f>"1040653634"</f>
        <v>1040653634</v>
      </c>
      <c r="D3906" s="1" t="str">
        <f>"152326196011100923"</f>
        <v>152326196011100923</v>
      </c>
      <c r="E3906" s="1" t="s">
        <v>3941</v>
      </c>
      <c r="F3906" s="1" t="s">
        <v>16</v>
      </c>
      <c r="G3906" s="1" t="s">
        <v>19</v>
      </c>
      <c r="H3906" s="1" t="str">
        <f>"64"</f>
        <v>64</v>
      </c>
      <c r="I3906" s="1" t="str">
        <f>"158.42"</f>
        <v>158.42</v>
      </c>
      <c r="J3906" s="1" t="str">
        <f t="shared" si="2658"/>
        <v>0</v>
      </c>
      <c r="K3906" s="1" t="str">
        <f t="shared" si="2659"/>
        <v>103</v>
      </c>
      <c r="L3906" s="1" t="str">
        <f t="shared" si="2660"/>
        <v>47</v>
      </c>
      <c r="M3906" s="1" t="str">
        <f t="shared" si="2664"/>
        <v>0</v>
      </c>
      <c r="N3906" s="1" t="str">
        <f t="shared" si="2668"/>
        <v>0</v>
      </c>
      <c r="O3906" s="1" t="str">
        <f>"8.42"</f>
        <v>8.42</v>
      </c>
    </row>
    <row r="3907" s="1" customFormat="1" spans="1:15">
      <c r="A3907" s="1" t="str">
        <f t="shared" si="2678"/>
        <v>202406</v>
      </c>
      <c r="B3907" s="1" t="str">
        <f t="shared" si="2679"/>
        <v>150525100</v>
      </c>
      <c r="C3907" s="1" t="str">
        <f>"1040653638"</f>
        <v>1040653638</v>
      </c>
      <c r="D3907" s="1" t="str">
        <f>"152326196206200924"</f>
        <v>152326196206200924</v>
      </c>
      <c r="E3907" s="1" t="s">
        <v>3942</v>
      </c>
      <c r="F3907" s="1" t="s">
        <v>16</v>
      </c>
      <c r="G3907" s="1" t="s">
        <v>19</v>
      </c>
      <c r="H3907" s="1" t="str">
        <f>"62"</f>
        <v>62</v>
      </c>
      <c r="I3907" s="1" t="str">
        <f>"162.41"</f>
        <v>162.41</v>
      </c>
      <c r="J3907" s="1" t="str">
        <f t="shared" si="2658"/>
        <v>0</v>
      </c>
      <c r="K3907" s="1" t="str">
        <f t="shared" si="2659"/>
        <v>103</v>
      </c>
      <c r="L3907" s="1" t="str">
        <f t="shared" si="2660"/>
        <v>47</v>
      </c>
      <c r="M3907" s="1" t="str">
        <f t="shared" si="2664"/>
        <v>0</v>
      </c>
      <c r="N3907" s="1" t="str">
        <f t="shared" si="2668"/>
        <v>0</v>
      </c>
      <c r="O3907" s="1" t="str">
        <f>"12.41"</f>
        <v>12.41</v>
      </c>
    </row>
    <row r="3908" s="1" customFormat="1" spans="1:15">
      <c r="A3908" s="1" t="str">
        <f t="shared" si="2678"/>
        <v>202406</v>
      </c>
      <c r="B3908" s="1" t="str">
        <f t="shared" si="2679"/>
        <v>150525100</v>
      </c>
      <c r="C3908" s="1" t="str">
        <f>"1040653642"</f>
        <v>1040653642</v>
      </c>
      <c r="D3908" s="1" t="str">
        <f>"152326196209210917"</f>
        <v>152326196209210917</v>
      </c>
      <c r="E3908" s="1" t="s">
        <v>3943</v>
      </c>
      <c r="F3908" s="1" t="s">
        <v>25</v>
      </c>
      <c r="G3908" s="1" t="s">
        <v>19</v>
      </c>
      <c r="H3908" s="1" t="str">
        <f>"62"</f>
        <v>62</v>
      </c>
      <c r="I3908" s="1" t="str">
        <f>"162.48"</f>
        <v>162.48</v>
      </c>
      <c r="J3908" s="1" t="str">
        <f t="shared" si="2658"/>
        <v>0</v>
      </c>
      <c r="K3908" s="1" t="str">
        <f t="shared" si="2659"/>
        <v>103</v>
      </c>
      <c r="L3908" s="1" t="str">
        <f t="shared" si="2660"/>
        <v>47</v>
      </c>
      <c r="M3908" s="1" t="str">
        <f t="shared" si="2664"/>
        <v>0</v>
      </c>
      <c r="N3908" s="1" t="str">
        <f t="shared" si="2668"/>
        <v>0</v>
      </c>
      <c r="O3908" s="1" t="str">
        <f>"12.48"</f>
        <v>12.48</v>
      </c>
    </row>
    <row r="3909" s="1" customFormat="1" spans="1:15">
      <c r="A3909" s="1" t="str">
        <f t="shared" si="2678"/>
        <v>202406</v>
      </c>
      <c r="B3909" s="1" t="str">
        <f t="shared" si="2679"/>
        <v>150525100</v>
      </c>
      <c r="C3909" s="1" t="str">
        <f>"1040653643"</f>
        <v>1040653643</v>
      </c>
      <c r="D3909" s="1" t="str">
        <f>"152326196404210920"</f>
        <v>152326196404210920</v>
      </c>
      <c r="E3909" s="1" t="s">
        <v>3471</v>
      </c>
      <c r="F3909" s="1" t="s">
        <v>16</v>
      </c>
      <c r="G3909" s="1" t="s">
        <v>19</v>
      </c>
      <c r="H3909" s="1" t="str">
        <f>"60"</f>
        <v>60</v>
      </c>
      <c r="I3909" s="1" t="str">
        <f>"166.15"</f>
        <v>166.15</v>
      </c>
      <c r="J3909" s="1" t="str">
        <f t="shared" si="2658"/>
        <v>0</v>
      </c>
      <c r="K3909" s="1" t="str">
        <f t="shared" si="2659"/>
        <v>103</v>
      </c>
      <c r="L3909" s="1" t="str">
        <f t="shared" si="2660"/>
        <v>47</v>
      </c>
      <c r="M3909" s="1" t="str">
        <f t="shared" si="2664"/>
        <v>0</v>
      </c>
      <c r="N3909" s="1" t="str">
        <f t="shared" si="2668"/>
        <v>0</v>
      </c>
      <c r="O3909" s="1" t="str">
        <f>"16.15"</f>
        <v>16.15</v>
      </c>
    </row>
    <row r="3910" s="1" customFormat="1" spans="1:15">
      <c r="A3910" s="1" t="str">
        <f t="shared" si="2678"/>
        <v>202406</v>
      </c>
      <c r="B3910" s="1" t="str">
        <f t="shared" si="2679"/>
        <v>150525100</v>
      </c>
      <c r="C3910" s="1" t="str">
        <f>"1040647700"</f>
        <v>1040647700</v>
      </c>
      <c r="D3910" s="1" t="str">
        <f>"152326196009160695"</f>
        <v>152326196009160695</v>
      </c>
      <c r="E3910" s="1" t="s">
        <v>3944</v>
      </c>
      <c r="F3910" s="1" t="s">
        <v>25</v>
      </c>
      <c r="G3910" s="1" t="s">
        <v>19</v>
      </c>
      <c r="H3910" s="1" t="str">
        <f>"64"</f>
        <v>64</v>
      </c>
      <c r="I3910" s="1" t="str">
        <f>"158.63"</f>
        <v>158.63</v>
      </c>
      <c r="J3910" s="1" t="str">
        <f t="shared" si="2658"/>
        <v>0</v>
      </c>
      <c r="K3910" s="1" t="str">
        <f t="shared" si="2659"/>
        <v>103</v>
      </c>
      <c r="L3910" s="1" t="str">
        <f t="shared" si="2660"/>
        <v>47</v>
      </c>
      <c r="M3910" s="1" t="str">
        <f t="shared" si="2664"/>
        <v>0</v>
      </c>
      <c r="N3910" s="1" t="str">
        <f t="shared" si="2668"/>
        <v>0</v>
      </c>
      <c r="O3910" s="1" t="str">
        <f>"8.63"</f>
        <v>8.63</v>
      </c>
    </row>
    <row r="3911" s="1" customFormat="1" spans="1:15">
      <c r="A3911" s="1" t="str">
        <f t="shared" si="2678"/>
        <v>202406</v>
      </c>
      <c r="B3911" s="1" t="str">
        <f t="shared" si="2679"/>
        <v>150525100</v>
      </c>
      <c r="C3911" s="1" t="str">
        <f>"1040647716"</f>
        <v>1040647716</v>
      </c>
      <c r="D3911" s="1" t="str">
        <f>"152326195809050422"</f>
        <v>152326195809050422</v>
      </c>
      <c r="E3911" s="1" t="s">
        <v>3945</v>
      </c>
      <c r="F3911" s="1" t="s">
        <v>16</v>
      </c>
      <c r="G3911" s="1" t="s">
        <v>19</v>
      </c>
      <c r="H3911" s="1" t="str">
        <f>"66"</f>
        <v>66</v>
      </c>
      <c r="I3911" s="1" t="str">
        <f>"157.48"</f>
        <v>157.48</v>
      </c>
      <c r="J3911" s="1" t="str">
        <f t="shared" si="2658"/>
        <v>0</v>
      </c>
      <c r="K3911" s="1" t="str">
        <f t="shared" si="2659"/>
        <v>103</v>
      </c>
      <c r="L3911" s="1" t="str">
        <f t="shared" si="2660"/>
        <v>47</v>
      </c>
      <c r="M3911" s="1" t="str">
        <f t="shared" si="2664"/>
        <v>0</v>
      </c>
      <c r="N3911" s="1" t="str">
        <f t="shared" si="2668"/>
        <v>0</v>
      </c>
      <c r="O3911" s="1" t="str">
        <f>"7.48"</f>
        <v>7.48</v>
      </c>
    </row>
    <row r="3912" s="1" customFormat="1" spans="1:15">
      <c r="A3912" s="1" t="str">
        <f t="shared" si="2678"/>
        <v>202406</v>
      </c>
      <c r="B3912" s="1" t="str">
        <f t="shared" si="2679"/>
        <v>150525100</v>
      </c>
      <c r="C3912" s="1" t="str">
        <f>"1040646018"</f>
        <v>1040646018</v>
      </c>
      <c r="D3912" s="1" t="str">
        <f>"152326195412120672"</f>
        <v>152326195412120672</v>
      </c>
      <c r="E3912" s="1" t="s">
        <v>1605</v>
      </c>
      <c r="F3912" s="1" t="s">
        <v>25</v>
      </c>
      <c r="G3912" s="1" t="s">
        <v>96</v>
      </c>
      <c r="H3912" s="1" t="str">
        <f>"70"</f>
        <v>70</v>
      </c>
      <c r="I3912" s="1" t="str">
        <f>"153.56"</f>
        <v>153.56</v>
      </c>
      <c r="J3912" s="1" t="str">
        <f t="shared" si="2658"/>
        <v>0</v>
      </c>
      <c r="K3912" s="1" t="str">
        <f t="shared" si="2659"/>
        <v>103</v>
      </c>
      <c r="L3912" s="1" t="str">
        <f t="shared" si="2660"/>
        <v>47</v>
      </c>
      <c r="M3912" s="1" t="str">
        <f t="shared" si="2664"/>
        <v>0</v>
      </c>
      <c r="N3912" s="1" t="str">
        <f t="shared" si="2668"/>
        <v>0</v>
      </c>
      <c r="O3912" s="1" t="str">
        <f>"3.56"</f>
        <v>3.56</v>
      </c>
    </row>
    <row r="3913" s="1" customFormat="1" spans="1:15">
      <c r="A3913" s="1" t="str">
        <f t="shared" si="2678"/>
        <v>202406</v>
      </c>
      <c r="B3913" s="1" t="str">
        <f t="shared" si="2679"/>
        <v>150525100</v>
      </c>
      <c r="C3913" s="1" t="str">
        <f>"1040646019"</f>
        <v>1040646019</v>
      </c>
      <c r="D3913" s="1" t="str">
        <f>"152326195412190670"</f>
        <v>152326195412190670</v>
      </c>
      <c r="E3913" s="1" t="s">
        <v>3946</v>
      </c>
      <c r="F3913" s="1" t="s">
        <v>25</v>
      </c>
      <c r="G3913" s="1" t="s">
        <v>17</v>
      </c>
      <c r="H3913" s="1" t="str">
        <f>"70"</f>
        <v>70</v>
      </c>
      <c r="I3913" s="1" t="str">
        <f>"153.56"</f>
        <v>153.56</v>
      </c>
      <c r="J3913" s="1" t="str">
        <f t="shared" si="2658"/>
        <v>0</v>
      </c>
      <c r="K3913" s="1" t="str">
        <f t="shared" si="2659"/>
        <v>103</v>
      </c>
      <c r="L3913" s="1" t="str">
        <f t="shared" si="2660"/>
        <v>47</v>
      </c>
      <c r="M3913" s="1" t="str">
        <f t="shared" si="2664"/>
        <v>0</v>
      </c>
      <c r="N3913" s="1" t="str">
        <f t="shared" si="2668"/>
        <v>0</v>
      </c>
      <c r="O3913" s="1" t="str">
        <f>"3.56"</f>
        <v>3.56</v>
      </c>
    </row>
    <row r="3914" s="1" customFormat="1" spans="1:15">
      <c r="A3914" s="1" t="str">
        <f t="shared" si="2678"/>
        <v>202406</v>
      </c>
      <c r="B3914" s="1" t="str">
        <f t="shared" si="2679"/>
        <v>150525100</v>
      </c>
      <c r="C3914" s="1" t="str">
        <f>"1040646025"</f>
        <v>1040646025</v>
      </c>
      <c r="D3914" s="1" t="s">
        <v>3947</v>
      </c>
      <c r="E3914" s="1" t="s">
        <v>3948</v>
      </c>
      <c r="F3914" s="1" t="s">
        <v>16</v>
      </c>
      <c r="G3914" s="1" t="s">
        <v>19</v>
      </c>
      <c r="H3914" s="1" t="str">
        <f>"68"</f>
        <v>68</v>
      </c>
      <c r="I3914" s="1" t="str">
        <f>"155.43"</f>
        <v>155.43</v>
      </c>
      <c r="J3914" s="1" t="str">
        <f t="shared" si="2658"/>
        <v>0</v>
      </c>
      <c r="K3914" s="1" t="str">
        <f t="shared" si="2659"/>
        <v>103</v>
      </c>
      <c r="L3914" s="1" t="str">
        <f t="shared" si="2660"/>
        <v>47</v>
      </c>
      <c r="M3914" s="1" t="str">
        <f t="shared" si="2664"/>
        <v>0</v>
      </c>
      <c r="N3914" s="1" t="str">
        <f t="shared" si="2668"/>
        <v>0</v>
      </c>
      <c r="O3914" s="1" t="str">
        <f>"5.43"</f>
        <v>5.43</v>
      </c>
    </row>
    <row r="3915" s="1" customFormat="1" spans="1:15">
      <c r="A3915" s="1" t="str">
        <f t="shared" si="2678"/>
        <v>202406</v>
      </c>
      <c r="B3915" s="1" t="str">
        <f t="shared" si="2679"/>
        <v>150525100</v>
      </c>
      <c r="C3915" s="1" t="str">
        <f>"1040646027"</f>
        <v>1040646027</v>
      </c>
      <c r="D3915" s="1" t="str">
        <f>"152326195609150031"</f>
        <v>152326195609150031</v>
      </c>
      <c r="E3915" s="1" t="s">
        <v>3949</v>
      </c>
      <c r="F3915" s="1" t="s">
        <v>25</v>
      </c>
      <c r="G3915" s="1" t="s">
        <v>96</v>
      </c>
      <c r="H3915" s="1" t="str">
        <f>"68"</f>
        <v>68</v>
      </c>
      <c r="I3915" s="1" t="str">
        <f>"155.43"</f>
        <v>155.43</v>
      </c>
      <c r="J3915" s="1" t="str">
        <f t="shared" si="2658"/>
        <v>0</v>
      </c>
      <c r="K3915" s="1" t="str">
        <f t="shared" si="2659"/>
        <v>103</v>
      </c>
      <c r="L3915" s="1" t="str">
        <f t="shared" si="2660"/>
        <v>47</v>
      </c>
      <c r="M3915" s="1" t="str">
        <f t="shared" si="2664"/>
        <v>0</v>
      </c>
      <c r="N3915" s="1" t="str">
        <f t="shared" si="2668"/>
        <v>0</v>
      </c>
      <c r="O3915" s="1" t="str">
        <f>"5.43"</f>
        <v>5.43</v>
      </c>
    </row>
    <row r="3916" s="1" customFormat="1" spans="1:15">
      <c r="A3916" s="1" t="str">
        <f t="shared" si="2678"/>
        <v>202406</v>
      </c>
      <c r="B3916" s="1" t="str">
        <f t="shared" si="2679"/>
        <v>150525100</v>
      </c>
      <c r="C3916" s="1" t="str">
        <f>"1040646034"</f>
        <v>1040646034</v>
      </c>
      <c r="D3916" s="1" t="str">
        <f>"152326195711110706"</f>
        <v>152326195711110706</v>
      </c>
      <c r="E3916" s="1" t="s">
        <v>3950</v>
      </c>
      <c r="F3916" s="1" t="s">
        <v>16</v>
      </c>
      <c r="G3916" s="1" t="s">
        <v>17</v>
      </c>
      <c r="H3916" s="1" t="str">
        <f>"67"</f>
        <v>67</v>
      </c>
      <c r="I3916" s="1" t="str">
        <f>"155.52"</f>
        <v>155.52</v>
      </c>
      <c r="J3916" s="1" t="str">
        <f t="shared" si="2658"/>
        <v>0</v>
      </c>
      <c r="K3916" s="1" t="str">
        <f t="shared" si="2659"/>
        <v>103</v>
      </c>
      <c r="L3916" s="1" t="str">
        <f t="shared" si="2660"/>
        <v>47</v>
      </c>
      <c r="M3916" s="1" t="str">
        <f t="shared" si="2664"/>
        <v>0</v>
      </c>
      <c r="N3916" s="1" t="str">
        <f t="shared" si="2668"/>
        <v>0</v>
      </c>
      <c r="O3916" s="1" t="str">
        <f>"5.52"</f>
        <v>5.52</v>
      </c>
    </row>
    <row r="3917" s="1" customFormat="1" spans="1:15">
      <c r="A3917" s="1" t="str">
        <f t="shared" si="2678"/>
        <v>202406</v>
      </c>
      <c r="B3917" s="1" t="str">
        <f t="shared" si="2679"/>
        <v>150525100</v>
      </c>
      <c r="C3917" s="1" t="str">
        <f>"1040646046"</f>
        <v>1040646046</v>
      </c>
      <c r="D3917" s="1" t="str">
        <f>"152326196205070670"</f>
        <v>152326196205070670</v>
      </c>
      <c r="E3917" s="1" t="s">
        <v>3951</v>
      </c>
      <c r="F3917" s="1" t="s">
        <v>25</v>
      </c>
      <c r="G3917" s="1" t="s">
        <v>17</v>
      </c>
      <c r="H3917" s="1" t="str">
        <f>"62"</f>
        <v>62</v>
      </c>
      <c r="I3917" s="1" t="str">
        <f>"162.38"</f>
        <v>162.38</v>
      </c>
      <c r="J3917" s="1" t="str">
        <f t="shared" si="2658"/>
        <v>0</v>
      </c>
      <c r="K3917" s="1" t="str">
        <f t="shared" si="2659"/>
        <v>103</v>
      </c>
      <c r="L3917" s="1" t="str">
        <f t="shared" si="2660"/>
        <v>47</v>
      </c>
      <c r="M3917" s="1" t="str">
        <f t="shared" si="2664"/>
        <v>0</v>
      </c>
      <c r="N3917" s="1" t="str">
        <f t="shared" si="2668"/>
        <v>0</v>
      </c>
      <c r="O3917" s="1" t="str">
        <f>"12.38"</f>
        <v>12.38</v>
      </c>
    </row>
    <row r="3918" s="1" customFormat="1" spans="1:15">
      <c r="A3918" s="1" t="str">
        <f t="shared" si="2678"/>
        <v>202406</v>
      </c>
      <c r="B3918" s="1" t="str">
        <f t="shared" si="2679"/>
        <v>150525100</v>
      </c>
      <c r="C3918" s="1" t="str">
        <f>"1040646051"</f>
        <v>1040646051</v>
      </c>
      <c r="D3918" s="1" t="str">
        <f>"152326196210150667"</f>
        <v>152326196210150667</v>
      </c>
      <c r="E3918" s="1" t="s">
        <v>3952</v>
      </c>
      <c r="F3918" s="1" t="s">
        <v>16</v>
      </c>
      <c r="G3918" s="1" t="s">
        <v>17</v>
      </c>
      <c r="H3918" s="1" t="str">
        <f>"62"</f>
        <v>62</v>
      </c>
      <c r="I3918" s="1" t="str">
        <f>"162.52"</f>
        <v>162.52</v>
      </c>
      <c r="J3918" s="1" t="str">
        <f t="shared" si="2658"/>
        <v>0</v>
      </c>
      <c r="K3918" s="1" t="str">
        <f t="shared" si="2659"/>
        <v>103</v>
      </c>
      <c r="L3918" s="1" t="str">
        <f t="shared" si="2660"/>
        <v>47</v>
      </c>
      <c r="M3918" s="1" t="str">
        <f t="shared" si="2664"/>
        <v>0</v>
      </c>
      <c r="N3918" s="1" t="str">
        <f t="shared" si="2668"/>
        <v>0</v>
      </c>
      <c r="O3918" s="1" t="str">
        <f>"12.52"</f>
        <v>12.52</v>
      </c>
    </row>
    <row r="3919" s="1" customFormat="1" spans="1:15">
      <c r="A3919" s="1" t="str">
        <f t="shared" si="2678"/>
        <v>202406</v>
      </c>
      <c r="B3919" s="1" t="str">
        <f t="shared" si="2679"/>
        <v>150525100</v>
      </c>
      <c r="C3919" s="1" t="str">
        <f>"1040646056"</f>
        <v>1040646056</v>
      </c>
      <c r="D3919" s="1" t="str">
        <f>"152326196311150666"</f>
        <v>152326196311150666</v>
      </c>
      <c r="E3919" s="1" t="s">
        <v>3953</v>
      </c>
      <c r="F3919" s="1" t="s">
        <v>16</v>
      </c>
      <c r="G3919" s="1" t="s">
        <v>17</v>
      </c>
      <c r="H3919" s="1" t="str">
        <f>"61"</f>
        <v>61</v>
      </c>
      <c r="I3919" s="1" t="str">
        <f>"166.17"</f>
        <v>166.17</v>
      </c>
      <c r="J3919" s="1" t="str">
        <f t="shared" si="2658"/>
        <v>0</v>
      </c>
      <c r="K3919" s="1" t="str">
        <f t="shared" si="2659"/>
        <v>103</v>
      </c>
      <c r="L3919" s="1" t="str">
        <f t="shared" si="2660"/>
        <v>47</v>
      </c>
      <c r="M3919" s="1" t="str">
        <f t="shared" si="2664"/>
        <v>0</v>
      </c>
      <c r="N3919" s="1" t="str">
        <f t="shared" si="2668"/>
        <v>0</v>
      </c>
      <c r="O3919" s="1" t="str">
        <f>"16.17"</f>
        <v>16.17</v>
      </c>
    </row>
    <row r="3920" s="1" customFormat="1" spans="1:15">
      <c r="A3920" s="1" t="str">
        <f t="shared" si="2678"/>
        <v>202406</v>
      </c>
      <c r="B3920" s="1" t="str">
        <f t="shared" si="2679"/>
        <v>150525100</v>
      </c>
      <c r="C3920" s="1" t="str">
        <f>"1040726746"</f>
        <v>1040726746</v>
      </c>
      <c r="D3920" s="1" t="str">
        <f>"152326195412290911"</f>
        <v>152326195412290911</v>
      </c>
      <c r="E3920" s="1" t="s">
        <v>3954</v>
      </c>
      <c r="F3920" s="1" t="s">
        <v>25</v>
      </c>
      <c r="G3920" s="1" t="s">
        <v>19</v>
      </c>
      <c r="H3920" s="1" t="str">
        <f>"70"</f>
        <v>70</v>
      </c>
      <c r="I3920" s="1" t="str">
        <f>"152.88"</f>
        <v>152.88</v>
      </c>
      <c r="J3920" s="1" t="str">
        <f t="shared" si="2658"/>
        <v>0</v>
      </c>
      <c r="K3920" s="1" t="str">
        <f t="shared" si="2659"/>
        <v>103</v>
      </c>
      <c r="L3920" s="1" t="str">
        <f t="shared" si="2660"/>
        <v>47</v>
      </c>
      <c r="M3920" s="1" t="str">
        <f t="shared" si="2664"/>
        <v>0</v>
      </c>
      <c r="N3920" s="1" t="str">
        <f t="shared" si="2668"/>
        <v>0</v>
      </c>
      <c r="O3920" s="1" t="str">
        <f>"2.88"</f>
        <v>2.88</v>
      </c>
    </row>
    <row r="3921" s="1" customFormat="1" spans="1:15">
      <c r="A3921" s="1" t="str">
        <f t="shared" si="2678"/>
        <v>202406</v>
      </c>
      <c r="B3921" s="1" t="str">
        <f t="shared" si="2679"/>
        <v>150525100</v>
      </c>
      <c r="C3921" s="1" t="str">
        <f>"1040699466"</f>
        <v>1040699466</v>
      </c>
      <c r="D3921" s="1" t="str">
        <f>"152326196005040688"</f>
        <v>152326196005040688</v>
      </c>
      <c r="E3921" s="1" t="s">
        <v>3955</v>
      </c>
      <c r="F3921" s="1" t="s">
        <v>16</v>
      </c>
      <c r="G3921" s="1" t="s">
        <v>19</v>
      </c>
      <c r="H3921" s="1" t="str">
        <f>"64"</f>
        <v>64</v>
      </c>
      <c r="I3921" s="1" t="str">
        <f>"2508.76"</f>
        <v>2508.76</v>
      </c>
      <c r="J3921" s="1" t="str">
        <f t="shared" ref="J3921:L3921" si="2680">"0"</f>
        <v>0</v>
      </c>
      <c r="K3921" s="1" t="str">
        <f t="shared" si="2680"/>
        <v>0</v>
      </c>
      <c r="L3921" s="1" t="str">
        <f t="shared" si="2680"/>
        <v>0</v>
      </c>
      <c r="M3921" s="1" t="str">
        <f t="shared" si="2664"/>
        <v>0</v>
      </c>
      <c r="N3921" s="1" t="str">
        <f t="shared" si="2668"/>
        <v>0</v>
      </c>
      <c r="O3921" s="1" t="str">
        <f>"0"</f>
        <v>0</v>
      </c>
    </row>
    <row r="3922" s="1" customFormat="1" spans="1:15">
      <c r="A3922" s="1" t="str">
        <f t="shared" si="2678"/>
        <v>202406</v>
      </c>
      <c r="B3922" s="1" t="str">
        <f t="shared" si="2679"/>
        <v>150525100</v>
      </c>
      <c r="C3922" s="1" t="str">
        <f>"1040693099"</f>
        <v>1040693099</v>
      </c>
      <c r="D3922" s="1" t="str">
        <f>"152326196309043079"</f>
        <v>152326196309043079</v>
      </c>
      <c r="E3922" s="1" t="s">
        <v>3956</v>
      </c>
      <c r="F3922" s="1" t="s">
        <v>25</v>
      </c>
      <c r="G3922" s="1" t="s">
        <v>17</v>
      </c>
      <c r="H3922" s="1" t="str">
        <f>"61"</f>
        <v>61</v>
      </c>
      <c r="I3922" s="1" t="str">
        <f>"163.41"</f>
        <v>163.41</v>
      </c>
      <c r="J3922" s="1" t="str">
        <f t="shared" ref="J3922:J3985" si="2681">"0"</f>
        <v>0</v>
      </c>
      <c r="K3922" s="1" t="str">
        <f t="shared" ref="K3922:K3985" si="2682">"103"</f>
        <v>103</v>
      </c>
      <c r="L3922" s="1" t="str">
        <f t="shared" ref="L3922:L3985" si="2683">"47"</f>
        <v>47</v>
      </c>
      <c r="M3922" s="1" t="str">
        <f t="shared" si="2664"/>
        <v>0</v>
      </c>
      <c r="N3922" s="1" t="str">
        <f t="shared" si="2668"/>
        <v>0</v>
      </c>
      <c r="O3922" s="1" t="str">
        <f>"13.41"</f>
        <v>13.41</v>
      </c>
    </row>
    <row r="3923" s="1" customFormat="1" spans="1:15">
      <c r="A3923" s="1" t="str">
        <f t="shared" si="2678"/>
        <v>202406</v>
      </c>
      <c r="B3923" s="1" t="str">
        <f t="shared" si="2679"/>
        <v>150525100</v>
      </c>
      <c r="C3923" s="1" t="str">
        <f>"1040726820"</f>
        <v>1040726820</v>
      </c>
      <c r="D3923" s="1" t="str">
        <f>"152326195703030917"</f>
        <v>152326195703030917</v>
      </c>
      <c r="E3923" s="1" t="s">
        <v>3957</v>
      </c>
      <c r="F3923" s="1" t="s">
        <v>25</v>
      </c>
      <c r="G3923" s="1" t="s">
        <v>19</v>
      </c>
      <c r="H3923" s="1" t="str">
        <f>"67"</f>
        <v>67</v>
      </c>
      <c r="I3923" s="1" t="str">
        <f>"154.56"</f>
        <v>154.56</v>
      </c>
      <c r="J3923" s="1" t="str">
        <f t="shared" si="2681"/>
        <v>0</v>
      </c>
      <c r="K3923" s="1" t="str">
        <f t="shared" si="2682"/>
        <v>103</v>
      </c>
      <c r="L3923" s="1" t="str">
        <f t="shared" si="2683"/>
        <v>47</v>
      </c>
      <c r="M3923" s="1" t="str">
        <f t="shared" si="2664"/>
        <v>0</v>
      </c>
      <c r="N3923" s="1" t="str">
        <f t="shared" si="2668"/>
        <v>0</v>
      </c>
      <c r="O3923" s="1" t="str">
        <f>"4.56"</f>
        <v>4.56</v>
      </c>
    </row>
    <row r="3924" s="1" customFormat="1" spans="1:15">
      <c r="A3924" s="1" t="str">
        <f t="shared" si="2678"/>
        <v>202406</v>
      </c>
      <c r="B3924" s="1" t="str">
        <f t="shared" si="2679"/>
        <v>150525100</v>
      </c>
      <c r="C3924" s="1" t="str">
        <f>"1040654703"</f>
        <v>1040654703</v>
      </c>
      <c r="D3924" s="1" t="str">
        <f>"152326196104083317"</f>
        <v>152326196104083317</v>
      </c>
      <c r="E3924" s="1" t="s">
        <v>3958</v>
      </c>
      <c r="F3924" s="1" t="s">
        <v>25</v>
      </c>
      <c r="G3924" s="1" t="s">
        <v>17</v>
      </c>
      <c r="H3924" s="1" t="str">
        <f>"63"</f>
        <v>63</v>
      </c>
      <c r="I3924" s="1" t="str">
        <f>"159.48"</f>
        <v>159.48</v>
      </c>
      <c r="J3924" s="1" t="str">
        <f t="shared" si="2681"/>
        <v>0</v>
      </c>
      <c r="K3924" s="1" t="str">
        <f t="shared" si="2682"/>
        <v>103</v>
      </c>
      <c r="L3924" s="1" t="str">
        <f t="shared" si="2683"/>
        <v>47</v>
      </c>
      <c r="M3924" s="1" t="str">
        <f t="shared" si="2664"/>
        <v>0</v>
      </c>
      <c r="N3924" s="1" t="str">
        <f t="shared" si="2668"/>
        <v>0</v>
      </c>
      <c r="O3924" s="1" t="str">
        <f>"9.48"</f>
        <v>9.48</v>
      </c>
    </row>
    <row r="3925" s="1" customFormat="1" spans="1:15">
      <c r="A3925" s="1" t="str">
        <f t="shared" si="2678"/>
        <v>202406</v>
      </c>
      <c r="B3925" s="1" t="str">
        <f t="shared" si="2679"/>
        <v>150525100</v>
      </c>
      <c r="C3925" s="1" t="str">
        <f>"1040755937"</f>
        <v>1040755937</v>
      </c>
      <c r="D3925" s="1" t="str">
        <f>"152326195604110428"</f>
        <v>152326195604110428</v>
      </c>
      <c r="E3925" s="1" t="s">
        <v>3959</v>
      </c>
      <c r="F3925" s="1" t="s">
        <v>16</v>
      </c>
      <c r="G3925" s="1" t="s">
        <v>17</v>
      </c>
      <c r="H3925" s="1" t="str">
        <f>"68"</f>
        <v>68</v>
      </c>
      <c r="I3925" s="1" t="str">
        <f>"154.54"</f>
        <v>154.54</v>
      </c>
      <c r="J3925" s="1" t="str">
        <f t="shared" si="2681"/>
        <v>0</v>
      </c>
      <c r="K3925" s="1" t="str">
        <f t="shared" si="2682"/>
        <v>103</v>
      </c>
      <c r="L3925" s="1" t="str">
        <f t="shared" si="2683"/>
        <v>47</v>
      </c>
      <c r="M3925" s="1" t="str">
        <f t="shared" si="2664"/>
        <v>0</v>
      </c>
      <c r="N3925" s="1" t="str">
        <f t="shared" si="2668"/>
        <v>0</v>
      </c>
      <c r="O3925" s="1" t="str">
        <f>"4.54"</f>
        <v>4.54</v>
      </c>
    </row>
    <row r="3926" s="1" customFormat="1" spans="1:15">
      <c r="A3926" s="1" t="str">
        <f t="shared" si="2678"/>
        <v>202406</v>
      </c>
      <c r="B3926" s="1" t="str">
        <f t="shared" si="2679"/>
        <v>150525100</v>
      </c>
      <c r="C3926" s="1" t="str">
        <f>"1040647175"</f>
        <v>1040647175</v>
      </c>
      <c r="D3926" s="1" t="str">
        <f>"152326196011140415"</f>
        <v>152326196011140415</v>
      </c>
      <c r="E3926" s="1" t="s">
        <v>3960</v>
      </c>
      <c r="F3926" s="1" t="s">
        <v>25</v>
      </c>
      <c r="G3926" s="1" t="s">
        <v>19</v>
      </c>
      <c r="H3926" s="1" t="str">
        <f>"64"</f>
        <v>64</v>
      </c>
      <c r="I3926" s="1" t="str">
        <f>"159.46"</f>
        <v>159.46</v>
      </c>
      <c r="J3926" s="1" t="str">
        <f t="shared" si="2681"/>
        <v>0</v>
      </c>
      <c r="K3926" s="1" t="str">
        <f t="shared" si="2682"/>
        <v>103</v>
      </c>
      <c r="L3926" s="1" t="str">
        <f t="shared" si="2683"/>
        <v>47</v>
      </c>
      <c r="M3926" s="1" t="str">
        <f t="shared" si="2664"/>
        <v>0</v>
      </c>
      <c r="N3926" s="1" t="str">
        <f t="shared" si="2668"/>
        <v>0</v>
      </c>
      <c r="O3926" s="1" t="str">
        <f>"9.46"</f>
        <v>9.46</v>
      </c>
    </row>
    <row r="3927" s="1" customFormat="1" spans="1:15">
      <c r="A3927" s="1" t="str">
        <f t="shared" si="2678"/>
        <v>202406</v>
      </c>
      <c r="B3927" s="1" t="str">
        <f t="shared" si="2679"/>
        <v>150525100</v>
      </c>
      <c r="C3927" s="1" t="str">
        <f>"1040645126"</f>
        <v>1040645126</v>
      </c>
      <c r="D3927" s="1" t="str">
        <f>"152326195509153323"</f>
        <v>152326195509153323</v>
      </c>
      <c r="E3927" s="1" t="s">
        <v>3961</v>
      </c>
      <c r="F3927" s="1" t="s">
        <v>16</v>
      </c>
      <c r="G3927" s="1" t="s">
        <v>19</v>
      </c>
      <c r="H3927" s="1" t="str">
        <f>"69"</f>
        <v>69</v>
      </c>
      <c r="I3927" s="1" t="str">
        <f>"153.6"</f>
        <v>153.6</v>
      </c>
      <c r="J3927" s="1" t="str">
        <f t="shared" si="2681"/>
        <v>0</v>
      </c>
      <c r="K3927" s="1" t="str">
        <f t="shared" si="2682"/>
        <v>103</v>
      </c>
      <c r="L3927" s="1" t="str">
        <f t="shared" si="2683"/>
        <v>47</v>
      </c>
      <c r="M3927" s="1" t="str">
        <f t="shared" si="2664"/>
        <v>0</v>
      </c>
      <c r="N3927" s="1" t="str">
        <f t="shared" si="2668"/>
        <v>0</v>
      </c>
      <c r="O3927" s="1" t="str">
        <f>"3.6"</f>
        <v>3.6</v>
      </c>
    </row>
    <row r="3928" s="1" customFormat="1" spans="1:15">
      <c r="A3928" s="1" t="str">
        <f t="shared" si="2678"/>
        <v>202406</v>
      </c>
      <c r="B3928" s="1" t="str">
        <f t="shared" si="2679"/>
        <v>150525100</v>
      </c>
      <c r="C3928" s="1" t="str">
        <f>"1040655166"</f>
        <v>1040655166</v>
      </c>
      <c r="D3928" s="1" t="str">
        <f>"152326196211050449"</f>
        <v>152326196211050449</v>
      </c>
      <c r="E3928" s="1" t="s">
        <v>3962</v>
      </c>
      <c r="F3928" s="1" t="s">
        <v>16</v>
      </c>
      <c r="G3928" s="1" t="s">
        <v>17</v>
      </c>
      <c r="H3928" s="1" t="str">
        <f>"62"</f>
        <v>62</v>
      </c>
      <c r="I3928" s="1" t="str">
        <f>"161.57"</f>
        <v>161.57</v>
      </c>
      <c r="J3928" s="1" t="str">
        <f t="shared" si="2681"/>
        <v>0</v>
      </c>
      <c r="K3928" s="1" t="str">
        <f t="shared" si="2682"/>
        <v>103</v>
      </c>
      <c r="L3928" s="1" t="str">
        <f t="shared" si="2683"/>
        <v>47</v>
      </c>
      <c r="M3928" s="1" t="str">
        <f t="shared" si="2664"/>
        <v>0</v>
      </c>
      <c r="N3928" s="1" t="str">
        <f t="shared" si="2668"/>
        <v>0</v>
      </c>
      <c r="O3928" s="1" t="str">
        <f>"11.57"</f>
        <v>11.57</v>
      </c>
    </row>
    <row r="3929" s="1" customFormat="1" spans="1:15">
      <c r="A3929" s="1" t="str">
        <f t="shared" si="2678"/>
        <v>202406</v>
      </c>
      <c r="B3929" s="1" t="str">
        <f t="shared" si="2679"/>
        <v>150525100</v>
      </c>
      <c r="C3929" s="1" t="str">
        <f>"1040647268"</f>
        <v>1040647268</v>
      </c>
      <c r="D3929" s="1" t="str">
        <f>"152326195507150428"</f>
        <v>152326195507150428</v>
      </c>
      <c r="E3929" s="1" t="s">
        <v>1622</v>
      </c>
      <c r="F3929" s="1" t="s">
        <v>16</v>
      </c>
      <c r="G3929" s="1" t="s">
        <v>17</v>
      </c>
      <c r="H3929" s="1" t="str">
        <f>"69"</f>
        <v>69</v>
      </c>
      <c r="I3929" s="1" t="str">
        <f>"154.51"</f>
        <v>154.51</v>
      </c>
      <c r="J3929" s="1" t="str">
        <f t="shared" si="2681"/>
        <v>0</v>
      </c>
      <c r="K3929" s="1" t="str">
        <f t="shared" si="2682"/>
        <v>103</v>
      </c>
      <c r="L3929" s="1" t="str">
        <f t="shared" si="2683"/>
        <v>47</v>
      </c>
      <c r="M3929" s="1" t="str">
        <f t="shared" si="2664"/>
        <v>0</v>
      </c>
      <c r="N3929" s="1" t="str">
        <f t="shared" si="2668"/>
        <v>0</v>
      </c>
      <c r="O3929" s="1" t="str">
        <f>"4.51"</f>
        <v>4.51</v>
      </c>
    </row>
    <row r="3930" s="1" customFormat="1" spans="1:15">
      <c r="A3930" s="1" t="str">
        <f t="shared" si="2678"/>
        <v>202406</v>
      </c>
      <c r="B3930" s="1" t="str">
        <f t="shared" si="2679"/>
        <v>150525100</v>
      </c>
      <c r="C3930" s="1" t="str">
        <f>"1040699471"</f>
        <v>1040699471</v>
      </c>
      <c r="D3930" s="1" t="str">
        <f>"152326195411070669"</f>
        <v>152326195411070669</v>
      </c>
      <c r="E3930" s="1" t="s">
        <v>3963</v>
      </c>
      <c r="F3930" s="1" t="s">
        <v>16</v>
      </c>
      <c r="G3930" s="1" t="s">
        <v>17</v>
      </c>
      <c r="H3930" s="1" t="str">
        <f>"70"</f>
        <v>70</v>
      </c>
      <c r="I3930" s="1" t="str">
        <f>"152.88"</f>
        <v>152.88</v>
      </c>
      <c r="J3930" s="1" t="str">
        <f t="shared" si="2681"/>
        <v>0</v>
      </c>
      <c r="K3930" s="1" t="str">
        <f t="shared" si="2682"/>
        <v>103</v>
      </c>
      <c r="L3930" s="1" t="str">
        <f t="shared" si="2683"/>
        <v>47</v>
      </c>
      <c r="M3930" s="1" t="str">
        <f t="shared" si="2664"/>
        <v>0</v>
      </c>
      <c r="N3930" s="1" t="str">
        <f t="shared" si="2668"/>
        <v>0</v>
      </c>
      <c r="O3930" s="1" t="str">
        <f>"2.88"</f>
        <v>2.88</v>
      </c>
    </row>
    <row r="3931" s="1" customFormat="1" spans="1:15">
      <c r="A3931" s="1" t="str">
        <f t="shared" si="2678"/>
        <v>202406</v>
      </c>
      <c r="B3931" s="1" t="str">
        <f t="shared" si="2679"/>
        <v>150525100</v>
      </c>
      <c r="C3931" s="1" t="str">
        <f>"1040760908"</f>
        <v>1040760908</v>
      </c>
      <c r="D3931" s="1" t="s">
        <v>3964</v>
      </c>
      <c r="E3931" s="1" t="s">
        <v>3965</v>
      </c>
      <c r="F3931" s="1" t="s">
        <v>25</v>
      </c>
      <c r="G3931" s="1" t="s">
        <v>17</v>
      </c>
      <c r="H3931" s="1" t="str">
        <f>"66"</f>
        <v>66</v>
      </c>
      <c r="I3931" s="1" t="str">
        <f>"155.61"</f>
        <v>155.61</v>
      </c>
      <c r="J3931" s="1" t="str">
        <f t="shared" si="2681"/>
        <v>0</v>
      </c>
      <c r="K3931" s="1" t="str">
        <f t="shared" si="2682"/>
        <v>103</v>
      </c>
      <c r="L3931" s="1" t="str">
        <f t="shared" si="2683"/>
        <v>47</v>
      </c>
      <c r="M3931" s="1" t="str">
        <f t="shared" si="2664"/>
        <v>0</v>
      </c>
      <c r="N3931" s="1" t="str">
        <f t="shared" si="2668"/>
        <v>0</v>
      </c>
      <c r="O3931" s="1" t="str">
        <f>"5.61"</f>
        <v>5.61</v>
      </c>
    </row>
    <row r="3932" s="1" customFormat="1" spans="1:15">
      <c r="A3932" s="1" t="str">
        <f t="shared" si="2678"/>
        <v>202406</v>
      </c>
      <c r="B3932" s="1" t="str">
        <f t="shared" si="2679"/>
        <v>150525100</v>
      </c>
      <c r="C3932" s="1" t="str">
        <f>"1040646529"</f>
        <v>1040646529</v>
      </c>
      <c r="D3932" s="1" t="str">
        <f>"152326196208220670"</f>
        <v>152326196208220670</v>
      </c>
      <c r="E3932" s="1" t="s">
        <v>3966</v>
      </c>
      <c r="F3932" s="1" t="s">
        <v>25</v>
      </c>
      <c r="G3932" s="1" t="s">
        <v>17</v>
      </c>
      <c r="H3932" s="1" t="str">
        <f>"62"</f>
        <v>62</v>
      </c>
      <c r="I3932" s="1" t="str">
        <f>"161.43"</f>
        <v>161.43</v>
      </c>
      <c r="J3932" s="1" t="str">
        <f t="shared" si="2681"/>
        <v>0</v>
      </c>
      <c r="K3932" s="1" t="str">
        <f t="shared" si="2682"/>
        <v>103</v>
      </c>
      <c r="L3932" s="1" t="str">
        <f t="shared" si="2683"/>
        <v>47</v>
      </c>
      <c r="M3932" s="1" t="str">
        <f t="shared" si="2664"/>
        <v>0</v>
      </c>
      <c r="N3932" s="1" t="str">
        <f t="shared" si="2668"/>
        <v>0</v>
      </c>
      <c r="O3932" s="1" t="str">
        <f>"11.43"</f>
        <v>11.43</v>
      </c>
    </row>
    <row r="3933" s="1" customFormat="1" spans="1:15">
      <c r="A3933" s="1" t="str">
        <f t="shared" si="2678"/>
        <v>202406</v>
      </c>
      <c r="B3933" s="1" t="str">
        <f t="shared" si="2679"/>
        <v>150525100</v>
      </c>
      <c r="C3933" s="1" t="str">
        <f>"1040646537"</f>
        <v>1040646537</v>
      </c>
      <c r="D3933" s="1" t="s">
        <v>3967</v>
      </c>
      <c r="E3933" s="1" t="s">
        <v>3968</v>
      </c>
      <c r="F3933" s="1" t="s">
        <v>25</v>
      </c>
      <c r="G3933" s="1" t="s">
        <v>19</v>
      </c>
      <c r="H3933" s="1" t="str">
        <f>"64"</f>
        <v>64</v>
      </c>
      <c r="I3933" s="1" t="str">
        <f>"158.58"</f>
        <v>158.58</v>
      </c>
      <c r="J3933" s="1" t="str">
        <f t="shared" si="2681"/>
        <v>0</v>
      </c>
      <c r="K3933" s="1" t="str">
        <f t="shared" si="2682"/>
        <v>103</v>
      </c>
      <c r="L3933" s="1" t="str">
        <f t="shared" si="2683"/>
        <v>47</v>
      </c>
      <c r="M3933" s="1" t="str">
        <f t="shared" si="2664"/>
        <v>0</v>
      </c>
      <c r="N3933" s="1" t="str">
        <f t="shared" si="2668"/>
        <v>0</v>
      </c>
      <c r="O3933" s="1" t="str">
        <f>"8.58"</f>
        <v>8.58</v>
      </c>
    </row>
    <row r="3934" s="1" customFormat="1" spans="1:15">
      <c r="A3934" s="1" t="str">
        <f t="shared" si="2678"/>
        <v>202406</v>
      </c>
      <c r="B3934" s="1" t="str">
        <f t="shared" si="2679"/>
        <v>150525100</v>
      </c>
      <c r="C3934" s="1" t="str">
        <f>"1040647890"</f>
        <v>1040647890</v>
      </c>
      <c r="D3934" s="1" t="str">
        <f>"152326195809240664"</f>
        <v>152326195809240664</v>
      </c>
      <c r="E3934" s="1" t="s">
        <v>3969</v>
      </c>
      <c r="F3934" s="1" t="s">
        <v>16</v>
      </c>
      <c r="G3934" s="1" t="s">
        <v>17</v>
      </c>
      <c r="H3934" s="1" t="str">
        <f>"66"</f>
        <v>66</v>
      </c>
      <c r="I3934" s="1" t="str">
        <f>"156.53"</f>
        <v>156.53</v>
      </c>
      <c r="J3934" s="1" t="str">
        <f t="shared" si="2681"/>
        <v>0</v>
      </c>
      <c r="K3934" s="1" t="str">
        <f t="shared" si="2682"/>
        <v>103</v>
      </c>
      <c r="L3934" s="1" t="str">
        <f t="shared" si="2683"/>
        <v>47</v>
      </c>
      <c r="M3934" s="1" t="str">
        <f t="shared" si="2664"/>
        <v>0</v>
      </c>
      <c r="N3934" s="1" t="str">
        <f t="shared" si="2668"/>
        <v>0</v>
      </c>
      <c r="O3934" s="1" t="str">
        <f>"6.53"</f>
        <v>6.53</v>
      </c>
    </row>
    <row r="3935" s="1" customFormat="1" spans="1:15">
      <c r="A3935" s="1" t="str">
        <f t="shared" si="2678"/>
        <v>202406</v>
      </c>
      <c r="B3935" s="1" t="str">
        <f t="shared" si="2679"/>
        <v>150525100</v>
      </c>
      <c r="C3935" s="1" t="str">
        <f>"1040647896"</f>
        <v>1040647896</v>
      </c>
      <c r="D3935" s="1" t="str">
        <f>"152326195611210670"</f>
        <v>152326195611210670</v>
      </c>
      <c r="E3935" s="1" t="s">
        <v>3970</v>
      </c>
      <c r="F3935" s="1" t="s">
        <v>25</v>
      </c>
      <c r="G3935" s="1" t="s">
        <v>19</v>
      </c>
      <c r="H3935" s="1" t="str">
        <f>"68"</f>
        <v>68</v>
      </c>
      <c r="I3935" s="1" t="str">
        <f>"155.43"</f>
        <v>155.43</v>
      </c>
      <c r="J3935" s="1" t="str">
        <f t="shared" si="2681"/>
        <v>0</v>
      </c>
      <c r="K3935" s="1" t="str">
        <f t="shared" si="2682"/>
        <v>103</v>
      </c>
      <c r="L3935" s="1" t="str">
        <f t="shared" si="2683"/>
        <v>47</v>
      </c>
      <c r="M3935" s="1" t="str">
        <f t="shared" si="2664"/>
        <v>0</v>
      </c>
      <c r="N3935" s="1" t="str">
        <f t="shared" si="2668"/>
        <v>0</v>
      </c>
      <c r="O3935" s="1" t="str">
        <f>"5.43"</f>
        <v>5.43</v>
      </c>
    </row>
    <row r="3936" s="1" customFormat="1" spans="1:15">
      <c r="A3936" s="1" t="str">
        <f t="shared" si="2678"/>
        <v>202406</v>
      </c>
      <c r="B3936" s="1" t="str">
        <f t="shared" si="2679"/>
        <v>150525100</v>
      </c>
      <c r="C3936" s="1" t="str">
        <f>"1040647897"</f>
        <v>1040647897</v>
      </c>
      <c r="D3936" s="1" t="str">
        <f>"152326195705120668"</f>
        <v>152326195705120668</v>
      </c>
      <c r="E3936" s="1" t="s">
        <v>3971</v>
      </c>
      <c r="F3936" s="1" t="s">
        <v>16</v>
      </c>
      <c r="G3936" s="1" t="s">
        <v>17</v>
      </c>
      <c r="H3936" s="1" t="str">
        <f>"67"</f>
        <v>67</v>
      </c>
      <c r="I3936" s="1" t="str">
        <f>"155.48"</f>
        <v>155.48</v>
      </c>
      <c r="J3936" s="1" t="str">
        <f t="shared" si="2681"/>
        <v>0</v>
      </c>
      <c r="K3936" s="1" t="str">
        <f t="shared" si="2682"/>
        <v>103</v>
      </c>
      <c r="L3936" s="1" t="str">
        <f t="shared" si="2683"/>
        <v>47</v>
      </c>
      <c r="M3936" s="1" t="str">
        <f t="shared" ref="M3936:M3999" si="2684">"0"</f>
        <v>0</v>
      </c>
      <c r="N3936" s="1" t="str">
        <f t="shared" si="2668"/>
        <v>0</v>
      </c>
      <c r="O3936" s="1" t="str">
        <f>"5.48"</f>
        <v>5.48</v>
      </c>
    </row>
    <row r="3937" s="1" customFormat="1" spans="1:15">
      <c r="A3937" s="1" t="str">
        <f t="shared" si="2678"/>
        <v>202406</v>
      </c>
      <c r="B3937" s="1" t="str">
        <f t="shared" si="2679"/>
        <v>150525100</v>
      </c>
      <c r="C3937" s="1" t="str">
        <f>"1040700572"</f>
        <v>1040700572</v>
      </c>
      <c r="D3937" s="1" t="str">
        <f>"152326196208270424"</f>
        <v>152326196208270424</v>
      </c>
      <c r="E3937" s="1" t="s">
        <v>3972</v>
      </c>
      <c r="F3937" s="1" t="s">
        <v>16</v>
      </c>
      <c r="G3937" s="1" t="s">
        <v>17</v>
      </c>
      <c r="H3937" s="1" t="str">
        <f>"62"</f>
        <v>62</v>
      </c>
      <c r="I3937" s="1" t="str">
        <f>"161.48"</f>
        <v>161.48</v>
      </c>
      <c r="J3937" s="1" t="str">
        <f t="shared" si="2681"/>
        <v>0</v>
      </c>
      <c r="K3937" s="1" t="str">
        <f t="shared" si="2682"/>
        <v>103</v>
      </c>
      <c r="L3937" s="1" t="str">
        <f t="shared" si="2683"/>
        <v>47</v>
      </c>
      <c r="M3937" s="1" t="str">
        <f t="shared" si="2684"/>
        <v>0</v>
      </c>
      <c r="N3937" s="1" t="str">
        <f t="shared" si="2668"/>
        <v>0</v>
      </c>
      <c r="O3937" s="1" t="str">
        <f>"11.48"</f>
        <v>11.48</v>
      </c>
    </row>
    <row r="3938" s="1" customFormat="1" spans="1:15">
      <c r="A3938" s="1" t="str">
        <f t="shared" si="2678"/>
        <v>202406</v>
      </c>
      <c r="B3938" s="1" t="str">
        <f t="shared" si="2679"/>
        <v>150525100</v>
      </c>
      <c r="C3938" s="1" t="str">
        <f>"1040693100"</f>
        <v>1040693100</v>
      </c>
      <c r="D3938" s="1" t="str">
        <f>"152326196403113088"</f>
        <v>152326196403113088</v>
      </c>
      <c r="E3938" s="1" t="s">
        <v>881</v>
      </c>
      <c r="F3938" s="1" t="s">
        <v>16</v>
      </c>
      <c r="G3938" s="1" t="s">
        <v>17</v>
      </c>
      <c r="H3938" s="1" t="str">
        <f>"60"</f>
        <v>60</v>
      </c>
      <c r="I3938" s="1" t="str">
        <f>"165.13"</f>
        <v>165.13</v>
      </c>
      <c r="J3938" s="1" t="str">
        <f t="shared" si="2681"/>
        <v>0</v>
      </c>
      <c r="K3938" s="1" t="str">
        <f t="shared" si="2682"/>
        <v>103</v>
      </c>
      <c r="L3938" s="1" t="str">
        <f t="shared" si="2683"/>
        <v>47</v>
      </c>
      <c r="M3938" s="1" t="str">
        <f t="shared" si="2684"/>
        <v>0</v>
      </c>
      <c r="N3938" s="1" t="str">
        <f t="shared" si="2668"/>
        <v>0</v>
      </c>
      <c r="O3938" s="1" t="str">
        <f>"15.13"</f>
        <v>15.13</v>
      </c>
    </row>
    <row r="3939" s="1" customFormat="1" spans="1:15">
      <c r="A3939" s="1" t="str">
        <f t="shared" si="2678"/>
        <v>202406</v>
      </c>
      <c r="B3939" s="1" t="str">
        <f t="shared" si="2679"/>
        <v>150525100</v>
      </c>
      <c r="C3939" s="1" t="str">
        <f>"1040726799"</f>
        <v>1040726799</v>
      </c>
      <c r="D3939" s="1" t="str">
        <f>"152326195802050921"</f>
        <v>152326195802050921</v>
      </c>
      <c r="E3939" s="1" t="s">
        <v>3973</v>
      </c>
      <c r="F3939" s="1" t="s">
        <v>16</v>
      </c>
      <c r="G3939" s="1" t="s">
        <v>19</v>
      </c>
      <c r="H3939" s="1" t="str">
        <f>"66"</f>
        <v>66</v>
      </c>
      <c r="I3939" s="1" t="str">
        <f>"156.34"</f>
        <v>156.34</v>
      </c>
      <c r="J3939" s="1" t="str">
        <f t="shared" si="2681"/>
        <v>0</v>
      </c>
      <c r="K3939" s="1" t="str">
        <f t="shared" si="2682"/>
        <v>103</v>
      </c>
      <c r="L3939" s="1" t="str">
        <f t="shared" si="2683"/>
        <v>47</v>
      </c>
      <c r="M3939" s="1" t="str">
        <f t="shared" si="2684"/>
        <v>0</v>
      </c>
      <c r="N3939" s="1" t="str">
        <f t="shared" si="2668"/>
        <v>0</v>
      </c>
      <c r="O3939" s="1" t="str">
        <f>"6.34"</f>
        <v>6.34</v>
      </c>
    </row>
    <row r="3940" s="1" customFormat="1" spans="1:15">
      <c r="A3940" s="1" t="str">
        <f t="shared" si="2678"/>
        <v>202406</v>
      </c>
      <c r="B3940" s="1" t="str">
        <f t="shared" si="2679"/>
        <v>150525100</v>
      </c>
      <c r="C3940" s="1" t="str">
        <f>"1040644115"</f>
        <v>1040644115</v>
      </c>
      <c r="D3940" s="1" t="str">
        <f>"152326195706296382"</f>
        <v>152326195706296382</v>
      </c>
      <c r="E3940" s="1" t="s">
        <v>3974</v>
      </c>
      <c r="F3940" s="1" t="s">
        <v>16</v>
      </c>
      <c r="G3940" s="1" t="s">
        <v>17</v>
      </c>
      <c r="H3940" s="1" t="str">
        <f>"67"</f>
        <v>67</v>
      </c>
      <c r="I3940" s="1" t="str">
        <f>"154.58"</f>
        <v>154.58</v>
      </c>
      <c r="J3940" s="1" t="str">
        <f t="shared" si="2681"/>
        <v>0</v>
      </c>
      <c r="K3940" s="1" t="str">
        <f t="shared" si="2682"/>
        <v>103</v>
      </c>
      <c r="L3940" s="1" t="str">
        <f t="shared" si="2683"/>
        <v>47</v>
      </c>
      <c r="M3940" s="1" t="str">
        <f t="shared" si="2684"/>
        <v>0</v>
      </c>
      <c r="N3940" s="1" t="str">
        <f t="shared" si="2668"/>
        <v>0</v>
      </c>
      <c r="O3940" s="1" t="str">
        <f>"4.58"</f>
        <v>4.58</v>
      </c>
    </row>
    <row r="3941" s="1" customFormat="1" spans="1:15">
      <c r="A3941" s="1" t="str">
        <f t="shared" si="2678"/>
        <v>202406</v>
      </c>
      <c r="B3941" s="1" t="str">
        <f t="shared" si="2679"/>
        <v>150525100</v>
      </c>
      <c r="C3941" s="1" t="str">
        <f>"1040647946"</f>
        <v>1040647946</v>
      </c>
      <c r="D3941" s="1" t="str">
        <f>"152326195603050689"</f>
        <v>152326195603050689</v>
      </c>
      <c r="E3941" s="1" t="s">
        <v>3975</v>
      </c>
      <c r="F3941" s="1" t="s">
        <v>16</v>
      </c>
      <c r="G3941" s="1" t="s">
        <v>19</v>
      </c>
      <c r="H3941" s="1" t="str">
        <f>"68"</f>
        <v>68</v>
      </c>
      <c r="I3941" s="1" t="str">
        <f>"155.43"</f>
        <v>155.43</v>
      </c>
      <c r="J3941" s="1" t="str">
        <f t="shared" si="2681"/>
        <v>0</v>
      </c>
      <c r="K3941" s="1" t="str">
        <f t="shared" si="2682"/>
        <v>103</v>
      </c>
      <c r="L3941" s="1" t="str">
        <f t="shared" si="2683"/>
        <v>47</v>
      </c>
      <c r="M3941" s="1" t="str">
        <f t="shared" si="2684"/>
        <v>0</v>
      </c>
      <c r="N3941" s="1" t="str">
        <f t="shared" si="2668"/>
        <v>0</v>
      </c>
      <c r="O3941" s="1" t="str">
        <f>"5.43"</f>
        <v>5.43</v>
      </c>
    </row>
    <row r="3942" s="1" customFormat="1" spans="1:15">
      <c r="A3942" s="1" t="str">
        <f t="shared" si="2678"/>
        <v>202406</v>
      </c>
      <c r="B3942" s="1" t="str">
        <f t="shared" si="2679"/>
        <v>150525100</v>
      </c>
      <c r="C3942" s="1" t="str">
        <f>"1040760419"</f>
        <v>1040760419</v>
      </c>
      <c r="D3942" s="1" t="str">
        <f>"152326195510170665"</f>
        <v>152326195510170665</v>
      </c>
      <c r="E3942" s="1" t="s">
        <v>3976</v>
      </c>
      <c r="F3942" s="1" t="s">
        <v>16</v>
      </c>
      <c r="G3942" s="1" t="s">
        <v>19</v>
      </c>
      <c r="H3942" s="1" t="str">
        <f>"69"</f>
        <v>69</v>
      </c>
      <c r="I3942" s="1" t="str">
        <f>"153.6"</f>
        <v>153.6</v>
      </c>
      <c r="J3942" s="1" t="str">
        <f t="shared" si="2681"/>
        <v>0</v>
      </c>
      <c r="K3942" s="1" t="str">
        <f t="shared" si="2682"/>
        <v>103</v>
      </c>
      <c r="L3942" s="1" t="str">
        <f t="shared" si="2683"/>
        <v>47</v>
      </c>
      <c r="M3942" s="1" t="str">
        <f t="shared" si="2684"/>
        <v>0</v>
      </c>
      <c r="N3942" s="1" t="str">
        <f t="shared" si="2668"/>
        <v>0</v>
      </c>
      <c r="O3942" s="1" t="str">
        <f>"3.6"</f>
        <v>3.6</v>
      </c>
    </row>
    <row r="3943" s="1" customFormat="1" spans="1:15">
      <c r="A3943" s="1" t="str">
        <f t="shared" si="2678"/>
        <v>202406</v>
      </c>
      <c r="B3943" s="1" t="str">
        <f t="shared" si="2679"/>
        <v>150525100</v>
      </c>
      <c r="C3943" s="1" t="str">
        <f>"1040648026"</f>
        <v>1040648026</v>
      </c>
      <c r="D3943" s="1" t="str">
        <f>"152326196302200465"</f>
        <v>152326196302200465</v>
      </c>
      <c r="E3943" s="1" t="s">
        <v>3977</v>
      </c>
      <c r="F3943" s="1" t="s">
        <v>16</v>
      </c>
      <c r="G3943" s="1" t="s">
        <v>17</v>
      </c>
      <c r="H3943" s="1" t="str">
        <f>"61"</f>
        <v>61</v>
      </c>
      <c r="I3943" s="1" t="str">
        <f>"164.07"</f>
        <v>164.07</v>
      </c>
      <c r="J3943" s="1" t="str">
        <f t="shared" si="2681"/>
        <v>0</v>
      </c>
      <c r="K3943" s="1" t="str">
        <f t="shared" si="2682"/>
        <v>103</v>
      </c>
      <c r="L3943" s="1" t="str">
        <f t="shared" si="2683"/>
        <v>47</v>
      </c>
      <c r="M3943" s="1" t="str">
        <f t="shared" si="2684"/>
        <v>0</v>
      </c>
      <c r="N3943" s="1" t="str">
        <f t="shared" ref="N3943:N4006" si="2685">"0"</f>
        <v>0</v>
      </c>
      <c r="O3943" s="1" t="str">
        <f>"14.07"</f>
        <v>14.07</v>
      </c>
    </row>
    <row r="3944" s="1" customFormat="1" spans="1:15">
      <c r="A3944" s="1" t="str">
        <f t="shared" si="2678"/>
        <v>202406</v>
      </c>
      <c r="B3944" s="1" t="str">
        <f t="shared" si="2679"/>
        <v>150525100</v>
      </c>
      <c r="C3944" s="1" t="str">
        <f>"1040685986"</f>
        <v>1040685986</v>
      </c>
      <c r="D3944" s="1" t="str">
        <f>"152326195610050687"</f>
        <v>152326195610050687</v>
      </c>
      <c r="E3944" s="1" t="s">
        <v>3978</v>
      </c>
      <c r="F3944" s="1" t="s">
        <v>16</v>
      </c>
      <c r="G3944" s="1" t="s">
        <v>17</v>
      </c>
      <c r="H3944" s="1" t="str">
        <f>"68"</f>
        <v>68</v>
      </c>
      <c r="I3944" s="1" t="str">
        <f>"154.54"</f>
        <v>154.54</v>
      </c>
      <c r="J3944" s="1" t="str">
        <f t="shared" si="2681"/>
        <v>0</v>
      </c>
      <c r="K3944" s="1" t="str">
        <f t="shared" si="2682"/>
        <v>103</v>
      </c>
      <c r="L3944" s="1" t="str">
        <f t="shared" si="2683"/>
        <v>47</v>
      </c>
      <c r="M3944" s="1" t="str">
        <f t="shared" si="2684"/>
        <v>0</v>
      </c>
      <c r="N3944" s="1" t="str">
        <f t="shared" si="2685"/>
        <v>0</v>
      </c>
      <c r="O3944" s="1" t="str">
        <f>"4.54"</f>
        <v>4.54</v>
      </c>
    </row>
    <row r="3945" s="1" customFormat="1" spans="1:15">
      <c r="A3945" s="1" t="str">
        <f t="shared" si="2678"/>
        <v>202406</v>
      </c>
      <c r="B3945" s="1" t="str">
        <f t="shared" si="2679"/>
        <v>150525100</v>
      </c>
      <c r="C3945" s="1" t="str">
        <f>"1040653034"</f>
        <v>1040653034</v>
      </c>
      <c r="D3945" s="1" t="str">
        <f>"152326195707043088"</f>
        <v>152326195707043088</v>
      </c>
      <c r="E3945" s="1" t="s">
        <v>3979</v>
      </c>
      <c r="F3945" s="1" t="s">
        <v>16</v>
      </c>
      <c r="G3945" s="1" t="s">
        <v>17</v>
      </c>
      <c r="H3945" s="1" t="str">
        <f>"67"</f>
        <v>67</v>
      </c>
      <c r="I3945" s="1" t="str">
        <f>"155.49"</f>
        <v>155.49</v>
      </c>
      <c r="J3945" s="1" t="str">
        <f t="shared" si="2681"/>
        <v>0</v>
      </c>
      <c r="K3945" s="1" t="str">
        <f t="shared" si="2682"/>
        <v>103</v>
      </c>
      <c r="L3945" s="1" t="str">
        <f t="shared" si="2683"/>
        <v>47</v>
      </c>
      <c r="M3945" s="1" t="str">
        <f t="shared" si="2684"/>
        <v>0</v>
      </c>
      <c r="N3945" s="1" t="str">
        <f t="shared" si="2685"/>
        <v>0</v>
      </c>
      <c r="O3945" s="1" t="str">
        <f>"5.49"</f>
        <v>5.49</v>
      </c>
    </row>
    <row r="3946" s="1" customFormat="1" spans="1:15">
      <c r="A3946" s="1" t="str">
        <f t="shared" si="2678"/>
        <v>202406</v>
      </c>
      <c r="B3946" s="1" t="str">
        <f t="shared" si="2679"/>
        <v>150525100</v>
      </c>
      <c r="C3946" s="1" t="str">
        <f>"1040653060"</f>
        <v>1040653060</v>
      </c>
      <c r="D3946" s="1" t="str">
        <f>"152326195809093326"</f>
        <v>152326195809093326</v>
      </c>
      <c r="E3946" s="1" t="s">
        <v>3980</v>
      </c>
      <c r="F3946" s="1" t="s">
        <v>16</v>
      </c>
      <c r="G3946" s="1" t="s">
        <v>19</v>
      </c>
      <c r="H3946" s="1" t="str">
        <f>"66"</f>
        <v>66</v>
      </c>
      <c r="I3946" s="1" t="str">
        <f>"156.53"</f>
        <v>156.53</v>
      </c>
      <c r="J3946" s="1" t="str">
        <f t="shared" si="2681"/>
        <v>0</v>
      </c>
      <c r="K3946" s="1" t="str">
        <f t="shared" si="2682"/>
        <v>103</v>
      </c>
      <c r="L3946" s="1" t="str">
        <f t="shared" si="2683"/>
        <v>47</v>
      </c>
      <c r="M3946" s="1" t="str">
        <f t="shared" si="2684"/>
        <v>0</v>
      </c>
      <c r="N3946" s="1" t="str">
        <f t="shared" si="2685"/>
        <v>0</v>
      </c>
      <c r="O3946" s="1" t="str">
        <f>"6.53"</f>
        <v>6.53</v>
      </c>
    </row>
    <row r="3947" s="1" customFormat="1" spans="1:15">
      <c r="A3947" s="1" t="str">
        <f t="shared" si="2678"/>
        <v>202406</v>
      </c>
      <c r="B3947" s="1" t="str">
        <f t="shared" si="2679"/>
        <v>150525100</v>
      </c>
      <c r="C3947" s="1" t="str">
        <f>"1040688448"</f>
        <v>1040688448</v>
      </c>
      <c r="D3947" s="1" t="str">
        <f>"152326195406160424"</f>
        <v>152326195406160424</v>
      </c>
      <c r="E3947" s="1" t="s">
        <v>235</v>
      </c>
      <c r="F3947" s="1" t="s">
        <v>16</v>
      </c>
      <c r="G3947" s="1" t="s">
        <v>17</v>
      </c>
      <c r="H3947" s="1" t="str">
        <f>"70"</f>
        <v>70</v>
      </c>
      <c r="I3947" s="1" t="str">
        <f>"153"</f>
        <v>153</v>
      </c>
      <c r="J3947" s="1" t="str">
        <f t="shared" si="2681"/>
        <v>0</v>
      </c>
      <c r="K3947" s="1" t="str">
        <f t="shared" si="2682"/>
        <v>103</v>
      </c>
      <c r="L3947" s="1" t="str">
        <f t="shared" si="2683"/>
        <v>47</v>
      </c>
      <c r="M3947" s="1" t="str">
        <f t="shared" si="2684"/>
        <v>0</v>
      </c>
      <c r="N3947" s="1" t="str">
        <f t="shared" si="2685"/>
        <v>0</v>
      </c>
      <c r="O3947" s="1" t="str">
        <f>"3"</f>
        <v>3</v>
      </c>
    </row>
    <row r="3948" s="1" customFormat="1" spans="1:15">
      <c r="A3948" s="1" t="str">
        <f t="shared" si="2678"/>
        <v>202406</v>
      </c>
      <c r="B3948" s="1" t="str">
        <f t="shared" si="2679"/>
        <v>150525100</v>
      </c>
      <c r="C3948" s="1" t="str">
        <f>"1040688454"</f>
        <v>1040688454</v>
      </c>
      <c r="D3948" s="1" t="str">
        <f>"152326195712080422"</f>
        <v>152326195712080422</v>
      </c>
      <c r="E3948" s="1" t="s">
        <v>3981</v>
      </c>
      <c r="F3948" s="1" t="s">
        <v>16</v>
      </c>
      <c r="G3948" s="1" t="s">
        <v>17</v>
      </c>
      <c r="H3948" s="1" t="str">
        <f>"67"</f>
        <v>67</v>
      </c>
      <c r="I3948" s="1" t="str">
        <f>"154.96"</f>
        <v>154.96</v>
      </c>
      <c r="J3948" s="1" t="str">
        <f t="shared" si="2681"/>
        <v>0</v>
      </c>
      <c r="K3948" s="1" t="str">
        <f t="shared" si="2682"/>
        <v>103</v>
      </c>
      <c r="L3948" s="1" t="str">
        <f t="shared" si="2683"/>
        <v>47</v>
      </c>
      <c r="M3948" s="1" t="str">
        <f t="shared" si="2684"/>
        <v>0</v>
      </c>
      <c r="N3948" s="1" t="str">
        <f t="shared" si="2685"/>
        <v>0</v>
      </c>
      <c r="O3948" s="1" t="str">
        <f>"4.96"</f>
        <v>4.96</v>
      </c>
    </row>
    <row r="3949" s="1" customFormat="1" spans="1:15">
      <c r="A3949" s="1" t="str">
        <f t="shared" si="2678"/>
        <v>202406</v>
      </c>
      <c r="B3949" s="1" t="str">
        <f t="shared" si="2679"/>
        <v>150525100</v>
      </c>
      <c r="C3949" s="1" t="str">
        <f>"1040688465"</f>
        <v>1040688465</v>
      </c>
      <c r="D3949" s="1" t="str">
        <f>"152326196301070419"</f>
        <v>152326196301070419</v>
      </c>
      <c r="E3949" s="1" t="s">
        <v>3982</v>
      </c>
      <c r="F3949" s="1" t="s">
        <v>25</v>
      </c>
      <c r="G3949" s="1" t="s">
        <v>17</v>
      </c>
      <c r="H3949" s="1" t="str">
        <f>"62"</f>
        <v>62</v>
      </c>
      <c r="I3949" s="1" t="str">
        <f>"163.66"</f>
        <v>163.66</v>
      </c>
      <c r="J3949" s="1" t="str">
        <f t="shared" si="2681"/>
        <v>0</v>
      </c>
      <c r="K3949" s="1" t="str">
        <f t="shared" si="2682"/>
        <v>103</v>
      </c>
      <c r="L3949" s="1" t="str">
        <f t="shared" si="2683"/>
        <v>47</v>
      </c>
      <c r="M3949" s="1" t="str">
        <f t="shared" si="2684"/>
        <v>0</v>
      </c>
      <c r="N3949" s="1" t="str">
        <f t="shared" si="2685"/>
        <v>0</v>
      </c>
      <c r="O3949" s="1" t="str">
        <f>"13.66"</f>
        <v>13.66</v>
      </c>
    </row>
    <row r="3950" s="1" customFormat="1" spans="1:15">
      <c r="A3950" s="1" t="str">
        <f t="shared" si="2678"/>
        <v>202406</v>
      </c>
      <c r="B3950" s="1" t="str">
        <f t="shared" si="2679"/>
        <v>150525100</v>
      </c>
      <c r="C3950" s="1" t="str">
        <f>"1040688477"</f>
        <v>1040688477</v>
      </c>
      <c r="D3950" s="1" t="str">
        <f>"152326196205150443"</f>
        <v>152326196205150443</v>
      </c>
      <c r="E3950" s="1" t="s">
        <v>1691</v>
      </c>
      <c r="F3950" s="1" t="s">
        <v>16</v>
      </c>
      <c r="G3950" s="1" t="s">
        <v>17</v>
      </c>
      <c r="H3950" s="1" t="str">
        <f>"62"</f>
        <v>62</v>
      </c>
      <c r="I3950" s="1" t="str">
        <f>"161.77"</f>
        <v>161.77</v>
      </c>
      <c r="J3950" s="1" t="str">
        <f t="shared" si="2681"/>
        <v>0</v>
      </c>
      <c r="K3950" s="1" t="str">
        <f t="shared" si="2682"/>
        <v>103</v>
      </c>
      <c r="L3950" s="1" t="str">
        <f t="shared" si="2683"/>
        <v>47</v>
      </c>
      <c r="M3950" s="1" t="str">
        <f t="shared" si="2684"/>
        <v>0</v>
      </c>
      <c r="N3950" s="1" t="str">
        <f t="shared" si="2685"/>
        <v>0</v>
      </c>
      <c r="O3950" s="1" t="str">
        <f>"11.77"</f>
        <v>11.77</v>
      </c>
    </row>
    <row r="3951" s="1" customFormat="1" spans="1:15">
      <c r="A3951" s="1" t="str">
        <f t="shared" si="2678"/>
        <v>202406</v>
      </c>
      <c r="B3951" s="1" t="str">
        <f t="shared" si="2679"/>
        <v>150525100</v>
      </c>
      <c r="C3951" s="1" t="str">
        <f>"1040688482"</f>
        <v>1040688482</v>
      </c>
      <c r="D3951" s="1" t="str">
        <f>"152326195311260414"</f>
        <v>152326195311260414</v>
      </c>
      <c r="E3951" s="1" t="s">
        <v>3983</v>
      </c>
      <c r="F3951" s="1" t="s">
        <v>25</v>
      </c>
      <c r="G3951" s="1" t="s">
        <v>17</v>
      </c>
      <c r="H3951" s="1" t="str">
        <f>"71"</f>
        <v>71</v>
      </c>
      <c r="I3951" s="1" t="str">
        <f>"162.25"</f>
        <v>162.25</v>
      </c>
      <c r="J3951" s="1" t="str">
        <f t="shared" si="2681"/>
        <v>0</v>
      </c>
      <c r="K3951" s="1" t="str">
        <f t="shared" si="2682"/>
        <v>103</v>
      </c>
      <c r="L3951" s="1" t="str">
        <f t="shared" si="2683"/>
        <v>47</v>
      </c>
      <c r="M3951" s="1" t="str">
        <f t="shared" si="2684"/>
        <v>0</v>
      </c>
      <c r="N3951" s="1" t="str">
        <f t="shared" si="2685"/>
        <v>0</v>
      </c>
      <c r="O3951" s="1" t="str">
        <f>"2.25"</f>
        <v>2.25</v>
      </c>
    </row>
    <row r="3952" s="1" customFormat="1" spans="1:15">
      <c r="A3952" s="1" t="str">
        <f t="shared" si="2678"/>
        <v>202406</v>
      </c>
      <c r="B3952" s="1" t="str">
        <f t="shared" si="2679"/>
        <v>150525100</v>
      </c>
      <c r="C3952" s="1" t="str">
        <f>"1040646605"</f>
        <v>1040646605</v>
      </c>
      <c r="D3952" s="1" t="str">
        <f>"152326195601120663"</f>
        <v>152326195601120663</v>
      </c>
      <c r="E3952" s="1" t="s">
        <v>3984</v>
      </c>
      <c r="F3952" s="1" t="s">
        <v>16</v>
      </c>
      <c r="G3952" s="1" t="s">
        <v>19</v>
      </c>
      <c r="H3952" s="1" t="str">
        <f>"68"</f>
        <v>68</v>
      </c>
      <c r="I3952" s="1" t="str">
        <f>"211.37"</f>
        <v>211.37</v>
      </c>
      <c r="J3952" s="1" t="str">
        <f t="shared" si="2681"/>
        <v>0</v>
      </c>
      <c r="K3952" s="1" t="str">
        <f t="shared" si="2682"/>
        <v>103</v>
      </c>
      <c r="L3952" s="1" t="str">
        <f t="shared" si="2683"/>
        <v>47</v>
      </c>
      <c r="M3952" s="1" t="str">
        <f t="shared" si="2684"/>
        <v>0</v>
      </c>
      <c r="N3952" s="1" t="str">
        <f t="shared" si="2685"/>
        <v>0</v>
      </c>
      <c r="O3952" s="1" t="str">
        <f>"61.37"</f>
        <v>61.37</v>
      </c>
    </row>
    <row r="3953" s="1" customFormat="1" spans="1:15">
      <c r="A3953" s="1" t="str">
        <f t="shared" si="2678"/>
        <v>202406</v>
      </c>
      <c r="B3953" s="1" t="str">
        <f t="shared" si="2679"/>
        <v>150525100</v>
      </c>
      <c r="C3953" s="1" t="str">
        <f>"1040646626"</f>
        <v>1040646626</v>
      </c>
      <c r="D3953" s="1" t="str">
        <f>"152326196306070661"</f>
        <v>152326196306070661</v>
      </c>
      <c r="E3953" s="1" t="s">
        <v>3985</v>
      </c>
      <c r="F3953" s="1" t="s">
        <v>16</v>
      </c>
      <c r="G3953" s="1" t="s">
        <v>19</v>
      </c>
      <c r="H3953" s="1" t="str">
        <f>"61"</f>
        <v>61</v>
      </c>
      <c r="I3953" s="1" t="str">
        <f>"164.11"</f>
        <v>164.11</v>
      </c>
      <c r="J3953" s="1" t="str">
        <f t="shared" si="2681"/>
        <v>0</v>
      </c>
      <c r="K3953" s="1" t="str">
        <f t="shared" si="2682"/>
        <v>103</v>
      </c>
      <c r="L3953" s="1" t="str">
        <f t="shared" si="2683"/>
        <v>47</v>
      </c>
      <c r="M3953" s="1" t="str">
        <f t="shared" si="2684"/>
        <v>0</v>
      </c>
      <c r="N3953" s="1" t="str">
        <f t="shared" si="2685"/>
        <v>0</v>
      </c>
      <c r="O3953" s="1" t="str">
        <f>"14.11"</f>
        <v>14.11</v>
      </c>
    </row>
    <row r="3954" s="1" customFormat="1" spans="1:15">
      <c r="A3954" s="1" t="str">
        <f t="shared" si="2678"/>
        <v>202406</v>
      </c>
      <c r="B3954" s="1" t="str">
        <f t="shared" si="2679"/>
        <v>150525100</v>
      </c>
      <c r="C3954" s="1" t="str">
        <f>"1040646814"</f>
        <v>1040646814</v>
      </c>
      <c r="D3954" s="1" t="str">
        <f>"152326195810160418"</f>
        <v>152326195810160418</v>
      </c>
      <c r="E3954" s="1" t="s">
        <v>3986</v>
      </c>
      <c r="F3954" s="1" t="s">
        <v>25</v>
      </c>
      <c r="G3954" s="1" t="s">
        <v>17</v>
      </c>
      <c r="H3954" s="1" t="str">
        <f>"66"</f>
        <v>66</v>
      </c>
      <c r="I3954" s="1" t="str">
        <f>"156.54"</f>
        <v>156.54</v>
      </c>
      <c r="J3954" s="1" t="str">
        <f t="shared" si="2681"/>
        <v>0</v>
      </c>
      <c r="K3954" s="1" t="str">
        <f t="shared" si="2682"/>
        <v>103</v>
      </c>
      <c r="L3954" s="1" t="str">
        <f t="shared" si="2683"/>
        <v>47</v>
      </c>
      <c r="M3954" s="1" t="str">
        <f t="shared" si="2684"/>
        <v>0</v>
      </c>
      <c r="N3954" s="1" t="str">
        <f t="shared" si="2685"/>
        <v>0</v>
      </c>
      <c r="O3954" s="1" t="str">
        <f>"6.54"</f>
        <v>6.54</v>
      </c>
    </row>
    <row r="3955" s="1" customFormat="1" spans="1:15">
      <c r="A3955" s="1" t="str">
        <f t="shared" si="2678"/>
        <v>202406</v>
      </c>
      <c r="B3955" s="1" t="str">
        <f t="shared" si="2679"/>
        <v>150525100</v>
      </c>
      <c r="C3955" s="1" t="str">
        <f>"1040648064"</f>
        <v>1040648064</v>
      </c>
      <c r="D3955" s="1" t="str">
        <f>"152326196306250427"</f>
        <v>152326196306250427</v>
      </c>
      <c r="E3955" s="1" t="s">
        <v>3987</v>
      </c>
      <c r="F3955" s="1" t="s">
        <v>16</v>
      </c>
      <c r="G3955" s="1" t="s">
        <v>19</v>
      </c>
      <c r="H3955" s="1" t="str">
        <f>"61"</f>
        <v>61</v>
      </c>
      <c r="I3955" s="1" t="str">
        <f>"163.57"</f>
        <v>163.57</v>
      </c>
      <c r="J3955" s="1" t="str">
        <f t="shared" si="2681"/>
        <v>0</v>
      </c>
      <c r="K3955" s="1" t="str">
        <f t="shared" si="2682"/>
        <v>103</v>
      </c>
      <c r="L3955" s="1" t="str">
        <f t="shared" si="2683"/>
        <v>47</v>
      </c>
      <c r="M3955" s="1" t="str">
        <f t="shared" si="2684"/>
        <v>0</v>
      </c>
      <c r="N3955" s="1" t="str">
        <f t="shared" si="2685"/>
        <v>0</v>
      </c>
      <c r="O3955" s="1" t="str">
        <f>"13.57"</f>
        <v>13.57</v>
      </c>
    </row>
    <row r="3956" s="1" customFormat="1" spans="1:15">
      <c r="A3956" s="1" t="str">
        <f t="shared" si="2678"/>
        <v>202406</v>
      </c>
      <c r="B3956" s="1" t="str">
        <f t="shared" si="2679"/>
        <v>150525100</v>
      </c>
      <c r="C3956" s="1" t="str">
        <f>"1040703127"</f>
        <v>1040703127</v>
      </c>
      <c r="D3956" s="1" t="str">
        <f>"152326195609050663"</f>
        <v>152326195609050663</v>
      </c>
      <c r="E3956" s="1" t="s">
        <v>3239</v>
      </c>
      <c r="F3956" s="1" t="s">
        <v>16</v>
      </c>
      <c r="G3956" s="1" t="s">
        <v>17</v>
      </c>
      <c r="H3956" s="1" t="str">
        <f>"68"</f>
        <v>68</v>
      </c>
      <c r="I3956" s="1" t="str">
        <f>"154.53"</f>
        <v>154.53</v>
      </c>
      <c r="J3956" s="1" t="str">
        <f t="shared" si="2681"/>
        <v>0</v>
      </c>
      <c r="K3956" s="1" t="str">
        <f t="shared" si="2682"/>
        <v>103</v>
      </c>
      <c r="L3956" s="1" t="str">
        <f t="shared" si="2683"/>
        <v>47</v>
      </c>
      <c r="M3956" s="1" t="str">
        <f t="shared" si="2684"/>
        <v>0</v>
      </c>
      <c r="N3956" s="1" t="str">
        <f t="shared" si="2685"/>
        <v>0</v>
      </c>
      <c r="O3956" s="1" t="str">
        <f>"4.53"</f>
        <v>4.53</v>
      </c>
    </row>
    <row r="3957" s="1" customFormat="1" spans="1:15">
      <c r="A3957" s="1" t="str">
        <f t="shared" si="2678"/>
        <v>202406</v>
      </c>
      <c r="B3957" s="1" t="str">
        <f t="shared" si="2679"/>
        <v>150525100</v>
      </c>
      <c r="C3957" s="1" t="str">
        <f>"1040688494"</f>
        <v>1040688494</v>
      </c>
      <c r="D3957" s="1" t="str">
        <f>"152326195407010428"</f>
        <v>152326195407010428</v>
      </c>
      <c r="E3957" s="1" t="s">
        <v>3988</v>
      </c>
      <c r="F3957" s="1" t="s">
        <v>16</v>
      </c>
      <c r="G3957" s="1" t="s">
        <v>17</v>
      </c>
      <c r="H3957" s="1" t="str">
        <f>"70"</f>
        <v>70</v>
      </c>
      <c r="I3957" s="1" t="str">
        <f>"153"</f>
        <v>153</v>
      </c>
      <c r="J3957" s="1" t="str">
        <f t="shared" si="2681"/>
        <v>0</v>
      </c>
      <c r="K3957" s="1" t="str">
        <f t="shared" si="2682"/>
        <v>103</v>
      </c>
      <c r="L3957" s="1" t="str">
        <f t="shared" si="2683"/>
        <v>47</v>
      </c>
      <c r="M3957" s="1" t="str">
        <f t="shared" si="2684"/>
        <v>0</v>
      </c>
      <c r="N3957" s="1" t="str">
        <f t="shared" si="2685"/>
        <v>0</v>
      </c>
      <c r="O3957" s="1" t="str">
        <f>"3"</f>
        <v>3</v>
      </c>
    </row>
    <row r="3958" s="1" customFormat="1" spans="1:15">
      <c r="A3958" s="1" t="str">
        <f t="shared" si="2678"/>
        <v>202406</v>
      </c>
      <c r="B3958" s="1" t="str">
        <f t="shared" si="2679"/>
        <v>150525100</v>
      </c>
      <c r="C3958" s="1" t="str">
        <f>"1040646844"</f>
        <v>1040646844</v>
      </c>
      <c r="D3958" s="1" t="str">
        <f>"152326195609290413"</f>
        <v>152326195609290413</v>
      </c>
      <c r="E3958" s="1" t="s">
        <v>3989</v>
      </c>
      <c r="F3958" s="1" t="s">
        <v>25</v>
      </c>
      <c r="G3958" s="1" t="s">
        <v>17</v>
      </c>
      <c r="H3958" s="1" t="str">
        <f>"68"</f>
        <v>68</v>
      </c>
      <c r="I3958" s="1" t="str">
        <f>"155.42"</f>
        <v>155.42</v>
      </c>
      <c r="J3958" s="1" t="str">
        <f t="shared" si="2681"/>
        <v>0</v>
      </c>
      <c r="K3958" s="1" t="str">
        <f t="shared" si="2682"/>
        <v>103</v>
      </c>
      <c r="L3958" s="1" t="str">
        <f t="shared" si="2683"/>
        <v>47</v>
      </c>
      <c r="M3958" s="1" t="str">
        <f t="shared" si="2684"/>
        <v>0</v>
      </c>
      <c r="N3958" s="1" t="str">
        <f t="shared" si="2685"/>
        <v>0</v>
      </c>
      <c r="O3958" s="1" t="str">
        <f>"5.42"</f>
        <v>5.42</v>
      </c>
    </row>
    <row r="3959" s="1" customFormat="1" spans="1:15">
      <c r="A3959" s="1" t="str">
        <f t="shared" si="2678"/>
        <v>202406</v>
      </c>
      <c r="B3959" s="1" t="str">
        <f t="shared" si="2679"/>
        <v>150525100</v>
      </c>
      <c r="C3959" s="1" t="str">
        <f>"1040646862"</f>
        <v>1040646862</v>
      </c>
      <c r="D3959" s="1" t="str">
        <f>"152326195807190421"</f>
        <v>152326195807190421</v>
      </c>
      <c r="E3959" s="1" t="s">
        <v>739</v>
      </c>
      <c r="F3959" s="1" t="s">
        <v>16</v>
      </c>
      <c r="G3959" s="1" t="s">
        <v>17</v>
      </c>
      <c r="H3959" s="1" t="str">
        <f>"66"</f>
        <v>66</v>
      </c>
      <c r="I3959" s="1" t="str">
        <f>"156.52"</f>
        <v>156.52</v>
      </c>
      <c r="J3959" s="1" t="str">
        <f t="shared" si="2681"/>
        <v>0</v>
      </c>
      <c r="K3959" s="1" t="str">
        <f t="shared" si="2682"/>
        <v>103</v>
      </c>
      <c r="L3959" s="1" t="str">
        <f t="shared" si="2683"/>
        <v>47</v>
      </c>
      <c r="M3959" s="1" t="str">
        <f t="shared" si="2684"/>
        <v>0</v>
      </c>
      <c r="N3959" s="1" t="str">
        <f t="shared" si="2685"/>
        <v>0</v>
      </c>
      <c r="O3959" s="1" t="str">
        <f>"6.52"</f>
        <v>6.52</v>
      </c>
    </row>
    <row r="3960" s="1" customFormat="1" spans="1:15">
      <c r="A3960" s="1" t="str">
        <f t="shared" si="2678"/>
        <v>202406</v>
      </c>
      <c r="B3960" s="1" t="str">
        <f t="shared" si="2679"/>
        <v>150525100</v>
      </c>
      <c r="C3960" s="1" t="str">
        <f>"1040653196"</f>
        <v>1040653196</v>
      </c>
      <c r="D3960" s="1" t="str">
        <f>"152326195512023319"</f>
        <v>152326195512023319</v>
      </c>
      <c r="E3960" s="1" t="s">
        <v>1941</v>
      </c>
      <c r="F3960" s="1" t="s">
        <v>25</v>
      </c>
      <c r="G3960" s="1" t="s">
        <v>19</v>
      </c>
      <c r="H3960" s="1" t="str">
        <f>"69"</f>
        <v>69</v>
      </c>
      <c r="I3960" s="1" t="str">
        <f>"154.52"</f>
        <v>154.52</v>
      </c>
      <c r="J3960" s="1" t="str">
        <f t="shared" si="2681"/>
        <v>0</v>
      </c>
      <c r="K3960" s="1" t="str">
        <f t="shared" si="2682"/>
        <v>103</v>
      </c>
      <c r="L3960" s="1" t="str">
        <f t="shared" si="2683"/>
        <v>47</v>
      </c>
      <c r="M3960" s="1" t="str">
        <f t="shared" si="2684"/>
        <v>0</v>
      </c>
      <c r="N3960" s="1" t="str">
        <f t="shared" si="2685"/>
        <v>0</v>
      </c>
      <c r="O3960" s="1" t="str">
        <f>"4.52"</f>
        <v>4.52</v>
      </c>
    </row>
    <row r="3961" s="1" customFormat="1" spans="1:15">
      <c r="A3961" s="1" t="str">
        <f t="shared" si="2678"/>
        <v>202406</v>
      </c>
      <c r="B3961" s="1" t="str">
        <f t="shared" si="2679"/>
        <v>150525100</v>
      </c>
      <c r="C3961" s="1" t="str">
        <f>"1040653242"</f>
        <v>1040653242</v>
      </c>
      <c r="D3961" s="1" t="str">
        <f>"152326196101033314"</f>
        <v>152326196101033314</v>
      </c>
      <c r="E3961" s="1" t="s">
        <v>3990</v>
      </c>
      <c r="F3961" s="1" t="s">
        <v>25</v>
      </c>
      <c r="G3961" s="1" t="s">
        <v>19</v>
      </c>
      <c r="H3961" s="1" t="str">
        <f>"64"</f>
        <v>64</v>
      </c>
      <c r="I3961" s="1" t="str">
        <f>"160.39"</f>
        <v>160.39</v>
      </c>
      <c r="J3961" s="1" t="str">
        <f t="shared" si="2681"/>
        <v>0</v>
      </c>
      <c r="K3961" s="1" t="str">
        <f t="shared" si="2682"/>
        <v>103</v>
      </c>
      <c r="L3961" s="1" t="str">
        <f t="shared" si="2683"/>
        <v>47</v>
      </c>
      <c r="M3961" s="1" t="str">
        <f t="shared" si="2684"/>
        <v>0</v>
      </c>
      <c r="N3961" s="1" t="str">
        <f t="shared" si="2685"/>
        <v>0</v>
      </c>
      <c r="O3961" s="1" t="str">
        <f>"10.39"</f>
        <v>10.39</v>
      </c>
    </row>
    <row r="3962" s="1" customFormat="1" spans="1:15">
      <c r="A3962" s="1" t="str">
        <f t="shared" si="2678"/>
        <v>202406</v>
      </c>
      <c r="B3962" s="1" t="str">
        <f t="shared" si="2679"/>
        <v>150525100</v>
      </c>
      <c r="C3962" s="1" t="str">
        <f>"1040653277"</f>
        <v>1040653277</v>
      </c>
      <c r="D3962" s="1" t="s">
        <v>3991</v>
      </c>
      <c r="E3962" s="1" t="s">
        <v>3992</v>
      </c>
      <c r="F3962" s="1" t="s">
        <v>16</v>
      </c>
      <c r="G3962" s="1" t="s">
        <v>17</v>
      </c>
      <c r="H3962" s="1" t="str">
        <f>"67"</f>
        <v>67</v>
      </c>
      <c r="I3962" s="1" t="str">
        <f>"155.5"</f>
        <v>155.5</v>
      </c>
      <c r="J3962" s="1" t="str">
        <f t="shared" si="2681"/>
        <v>0</v>
      </c>
      <c r="K3962" s="1" t="str">
        <f t="shared" si="2682"/>
        <v>103</v>
      </c>
      <c r="L3962" s="1" t="str">
        <f t="shared" si="2683"/>
        <v>47</v>
      </c>
      <c r="M3962" s="1" t="str">
        <f t="shared" si="2684"/>
        <v>0</v>
      </c>
      <c r="N3962" s="1" t="str">
        <f t="shared" si="2685"/>
        <v>0</v>
      </c>
      <c r="O3962" s="1" t="str">
        <f>"5.5"</f>
        <v>5.5</v>
      </c>
    </row>
    <row r="3963" s="1" customFormat="1" spans="1:15">
      <c r="A3963" s="1" t="str">
        <f t="shared" si="2678"/>
        <v>202406</v>
      </c>
      <c r="B3963" s="1" t="str">
        <f t="shared" si="2679"/>
        <v>150525100</v>
      </c>
      <c r="C3963" s="1" t="str">
        <f>"1040653281"</f>
        <v>1040653281</v>
      </c>
      <c r="D3963" s="1" t="str">
        <f>"152326196003043316"</f>
        <v>152326196003043316</v>
      </c>
      <c r="E3963" s="1" t="s">
        <v>3993</v>
      </c>
      <c r="F3963" s="1" t="s">
        <v>25</v>
      </c>
      <c r="G3963" s="1" t="s">
        <v>17</v>
      </c>
      <c r="H3963" s="1" t="str">
        <f>"64"</f>
        <v>64</v>
      </c>
      <c r="I3963" s="1" t="str">
        <f>"158.59"</f>
        <v>158.59</v>
      </c>
      <c r="J3963" s="1" t="str">
        <f t="shared" si="2681"/>
        <v>0</v>
      </c>
      <c r="K3963" s="1" t="str">
        <f t="shared" si="2682"/>
        <v>103</v>
      </c>
      <c r="L3963" s="1" t="str">
        <f t="shared" si="2683"/>
        <v>47</v>
      </c>
      <c r="M3963" s="1" t="str">
        <f t="shared" si="2684"/>
        <v>0</v>
      </c>
      <c r="N3963" s="1" t="str">
        <f t="shared" si="2685"/>
        <v>0</v>
      </c>
      <c r="O3963" s="1" t="str">
        <f>"8.59"</f>
        <v>8.59</v>
      </c>
    </row>
    <row r="3964" s="1" customFormat="1" spans="1:15">
      <c r="A3964" s="1" t="str">
        <f t="shared" si="2678"/>
        <v>202406</v>
      </c>
      <c r="B3964" s="1" t="str">
        <f t="shared" si="2679"/>
        <v>150525100</v>
      </c>
      <c r="C3964" s="1" t="str">
        <f>"1040653300"</f>
        <v>1040653300</v>
      </c>
      <c r="D3964" s="1" t="str">
        <f>"152326195607063321"</f>
        <v>152326195607063321</v>
      </c>
      <c r="E3964" s="1" t="s">
        <v>3994</v>
      </c>
      <c r="F3964" s="1" t="s">
        <v>16</v>
      </c>
      <c r="G3964" s="1" t="s">
        <v>19</v>
      </c>
      <c r="H3964" s="1" t="str">
        <f>"68"</f>
        <v>68</v>
      </c>
      <c r="I3964" s="1" t="str">
        <f>"155.43"</f>
        <v>155.43</v>
      </c>
      <c r="J3964" s="1" t="str">
        <f t="shared" si="2681"/>
        <v>0</v>
      </c>
      <c r="K3964" s="1" t="str">
        <f t="shared" si="2682"/>
        <v>103</v>
      </c>
      <c r="L3964" s="1" t="str">
        <f t="shared" si="2683"/>
        <v>47</v>
      </c>
      <c r="M3964" s="1" t="str">
        <f t="shared" si="2684"/>
        <v>0</v>
      </c>
      <c r="N3964" s="1" t="str">
        <f t="shared" si="2685"/>
        <v>0</v>
      </c>
      <c r="O3964" s="1" t="str">
        <f>"5.43"</f>
        <v>5.43</v>
      </c>
    </row>
    <row r="3965" s="1" customFormat="1" spans="1:15">
      <c r="A3965" s="1" t="str">
        <f t="shared" si="2678"/>
        <v>202406</v>
      </c>
      <c r="B3965" s="1" t="str">
        <f t="shared" si="2679"/>
        <v>150525100</v>
      </c>
      <c r="C3965" s="1" t="str">
        <f>"1040653310"</f>
        <v>1040653310</v>
      </c>
      <c r="D3965" s="1" t="str">
        <f>"152326196305153326"</f>
        <v>152326196305153326</v>
      </c>
      <c r="E3965" s="1" t="s">
        <v>700</v>
      </c>
      <c r="F3965" s="1" t="s">
        <v>16</v>
      </c>
      <c r="G3965" s="1" t="s">
        <v>17</v>
      </c>
      <c r="H3965" s="1" t="str">
        <f>"61"</f>
        <v>61</v>
      </c>
      <c r="I3965" s="1" t="str">
        <f>"164.36"</f>
        <v>164.36</v>
      </c>
      <c r="J3965" s="1" t="str">
        <f t="shared" si="2681"/>
        <v>0</v>
      </c>
      <c r="K3965" s="1" t="str">
        <f t="shared" si="2682"/>
        <v>103</v>
      </c>
      <c r="L3965" s="1" t="str">
        <f t="shared" si="2683"/>
        <v>47</v>
      </c>
      <c r="M3965" s="1" t="str">
        <f t="shared" si="2684"/>
        <v>0</v>
      </c>
      <c r="N3965" s="1" t="str">
        <f t="shared" si="2685"/>
        <v>0</v>
      </c>
      <c r="O3965" s="1" t="str">
        <f>"14.36"</f>
        <v>14.36</v>
      </c>
    </row>
    <row r="3966" s="1" customFormat="1" spans="1:15">
      <c r="A3966" s="1" t="str">
        <f t="shared" si="2678"/>
        <v>202406</v>
      </c>
      <c r="B3966" s="1" t="str">
        <f t="shared" si="2679"/>
        <v>150525100</v>
      </c>
      <c r="C3966" s="1" t="str">
        <f>"1040653350"</f>
        <v>1040653350</v>
      </c>
      <c r="D3966" s="1" t="str">
        <f>"152326196302053346"</f>
        <v>152326196302053346</v>
      </c>
      <c r="E3966" s="1" t="s">
        <v>3995</v>
      </c>
      <c r="F3966" s="1" t="s">
        <v>16</v>
      </c>
      <c r="G3966" s="1" t="s">
        <v>19</v>
      </c>
      <c r="H3966" s="1" t="str">
        <f>"61"</f>
        <v>61</v>
      </c>
      <c r="I3966" s="1" t="str">
        <f>"164.07"</f>
        <v>164.07</v>
      </c>
      <c r="J3966" s="1" t="str">
        <f t="shared" si="2681"/>
        <v>0</v>
      </c>
      <c r="K3966" s="1" t="str">
        <f t="shared" si="2682"/>
        <v>103</v>
      </c>
      <c r="L3966" s="1" t="str">
        <f t="shared" si="2683"/>
        <v>47</v>
      </c>
      <c r="M3966" s="1" t="str">
        <f t="shared" si="2684"/>
        <v>0</v>
      </c>
      <c r="N3966" s="1" t="str">
        <f t="shared" si="2685"/>
        <v>0</v>
      </c>
      <c r="O3966" s="1" t="str">
        <f>"14.07"</f>
        <v>14.07</v>
      </c>
    </row>
    <row r="3967" s="1" customFormat="1" spans="1:15">
      <c r="A3967" s="1" t="str">
        <f t="shared" si="2678"/>
        <v>202406</v>
      </c>
      <c r="B3967" s="1" t="str">
        <f t="shared" si="2679"/>
        <v>150525100</v>
      </c>
      <c r="C3967" s="1" t="str">
        <f>"1040653360"</f>
        <v>1040653360</v>
      </c>
      <c r="D3967" s="1" t="str">
        <f>"152326195408063329"</f>
        <v>152326195408063329</v>
      </c>
      <c r="E3967" s="1" t="s">
        <v>3996</v>
      </c>
      <c r="F3967" s="1" t="s">
        <v>16</v>
      </c>
      <c r="G3967" s="1" t="s">
        <v>17</v>
      </c>
      <c r="H3967" s="1" t="str">
        <f>"70"</f>
        <v>70</v>
      </c>
      <c r="I3967" s="1" t="str">
        <f>"153.56"</f>
        <v>153.56</v>
      </c>
      <c r="J3967" s="1" t="str">
        <f t="shared" si="2681"/>
        <v>0</v>
      </c>
      <c r="K3967" s="1" t="str">
        <f t="shared" si="2682"/>
        <v>103</v>
      </c>
      <c r="L3967" s="1" t="str">
        <f t="shared" si="2683"/>
        <v>47</v>
      </c>
      <c r="M3967" s="1" t="str">
        <f t="shared" si="2684"/>
        <v>0</v>
      </c>
      <c r="N3967" s="1" t="str">
        <f t="shared" si="2685"/>
        <v>0</v>
      </c>
      <c r="O3967" s="1" t="str">
        <f>"3.56"</f>
        <v>3.56</v>
      </c>
    </row>
    <row r="3968" s="1" customFormat="1" spans="1:15">
      <c r="A3968" s="1" t="str">
        <f t="shared" si="2678"/>
        <v>202406</v>
      </c>
      <c r="B3968" s="1" t="str">
        <f t="shared" si="2679"/>
        <v>150525100</v>
      </c>
      <c r="C3968" s="1" t="str">
        <f>"1040653375"</f>
        <v>1040653375</v>
      </c>
      <c r="D3968" s="1" t="str">
        <f>"152326196103023320"</f>
        <v>152326196103023320</v>
      </c>
      <c r="E3968" s="1" t="s">
        <v>3997</v>
      </c>
      <c r="F3968" s="1" t="s">
        <v>16</v>
      </c>
      <c r="G3968" s="1" t="s">
        <v>17</v>
      </c>
      <c r="H3968" s="1" t="str">
        <f>"63"</f>
        <v>63</v>
      </c>
      <c r="I3968" s="1" t="str">
        <f>"160.44"</f>
        <v>160.44</v>
      </c>
      <c r="J3968" s="1" t="str">
        <f t="shared" si="2681"/>
        <v>0</v>
      </c>
      <c r="K3968" s="1" t="str">
        <f t="shared" si="2682"/>
        <v>103</v>
      </c>
      <c r="L3968" s="1" t="str">
        <f t="shared" si="2683"/>
        <v>47</v>
      </c>
      <c r="M3968" s="1" t="str">
        <f t="shared" si="2684"/>
        <v>0</v>
      </c>
      <c r="N3968" s="1" t="str">
        <f t="shared" si="2685"/>
        <v>0</v>
      </c>
      <c r="O3968" s="1" t="str">
        <f>"10.44"</f>
        <v>10.44</v>
      </c>
    </row>
    <row r="3969" s="1" customFormat="1" spans="1:15">
      <c r="A3969" s="1" t="str">
        <f t="shared" si="2678"/>
        <v>202406</v>
      </c>
      <c r="B3969" s="1" t="str">
        <f t="shared" si="2679"/>
        <v>150525100</v>
      </c>
      <c r="C3969" s="1" t="str">
        <f>"1040653407"</f>
        <v>1040653407</v>
      </c>
      <c r="D3969" s="1" t="str">
        <f>"152326195708243321"</f>
        <v>152326195708243321</v>
      </c>
      <c r="E3969" s="1" t="s">
        <v>3998</v>
      </c>
      <c r="F3969" s="1" t="s">
        <v>16</v>
      </c>
      <c r="G3969" s="1" t="s">
        <v>17</v>
      </c>
      <c r="H3969" s="1" t="str">
        <f>"67"</f>
        <v>67</v>
      </c>
      <c r="I3969" s="1" t="str">
        <f>"155.5"</f>
        <v>155.5</v>
      </c>
      <c r="J3969" s="1" t="str">
        <f t="shared" si="2681"/>
        <v>0</v>
      </c>
      <c r="K3969" s="1" t="str">
        <f t="shared" si="2682"/>
        <v>103</v>
      </c>
      <c r="L3969" s="1" t="str">
        <f t="shared" si="2683"/>
        <v>47</v>
      </c>
      <c r="M3969" s="1" t="str">
        <f t="shared" si="2684"/>
        <v>0</v>
      </c>
      <c r="N3969" s="1" t="str">
        <f t="shared" si="2685"/>
        <v>0</v>
      </c>
      <c r="O3969" s="1" t="str">
        <f>"5.5"</f>
        <v>5.5</v>
      </c>
    </row>
    <row r="3970" s="1" customFormat="1" spans="1:15">
      <c r="A3970" s="1" t="str">
        <f t="shared" ref="A3970:A4033" si="2686">"202406"</f>
        <v>202406</v>
      </c>
      <c r="B3970" s="1" t="str">
        <f t="shared" ref="B3970:B4033" si="2687">"150525100"</f>
        <v>150525100</v>
      </c>
      <c r="C3970" s="1" t="str">
        <f>"1040755941"</f>
        <v>1040755941</v>
      </c>
      <c r="D3970" s="1" t="str">
        <f>"152326196006100427"</f>
        <v>152326196006100427</v>
      </c>
      <c r="E3970" s="1" t="s">
        <v>3999</v>
      </c>
      <c r="F3970" s="1" t="s">
        <v>16</v>
      </c>
      <c r="G3970" s="1" t="s">
        <v>17</v>
      </c>
      <c r="H3970" s="1" t="str">
        <f>"64"</f>
        <v>64</v>
      </c>
      <c r="I3970" s="1" t="str">
        <f>"157.69"</f>
        <v>157.69</v>
      </c>
      <c r="J3970" s="1" t="str">
        <f t="shared" si="2681"/>
        <v>0</v>
      </c>
      <c r="K3970" s="1" t="str">
        <f t="shared" si="2682"/>
        <v>103</v>
      </c>
      <c r="L3970" s="1" t="str">
        <f t="shared" si="2683"/>
        <v>47</v>
      </c>
      <c r="M3970" s="1" t="str">
        <f t="shared" si="2684"/>
        <v>0</v>
      </c>
      <c r="N3970" s="1" t="str">
        <f t="shared" si="2685"/>
        <v>0</v>
      </c>
      <c r="O3970" s="1" t="str">
        <f>"7.69"</f>
        <v>7.69</v>
      </c>
    </row>
    <row r="3971" s="1" customFormat="1" spans="1:15">
      <c r="A3971" s="1" t="str">
        <f t="shared" si="2686"/>
        <v>202406</v>
      </c>
      <c r="B3971" s="1" t="str">
        <f t="shared" si="2687"/>
        <v>150525100</v>
      </c>
      <c r="C3971" s="1" t="str">
        <f>"1040653515"</f>
        <v>1040653515</v>
      </c>
      <c r="D3971" s="1" t="str">
        <f>"152326196211223311"</f>
        <v>152326196211223311</v>
      </c>
      <c r="E3971" s="1" t="s">
        <v>4000</v>
      </c>
      <c r="F3971" s="1" t="s">
        <v>25</v>
      </c>
      <c r="G3971" s="1" t="s">
        <v>17</v>
      </c>
      <c r="H3971" s="1" t="str">
        <f>"62"</f>
        <v>62</v>
      </c>
      <c r="I3971" s="1" t="str">
        <f>"164.26"</f>
        <v>164.26</v>
      </c>
      <c r="J3971" s="1" t="str">
        <f t="shared" si="2681"/>
        <v>0</v>
      </c>
      <c r="K3971" s="1" t="str">
        <f t="shared" si="2682"/>
        <v>103</v>
      </c>
      <c r="L3971" s="1" t="str">
        <f t="shared" si="2683"/>
        <v>47</v>
      </c>
      <c r="M3971" s="1" t="str">
        <f t="shared" si="2684"/>
        <v>0</v>
      </c>
      <c r="N3971" s="1" t="str">
        <f t="shared" si="2685"/>
        <v>0</v>
      </c>
      <c r="O3971" s="1" t="str">
        <f>"14.26"</f>
        <v>14.26</v>
      </c>
    </row>
    <row r="3972" s="1" customFormat="1" spans="1:15">
      <c r="A3972" s="1" t="str">
        <f t="shared" si="2686"/>
        <v>202406</v>
      </c>
      <c r="B3972" s="1" t="str">
        <f t="shared" si="2687"/>
        <v>150525100</v>
      </c>
      <c r="C3972" s="1" t="str">
        <f>"1040700592"</f>
        <v>1040700592</v>
      </c>
      <c r="D3972" s="1" t="str">
        <f>"152326196211150415"</f>
        <v>152326196211150415</v>
      </c>
      <c r="E3972" s="1" t="s">
        <v>4001</v>
      </c>
      <c r="F3972" s="1" t="s">
        <v>25</v>
      </c>
      <c r="G3972" s="1" t="s">
        <v>17</v>
      </c>
      <c r="H3972" s="1" t="str">
        <f>"62"</f>
        <v>62</v>
      </c>
      <c r="I3972" s="1" t="str">
        <f>"161.56"</f>
        <v>161.56</v>
      </c>
      <c r="J3972" s="1" t="str">
        <f t="shared" si="2681"/>
        <v>0</v>
      </c>
      <c r="K3972" s="1" t="str">
        <f t="shared" si="2682"/>
        <v>103</v>
      </c>
      <c r="L3972" s="1" t="str">
        <f t="shared" si="2683"/>
        <v>47</v>
      </c>
      <c r="M3972" s="1" t="str">
        <f t="shared" si="2684"/>
        <v>0</v>
      </c>
      <c r="N3972" s="1" t="str">
        <f t="shared" si="2685"/>
        <v>0</v>
      </c>
      <c r="O3972" s="1" t="str">
        <f>"11.56"</f>
        <v>11.56</v>
      </c>
    </row>
    <row r="3973" s="1" customFormat="1" spans="1:15">
      <c r="A3973" s="1" t="str">
        <f t="shared" si="2686"/>
        <v>202406</v>
      </c>
      <c r="B3973" s="1" t="str">
        <f t="shared" si="2687"/>
        <v>150525100</v>
      </c>
      <c r="C3973" s="1" t="str">
        <f>"1040644287"</f>
        <v>1040644287</v>
      </c>
      <c r="D3973" s="1" t="str">
        <f>"152326195804136112"</f>
        <v>152326195804136112</v>
      </c>
      <c r="E3973" s="1" t="s">
        <v>4002</v>
      </c>
      <c r="F3973" s="1" t="s">
        <v>25</v>
      </c>
      <c r="G3973" s="1" t="s">
        <v>17</v>
      </c>
      <c r="H3973" s="1" t="str">
        <f>"66"</f>
        <v>66</v>
      </c>
      <c r="I3973" s="1" t="str">
        <f>"155.58"</f>
        <v>155.58</v>
      </c>
      <c r="J3973" s="1" t="str">
        <f t="shared" si="2681"/>
        <v>0</v>
      </c>
      <c r="K3973" s="1" t="str">
        <f t="shared" si="2682"/>
        <v>103</v>
      </c>
      <c r="L3973" s="1" t="str">
        <f t="shared" si="2683"/>
        <v>47</v>
      </c>
      <c r="M3973" s="1" t="str">
        <f t="shared" si="2684"/>
        <v>0</v>
      </c>
      <c r="N3973" s="1" t="str">
        <f t="shared" si="2685"/>
        <v>0</v>
      </c>
      <c r="O3973" s="1" t="str">
        <f>"5.58"</f>
        <v>5.58</v>
      </c>
    </row>
    <row r="3974" s="1" customFormat="1" spans="1:15">
      <c r="A3974" s="1" t="str">
        <f t="shared" si="2686"/>
        <v>202406</v>
      </c>
      <c r="B3974" s="1" t="str">
        <f t="shared" si="2687"/>
        <v>150525100</v>
      </c>
      <c r="C3974" s="1" t="str">
        <f>"1040729053"</f>
        <v>1040729053</v>
      </c>
      <c r="D3974" s="1" t="str">
        <f>"152326195208240693"</f>
        <v>152326195208240693</v>
      </c>
      <c r="E3974" s="1" t="s">
        <v>4003</v>
      </c>
      <c r="F3974" s="1" t="s">
        <v>25</v>
      </c>
      <c r="G3974" s="1" t="s">
        <v>19</v>
      </c>
      <c r="H3974" s="1" t="str">
        <f>"72"</f>
        <v>72</v>
      </c>
      <c r="I3974" s="1" t="str">
        <f>"161.44"</f>
        <v>161.44</v>
      </c>
      <c r="J3974" s="1" t="str">
        <f t="shared" si="2681"/>
        <v>0</v>
      </c>
      <c r="K3974" s="1" t="str">
        <f t="shared" si="2682"/>
        <v>103</v>
      </c>
      <c r="L3974" s="1" t="str">
        <f t="shared" si="2683"/>
        <v>47</v>
      </c>
      <c r="M3974" s="1" t="str">
        <f t="shared" si="2684"/>
        <v>0</v>
      </c>
      <c r="N3974" s="1" t="str">
        <f t="shared" si="2685"/>
        <v>0</v>
      </c>
      <c r="O3974" s="1" t="str">
        <f>"1.44"</f>
        <v>1.44</v>
      </c>
    </row>
    <row r="3975" s="1" customFormat="1" spans="1:15">
      <c r="A3975" s="1" t="str">
        <f t="shared" si="2686"/>
        <v>202406</v>
      </c>
      <c r="B3975" s="1" t="str">
        <f t="shared" si="2687"/>
        <v>150525100</v>
      </c>
      <c r="C3975" s="1" t="str">
        <f>"1040760425"</f>
        <v>1040760425</v>
      </c>
      <c r="D3975" s="1" t="str">
        <f>"152326195404180667"</f>
        <v>152326195404180667</v>
      </c>
      <c r="E3975" s="1" t="s">
        <v>4004</v>
      </c>
      <c r="F3975" s="1" t="s">
        <v>16</v>
      </c>
      <c r="G3975" s="1" t="s">
        <v>19</v>
      </c>
      <c r="H3975" s="1" t="str">
        <f t="shared" ref="H3975:H3980" si="2688">"70"</f>
        <v>70</v>
      </c>
      <c r="I3975" s="1" t="str">
        <f>"162.88"</f>
        <v>162.88</v>
      </c>
      <c r="J3975" s="1" t="str">
        <f t="shared" si="2681"/>
        <v>0</v>
      </c>
      <c r="K3975" s="1" t="str">
        <f t="shared" si="2682"/>
        <v>103</v>
      </c>
      <c r="L3975" s="1" t="str">
        <f t="shared" si="2683"/>
        <v>47</v>
      </c>
      <c r="M3975" s="1" t="str">
        <f t="shared" si="2684"/>
        <v>0</v>
      </c>
      <c r="N3975" s="1" t="str">
        <f t="shared" si="2685"/>
        <v>0</v>
      </c>
      <c r="O3975" s="1" t="str">
        <f>"2.88"</f>
        <v>2.88</v>
      </c>
    </row>
    <row r="3976" s="1" customFormat="1" spans="1:15">
      <c r="A3976" s="1" t="str">
        <f t="shared" si="2686"/>
        <v>202406</v>
      </c>
      <c r="B3976" s="1" t="str">
        <f t="shared" si="2687"/>
        <v>150525100</v>
      </c>
      <c r="C3976" s="1" t="str">
        <f>"1040760420"</f>
        <v>1040760420</v>
      </c>
      <c r="D3976" s="1" t="str">
        <f>"152326195403010666"</f>
        <v>152326195403010666</v>
      </c>
      <c r="E3976" s="1" t="s">
        <v>4005</v>
      </c>
      <c r="F3976" s="1" t="s">
        <v>16</v>
      </c>
      <c r="G3976" s="1" t="s">
        <v>19</v>
      </c>
      <c r="H3976" s="1" t="str">
        <f t="shared" si="2688"/>
        <v>70</v>
      </c>
      <c r="I3976" s="1" t="str">
        <f>"162.88"</f>
        <v>162.88</v>
      </c>
      <c r="J3976" s="1" t="str">
        <f t="shared" si="2681"/>
        <v>0</v>
      </c>
      <c r="K3976" s="1" t="str">
        <f t="shared" si="2682"/>
        <v>103</v>
      </c>
      <c r="L3976" s="1" t="str">
        <f t="shared" si="2683"/>
        <v>47</v>
      </c>
      <c r="M3976" s="1" t="str">
        <f t="shared" si="2684"/>
        <v>0</v>
      </c>
      <c r="N3976" s="1" t="str">
        <f t="shared" si="2685"/>
        <v>0</v>
      </c>
      <c r="O3976" s="1" t="str">
        <f>"2.88"</f>
        <v>2.88</v>
      </c>
    </row>
    <row r="3977" s="1" customFormat="1" spans="1:15">
      <c r="A3977" s="1" t="str">
        <f t="shared" si="2686"/>
        <v>202406</v>
      </c>
      <c r="B3977" s="1" t="str">
        <f t="shared" si="2687"/>
        <v>150525100</v>
      </c>
      <c r="C3977" s="1" t="str">
        <f>"1040646396"</f>
        <v>1040646396</v>
      </c>
      <c r="D3977" s="1" t="str">
        <f>"152326195505190426"</f>
        <v>152326195505190426</v>
      </c>
      <c r="E3977" s="1" t="s">
        <v>209</v>
      </c>
      <c r="F3977" s="1" t="s">
        <v>16</v>
      </c>
      <c r="G3977" s="1" t="s">
        <v>17</v>
      </c>
      <c r="H3977" s="1" t="str">
        <f>"69"</f>
        <v>69</v>
      </c>
      <c r="I3977" s="1" t="str">
        <f>"156.05"</f>
        <v>156.05</v>
      </c>
      <c r="J3977" s="1" t="str">
        <f t="shared" si="2681"/>
        <v>0</v>
      </c>
      <c r="K3977" s="1" t="str">
        <f t="shared" si="2682"/>
        <v>103</v>
      </c>
      <c r="L3977" s="1" t="str">
        <f t="shared" si="2683"/>
        <v>47</v>
      </c>
      <c r="M3977" s="1" t="str">
        <f t="shared" si="2684"/>
        <v>0</v>
      </c>
      <c r="N3977" s="1" t="str">
        <f t="shared" si="2685"/>
        <v>0</v>
      </c>
      <c r="O3977" s="1" t="str">
        <f>"6.05"</f>
        <v>6.05</v>
      </c>
    </row>
    <row r="3978" s="1" customFormat="1" spans="1:15">
      <c r="A3978" s="1" t="str">
        <f t="shared" si="2686"/>
        <v>202406</v>
      </c>
      <c r="B3978" s="1" t="str">
        <f t="shared" si="2687"/>
        <v>150525100</v>
      </c>
      <c r="C3978" s="1" t="str">
        <f>"1040646407"</f>
        <v>1040646407</v>
      </c>
      <c r="D3978" s="1" t="str">
        <f>"152326196010200420"</f>
        <v>152326196010200420</v>
      </c>
      <c r="E3978" s="1" t="s">
        <v>4006</v>
      </c>
      <c r="F3978" s="1" t="s">
        <v>16</v>
      </c>
      <c r="G3978" s="1" t="s">
        <v>17</v>
      </c>
      <c r="H3978" s="1" t="str">
        <f>"64"</f>
        <v>64</v>
      </c>
      <c r="I3978" s="1" t="str">
        <f>"158.65"</f>
        <v>158.65</v>
      </c>
      <c r="J3978" s="1" t="str">
        <f t="shared" si="2681"/>
        <v>0</v>
      </c>
      <c r="K3978" s="1" t="str">
        <f t="shared" si="2682"/>
        <v>103</v>
      </c>
      <c r="L3978" s="1" t="str">
        <f t="shared" si="2683"/>
        <v>47</v>
      </c>
      <c r="M3978" s="1" t="str">
        <f t="shared" si="2684"/>
        <v>0</v>
      </c>
      <c r="N3978" s="1" t="str">
        <f t="shared" si="2685"/>
        <v>0</v>
      </c>
      <c r="O3978" s="1" t="str">
        <f>"8.65"</f>
        <v>8.65</v>
      </c>
    </row>
    <row r="3979" s="1" customFormat="1" spans="1:15">
      <c r="A3979" s="1" t="str">
        <f t="shared" si="2686"/>
        <v>202406</v>
      </c>
      <c r="B3979" s="1" t="str">
        <f t="shared" si="2687"/>
        <v>150525100</v>
      </c>
      <c r="C3979" s="1" t="str">
        <f>"1040646412"</f>
        <v>1040646412</v>
      </c>
      <c r="D3979" s="1" t="str">
        <f>"152326196110250425"</f>
        <v>152326196110250425</v>
      </c>
      <c r="E3979" s="1" t="s">
        <v>1571</v>
      </c>
      <c r="F3979" s="1" t="s">
        <v>16</v>
      </c>
      <c r="G3979" s="1" t="s">
        <v>19</v>
      </c>
      <c r="H3979" s="1" t="str">
        <f>"63"</f>
        <v>63</v>
      </c>
      <c r="I3979" s="1" t="str">
        <f>"160.5"</f>
        <v>160.5</v>
      </c>
      <c r="J3979" s="1" t="str">
        <f t="shared" si="2681"/>
        <v>0</v>
      </c>
      <c r="K3979" s="1" t="str">
        <f t="shared" si="2682"/>
        <v>103</v>
      </c>
      <c r="L3979" s="1" t="str">
        <f t="shared" si="2683"/>
        <v>47</v>
      </c>
      <c r="M3979" s="1" t="str">
        <f t="shared" si="2684"/>
        <v>0</v>
      </c>
      <c r="N3979" s="1" t="str">
        <f t="shared" si="2685"/>
        <v>0</v>
      </c>
      <c r="O3979" s="1" t="str">
        <f>"10.5"</f>
        <v>10.5</v>
      </c>
    </row>
    <row r="3980" s="1" customFormat="1" spans="1:15">
      <c r="A3980" s="1" t="str">
        <f t="shared" si="2686"/>
        <v>202406</v>
      </c>
      <c r="B3980" s="1" t="str">
        <f t="shared" si="2687"/>
        <v>150525100</v>
      </c>
      <c r="C3980" s="1" t="str">
        <f>"1040647293"</f>
        <v>1040647293</v>
      </c>
      <c r="D3980" s="1" t="str">
        <f>"152326195411050924"</f>
        <v>152326195411050924</v>
      </c>
      <c r="E3980" s="1" t="s">
        <v>444</v>
      </c>
      <c r="F3980" s="1" t="s">
        <v>16</v>
      </c>
      <c r="G3980" s="1" t="s">
        <v>19</v>
      </c>
      <c r="H3980" s="1" t="str">
        <f t="shared" si="2688"/>
        <v>70</v>
      </c>
      <c r="I3980" s="1" t="str">
        <f>"153.52"</f>
        <v>153.52</v>
      </c>
      <c r="J3980" s="1" t="str">
        <f t="shared" si="2681"/>
        <v>0</v>
      </c>
      <c r="K3980" s="1" t="str">
        <f t="shared" si="2682"/>
        <v>103</v>
      </c>
      <c r="L3980" s="1" t="str">
        <f t="shared" si="2683"/>
        <v>47</v>
      </c>
      <c r="M3980" s="1" t="str">
        <f t="shared" si="2684"/>
        <v>0</v>
      </c>
      <c r="N3980" s="1" t="str">
        <f t="shared" si="2685"/>
        <v>0</v>
      </c>
      <c r="O3980" s="1" t="str">
        <f>"3.52"</f>
        <v>3.52</v>
      </c>
    </row>
    <row r="3981" s="1" customFormat="1" spans="1:15">
      <c r="A3981" s="1" t="str">
        <f t="shared" si="2686"/>
        <v>202406</v>
      </c>
      <c r="B3981" s="1" t="str">
        <f t="shared" si="2687"/>
        <v>150525100</v>
      </c>
      <c r="C3981" s="1" t="str">
        <f>"1040647302"</f>
        <v>1040647302</v>
      </c>
      <c r="D3981" s="1" t="str">
        <f>"152326195808010920"</f>
        <v>152326195808010920</v>
      </c>
      <c r="E3981" s="1" t="s">
        <v>4007</v>
      </c>
      <c r="F3981" s="1" t="s">
        <v>16</v>
      </c>
      <c r="G3981" s="1" t="s">
        <v>19</v>
      </c>
      <c r="H3981" s="1" t="str">
        <f>"66"</f>
        <v>66</v>
      </c>
      <c r="I3981" s="1" t="str">
        <f>"156.49"</f>
        <v>156.49</v>
      </c>
      <c r="J3981" s="1" t="str">
        <f t="shared" si="2681"/>
        <v>0</v>
      </c>
      <c r="K3981" s="1" t="str">
        <f t="shared" si="2682"/>
        <v>103</v>
      </c>
      <c r="L3981" s="1" t="str">
        <f t="shared" si="2683"/>
        <v>47</v>
      </c>
      <c r="M3981" s="1" t="str">
        <f t="shared" si="2684"/>
        <v>0</v>
      </c>
      <c r="N3981" s="1" t="str">
        <f t="shared" si="2685"/>
        <v>0</v>
      </c>
      <c r="O3981" s="1" t="str">
        <f>"6.49"</f>
        <v>6.49</v>
      </c>
    </row>
    <row r="3982" s="1" customFormat="1" spans="1:15">
      <c r="A3982" s="1" t="str">
        <f t="shared" si="2686"/>
        <v>202406</v>
      </c>
      <c r="B3982" s="1" t="str">
        <f t="shared" si="2687"/>
        <v>150525100</v>
      </c>
      <c r="C3982" s="1" t="str">
        <f>"1040647306"</f>
        <v>1040647306</v>
      </c>
      <c r="D3982" s="1" t="str">
        <f>"152326196306160915"</f>
        <v>152326196306160915</v>
      </c>
      <c r="E3982" s="1" t="s">
        <v>4008</v>
      </c>
      <c r="F3982" s="1" t="s">
        <v>25</v>
      </c>
      <c r="G3982" s="1" t="s">
        <v>19</v>
      </c>
      <c r="H3982" s="1" t="str">
        <f>"61"</f>
        <v>61</v>
      </c>
      <c r="I3982" s="1" t="str">
        <f>"165"</f>
        <v>165</v>
      </c>
      <c r="J3982" s="1" t="str">
        <f t="shared" si="2681"/>
        <v>0</v>
      </c>
      <c r="K3982" s="1" t="str">
        <f t="shared" si="2682"/>
        <v>103</v>
      </c>
      <c r="L3982" s="1" t="str">
        <f t="shared" si="2683"/>
        <v>47</v>
      </c>
      <c r="M3982" s="1" t="str">
        <f t="shared" si="2684"/>
        <v>0</v>
      </c>
      <c r="N3982" s="1" t="str">
        <f t="shared" si="2685"/>
        <v>0</v>
      </c>
      <c r="O3982" s="1" t="str">
        <f>"15"</f>
        <v>15</v>
      </c>
    </row>
    <row r="3983" s="1" customFormat="1" spans="1:15">
      <c r="A3983" s="1" t="str">
        <f t="shared" si="2686"/>
        <v>202406</v>
      </c>
      <c r="B3983" s="1" t="str">
        <f t="shared" si="2687"/>
        <v>150525100</v>
      </c>
      <c r="C3983" s="1" t="str">
        <f>"1040647376"</f>
        <v>1040647376</v>
      </c>
      <c r="D3983" s="1" t="str">
        <f>"152326195606153827"</f>
        <v>152326195606153827</v>
      </c>
      <c r="E3983" s="1" t="s">
        <v>4009</v>
      </c>
      <c r="F3983" s="1" t="s">
        <v>16</v>
      </c>
      <c r="G3983" s="1" t="s">
        <v>19</v>
      </c>
      <c r="H3983" s="1" t="str">
        <f>"68"</f>
        <v>68</v>
      </c>
      <c r="I3983" s="1" t="str">
        <f>"155.43"</f>
        <v>155.43</v>
      </c>
      <c r="J3983" s="1" t="str">
        <f t="shared" si="2681"/>
        <v>0</v>
      </c>
      <c r="K3983" s="1" t="str">
        <f t="shared" si="2682"/>
        <v>103</v>
      </c>
      <c r="L3983" s="1" t="str">
        <f t="shared" si="2683"/>
        <v>47</v>
      </c>
      <c r="M3983" s="1" t="str">
        <f t="shared" si="2684"/>
        <v>0</v>
      </c>
      <c r="N3983" s="1" t="str">
        <f t="shared" si="2685"/>
        <v>0</v>
      </c>
      <c r="O3983" s="1" t="str">
        <f>"5.43"</f>
        <v>5.43</v>
      </c>
    </row>
    <row r="3984" s="1" customFormat="1" spans="1:15">
      <c r="A3984" s="1" t="str">
        <f t="shared" si="2686"/>
        <v>202406</v>
      </c>
      <c r="B3984" s="1" t="str">
        <f t="shared" si="2687"/>
        <v>150525100</v>
      </c>
      <c r="C3984" s="1" t="str">
        <f>"1040648214"</f>
        <v>1040648214</v>
      </c>
      <c r="D3984" s="1" t="str">
        <f>"152326196006023070"</f>
        <v>152326196006023070</v>
      </c>
      <c r="E3984" s="1" t="s">
        <v>4010</v>
      </c>
      <c r="F3984" s="1" t="s">
        <v>25</v>
      </c>
      <c r="G3984" s="1" t="s">
        <v>17</v>
      </c>
      <c r="H3984" s="1" t="str">
        <f>"64"</f>
        <v>64</v>
      </c>
      <c r="I3984" s="1" t="str">
        <f>"158.6"</f>
        <v>158.6</v>
      </c>
      <c r="J3984" s="1" t="str">
        <f t="shared" si="2681"/>
        <v>0</v>
      </c>
      <c r="K3984" s="1" t="str">
        <f t="shared" si="2682"/>
        <v>103</v>
      </c>
      <c r="L3984" s="1" t="str">
        <f t="shared" si="2683"/>
        <v>47</v>
      </c>
      <c r="M3984" s="1" t="str">
        <f t="shared" si="2684"/>
        <v>0</v>
      </c>
      <c r="N3984" s="1" t="str">
        <f t="shared" si="2685"/>
        <v>0</v>
      </c>
      <c r="O3984" s="1" t="str">
        <f>"8.6"</f>
        <v>8.6</v>
      </c>
    </row>
    <row r="3985" s="1" customFormat="1" spans="1:15">
      <c r="A3985" s="1" t="str">
        <f t="shared" si="2686"/>
        <v>202406</v>
      </c>
      <c r="B3985" s="1" t="str">
        <f t="shared" si="2687"/>
        <v>150525100</v>
      </c>
      <c r="C3985" s="1" t="str">
        <f>"1040648219"</f>
        <v>1040648219</v>
      </c>
      <c r="D3985" s="1" t="str">
        <f>"152326195801063085"</f>
        <v>152326195801063085</v>
      </c>
      <c r="E3985" s="1" t="s">
        <v>1939</v>
      </c>
      <c r="F3985" s="1" t="s">
        <v>16</v>
      </c>
      <c r="G3985" s="1" t="s">
        <v>17</v>
      </c>
      <c r="H3985" s="1" t="str">
        <f>"67"</f>
        <v>67</v>
      </c>
      <c r="I3985" s="1" t="str">
        <f>"156.46"</f>
        <v>156.46</v>
      </c>
      <c r="J3985" s="1" t="str">
        <f t="shared" si="2681"/>
        <v>0</v>
      </c>
      <c r="K3985" s="1" t="str">
        <f t="shared" si="2682"/>
        <v>103</v>
      </c>
      <c r="L3985" s="1" t="str">
        <f t="shared" si="2683"/>
        <v>47</v>
      </c>
      <c r="M3985" s="1" t="str">
        <f t="shared" si="2684"/>
        <v>0</v>
      </c>
      <c r="N3985" s="1" t="str">
        <f t="shared" si="2685"/>
        <v>0</v>
      </c>
      <c r="O3985" s="1" t="str">
        <f>"6.46"</f>
        <v>6.46</v>
      </c>
    </row>
    <row r="3986" s="1" customFormat="1" spans="1:15">
      <c r="A3986" s="1" t="str">
        <f t="shared" si="2686"/>
        <v>202406</v>
      </c>
      <c r="B3986" s="1" t="str">
        <f t="shared" si="2687"/>
        <v>150525100</v>
      </c>
      <c r="C3986" s="1" t="str">
        <f>"1040648223"</f>
        <v>1040648223</v>
      </c>
      <c r="D3986" s="1" t="s">
        <v>4011</v>
      </c>
      <c r="E3986" s="1" t="s">
        <v>4012</v>
      </c>
      <c r="F3986" s="1" t="s">
        <v>25</v>
      </c>
      <c r="G3986" s="1" t="s">
        <v>19</v>
      </c>
      <c r="H3986" s="1" t="str">
        <f>"67"</f>
        <v>67</v>
      </c>
      <c r="I3986" s="1" t="str">
        <f>"155.5"</f>
        <v>155.5</v>
      </c>
      <c r="J3986" s="1" t="str">
        <f t="shared" ref="J3986:J3991" si="2689">"0"</f>
        <v>0</v>
      </c>
      <c r="K3986" s="1" t="str">
        <f t="shared" ref="K3986:K3991" si="2690">"103"</f>
        <v>103</v>
      </c>
      <c r="L3986" s="1" t="str">
        <f t="shared" ref="L3986:L3991" si="2691">"47"</f>
        <v>47</v>
      </c>
      <c r="M3986" s="1" t="str">
        <f t="shared" si="2684"/>
        <v>0</v>
      </c>
      <c r="N3986" s="1" t="str">
        <f t="shared" si="2685"/>
        <v>0</v>
      </c>
      <c r="O3986" s="1" t="str">
        <f>"5.5"</f>
        <v>5.5</v>
      </c>
    </row>
    <row r="3987" s="1" customFormat="1" spans="1:15">
      <c r="A3987" s="1" t="str">
        <f t="shared" si="2686"/>
        <v>202406</v>
      </c>
      <c r="B3987" s="1" t="str">
        <f t="shared" si="2687"/>
        <v>150525100</v>
      </c>
      <c r="C3987" s="1" t="str">
        <f>"1040647386"</f>
        <v>1040647386</v>
      </c>
      <c r="D3987" s="1" t="str">
        <f>"152326195511303845"</f>
        <v>152326195511303845</v>
      </c>
      <c r="E3987" s="1" t="s">
        <v>480</v>
      </c>
      <c r="F3987" s="1" t="s">
        <v>16</v>
      </c>
      <c r="G3987" s="1" t="s">
        <v>19</v>
      </c>
      <c r="H3987" s="1" t="str">
        <f>"69"</f>
        <v>69</v>
      </c>
      <c r="I3987" s="1" t="str">
        <f>"154.51"</f>
        <v>154.51</v>
      </c>
      <c r="J3987" s="1" t="str">
        <f t="shared" si="2689"/>
        <v>0</v>
      </c>
      <c r="K3987" s="1" t="str">
        <f t="shared" si="2690"/>
        <v>103</v>
      </c>
      <c r="L3987" s="1" t="str">
        <f t="shared" si="2691"/>
        <v>47</v>
      </c>
      <c r="M3987" s="1" t="str">
        <f t="shared" si="2684"/>
        <v>0</v>
      </c>
      <c r="N3987" s="1" t="str">
        <f t="shared" si="2685"/>
        <v>0</v>
      </c>
      <c r="O3987" s="1" t="str">
        <f>"4.51"</f>
        <v>4.51</v>
      </c>
    </row>
    <row r="3988" s="1" customFormat="1" spans="1:15">
      <c r="A3988" s="1" t="str">
        <f t="shared" si="2686"/>
        <v>202406</v>
      </c>
      <c r="B3988" s="1" t="str">
        <f t="shared" si="2687"/>
        <v>150525100</v>
      </c>
      <c r="C3988" s="1" t="str">
        <f>"1040647411"</f>
        <v>1040647411</v>
      </c>
      <c r="D3988" s="1" t="str">
        <f>"152326195908066112"</f>
        <v>152326195908066112</v>
      </c>
      <c r="E3988" s="1" t="s">
        <v>4013</v>
      </c>
      <c r="F3988" s="1" t="s">
        <v>25</v>
      </c>
      <c r="G3988" s="1" t="s">
        <v>19</v>
      </c>
      <c r="H3988" s="1" t="str">
        <f>"65"</f>
        <v>65</v>
      </c>
      <c r="I3988" s="1" t="str">
        <f>"157.57"</f>
        <v>157.57</v>
      </c>
      <c r="J3988" s="1" t="str">
        <f t="shared" si="2689"/>
        <v>0</v>
      </c>
      <c r="K3988" s="1" t="str">
        <f t="shared" si="2690"/>
        <v>103</v>
      </c>
      <c r="L3988" s="1" t="str">
        <f t="shared" si="2691"/>
        <v>47</v>
      </c>
      <c r="M3988" s="1" t="str">
        <f t="shared" si="2684"/>
        <v>0</v>
      </c>
      <c r="N3988" s="1" t="str">
        <f t="shared" si="2685"/>
        <v>0</v>
      </c>
      <c r="O3988" s="1" t="str">
        <f>"7.57"</f>
        <v>7.57</v>
      </c>
    </row>
    <row r="3989" s="1" customFormat="1" spans="1:15">
      <c r="A3989" s="1" t="str">
        <f t="shared" si="2686"/>
        <v>202406</v>
      </c>
      <c r="B3989" s="1" t="str">
        <f t="shared" si="2687"/>
        <v>150525100</v>
      </c>
      <c r="C3989" s="1" t="str">
        <f>"1040647445"</f>
        <v>1040647445</v>
      </c>
      <c r="D3989" s="1" t="str">
        <f>"152326195802280663"</f>
        <v>152326195802280663</v>
      </c>
      <c r="E3989" s="1" t="s">
        <v>4014</v>
      </c>
      <c r="F3989" s="1" t="s">
        <v>16</v>
      </c>
      <c r="G3989" s="1" t="s">
        <v>19</v>
      </c>
      <c r="H3989" s="1" t="str">
        <f t="shared" ref="H3989:H3994" si="2692">"66"</f>
        <v>66</v>
      </c>
      <c r="I3989" s="1" t="str">
        <f>"156.48"</f>
        <v>156.48</v>
      </c>
      <c r="J3989" s="1" t="str">
        <f t="shared" si="2689"/>
        <v>0</v>
      </c>
      <c r="K3989" s="1" t="str">
        <f t="shared" si="2690"/>
        <v>103</v>
      </c>
      <c r="L3989" s="1" t="str">
        <f t="shared" si="2691"/>
        <v>47</v>
      </c>
      <c r="M3989" s="1" t="str">
        <f t="shared" si="2684"/>
        <v>0</v>
      </c>
      <c r="N3989" s="1" t="str">
        <f t="shared" si="2685"/>
        <v>0</v>
      </c>
      <c r="O3989" s="1" t="str">
        <f>"6.48"</f>
        <v>6.48</v>
      </c>
    </row>
    <row r="3990" s="1" customFormat="1" spans="1:15">
      <c r="A3990" s="1" t="str">
        <f t="shared" si="2686"/>
        <v>202406</v>
      </c>
      <c r="B3990" s="1" t="str">
        <f t="shared" si="2687"/>
        <v>150525100</v>
      </c>
      <c r="C3990" s="1" t="str">
        <f>"1040687538"</f>
        <v>1040687538</v>
      </c>
      <c r="D3990" s="1" t="str">
        <f>"152326195801150680"</f>
        <v>152326195801150680</v>
      </c>
      <c r="E3990" s="1" t="s">
        <v>4015</v>
      </c>
      <c r="F3990" s="1" t="s">
        <v>16</v>
      </c>
      <c r="G3990" s="1" t="s">
        <v>17</v>
      </c>
      <c r="H3990" s="1" t="str">
        <f t="shared" si="2692"/>
        <v>66</v>
      </c>
      <c r="I3990" s="1" t="str">
        <f>"156.16"</f>
        <v>156.16</v>
      </c>
      <c r="J3990" s="1" t="str">
        <f t="shared" si="2689"/>
        <v>0</v>
      </c>
      <c r="K3990" s="1" t="str">
        <f t="shared" si="2690"/>
        <v>103</v>
      </c>
      <c r="L3990" s="1" t="str">
        <f t="shared" si="2691"/>
        <v>47</v>
      </c>
      <c r="M3990" s="1" t="str">
        <f t="shared" si="2684"/>
        <v>0</v>
      </c>
      <c r="N3990" s="1" t="str">
        <f t="shared" si="2685"/>
        <v>0</v>
      </c>
      <c r="O3990" s="1" t="str">
        <f>"6.16"</f>
        <v>6.16</v>
      </c>
    </row>
    <row r="3991" s="1" customFormat="1" spans="1:15">
      <c r="A3991" s="1" t="str">
        <f t="shared" si="2686"/>
        <v>202406</v>
      </c>
      <c r="B3991" s="1" t="str">
        <f t="shared" si="2687"/>
        <v>150525100</v>
      </c>
      <c r="C3991" s="1" t="str">
        <f>"1040647542"</f>
        <v>1040647542</v>
      </c>
      <c r="D3991" s="1" t="str">
        <f>"152326195604040685"</f>
        <v>152326195604040685</v>
      </c>
      <c r="E3991" s="1" t="s">
        <v>820</v>
      </c>
      <c r="F3991" s="1" t="s">
        <v>16</v>
      </c>
      <c r="G3991" s="1" t="s">
        <v>17</v>
      </c>
      <c r="H3991" s="1" t="str">
        <f>"68"</f>
        <v>68</v>
      </c>
      <c r="I3991" s="1" t="str">
        <f>"155.43"</f>
        <v>155.43</v>
      </c>
      <c r="J3991" s="1" t="str">
        <f t="shared" si="2689"/>
        <v>0</v>
      </c>
      <c r="K3991" s="1" t="str">
        <f t="shared" si="2690"/>
        <v>103</v>
      </c>
      <c r="L3991" s="1" t="str">
        <f t="shared" si="2691"/>
        <v>47</v>
      </c>
      <c r="M3991" s="1" t="str">
        <f t="shared" si="2684"/>
        <v>0</v>
      </c>
      <c r="N3991" s="1" t="str">
        <f t="shared" si="2685"/>
        <v>0</v>
      </c>
      <c r="O3991" s="1" t="str">
        <f>"5.43"</f>
        <v>5.43</v>
      </c>
    </row>
    <row r="3992" s="1" customFormat="1" spans="1:15">
      <c r="A3992" s="1" t="str">
        <f t="shared" si="2686"/>
        <v>202406</v>
      </c>
      <c r="B3992" s="1" t="str">
        <f t="shared" si="2687"/>
        <v>150525100</v>
      </c>
      <c r="C3992" s="1" t="str">
        <f>"1040647545"</f>
        <v>1040647545</v>
      </c>
      <c r="D3992" s="1" t="str">
        <f>"152326196210170668"</f>
        <v>152326196210170668</v>
      </c>
      <c r="E3992" s="1" t="s">
        <v>767</v>
      </c>
      <c r="F3992" s="1" t="s">
        <v>16</v>
      </c>
      <c r="G3992" s="1" t="s">
        <v>17</v>
      </c>
      <c r="H3992" s="1" t="str">
        <f>"62"</f>
        <v>62</v>
      </c>
      <c r="I3992" s="1" t="str">
        <f>"825.4"</f>
        <v>825.4</v>
      </c>
      <c r="J3992" s="1" t="str">
        <f>"660.32"</f>
        <v>660.32</v>
      </c>
      <c r="K3992" s="1" t="str">
        <f>"515"</f>
        <v>515</v>
      </c>
      <c r="L3992" s="1" t="str">
        <f>"235"</f>
        <v>235</v>
      </c>
      <c r="M3992" s="1" t="str">
        <f t="shared" si="2684"/>
        <v>0</v>
      </c>
      <c r="N3992" s="1" t="str">
        <f t="shared" si="2685"/>
        <v>0</v>
      </c>
      <c r="O3992" s="1" t="str">
        <f>"75.4"</f>
        <v>75.4</v>
      </c>
    </row>
    <row r="3993" s="1" customFormat="1" spans="1:15">
      <c r="A3993" s="1" t="str">
        <f t="shared" si="2686"/>
        <v>202406</v>
      </c>
      <c r="B3993" s="1" t="str">
        <f t="shared" si="2687"/>
        <v>150525100</v>
      </c>
      <c r="C3993" s="1" t="str">
        <f>"1040647582"</f>
        <v>1040647582</v>
      </c>
      <c r="D3993" s="1" t="str">
        <f>"152326195411236139"</f>
        <v>152326195411236139</v>
      </c>
      <c r="E3993" s="1" t="s">
        <v>4016</v>
      </c>
      <c r="F3993" s="1" t="s">
        <v>25</v>
      </c>
      <c r="G3993" s="1" t="s">
        <v>17</v>
      </c>
      <c r="H3993" s="1" t="str">
        <f>"70"</f>
        <v>70</v>
      </c>
      <c r="I3993" s="1" t="str">
        <f>"153.55"</f>
        <v>153.55</v>
      </c>
      <c r="J3993" s="1" t="str">
        <f t="shared" ref="J3993:J4011" si="2693">"0"</f>
        <v>0</v>
      </c>
      <c r="K3993" s="1" t="str">
        <f t="shared" ref="K3993:K4011" si="2694">"103"</f>
        <v>103</v>
      </c>
      <c r="L3993" s="1" t="str">
        <f t="shared" ref="L3993:L4011" si="2695">"47"</f>
        <v>47</v>
      </c>
      <c r="M3993" s="1" t="str">
        <f t="shared" si="2684"/>
        <v>0</v>
      </c>
      <c r="N3993" s="1" t="str">
        <f t="shared" si="2685"/>
        <v>0</v>
      </c>
      <c r="O3993" s="1" t="str">
        <f>"3.55"</f>
        <v>3.55</v>
      </c>
    </row>
    <row r="3994" s="1" customFormat="1" spans="1:15">
      <c r="A3994" s="1" t="str">
        <f t="shared" si="2686"/>
        <v>202406</v>
      </c>
      <c r="B3994" s="1" t="str">
        <f t="shared" si="2687"/>
        <v>150525100</v>
      </c>
      <c r="C3994" s="1" t="str">
        <f>"1040647583"</f>
        <v>1040647583</v>
      </c>
      <c r="D3994" s="1" t="str">
        <f>"152326195802126375"</f>
        <v>152326195802126375</v>
      </c>
      <c r="E3994" s="1" t="s">
        <v>4017</v>
      </c>
      <c r="F3994" s="1" t="s">
        <v>25</v>
      </c>
      <c r="G3994" s="1" t="s">
        <v>19</v>
      </c>
      <c r="H3994" s="1" t="str">
        <f t="shared" si="2692"/>
        <v>66</v>
      </c>
      <c r="I3994" s="1" t="str">
        <f>"175.59"</f>
        <v>175.59</v>
      </c>
      <c r="J3994" s="1" t="str">
        <f t="shared" si="2693"/>
        <v>0</v>
      </c>
      <c r="K3994" s="1" t="str">
        <f t="shared" si="2694"/>
        <v>103</v>
      </c>
      <c r="L3994" s="1" t="str">
        <f t="shared" si="2695"/>
        <v>47</v>
      </c>
      <c r="M3994" s="1" t="str">
        <f t="shared" si="2684"/>
        <v>0</v>
      </c>
      <c r="N3994" s="1" t="str">
        <f t="shared" si="2685"/>
        <v>0</v>
      </c>
      <c r="O3994" s="1" t="str">
        <f>"25.59"</f>
        <v>25.59</v>
      </c>
    </row>
    <row r="3995" s="1" customFormat="1" spans="1:15">
      <c r="A3995" s="1" t="str">
        <f t="shared" si="2686"/>
        <v>202406</v>
      </c>
      <c r="B3995" s="1" t="str">
        <f t="shared" si="2687"/>
        <v>150525100</v>
      </c>
      <c r="C3995" s="1" t="str">
        <f>"1040647591"</f>
        <v>1040647591</v>
      </c>
      <c r="D3995" s="1" t="str">
        <f>"152326195702106385"</f>
        <v>152326195702106385</v>
      </c>
      <c r="E3995" s="1" t="s">
        <v>1300</v>
      </c>
      <c r="F3995" s="1" t="s">
        <v>16</v>
      </c>
      <c r="G3995" s="1" t="s">
        <v>19</v>
      </c>
      <c r="H3995" s="1" t="str">
        <f>"67"</f>
        <v>67</v>
      </c>
      <c r="I3995" s="1" t="str">
        <f>"154.82"</f>
        <v>154.82</v>
      </c>
      <c r="J3995" s="1" t="str">
        <f t="shared" si="2693"/>
        <v>0</v>
      </c>
      <c r="K3995" s="1" t="str">
        <f t="shared" si="2694"/>
        <v>103</v>
      </c>
      <c r="L3995" s="1" t="str">
        <f t="shared" si="2695"/>
        <v>47</v>
      </c>
      <c r="M3995" s="1" t="str">
        <f t="shared" si="2684"/>
        <v>0</v>
      </c>
      <c r="N3995" s="1" t="str">
        <f t="shared" si="2685"/>
        <v>0</v>
      </c>
      <c r="O3995" s="1" t="str">
        <f>"4.82"</f>
        <v>4.82</v>
      </c>
    </row>
    <row r="3996" s="1" customFormat="1" spans="1:15">
      <c r="A3996" s="1" t="str">
        <f t="shared" si="2686"/>
        <v>202406</v>
      </c>
      <c r="B3996" s="1" t="str">
        <f t="shared" si="2687"/>
        <v>150525100</v>
      </c>
      <c r="C3996" s="1" t="str">
        <f>"1040647613"</f>
        <v>1040647613</v>
      </c>
      <c r="D3996" s="1" t="s">
        <v>4018</v>
      </c>
      <c r="E3996" s="1" t="s">
        <v>4019</v>
      </c>
      <c r="F3996" s="1" t="s">
        <v>16</v>
      </c>
      <c r="G3996" s="1" t="s">
        <v>19</v>
      </c>
      <c r="H3996" s="1" t="str">
        <f>"65"</f>
        <v>65</v>
      </c>
      <c r="I3996" s="1" t="str">
        <f>"157.5"</f>
        <v>157.5</v>
      </c>
      <c r="J3996" s="1" t="str">
        <f t="shared" si="2693"/>
        <v>0</v>
      </c>
      <c r="K3996" s="1" t="str">
        <f t="shared" si="2694"/>
        <v>103</v>
      </c>
      <c r="L3996" s="1" t="str">
        <f t="shared" si="2695"/>
        <v>47</v>
      </c>
      <c r="M3996" s="1" t="str">
        <f t="shared" si="2684"/>
        <v>0</v>
      </c>
      <c r="N3996" s="1" t="str">
        <f t="shared" si="2685"/>
        <v>0</v>
      </c>
      <c r="O3996" s="1" t="str">
        <f>"7.5"</f>
        <v>7.5</v>
      </c>
    </row>
    <row r="3997" s="1" customFormat="1" spans="1:15">
      <c r="A3997" s="1" t="str">
        <f t="shared" si="2686"/>
        <v>202406</v>
      </c>
      <c r="B3997" s="1" t="str">
        <f t="shared" si="2687"/>
        <v>150525100</v>
      </c>
      <c r="C3997" s="1" t="str">
        <f>"1040647624"</f>
        <v>1040647624</v>
      </c>
      <c r="D3997" s="1" t="str">
        <f>"152326196006226126"</f>
        <v>152326196006226126</v>
      </c>
      <c r="E3997" s="1" t="s">
        <v>1727</v>
      </c>
      <c r="F3997" s="1" t="s">
        <v>16</v>
      </c>
      <c r="G3997" s="1" t="s">
        <v>19</v>
      </c>
      <c r="H3997" s="1" t="str">
        <f>"64"</f>
        <v>64</v>
      </c>
      <c r="I3997" s="1" t="str">
        <f>"158.6"</f>
        <v>158.6</v>
      </c>
      <c r="J3997" s="1" t="str">
        <f t="shared" si="2693"/>
        <v>0</v>
      </c>
      <c r="K3997" s="1" t="str">
        <f t="shared" si="2694"/>
        <v>103</v>
      </c>
      <c r="L3997" s="1" t="str">
        <f t="shared" si="2695"/>
        <v>47</v>
      </c>
      <c r="M3997" s="1" t="str">
        <f t="shared" si="2684"/>
        <v>0</v>
      </c>
      <c r="N3997" s="1" t="str">
        <f t="shared" si="2685"/>
        <v>0</v>
      </c>
      <c r="O3997" s="1" t="str">
        <f>"8.6"</f>
        <v>8.6</v>
      </c>
    </row>
    <row r="3998" s="1" customFormat="1" spans="1:15">
      <c r="A3998" s="1" t="str">
        <f t="shared" si="2686"/>
        <v>202406</v>
      </c>
      <c r="B3998" s="1" t="str">
        <f t="shared" si="2687"/>
        <v>150525100</v>
      </c>
      <c r="C3998" s="1" t="str">
        <f>"1040647631"</f>
        <v>1040647631</v>
      </c>
      <c r="D3998" s="1" t="str">
        <f>"152326195502216387"</f>
        <v>152326195502216387</v>
      </c>
      <c r="E3998" s="1" t="s">
        <v>4020</v>
      </c>
      <c r="F3998" s="1" t="s">
        <v>16</v>
      </c>
      <c r="G3998" s="1" t="s">
        <v>19</v>
      </c>
      <c r="H3998" s="1" t="str">
        <f>"69"</f>
        <v>69</v>
      </c>
      <c r="I3998" s="1" t="str">
        <f>"154.51"</f>
        <v>154.51</v>
      </c>
      <c r="J3998" s="1" t="str">
        <f t="shared" si="2693"/>
        <v>0</v>
      </c>
      <c r="K3998" s="1" t="str">
        <f t="shared" si="2694"/>
        <v>103</v>
      </c>
      <c r="L3998" s="1" t="str">
        <f t="shared" si="2695"/>
        <v>47</v>
      </c>
      <c r="M3998" s="1" t="str">
        <f t="shared" si="2684"/>
        <v>0</v>
      </c>
      <c r="N3998" s="1" t="str">
        <f t="shared" si="2685"/>
        <v>0</v>
      </c>
      <c r="O3998" s="1" t="str">
        <f>"4.51"</f>
        <v>4.51</v>
      </c>
    </row>
    <row r="3999" s="1" customFormat="1" spans="1:15">
      <c r="A3999" s="1" t="str">
        <f t="shared" si="2686"/>
        <v>202406</v>
      </c>
      <c r="B3999" s="1" t="str">
        <f t="shared" si="2687"/>
        <v>150525100</v>
      </c>
      <c r="C3999" s="1" t="str">
        <f>"1040647758"</f>
        <v>1040647758</v>
      </c>
      <c r="D3999" s="1" t="str">
        <f>"152326195401143318"</f>
        <v>152326195401143318</v>
      </c>
      <c r="E3999" s="1" t="s">
        <v>4021</v>
      </c>
      <c r="F3999" s="1" t="s">
        <v>25</v>
      </c>
      <c r="G3999" s="1" t="s">
        <v>19</v>
      </c>
      <c r="H3999" s="1" t="str">
        <f>"70"</f>
        <v>70</v>
      </c>
      <c r="I3999" s="1" t="str">
        <f>"163.56"</f>
        <v>163.56</v>
      </c>
      <c r="J3999" s="1" t="str">
        <f t="shared" si="2693"/>
        <v>0</v>
      </c>
      <c r="K3999" s="1" t="str">
        <f t="shared" si="2694"/>
        <v>103</v>
      </c>
      <c r="L3999" s="1" t="str">
        <f t="shared" si="2695"/>
        <v>47</v>
      </c>
      <c r="M3999" s="1" t="str">
        <f t="shared" si="2684"/>
        <v>0</v>
      </c>
      <c r="N3999" s="1" t="str">
        <f t="shared" si="2685"/>
        <v>0</v>
      </c>
      <c r="O3999" s="1" t="str">
        <f>"3.56"</f>
        <v>3.56</v>
      </c>
    </row>
    <row r="4000" s="1" customFormat="1" spans="1:15">
      <c r="A4000" s="1" t="str">
        <f t="shared" si="2686"/>
        <v>202406</v>
      </c>
      <c r="B4000" s="1" t="str">
        <f t="shared" si="2687"/>
        <v>150525100</v>
      </c>
      <c r="C4000" s="1" t="str">
        <f>"1040687719"</f>
        <v>1040687719</v>
      </c>
      <c r="D4000" s="1" t="str">
        <f>"152326195503073832"</f>
        <v>152326195503073832</v>
      </c>
      <c r="E4000" s="1" t="s">
        <v>4022</v>
      </c>
      <c r="F4000" s="1" t="s">
        <v>25</v>
      </c>
      <c r="G4000" s="1" t="s">
        <v>19</v>
      </c>
      <c r="H4000" s="1" t="str">
        <f>"69"</f>
        <v>69</v>
      </c>
      <c r="I4000" s="1" t="str">
        <f>"154.2"</f>
        <v>154.2</v>
      </c>
      <c r="J4000" s="1" t="str">
        <f t="shared" si="2693"/>
        <v>0</v>
      </c>
      <c r="K4000" s="1" t="str">
        <f t="shared" si="2694"/>
        <v>103</v>
      </c>
      <c r="L4000" s="1" t="str">
        <f t="shared" si="2695"/>
        <v>47</v>
      </c>
      <c r="M4000" s="1" t="str">
        <f t="shared" ref="M4000:M4063" si="2696">"0"</f>
        <v>0</v>
      </c>
      <c r="N4000" s="1" t="str">
        <f t="shared" si="2685"/>
        <v>0</v>
      </c>
      <c r="O4000" s="1" t="str">
        <f>"4.2"</f>
        <v>4.2</v>
      </c>
    </row>
    <row r="4001" s="1" customFormat="1" spans="1:15">
      <c r="A4001" s="1" t="str">
        <f t="shared" si="2686"/>
        <v>202406</v>
      </c>
      <c r="B4001" s="1" t="str">
        <f t="shared" si="2687"/>
        <v>150525100</v>
      </c>
      <c r="C4001" s="1" t="str">
        <f>"1040687740"</f>
        <v>1040687740</v>
      </c>
      <c r="D4001" s="1" t="str">
        <f>"152326195602113318"</f>
        <v>152326195602113318</v>
      </c>
      <c r="E4001" s="1" t="s">
        <v>4023</v>
      </c>
      <c r="F4001" s="1" t="s">
        <v>25</v>
      </c>
      <c r="G4001" s="1" t="s">
        <v>19</v>
      </c>
      <c r="H4001" s="1" t="str">
        <f t="shared" ref="H4001:H4006" si="2697">"68"</f>
        <v>68</v>
      </c>
      <c r="I4001" s="1" t="str">
        <f t="shared" ref="I4001:I4006" si="2698">"155.12"</f>
        <v>155.12</v>
      </c>
      <c r="J4001" s="1" t="str">
        <f t="shared" si="2693"/>
        <v>0</v>
      </c>
      <c r="K4001" s="1" t="str">
        <f t="shared" si="2694"/>
        <v>103</v>
      </c>
      <c r="L4001" s="1" t="str">
        <f t="shared" si="2695"/>
        <v>47</v>
      </c>
      <c r="M4001" s="1" t="str">
        <f t="shared" si="2696"/>
        <v>0</v>
      </c>
      <c r="N4001" s="1" t="str">
        <f t="shared" si="2685"/>
        <v>0</v>
      </c>
      <c r="O4001" s="1" t="str">
        <f t="shared" ref="O4001:O4006" si="2699">"5.12"</f>
        <v>5.12</v>
      </c>
    </row>
    <row r="4002" s="1" customFormat="1" spans="1:15">
      <c r="A4002" s="1" t="str">
        <f t="shared" si="2686"/>
        <v>202406</v>
      </c>
      <c r="B4002" s="1" t="str">
        <f t="shared" si="2687"/>
        <v>150525100</v>
      </c>
      <c r="C4002" s="1" t="str">
        <f>"1040647796"</f>
        <v>1040647796</v>
      </c>
      <c r="D4002" s="1" t="s">
        <v>4024</v>
      </c>
      <c r="E4002" s="1" t="s">
        <v>4025</v>
      </c>
      <c r="F4002" s="1" t="s">
        <v>25</v>
      </c>
      <c r="G4002" s="1" t="s">
        <v>19</v>
      </c>
      <c r="H4002" s="1" t="str">
        <f>"61"</f>
        <v>61</v>
      </c>
      <c r="I4002" s="1" t="str">
        <f>"164.15"</f>
        <v>164.15</v>
      </c>
      <c r="J4002" s="1" t="str">
        <f t="shared" si="2693"/>
        <v>0</v>
      </c>
      <c r="K4002" s="1" t="str">
        <f t="shared" si="2694"/>
        <v>103</v>
      </c>
      <c r="L4002" s="1" t="str">
        <f t="shared" si="2695"/>
        <v>47</v>
      </c>
      <c r="M4002" s="1" t="str">
        <f t="shared" si="2696"/>
        <v>0</v>
      </c>
      <c r="N4002" s="1" t="str">
        <f t="shared" si="2685"/>
        <v>0</v>
      </c>
      <c r="O4002" s="1" t="str">
        <f>"14.15"</f>
        <v>14.15</v>
      </c>
    </row>
    <row r="4003" s="1" customFormat="1" spans="1:15">
      <c r="A4003" s="1" t="str">
        <f t="shared" si="2686"/>
        <v>202406</v>
      </c>
      <c r="B4003" s="1" t="str">
        <f t="shared" si="2687"/>
        <v>150525100</v>
      </c>
      <c r="C4003" s="1" t="str">
        <f>"1040648147"</f>
        <v>1040648147</v>
      </c>
      <c r="D4003" s="1" t="str">
        <f>"152326196001230417"</f>
        <v>152326196001230417</v>
      </c>
      <c r="E4003" s="1" t="s">
        <v>4026</v>
      </c>
      <c r="F4003" s="1" t="s">
        <v>25</v>
      </c>
      <c r="G4003" s="1" t="s">
        <v>17</v>
      </c>
      <c r="H4003" s="1" t="str">
        <f>"64"</f>
        <v>64</v>
      </c>
      <c r="I4003" s="1" t="str">
        <f>"158.55"</f>
        <v>158.55</v>
      </c>
      <c r="J4003" s="1" t="str">
        <f t="shared" si="2693"/>
        <v>0</v>
      </c>
      <c r="K4003" s="1" t="str">
        <f t="shared" si="2694"/>
        <v>103</v>
      </c>
      <c r="L4003" s="1" t="str">
        <f t="shared" si="2695"/>
        <v>47</v>
      </c>
      <c r="M4003" s="1" t="str">
        <f t="shared" si="2696"/>
        <v>0</v>
      </c>
      <c r="N4003" s="1" t="str">
        <f t="shared" si="2685"/>
        <v>0</v>
      </c>
      <c r="O4003" s="1" t="str">
        <f>"8.55"</f>
        <v>8.55</v>
      </c>
    </row>
    <row r="4004" s="1" customFormat="1" spans="1:15">
      <c r="A4004" s="1" t="str">
        <f t="shared" si="2686"/>
        <v>202406</v>
      </c>
      <c r="B4004" s="1" t="str">
        <f t="shared" si="2687"/>
        <v>150525100</v>
      </c>
      <c r="C4004" s="1" t="str">
        <f>"1040648160"</f>
        <v>1040648160</v>
      </c>
      <c r="D4004" s="1" t="str">
        <f>"152326196203270417"</f>
        <v>152326196203270417</v>
      </c>
      <c r="E4004" s="1" t="s">
        <v>4027</v>
      </c>
      <c r="F4004" s="1" t="s">
        <v>25</v>
      </c>
      <c r="G4004" s="1" t="s">
        <v>19</v>
      </c>
      <c r="H4004" s="1" t="str">
        <f>"62"</f>
        <v>62</v>
      </c>
      <c r="I4004" s="1" t="str">
        <f>"162.32"</f>
        <v>162.32</v>
      </c>
      <c r="J4004" s="1" t="str">
        <f t="shared" si="2693"/>
        <v>0</v>
      </c>
      <c r="K4004" s="1" t="str">
        <f t="shared" si="2694"/>
        <v>103</v>
      </c>
      <c r="L4004" s="1" t="str">
        <f t="shared" si="2695"/>
        <v>47</v>
      </c>
      <c r="M4004" s="1" t="str">
        <f t="shared" si="2696"/>
        <v>0</v>
      </c>
      <c r="N4004" s="1" t="str">
        <f t="shared" si="2685"/>
        <v>0</v>
      </c>
      <c r="O4004" s="1" t="str">
        <f>"12.32"</f>
        <v>12.32</v>
      </c>
    </row>
    <row r="4005" s="1" customFormat="1" spans="1:15">
      <c r="A4005" s="1" t="str">
        <f t="shared" si="2686"/>
        <v>202406</v>
      </c>
      <c r="B4005" s="1" t="str">
        <f t="shared" si="2687"/>
        <v>150525100</v>
      </c>
      <c r="C4005" s="1" t="str">
        <f>"1040687760"</f>
        <v>1040687760</v>
      </c>
      <c r="D4005" s="1" t="str">
        <f>"152326195601083321"</f>
        <v>152326195601083321</v>
      </c>
      <c r="E4005" s="1" t="s">
        <v>4028</v>
      </c>
      <c r="F4005" s="1" t="s">
        <v>16</v>
      </c>
      <c r="G4005" s="1" t="s">
        <v>19</v>
      </c>
      <c r="H4005" s="1" t="str">
        <f t="shared" si="2697"/>
        <v>68</v>
      </c>
      <c r="I4005" s="1" t="str">
        <f t="shared" si="2698"/>
        <v>155.12</v>
      </c>
      <c r="J4005" s="1" t="str">
        <f t="shared" si="2693"/>
        <v>0</v>
      </c>
      <c r="K4005" s="1" t="str">
        <f t="shared" si="2694"/>
        <v>103</v>
      </c>
      <c r="L4005" s="1" t="str">
        <f t="shared" si="2695"/>
        <v>47</v>
      </c>
      <c r="M4005" s="1" t="str">
        <f t="shared" si="2696"/>
        <v>0</v>
      </c>
      <c r="N4005" s="1" t="str">
        <f t="shared" si="2685"/>
        <v>0</v>
      </c>
      <c r="O4005" s="1" t="str">
        <f t="shared" si="2699"/>
        <v>5.12</v>
      </c>
    </row>
    <row r="4006" s="1" customFormat="1" spans="1:15">
      <c r="A4006" s="1" t="str">
        <f t="shared" si="2686"/>
        <v>202406</v>
      </c>
      <c r="B4006" s="1" t="str">
        <f t="shared" si="2687"/>
        <v>150525100</v>
      </c>
      <c r="C4006" s="1" t="str">
        <f>"1040687776"</f>
        <v>1040687776</v>
      </c>
      <c r="D4006" s="1" t="str">
        <f>"152326195610170670"</f>
        <v>152326195610170670</v>
      </c>
      <c r="E4006" s="1" t="s">
        <v>4029</v>
      </c>
      <c r="F4006" s="1" t="s">
        <v>25</v>
      </c>
      <c r="G4006" s="1" t="s">
        <v>17</v>
      </c>
      <c r="H4006" s="1" t="str">
        <f t="shared" si="2697"/>
        <v>68</v>
      </c>
      <c r="I4006" s="1" t="str">
        <f t="shared" si="2698"/>
        <v>155.12</v>
      </c>
      <c r="J4006" s="1" t="str">
        <f t="shared" si="2693"/>
        <v>0</v>
      </c>
      <c r="K4006" s="1" t="str">
        <f t="shared" si="2694"/>
        <v>103</v>
      </c>
      <c r="L4006" s="1" t="str">
        <f t="shared" si="2695"/>
        <v>47</v>
      </c>
      <c r="M4006" s="1" t="str">
        <f t="shared" si="2696"/>
        <v>0</v>
      </c>
      <c r="N4006" s="1" t="str">
        <f t="shared" si="2685"/>
        <v>0</v>
      </c>
      <c r="O4006" s="1" t="str">
        <f t="shared" si="2699"/>
        <v>5.12</v>
      </c>
    </row>
    <row r="4007" s="1" customFormat="1" spans="1:15">
      <c r="A4007" s="1" t="str">
        <f t="shared" si="2686"/>
        <v>202406</v>
      </c>
      <c r="B4007" s="1" t="str">
        <f t="shared" si="2687"/>
        <v>150525100</v>
      </c>
      <c r="C4007" s="1" t="str">
        <f>"1040687824"</f>
        <v>1040687824</v>
      </c>
      <c r="D4007" s="1" t="str">
        <f>"152326195912113321"</f>
        <v>152326195912113321</v>
      </c>
      <c r="E4007" s="1" t="s">
        <v>29</v>
      </c>
      <c r="F4007" s="1" t="s">
        <v>16</v>
      </c>
      <c r="G4007" s="1" t="s">
        <v>17</v>
      </c>
      <c r="H4007" s="1" t="str">
        <f>"65"</f>
        <v>65</v>
      </c>
      <c r="I4007" s="1" t="str">
        <f>"157.29"</f>
        <v>157.29</v>
      </c>
      <c r="J4007" s="1" t="str">
        <f t="shared" si="2693"/>
        <v>0</v>
      </c>
      <c r="K4007" s="1" t="str">
        <f t="shared" si="2694"/>
        <v>103</v>
      </c>
      <c r="L4007" s="1" t="str">
        <f t="shared" si="2695"/>
        <v>47</v>
      </c>
      <c r="M4007" s="1" t="str">
        <f t="shared" si="2696"/>
        <v>0</v>
      </c>
      <c r="N4007" s="1" t="str">
        <f t="shared" ref="N4007:N4070" si="2700">"0"</f>
        <v>0</v>
      </c>
      <c r="O4007" s="1" t="str">
        <f>"7.29"</f>
        <v>7.29</v>
      </c>
    </row>
    <row r="4008" s="1" customFormat="1" spans="1:15">
      <c r="A4008" s="1" t="str">
        <f t="shared" si="2686"/>
        <v>202406</v>
      </c>
      <c r="B4008" s="1" t="str">
        <f t="shared" si="2687"/>
        <v>150525100</v>
      </c>
      <c r="C4008" s="1" t="str">
        <f>"1040687825"</f>
        <v>1040687825</v>
      </c>
      <c r="D4008" s="1" t="s">
        <v>4030</v>
      </c>
      <c r="E4008" s="1" t="s">
        <v>4031</v>
      </c>
      <c r="F4008" s="1" t="s">
        <v>16</v>
      </c>
      <c r="G4008" s="1" t="s">
        <v>17</v>
      </c>
      <c r="H4008" s="1" t="str">
        <f>"62"</f>
        <v>62</v>
      </c>
      <c r="I4008" s="1" t="str">
        <f>"161.99"</f>
        <v>161.99</v>
      </c>
      <c r="J4008" s="1" t="str">
        <f t="shared" si="2693"/>
        <v>0</v>
      </c>
      <c r="K4008" s="1" t="str">
        <f t="shared" si="2694"/>
        <v>103</v>
      </c>
      <c r="L4008" s="1" t="str">
        <f t="shared" si="2695"/>
        <v>47</v>
      </c>
      <c r="M4008" s="1" t="str">
        <f t="shared" si="2696"/>
        <v>0</v>
      </c>
      <c r="N4008" s="1" t="str">
        <f t="shared" si="2700"/>
        <v>0</v>
      </c>
      <c r="O4008" s="1" t="str">
        <f>"11.99"</f>
        <v>11.99</v>
      </c>
    </row>
    <row r="4009" s="1" customFormat="1" spans="1:15">
      <c r="A4009" s="1" t="str">
        <f t="shared" si="2686"/>
        <v>202406</v>
      </c>
      <c r="B4009" s="1" t="str">
        <f t="shared" si="2687"/>
        <v>150525100</v>
      </c>
      <c r="C4009" s="1" t="str">
        <f>"1040687831"</f>
        <v>1040687831</v>
      </c>
      <c r="D4009" s="1" t="str">
        <f>"152326195510213813"</f>
        <v>152326195510213813</v>
      </c>
      <c r="E4009" s="1" t="s">
        <v>4032</v>
      </c>
      <c r="F4009" s="1" t="s">
        <v>25</v>
      </c>
      <c r="G4009" s="1" t="s">
        <v>17</v>
      </c>
      <c r="H4009" s="1" t="str">
        <f>"69"</f>
        <v>69</v>
      </c>
      <c r="I4009" s="1" t="str">
        <f>"154.2"</f>
        <v>154.2</v>
      </c>
      <c r="J4009" s="1" t="str">
        <f t="shared" si="2693"/>
        <v>0</v>
      </c>
      <c r="K4009" s="1" t="str">
        <f t="shared" si="2694"/>
        <v>103</v>
      </c>
      <c r="L4009" s="1" t="str">
        <f t="shared" si="2695"/>
        <v>47</v>
      </c>
      <c r="M4009" s="1" t="str">
        <f t="shared" si="2696"/>
        <v>0</v>
      </c>
      <c r="N4009" s="1" t="str">
        <f t="shared" si="2700"/>
        <v>0</v>
      </c>
      <c r="O4009" s="1" t="str">
        <f>"4.2"</f>
        <v>4.2</v>
      </c>
    </row>
    <row r="4010" s="1" customFormat="1" spans="1:15">
      <c r="A4010" s="1" t="str">
        <f t="shared" si="2686"/>
        <v>202406</v>
      </c>
      <c r="B4010" s="1" t="str">
        <f t="shared" si="2687"/>
        <v>150525100</v>
      </c>
      <c r="C4010" s="1" t="str">
        <f>"1040687847"</f>
        <v>1040687847</v>
      </c>
      <c r="D4010" s="1" t="str">
        <f>"152326196306193813"</f>
        <v>152326196306193813</v>
      </c>
      <c r="E4010" s="1" t="s">
        <v>4033</v>
      </c>
      <c r="F4010" s="1" t="s">
        <v>25</v>
      </c>
      <c r="G4010" s="1" t="s">
        <v>17</v>
      </c>
      <c r="H4010" s="1" t="str">
        <f>"61"</f>
        <v>61</v>
      </c>
      <c r="I4010" s="1" t="str">
        <f>"164.02"</f>
        <v>164.02</v>
      </c>
      <c r="J4010" s="1" t="str">
        <f t="shared" si="2693"/>
        <v>0</v>
      </c>
      <c r="K4010" s="1" t="str">
        <f t="shared" si="2694"/>
        <v>103</v>
      </c>
      <c r="L4010" s="1" t="str">
        <f t="shared" si="2695"/>
        <v>47</v>
      </c>
      <c r="M4010" s="1" t="str">
        <f t="shared" si="2696"/>
        <v>0</v>
      </c>
      <c r="N4010" s="1" t="str">
        <f t="shared" si="2700"/>
        <v>0</v>
      </c>
      <c r="O4010" s="1" t="str">
        <f>"14.02"</f>
        <v>14.02</v>
      </c>
    </row>
    <row r="4011" s="1" customFormat="1" spans="1:15">
      <c r="A4011" s="1" t="str">
        <f t="shared" si="2686"/>
        <v>202406</v>
      </c>
      <c r="B4011" s="1" t="str">
        <f t="shared" si="2687"/>
        <v>150525100</v>
      </c>
      <c r="C4011" s="1" t="str">
        <f>"1040687859"</f>
        <v>1040687859</v>
      </c>
      <c r="D4011" s="1" t="str">
        <f>"152326196002200420"</f>
        <v>152326196002200420</v>
      </c>
      <c r="E4011" s="1" t="s">
        <v>4034</v>
      </c>
      <c r="F4011" s="1" t="s">
        <v>16</v>
      </c>
      <c r="G4011" s="1" t="s">
        <v>17</v>
      </c>
      <c r="H4011" s="1" t="str">
        <f t="shared" ref="H4011:H4013" si="2701">"64"</f>
        <v>64</v>
      </c>
      <c r="I4011" s="1" t="str">
        <f>"159.8"</f>
        <v>159.8</v>
      </c>
      <c r="J4011" s="1" t="str">
        <f t="shared" si="2693"/>
        <v>0</v>
      </c>
      <c r="K4011" s="1" t="str">
        <f t="shared" si="2694"/>
        <v>103</v>
      </c>
      <c r="L4011" s="1" t="str">
        <f t="shared" si="2695"/>
        <v>47</v>
      </c>
      <c r="M4011" s="1" t="str">
        <f t="shared" si="2696"/>
        <v>0</v>
      </c>
      <c r="N4011" s="1" t="str">
        <f t="shared" si="2700"/>
        <v>0</v>
      </c>
      <c r="O4011" s="1" t="str">
        <f>"9.8"</f>
        <v>9.8</v>
      </c>
    </row>
    <row r="4012" s="1" customFormat="1" spans="1:15">
      <c r="A4012" s="1" t="str">
        <f t="shared" si="2686"/>
        <v>202406</v>
      </c>
      <c r="B4012" s="1" t="str">
        <f t="shared" si="2687"/>
        <v>150525100</v>
      </c>
      <c r="C4012" s="1" t="str">
        <f>"1040687866"</f>
        <v>1040687866</v>
      </c>
      <c r="D4012" s="1" t="s">
        <v>4035</v>
      </c>
      <c r="E4012" s="1" t="s">
        <v>2290</v>
      </c>
      <c r="F4012" s="1" t="s">
        <v>16</v>
      </c>
      <c r="G4012" s="1" t="s">
        <v>19</v>
      </c>
      <c r="H4012" s="1" t="str">
        <f t="shared" si="2701"/>
        <v>64</v>
      </c>
      <c r="I4012" s="1" t="str">
        <f>"1582.2"</f>
        <v>1582.2</v>
      </c>
      <c r="J4012" s="1" t="str">
        <f>"1423.98"</f>
        <v>1423.98</v>
      </c>
      <c r="K4012" s="1" t="str">
        <f>"1030"</f>
        <v>1030</v>
      </c>
      <c r="L4012" s="1" t="str">
        <f>"470"</f>
        <v>470</v>
      </c>
      <c r="M4012" s="1" t="str">
        <f t="shared" si="2696"/>
        <v>0</v>
      </c>
      <c r="N4012" s="1" t="str">
        <f t="shared" si="2700"/>
        <v>0</v>
      </c>
      <c r="O4012" s="1" t="str">
        <f>"82.2"</f>
        <v>82.2</v>
      </c>
    </row>
    <row r="4013" s="1" customFormat="1" spans="1:15">
      <c r="A4013" s="1" t="str">
        <f t="shared" si="2686"/>
        <v>202406</v>
      </c>
      <c r="B4013" s="1" t="str">
        <f t="shared" si="2687"/>
        <v>150525100</v>
      </c>
      <c r="C4013" s="1" t="str">
        <f>"1040687884"</f>
        <v>1040687884</v>
      </c>
      <c r="D4013" s="1" t="str">
        <f>"152326196011260417"</f>
        <v>152326196011260417</v>
      </c>
      <c r="E4013" s="1" t="s">
        <v>4036</v>
      </c>
      <c r="F4013" s="1" t="s">
        <v>25</v>
      </c>
      <c r="G4013" s="1" t="s">
        <v>17</v>
      </c>
      <c r="H4013" s="1" t="str">
        <f t="shared" si="2701"/>
        <v>64</v>
      </c>
      <c r="I4013" s="1" t="str">
        <f>"158.33"</f>
        <v>158.33</v>
      </c>
      <c r="J4013" s="1" t="str">
        <f t="shared" ref="J4013:J4076" si="2702">"0"</f>
        <v>0</v>
      </c>
      <c r="K4013" s="1" t="str">
        <f t="shared" ref="K4013:K4061" si="2703">"103"</f>
        <v>103</v>
      </c>
      <c r="L4013" s="1" t="str">
        <f t="shared" ref="L4013:L4061" si="2704">"47"</f>
        <v>47</v>
      </c>
      <c r="M4013" s="1" t="str">
        <f t="shared" si="2696"/>
        <v>0</v>
      </c>
      <c r="N4013" s="1" t="str">
        <f t="shared" si="2700"/>
        <v>0</v>
      </c>
      <c r="O4013" s="1" t="str">
        <f>"8.33"</f>
        <v>8.33</v>
      </c>
    </row>
    <row r="4014" s="1" customFormat="1" spans="1:15">
      <c r="A4014" s="1" t="str">
        <f t="shared" si="2686"/>
        <v>202406</v>
      </c>
      <c r="B4014" s="1" t="str">
        <f t="shared" si="2687"/>
        <v>150525100</v>
      </c>
      <c r="C4014" s="1" t="str">
        <f>"1040653692"</f>
        <v>1040653692</v>
      </c>
      <c r="D4014" s="1" t="s">
        <v>4037</v>
      </c>
      <c r="E4014" s="1" t="s">
        <v>4038</v>
      </c>
      <c r="F4014" s="1" t="s">
        <v>16</v>
      </c>
      <c r="G4014" s="1" t="s">
        <v>19</v>
      </c>
      <c r="H4014" s="1" t="str">
        <f>"62"</f>
        <v>62</v>
      </c>
      <c r="I4014" s="1" t="str">
        <f>"162.56"</f>
        <v>162.56</v>
      </c>
      <c r="J4014" s="1" t="str">
        <f t="shared" si="2702"/>
        <v>0</v>
      </c>
      <c r="K4014" s="1" t="str">
        <f t="shared" si="2703"/>
        <v>103</v>
      </c>
      <c r="L4014" s="1" t="str">
        <f t="shared" si="2704"/>
        <v>47</v>
      </c>
      <c r="M4014" s="1" t="str">
        <f t="shared" si="2696"/>
        <v>0</v>
      </c>
      <c r="N4014" s="1" t="str">
        <f t="shared" si="2700"/>
        <v>0</v>
      </c>
      <c r="O4014" s="1" t="str">
        <f>"12.56"</f>
        <v>12.56</v>
      </c>
    </row>
    <row r="4015" s="1" customFormat="1" spans="1:15">
      <c r="A4015" s="1" t="str">
        <f t="shared" si="2686"/>
        <v>202406</v>
      </c>
      <c r="B4015" s="1" t="str">
        <f t="shared" si="2687"/>
        <v>150525100</v>
      </c>
      <c r="C4015" s="1" t="str">
        <f>"1040687922"</f>
        <v>1040687922</v>
      </c>
      <c r="D4015" s="1" t="str">
        <f>"152326195411203310"</f>
        <v>152326195411203310</v>
      </c>
      <c r="E4015" s="1" t="s">
        <v>4039</v>
      </c>
      <c r="F4015" s="1" t="s">
        <v>25</v>
      </c>
      <c r="G4015" s="1" t="s">
        <v>17</v>
      </c>
      <c r="H4015" s="1" t="str">
        <f>"70"</f>
        <v>70</v>
      </c>
      <c r="I4015" s="1" t="str">
        <f>"153.25"</f>
        <v>153.25</v>
      </c>
      <c r="J4015" s="1" t="str">
        <f t="shared" si="2702"/>
        <v>0</v>
      </c>
      <c r="K4015" s="1" t="str">
        <f t="shared" si="2703"/>
        <v>103</v>
      </c>
      <c r="L4015" s="1" t="str">
        <f t="shared" si="2704"/>
        <v>47</v>
      </c>
      <c r="M4015" s="1" t="str">
        <f t="shared" si="2696"/>
        <v>0</v>
      </c>
      <c r="N4015" s="1" t="str">
        <f t="shared" si="2700"/>
        <v>0</v>
      </c>
      <c r="O4015" s="1" t="str">
        <f>"3.25"</f>
        <v>3.25</v>
      </c>
    </row>
    <row r="4016" s="1" customFormat="1" spans="1:15">
      <c r="A4016" s="1" t="str">
        <f t="shared" si="2686"/>
        <v>202406</v>
      </c>
      <c r="B4016" s="1" t="str">
        <f t="shared" si="2687"/>
        <v>150525100</v>
      </c>
      <c r="C4016" s="1" t="str">
        <f>"1040687926"</f>
        <v>1040687926</v>
      </c>
      <c r="D4016" s="1" t="str">
        <f>"152326195805163323"</f>
        <v>152326195805163323</v>
      </c>
      <c r="E4016" s="1" t="s">
        <v>329</v>
      </c>
      <c r="F4016" s="1" t="s">
        <v>16</v>
      </c>
      <c r="G4016" s="1" t="s">
        <v>17</v>
      </c>
      <c r="H4016" s="1" t="str">
        <f>"66"</f>
        <v>66</v>
      </c>
      <c r="I4016" s="1" t="str">
        <f>"156.95"</f>
        <v>156.95</v>
      </c>
      <c r="J4016" s="1" t="str">
        <f t="shared" si="2702"/>
        <v>0</v>
      </c>
      <c r="K4016" s="1" t="str">
        <f t="shared" si="2703"/>
        <v>103</v>
      </c>
      <c r="L4016" s="1" t="str">
        <f t="shared" si="2704"/>
        <v>47</v>
      </c>
      <c r="M4016" s="1" t="str">
        <f t="shared" si="2696"/>
        <v>0</v>
      </c>
      <c r="N4016" s="1" t="str">
        <f t="shared" si="2700"/>
        <v>0</v>
      </c>
      <c r="O4016" s="1" t="str">
        <f>"6.95"</f>
        <v>6.95</v>
      </c>
    </row>
    <row r="4017" s="1" customFormat="1" spans="1:15">
      <c r="A4017" s="1" t="str">
        <f t="shared" si="2686"/>
        <v>202406</v>
      </c>
      <c r="B4017" s="1" t="str">
        <f t="shared" si="2687"/>
        <v>150525100</v>
      </c>
      <c r="C4017" s="1" t="str">
        <f>"1040688123"</f>
        <v>1040688123</v>
      </c>
      <c r="D4017" s="1" t="str">
        <f>"152326195702120419"</f>
        <v>152326195702120419</v>
      </c>
      <c r="E4017" s="1" t="s">
        <v>4040</v>
      </c>
      <c r="F4017" s="1" t="s">
        <v>25</v>
      </c>
      <c r="G4017" s="1" t="s">
        <v>17</v>
      </c>
      <c r="H4017" s="1" t="str">
        <f t="shared" ref="H4017:H4021" si="2705">"67"</f>
        <v>67</v>
      </c>
      <c r="I4017" s="1" t="str">
        <f>"155.14"</f>
        <v>155.14</v>
      </c>
      <c r="J4017" s="1" t="str">
        <f t="shared" si="2702"/>
        <v>0</v>
      </c>
      <c r="K4017" s="1" t="str">
        <f t="shared" si="2703"/>
        <v>103</v>
      </c>
      <c r="L4017" s="1" t="str">
        <f t="shared" si="2704"/>
        <v>47</v>
      </c>
      <c r="M4017" s="1" t="str">
        <f t="shared" si="2696"/>
        <v>0</v>
      </c>
      <c r="N4017" s="1" t="str">
        <f t="shared" si="2700"/>
        <v>0</v>
      </c>
      <c r="O4017" s="1" t="str">
        <f>"5.14"</f>
        <v>5.14</v>
      </c>
    </row>
    <row r="4018" s="1" customFormat="1" spans="1:15">
      <c r="A4018" s="1" t="str">
        <f t="shared" si="2686"/>
        <v>202406</v>
      </c>
      <c r="B4018" s="1" t="str">
        <f t="shared" si="2687"/>
        <v>150525100</v>
      </c>
      <c r="C4018" s="1" t="str">
        <f>"1040688201"</f>
        <v>1040688201</v>
      </c>
      <c r="D4018" s="1" t="str">
        <f>"152326196210090019"</f>
        <v>152326196210090019</v>
      </c>
      <c r="E4018" s="1" t="s">
        <v>4041</v>
      </c>
      <c r="F4018" s="1" t="s">
        <v>25</v>
      </c>
      <c r="G4018" s="1" t="s">
        <v>17</v>
      </c>
      <c r="H4018" s="1" t="str">
        <f>"62"</f>
        <v>62</v>
      </c>
      <c r="I4018" s="1" t="str">
        <f>"165.2"</f>
        <v>165.2</v>
      </c>
      <c r="J4018" s="1" t="str">
        <f t="shared" si="2702"/>
        <v>0</v>
      </c>
      <c r="K4018" s="1" t="str">
        <f t="shared" si="2703"/>
        <v>103</v>
      </c>
      <c r="L4018" s="1" t="str">
        <f t="shared" si="2704"/>
        <v>47</v>
      </c>
      <c r="M4018" s="1" t="str">
        <f t="shared" si="2696"/>
        <v>0</v>
      </c>
      <c r="N4018" s="1" t="str">
        <f t="shared" si="2700"/>
        <v>0</v>
      </c>
      <c r="O4018" s="1" t="str">
        <f>"15.2"</f>
        <v>15.2</v>
      </c>
    </row>
    <row r="4019" s="1" customFormat="1" spans="1:15">
      <c r="A4019" s="1" t="str">
        <f t="shared" si="2686"/>
        <v>202406</v>
      </c>
      <c r="B4019" s="1" t="str">
        <f t="shared" si="2687"/>
        <v>150525100</v>
      </c>
      <c r="C4019" s="1" t="str">
        <f>"1040935300"</f>
        <v>1040935300</v>
      </c>
      <c r="D4019" s="1" t="str">
        <f>"152326195709020920"</f>
        <v>152326195709020920</v>
      </c>
      <c r="E4019" s="1" t="s">
        <v>3606</v>
      </c>
      <c r="F4019" s="1" t="s">
        <v>16</v>
      </c>
      <c r="G4019" s="1" t="s">
        <v>19</v>
      </c>
      <c r="H4019" s="1" t="str">
        <f t="shared" si="2705"/>
        <v>67</v>
      </c>
      <c r="I4019" s="1" t="str">
        <f>"154.59"</f>
        <v>154.59</v>
      </c>
      <c r="J4019" s="1" t="str">
        <f t="shared" si="2702"/>
        <v>0</v>
      </c>
      <c r="K4019" s="1" t="str">
        <f t="shared" si="2703"/>
        <v>103</v>
      </c>
      <c r="L4019" s="1" t="str">
        <f t="shared" si="2704"/>
        <v>47</v>
      </c>
      <c r="M4019" s="1" t="str">
        <f t="shared" si="2696"/>
        <v>0</v>
      </c>
      <c r="N4019" s="1" t="str">
        <f t="shared" si="2700"/>
        <v>0</v>
      </c>
      <c r="O4019" s="1" t="str">
        <f>"4.59"</f>
        <v>4.59</v>
      </c>
    </row>
    <row r="4020" s="1" customFormat="1" spans="1:15">
      <c r="A4020" s="1" t="str">
        <f t="shared" si="2686"/>
        <v>202406</v>
      </c>
      <c r="B4020" s="1" t="str">
        <f t="shared" si="2687"/>
        <v>150525100</v>
      </c>
      <c r="C4020" s="1" t="str">
        <f>"1040935365"</f>
        <v>1040935365</v>
      </c>
      <c r="D4020" s="1" t="str">
        <f>"152326195710143848"</f>
        <v>152326195710143848</v>
      </c>
      <c r="E4020" s="1" t="s">
        <v>4042</v>
      </c>
      <c r="F4020" s="1" t="s">
        <v>16</v>
      </c>
      <c r="G4020" s="1" t="s">
        <v>17</v>
      </c>
      <c r="H4020" s="1" t="str">
        <f t="shared" si="2705"/>
        <v>67</v>
      </c>
      <c r="I4020" s="1" t="str">
        <f>"154.61"</f>
        <v>154.61</v>
      </c>
      <c r="J4020" s="1" t="str">
        <f t="shared" si="2702"/>
        <v>0</v>
      </c>
      <c r="K4020" s="1" t="str">
        <f t="shared" si="2703"/>
        <v>103</v>
      </c>
      <c r="L4020" s="1" t="str">
        <f t="shared" si="2704"/>
        <v>47</v>
      </c>
      <c r="M4020" s="1" t="str">
        <f t="shared" si="2696"/>
        <v>0</v>
      </c>
      <c r="N4020" s="1" t="str">
        <f t="shared" si="2700"/>
        <v>0</v>
      </c>
      <c r="O4020" s="1" t="str">
        <f>"4.61"</f>
        <v>4.61</v>
      </c>
    </row>
    <row r="4021" s="1" customFormat="1" spans="1:15">
      <c r="A4021" s="1" t="str">
        <f t="shared" si="2686"/>
        <v>202406</v>
      </c>
      <c r="B4021" s="1" t="str">
        <f t="shared" si="2687"/>
        <v>150525100</v>
      </c>
      <c r="C4021" s="1" t="str">
        <f>"1040935368"</f>
        <v>1040935368</v>
      </c>
      <c r="D4021" s="1" t="str">
        <f>"152326195707253077"</f>
        <v>152326195707253077</v>
      </c>
      <c r="E4021" s="1" t="s">
        <v>4043</v>
      </c>
      <c r="F4021" s="1" t="s">
        <v>25</v>
      </c>
      <c r="G4021" s="1" t="s">
        <v>17</v>
      </c>
      <c r="H4021" s="1" t="str">
        <f t="shared" si="2705"/>
        <v>67</v>
      </c>
      <c r="I4021" s="1" t="str">
        <f>"155.2"</f>
        <v>155.2</v>
      </c>
      <c r="J4021" s="1" t="str">
        <f t="shared" si="2702"/>
        <v>0</v>
      </c>
      <c r="K4021" s="1" t="str">
        <f t="shared" si="2703"/>
        <v>103</v>
      </c>
      <c r="L4021" s="1" t="str">
        <f t="shared" si="2704"/>
        <v>47</v>
      </c>
      <c r="M4021" s="1" t="str">
        <f t="shared" si="2696"/>
        <v>0</v>
      </c>
      <c r="N4021" s="1" t="str">
        <f t="shared" si="2700"/>
        <v>0</v>
      </c>
      <c r="O4021" s="1" t="str">
        <f>"5.2"</f>
        <v>5.2</v>
      </c>
    </row>
    <row r="4022" s="1" customFormat="1" spans="1:15">
      <c r="A4022" s="1" t="str">
        <f t="shared" si="2686"/>
        <v>202406</v>
      </c>
      <c r="B4022" s="1" t="str">
        <f t="shared" si="2687"/>
        <v>150525100</v>
      </c>
      <c r="C4022" s="1" t="str">
        <f>"1040935372"</f>
        <v>1040935372</v>
      </c>
      <c r="D4022" s="1" t="str">
        <f>"152326195605140012"</f>
        <v>152326195605140012</v>
      </c>
      <c r="E4022" s="1" t="s">
        <v>4044</v>
      </c>
      <c r="F4022" s="1" t="s">
        <v>25</v>
      </c>
      <c r="G4022" s="1" t="s">
        <v>17</v>
      </c>
      <c r="H4022" s="1" t="str">
        <f>"68"</f>
        <v>68</v>
      </c>
      <c r="I4022" s="1" t="str">
        <f>"155.43"</f>
        <v>155.43</v>
      </c>
      <c r="J4022" s="1" t="str">
        <f t="shared" si="2702"/>
        <v>0</v>
      </c>
      <c r="K4022" s="1" t="str">
        <f t="shared" si="2703"/>
        <v>103</v>
      </c>
      <c r="L4022" s="1" t="str">
        <f t="shared" si="2704"/>
        <v>47</v>
      </c>
      <c r="M4022" s="1" t="str">
        <f t="shared" si="2696"/>
        <v>0</v>
      </c>
      <c r="N4022" s="1" t="str">
        <f t="shared" si="2700"/>
        <v>0</v>
      </c>
      <c r="O4022" s="1" t="str">
        <f>"5.43"</f>
        <v>5.43</v>
      </c>
    </row>
    <row r="4023" s="1" customFormat="1" spans="1:15">
      <c r="A4023" s="1" t="str">
        <f t="shared" si="2686"/>
        <v>202406</v>
      </c>
      <c r="B4023" s="1" t="str">
        <f t="shared" si="2687"/>
        <v>150525100</v>
      </c>
      <c r="C4023" s="1" t="str">
        <f>"1040935373"</f>
        <v>1040935373</v>
      </c>
      <c r="D4023" s="1" t="str">
        <f>"152326195609300028"</f>
        <v>152326195609300028</v>
      </c>
      <c r="E4023" s="1" t="s">
        <v>4045</v>
      </c>
      <c r="F4023" s="1" t="s">
        <v>16</v>
      </c>
      <c r="G4023" s="1" t="s">
        <v>17</v>
      </c>
      <c r="H4023" s="1" t="str">
        <f>"68"</f>
        <v>68</v>
      </c>
      <c r="I4023" s="1" t="str">
        <f>"155.43"</f>
        <v>155.43</v>
      </c>
      <c r="J4023" s="1" t="str">
        <f t="shared" si="2702"/>
        <v>0</v>
      </c>
      <c r="K4023" s="1" t="str">
        <f t="shared" si="2703"/>
        <v>103</v>
      </c>
      <c r="L4023" s="1" t="str">
        <f t="shared" si="2704"/>
        <v>47</v>
      </c>
      <c r="M4023" s="1" t="str">
        <f t="shared" si="2696"/>
        <v>0</v>
      </c>
      <c r="N4023" s="1" t="str">
        <f t="shared" si="2700"/>
        <v>0</v>
      </c>
      <c r="O4023" s="1" t="str">
        <f>"5.43"</f>
        <v>5.43</v>
      </c>
    </row>
    <row r="4024" s="1" customFormat="1" spans="1:15">
      <c r="A4024" s="1" t="str">
        <f t="shared" si="2686"/>
        <v>202406</v>
      </c>
      <c r="B4024" s="1" t="str">
        <f t="shared" si="2687"/>
        <v>150525100</v>
      </c>
      <c r="C4024" s="1" t="str">
        <f>"1040935402"</f>
        <v>1040935402</v>
      </c>
      <c r="D4024" s="1" t="str">
        <f>"152326196007030029"</f>
        <v>152326196007030029</v>
      </c>
      <c r="E4024" s="1" t="s">
        <v>4046</v>
      </c>
      <c r="F4024" s="1" t="s">
        <v>16</v>
      </c>
      <c r="G4024" s="1" t="s">
        <v>17</v>
      </c>
      <c r="H4024" s="1" t="str">
        <f>"64"</f>
        <v>64</v>
      </c>
      <c r="I4024" s="1" t="str">
        <f>"158.6"</f>
        <v>158.6</v>
      </c>
      <c r="J4024" s="1" t="str">
        <f t="shared" si="2702"/>
        <v>0</v>
      </c>
      <c r="K4024" s="1" t="str">
        <f t="shared" si="2703"/>
        <v>103</v>
      </c>
      <c r="L4024" s="1" t="str">
        <f t="shared" si="2704"/>
        <v>47</v>
      </c>
      <c r="M4024" s="1" t="str">
        <f t="shared" si="2696"/>
        <v>0</v>
      </c>
      <c r="N4024" s="1" t="str">
        <f t="shared" si="2700"/>
        <v>0</v>
      </c>
      <c r="O4024" s="1" t="str">
        <f>"8.6"</f>
        <v>8.6</v>
      </c>
    </row>
    <row r="4025" s="1" customFormat="1" spans="1:15">
      <c r="A4025" s="1" t="str">
        <f t="shared" si="2686"/>
        <v>202406</v>
      </c>
      <c r="B4025" s="1" t="str">
        <f t="shared" si="2687"/>
        <v>150525100</v>
      </c>
      <c r="C4025" s="1" t="str">
        <f>"1040935492"</f>
        <v>1040935492</v>
      </c>
      <c r="D4025" s="1" t="s">
        <v>4047</v>
      </c>
      <c r="E4025" s="1" t="s">
        <v>4048</v>
      </c>
      <c r="F4025" s="1" t="s">
        <v>25</v>
      </c>
      <c r="G4025" s="1" t="s">
        <v>17</v>
      </c>
      <c r="H4025" s="1" t="str">
        <f>"66"</f>
        <v>66</v>
      </c>
      <c r="I4025" s="1" t="str">
        <f>"171.91"</f>
        <v>171.91</v>
      </c>
      <c r="J4025" s="1" t="str">
        <f t="shared" si="2702"/>
        <v>0</v>
      </c>
      <c r="K4025" s="1" t="str">
        <f t="shared" si="2703"/>
        <v>103</v>
      </c>
      <c r="L4025" s="1" t="str">
        <f t="shared" si="2704"/>
        <v>47</v>
      </c>
      <c r="M4025" s="1" t="str">
        <f t="shared" si="2696"/>
        <v>0</v>
      </c>
      <c r="N4025" s="1" t="str">
        <f t="shared" si="2700"/>
        <v>0</v>
      </c>
      <c r="O4025" s="1" t="str">
        <f>"21.91"</f>
        <v>21.91</v>
      </c>
    </row>
    <row r="4026" s="1" customFormat="1" spans="1:15">
      <c r="A4026" s="1" t="str">
        <f t="shared" si="2686"/>
        <v>202406</v>
      </c>
      <c r="B4026" s="1" t="str">
        <f t="shared" si="2687"/>
        <v>150525100</v>
      </c>
      <c r="C4026" s="1" t="str">
        <f>"1040914945"</f>
        <v>1040914945</v>
      </c>
      <c r="D4026" s="1" t="str">
        <f>"152326195811010411"</f>
        <v>152326195811010411</v>
      </c>
      <c r="E4026" s="1" t="s">
        <v>4049</v>
      </c>
      <c r="F4026" s="1" t="s">
        <v>25</v>
      </c>
      <c r="G4026" s="1" t="s">
        <v>17</v>
      </c>
      <c r="H4026" s="1" t="str">
        <f>"66"</f>
        <v>66</v>
      </c>
      <c r="I4026" s="1" t="str">
        <f>"155.34"</f>
        <v>155.34</v>
      </c>
      <c r="J4026" s="1" t="str">
        <f t="shared" si="2702"/>
        <v>0</v>
      </c>
      <c r="K4026" s="1" t="str">
        <f t="shared" si="2703"/>
        <v>103</v>
      </c>
      <c r="L4026" s="1" t="str">
        <f t="shared" si="2704"/>
        <v>47</v>
      </c>
      <c r="M4026" s="1" t="str">
        <f t="shared" si="2696"/>
        <v>0</v>
      </c>
      <c r="N4026" s="1" t="str">
        <f t="shared" si="2700"/>
        <v>0</v>
      </c>
      <c r="O4026" s="1" t="str">
        <f>"5.34"</f>
        <v>5.34</v>
      </c>
    </row>
    <row r="4027" s="1" customFormat="1" spans="1:15">
      <c r="A4027" s="1" t="str">
        <f t="shared" si="2686"/>
        <v>202406</v>
      </c>
      <c r="B4027" s="1" t="str">
        <f t="shared" si="2687"/>
        <v>150525100</v>
      </c>
      <c r="C4027" s="1" t="str">
        <f>"1040940315"</f>
        <v>1040940315</v>
      </c>
      <c r="D4027" s="1" t="str">
        <f>"152326196304063812"</f>
        <v>152326196304063812</v>
      </c>
      <c r="E4027" s="1" t="s">
        <v>4050</v>
      </c>
      <c r="F4027" s="1" t="s">
        <v>25</v>
      </c>
      <c r="G4027" s="1" t="s">
        <v>17</v>
      </c>
      <c r="H4027" s="1" t="str">
        <f>"61"</f>
        <v>61</v>
      </c>
      <c r="I4027" s="1" t="str">
        <f>"163.97"</f>
        <v>163.97</v>
      </c>
      <c r="J4027" s="1" t="str">
        <f t="shared" si="2702"/>
        <v>0</v>
      </c>
      <c r="K4027" s="1" t="str">
        <f t="shared" si="2703"/>
        <v>103</v>
      </c>
      <c r="L4027" s="1" t="str">
        <f t="shared" si="2704"/>
        <v>47</v>
      </c>
      <c r="M4027" s="1" t="str">
        <f t="shared" si="2696"/>
        <v>0</v>
      </c>
      <c r="N4027" s="1" t="str">
        <f t="shared" si="2700"/>
        <v>0</v>
      </c>
      <c r="O4027" s="1" t="str">
        <f>"13.97"</f>
        <v>13.97</v>
      </c>
    </row>
    <row r="4028" s="1" customFormat="1" spans="1:15">
      <c r="A4028" s="1" t="str">
        <f t="shared" si="2686"/>
        <v>202406</v>
      </c>
      <c r="B4028" s="1" t="str">
        <f t="shared" si="2687"/>
        <v>150525100</v>
      </c>
      <c r="C4028" s="1" t="str">
        <f>"1040924250"</f>
        <v>1040924250</v>
      </c>
      <c r="D4028" s="1" t="str">
        <f>"152326196009184611"</f>
        <v>152326196009184611</v>
      </c>
      <c r="E4028" s="1" t="s">
        <v>1513</v>
      </c>
      <c r="F4028" s="1" t="s">
        <v>25</v>
      </c>
      <c r="G4028" s="1" t="s">
        <v>19</v>
      </c>
      <c r="H4028" s="1" t="str">
        <f>"64"</f>
        <v>64</v>
      </c>
      <c r="I4028" s="1" t="str">
        <f>"158.45"</f>
        <v>158.45</v>
      </c>
      <c r="J4028" s="1" t="str">
        <f t="shared" si="2702"/>
        <v>0</v>
      </c>
      <c r="K4028" s="1" t="str">
        <f t="shared" si="2703"/>
        <v>103</v>
      </c>
      <c r="L4028" s="1" t="str">
        <f t="shared" si="2704"/>
        <v>47</v>
      </c>
      <c r="M4028" s="1" t="str">
        <f t="shared" si="2696"/>
        <v>0</v>
      </c>
      <c r="N4028" s="1" t="str">
        <f t="shared" si="2700"/>
        <v>0</v>
      </c>
      <c r="O4028" s="1" t="str">
        <f>"8.45"</f>
        <v>8.45</v>
      </c>
    </row>
    <row r="4029" s="1" customFormat="1" spans="1:15">
      <c r="A4029" s="1" t="str">
        <f t="shared" si="2686"/>
        <v>202406</v>
      </c>
      <c r="B4029" s="1" t="str">
        <f t="shared" si="2687"/>
        <v>150525100</v>
      </c>
      <c r="C4029" s="1" t="str">
        <f>"1040929633"</f>
        <v>1040929633</v>
      </c>
      <c r="D4029" s="1" t="str">
        <f>"152326196206163318"</f>
        <v>152326196206163318</v>
      </c>
      <c r="E4029" s="1" t="s">
        <v>4051</v>
      </c>
      <c r="F4029" s="1" t="s">
        <v>25</v>
      </c>
      <c r="G4029" s="1" t="s">
        <v>17</v>
      </c>
      <c r="H4029" s="1" t="str">
        <f>"62"</f>
        <v>62</v>
      </c>
      <c r="I4029" s="1" t="str">
        <f>"161.12"</f>
        <v>161.12</v>
      </c>
      <c r="J4029" s="1" t="str">
        <f t="shared" si="2702"/>
        <v>0</v>
      </c>
      <c r="K4029" s="1" t="str">
        <f t="shared" si="2703"/>
        <v>103</v>
      </c>
      <c r="L4029" s="1" t="str">
        <f t="shared" si="2704"/>
        <v>47</v>
      </c>
      <c r="M4029" s="1" t="str">
        <f t="shared" si="2696"/>
        <v>0</v>
      </c>
      <c r="N4029" s="1" t="str">
        <f t="shared" si="2700"/>
        <v>0</v>
      </c>
      <c r="O4029" s="1" t="str">
        <f>"11.12"</f>
        <v>11.12</v>
      </c>
    </row>
    <row r="4030" s="1" customFormat="1" spans="1:15">
      <c r="A4030" s="1" t="str">
        <f t="shared" si="2686"/>
        <v>202406</v>
      </c>
      <c r="B4030" s="1" t="str">
        <f t="shared" si="2687"/>
        <v>150525100</v>
      </c>
      <c r="C4030" s="1" t="str">
        <f>"1040938662"</f>
        <v>1040938662</v>
      </c>
      <c r="D4030" s="1" t="s">
        <v>4052</v>
      </c>
      <c r="E4030" s="1" t="s">
        <v>4053</v>
      </c>
      <c r="F4030" s="1" t="s">
        <v>16</v>
      </c>
      <c r="G4030" s="1" t="s">
        <v>17</v>
      </c>
      <c r="H4030" s="1" t="str">
        <f>"62"</f>
        <v>62</v>
      </c>
      <c r="I4030" s="1" t="str">
        <f>"161.19"</f>
        <v>161.19</v>
      </c>
      <c r="J4030" s="1" t="str">
        <f t="shared" si="2702"/>
        <v>0</v>
      </c>
      <c r="K4030" s="1" t="str">
        <f t="shared" si="2703"/>
        <v>103</v>
      </c>
      <c r="L4030" s="1" t="str">
        <f t="shared" si="2704"/>
        <v>47</v>
      </c>
      <c r="M4030" s="1" t="str">
        <f t="shared" si="2696"/>
        <v>0</v>
      </c>
      <c r="N4030" s="1" t="str">
        <f t="shared" si="2700"/>
        <v>0</v>
      </c>
      <c r="O4030" s="1" t="str">
        <f>"11.19"</f>
        <v>11.19</v>
      </c>
    </row>
    <row r="4031" s="1" customFormat="1" spans="1:15">
      <c r="A4031" s="1" t="str">
        <f t="shared" si="2686"/>
        <v>202406</v>
      </c>
      <c r="B4031" s="1" t="str">
        <f t="shared" si="2687"/>
        <v>150525100</v>
      </c>
      <c r="C4031" s="1" t="str">
        <f>"1040924268"</f>
        <v>1040924268</v>
      </c>
      <c r="D4031" s="1" t="str">
        <f>"152326195808113348"</f>
        <v>152326195808113348</v>
      </c>
      <c r="E4031" s="1" t="s">
        <v>4054</v>
      </c>
      <c r="F4031" s="1" t="s">
        <v>16</v>
      </c>
      <c r="G4031" s="1" t="s">
        <v>19</v>
      </c>
      <c r="H4031" s="1" t="str">
        <f>"66"</f>
        <v>66</v>
      </c>
      <c r="I4031" s="1" t="str">
        <f>"155.32"</f>
        <v>155.32</v>
      </c>
      <c r="J4031" s="1" t="str">
        <f t="shared" si="2702"/>
        <v>0</v>
      </c>
      <c r="K4031" s="1" t="str">
        <f t="shared" si="2703"/>
        <v>103</v>
      </c>
      <c r="L4031" s="1" t="str">
        <f t="shared" si="2704"/>
        <v>47</v>
      </c>
      <c r="M4031" s="1" t="str">
        <f t="shared" si="2696"/>
        <v>0</v>
      </c>
      <c r="N4031" s="1" t="str">
        <f t="shared" si="2700"/>
        <v>0</v>
      </c>
      <c r="O4031" s="1" t="str">
        <f>"5.32"</f>
        <v>5.32</v>
      </c>
    </row>
    <row r="4032" s="1" customFormat="1" spans="1:15">
      <c r="A4032" s="1" t="str">
        <f t="shared" si="2686"/>
        <v>202406</v>
      </c>
      <c r="B4032" s="1" t="str">
        <f t="shared" si="2687"/>
        <v>150525100</v>
      </c>
      <c r="C4032" s="1" t="str">
        <f>"1040924282"</f>
        <v>1040924282</v>
      </c>
      <c r="D4032" s="1" t="str">
        <f>"152326195707073316"</f>
        <v>152326195707073316</v>
      </c>
      <c r="E4032" s="1" t="s">
        <v>4055</v>
      </c>
      <c r="F4032" s="1" t="s">
        <v>25</v>
      </c>
      <c r="G4032" s="1" t="s">
        <v>19</v>
      </c>
      <c r="H4032" s="1" t="str">
        <f>"67"</f>
        <v>67</v>
      </c>
      <c r="I4032" s="1" t="str">
        <f>"154.32"</f>
        <v>154.32</v>
      </c>
      <c r="J4032" s="1" t="str">
        <f t="shared" si="2702"/>
        <v>0</v>
      </c>
      <c r="K4032" s="1" t="str">
        <f t="shared" si="2703"/>
        <v>103</v>
      </c>
      <c r="L4032" s="1" t="str">
        <f t="shared" si="2704"/>
        <v>47</v>
      </c>
      <c r="M4032" s="1" t="str">
        <f t="shared" si="2696"/>
        <v>0</v>
      </c>
      <c r="N4032" s="1" t="str">
        <f t="shared" si="2700"/>
        <v>0</v>
      </c>
      <c r="O4032" s="1" t="str">
        <f>"4.32"</f>
        <v>4.32</v>
      </c>
    </row>
    <row r="4033" s="1" customFormat="1" spans="1:15">
      <c r="A4033" s="1" t="str">
        <f t="shared" si="2686"/>
        <v>202406</v>
      </c>
      <c r="B4033" s="1" t="str">
        <f t="shared" si="2687"/>
        <v>150525100</v>
      </c>
      <c r="C4033" s="1" t="str">
        <f>"1040938659"</f>
        <v>1040938659</v>
      </c>
      <c r="D4033" s="1" t="str">
        <f>"152326196105153815"</f>
        <v>152326196105153815</v>
      </c>
      <c r="E4033" s="1" t="s">
        <v>4056</v>
      </c>
      <c r="F4033" s="1" t="s">
        <v>25</v>
      </c>
      <c r="G4033" s="1" t="s">
        <v>17</v>
      </c>
      <c r="H4033" s="1" t="str">
        <f>"63"</f>
        <v>63</v>
      </c>
      <c r="I4033" s="1" t="str">
        <f>"159.18"</f>
        <v>159.18</v>
      </c>
      <c r="J4033" s="1" t="str">
        <f t="shared" si="2702"/>
        <v>0</v>
      </c>
      <c r="K4033" s="1" t="str">
        <f t="shared" si="2703"/>
        <v>103</v>
      </c>
      <c r="L4033" s="1" t="str">
        <f t="shared" si="2704"/>
        <v>47</v>
      </c>
      <c r="M4033" s="1" t="str">
        <f t="shared" si="2696"/>
        <v>0</v>
      </c>
      <c r="N4033" s="1" t="str">
        <f t="shared" si="2700"/>
        <v>0</v>
      </c>
      <c r="O4033" s="1" t="str">
        <f>"9.18"</f>
        <v>9.18</v>
      </c>
    </row>
    <row r="4034" s="1" customFormat="1" spans="1:15">
      <c r="A4034" s="1" t="str">
        <f t="shared" ref="A4034:A4097" si="2706">"202406"</f>
        <v>202406</v>
      </c>
      <c r="B4034" s="1" t="str">
        <f t="shared" ref="B4034:B4097" si="2707">"150525100"</f>
        <v>150525100</v>
      </c>
      <c r="C4034" s="1" t="str">
        <f>"1040961697"</f>
        <v>1040961697</v>
      </c>
      <c r="D4034" s="1" t="str">
        <f>"152326195511043318"</f>
        <v>152326195511043318</v>
      </c>
      <c r="E4034" s="1" t="s">
        <v>4057</v>
      </c>
      <c r="F4034" s="1" t="s">
        <v>25</v>
      </c>
      <c r="G4034" s="1" t="s">
        <v>96</v>
      </c>
      <c r="H4034" s="1" t="str">
        <f>"69"</f>
        <v>69</v>
      </c>
      <c r="I4034" s="1" t="str">
        <f>"154.52"</f>
        <v>154.52</v>
      </c>
      <c r="J4034" s="1" t="str">
        <f t="shared" si="2702"/>
        <v>0</v>
      </c>
      <c r="K4034" s="1" t="str">
        <f t="shared" si="2703"/>
        <v>103</v>
      </c>
      <c r="L4034" s="1" t="str">
        <f t="shared" si="2704"/>
        <v>47</v>
      </c>
      <c r="M4034" s="1" t="str">
        <f t="shared" si="2696"/>
        <v>0</v>
      </c>
      <c r="N4034" s="1" t="str">
        <f t="shared" si="2700"/>
        <v>0</v>
      </c>
      <c r="O4034" s="1" t="str">
        <f>"4.52"</f>
        <v>4.52</v>
      </c>
    </row>
    <row r="4035" s="1" customFormat="1" spans="1:15">
      <c r="A4035" s="1" t="str">
        <f t="shared" si="2706"/>
        <v>202406</v>
      </c>
      <c r="B4035" s="1" t="str">
        <f t="shared" si="2707"/>
        <v>150525100</v>
      </c>
      <c r="C4035" s="1" t="str">
        <f>"1040948643"</f>
        <v>1040948643</v>
      </c>
      <c r="D4035" s="1" t="str">
        <f>"152326195801283328"</f>
        <v>152326195801283328</v>
      </c>
      <c r="E4035" s="1" t="s">
        <v>4058</v>
      </c>
      <c r="F4035" s="1" t="s">
        <v>16</v>
      </c>
      <c r="G4035" s="1" t="s">
        <v>19</v>
      </c>
      <c r="H4035" s="1" t="str">
        <f>"66"</f>
        <v>66</v>
      </c>
      <c r="I4035" s="1" t="str">
        <f>"155.28"</f>
        <v>155.28</v>
      </c>
      <c r="J4035" s="1" t="str">
        <f t="shared" si="2702"/>
        <v>0</v>
      </c>
      <c r="K4035" s="1" t="str">
        <f t="shared" si="2703"/>
        <v>103</v>
      </c>
      <c r="L4035" s="1" t="str">
        <f t="shared" si="2704"/>
        <v>47</v>
      </c>
      <c r="M4035" s="1" t="str">
        <f t="shared" si="2696"/>
        <v>0</v>
      </c>
      <c r="N4035" s="1" t="str">
        <f t="shared" si="2700"/>
        <v>0</v>
      </c>
      <c r="O4035" s="1" t="str">
        <f>"5.28"</f>
        <v>5.28</v>
      </c>
    </row>
    <row r="4036" s="1" customFormat="1" spans="1:15">
      <c r="A4036" s="1" t="str">
        <f t="shared" si="2706"/>
        <v>202406</v>
      </c>
      <c r="B4036" s="1" t="str">
        <f t="shared" si="2707"/>
        <v>150525100</v>
      </c>
      <c r="C4036" s="1" t="str">
        <f>"1040988898"</f>
        <v>1040988898</v>
      </c>
      <c r="D4036" s="1" t="s">
        <v>4059</v>
      </c>
      <c r="E4036" s="1" t="s">
        <v>4060</v>
      </c>
      <c r="F4036" s="1" t="s">
        <v>16</v>
      </c>
      <c r="G4036" s="1" t="s">
        <v>17</v>
      </c>
      <c r="H4036" s="1" t="str">
        <f>"64"</f>
        <v>64</v>
      </c>
      <c r="I4036" s="1" t="str">
        <f>"157.35"</f>
        <v>157.35</v>
      </c>
      <c r="J4036" s="1" t="str">
        <f t="shared" si="2702"/>
        <v>0</v>
      </c>
      <c r="K4036" s="1" t="str">
        <f t="shared" si="2703"/>
        <v>103</v>
      </c>
      <c r="L4036" s="1" t="str">
        <f t="shared" si="2704"/>
        <v>47</v>
      </c>
      <c r="M4036" s="1" t="str">
        <f t="shared" si="2696"/>
        <v>0</v>
      </c>
      <c r="N4036" s="1" t="str">
        <f t="shared" si="2700"/>
        <v>0</v>
      </c>
      <c r="O4036" s="1" t="str">
        <f>"7.35"</f>
        <v>7.35</v>
      </c>
    </row>
    <row r="4037" s="1" customFormat="1" spans="1:15">
      <c r="A4037" s="1" t="str">
        <f t="shared" si="2706"/>
        <v>202406</v>
      </c>
      <c r="B4037" s="1" t="str">
        <f t="shared" si="2707"/>
        <v>150525100</v>
      </c>
      <c r="C4037" s="1" t="str">
        <f>"1041077740"</f>
        <v>1041077740</v>
      </c>
      <c r="D4037" s="1" t="str">
        <f>"152326196202163310"</f>
        <v>152326196202163310</v>
      </c>
      <c r="E4037" s="1" t="s">
        <v>4061</v>
      </c>
      <c r="F4037" s="1" t="s">
        <v>25</v>
      </c>
      <c r="G4037" s="1" t="s">
        <v>17</v>
      </c>
      <c r="H4037" s="1" t="str">
        <f>"62"</f>
        <v>62</v>
      </c>
      <c r="I4037" s="1" t="str">
        <f>"163.56"</f>
        <v>163.56</v>
      </c>
      <c r="J4037" s="1" t="str">
        <f t="shared" si="2702"/>
        <v>0</v>
      </c>
      <c r="K4037" s="1" t="str">
        <f t="shared" si="2703"/>
        <v>103</v>
      </c>
      <c r="L4037" s="1" t="str">
        <f t="shared" si="2704"/>
        <v>47</v>
      </c>
      <c r="M4037" s="1" t="str">
        <f t="shared" si="2696"/>
        <v>0</v>
      </c>
      <c r="N4037" s="1" t="str">
        <f t="shared" si="2700"/>
        <v>0</v>
      </c>
      <c r="O4037" s="1" t="str">
        <f>"13.56"</f>
        <v>13.56</v>
      </c>
    </row>
    <row r="4038" s="1" customFormat="1" spans="1:15">
      <c r="A4038" s="1" t="str">
        <f t="shared" si="2706"/>
        <v>202406</v>
      </c>
      <c r="B4038" s="1" t="str">
        <f t="shared" si="2707"/>
        <v>150525100</v>
      </c>
      <c r="C4038" s="1" t="str">
        <f>"1040832522"</f>
        <v>1040832522</v>
      </c>
      <c r="D4038" s="1" t="str">
        <f>"152326194705200022"</f>
        <v>152326194705200022</v>
      </c>
      <c r="E4038" s="1" t="s">
        <v>4062</v>
      </c>
      <c r="F4038" s="1" t="s">
        <v>16</v>
      </c>
      <c r="G4038" s="1" t="s">
        <v>17</v>
      </c>
      <c r="H4038" s="1" t="str">
        <f>"77"</f>
        <v>77</v>
      </c>
      <c r="I4038" s="1" t="str">
        <f>"160"</f>
        <v>160</v>
      </c>
      <c r="J4038" s="1" t="str">
        <f t="shared" si="2702"/>
        <v>0</v>
      </c>
      <c r="K4038" s="1" t="str">
        <f t="shared" si="2703"/>
        <v>103</v>
      </c>
      <c r="L4038" s="1" t="str">
        <f t="shared" si="2704"/>
        <v>47</v>
      </c>
      <c r="M4038" s="1" t="str">
        <f t="shared" si="2696"/>
        <v>0</v>
      </c>
      <c r="N4038" s="1" t="str">
        <f t="shared" si="2700"/>
        <v>0</v>
      </c>
      <c r="O4038" s="1" t="str">
        <f t="shared" ref="O4038:O4050" si="2708">"0"</f>
        <v>0</v>
      </c>
    </row>
    <row r="4039" s="1" customFormat="1" spans="1:15">
      <c r="A4039" s="1" t="str">
        <f t="shared" si="2706"/>
        <v>202406</v>
      </c>
      <c r="B4039" s="1" t="str">
        <f t="shared" si="2707"/>
        <v>150525100</v>
      </c>
      <c r="C4039" s="1" t="str">
        <f>"1040832530"</f>
        <v>1040832530</v>
      </c>
      <c r="D4039" s="1" t="s">
        <v>4063</v>
      </c>
      <c r="E4039" s="1" t="s">
        <v>4064</v>
      </c>
      <c r="F4039" s="1" t="s">
        <v>16</v>
      </c>
      <c r="G4039" s="1" t="s">
        <v>17</v>
      </c>
      <c r="H4039" s="1" t="str">
        <f>"86"</f>
        <v>86</v>
      </c>
      <c r="I4039" s="1" t="str">
        <f t="shared" ref="I4039:I4047" si="2709">"170"</f>
        <v>170</v>
      </c>
      <c r="J4039" s="1" t="str">
        <f t="shared" si="2702"/>
        <v>0</v>
      </c>
      <c r="K4039" s="1" t="str">
        <f t="shared" si="2703"/>
        <v>103</v>
      </c>
      <c r="L4039" s="1" t="str">
        <f t="shared" si="2704"/>
        <v>47</v>
      </c>
      <c r="M4039" s="1" t="str">
        <f t="shared" si="2696"/>
        <v>0</v>
      </c>
      <c r="N4039" s="1" t="str">
        <f t="shared" si="2700"/>
        <v>0</v>
      </c>
      <c r="O4039" s="1" t="str">
        <f t="shared" si="2708"/>
        <v>0</v>
      </c>
    </row>
    <row r="4040" s="1" customFormat="1" spans="1:15">
      <c r="A4040" s="1" t="str">
        <f t="shared" si="2706"/>
        <v>202406</v>
      </c>
      <c r="B4040" s="1" t="str">
        <f t="shared" si="2707"/>
        <v>150525100</v>
      </c>
      <c r="C4040" s="1" t="str">
        <f>"1040832536"</f>
        <v>1040832536</v>
      </c>
      <c r="D4040" s="1" t="str">
        <f>"152326194410202020"</f>
        <v>152326194410202020</v>
      </c>
      <c r="E4040" s="1" t="s">
        <v>2005</v>
      </c>
      <c r="F4040" s="1" t="s">
        <v>16</v>
      </c>
      <c r="G4040" s="1" t="s">
        <v>17</v>
      </c>
      <c r="H4040" s="1" t="str">
        <f>"80"</f>
        <v>80</v>
      </c>
      <c r="I4040" s="1" t="str">
        <f>"160"</f>
        <v>160</v>
      </c>
      <c r="J4040" s="1" t="str">
        <f t="shared" si="2702"/>
        <v>0</v>
      </c>
      <c r="K4040" s="1" t="str">
        <f t="shared" si="2703"/>
        <v>103</v>
      </c>
      <c r="L4040" s="1" t="str">
        <f t="shared" si="2704"/>
        <v>47</v>
      </c>
      <c r="M4040" s="1" t="str">
        <f t="shared" si="2696"/>
        <v>0</v>
      </c>
      <c r="N4040" s="1" t="str">
        <f t="shared" si="2700"/>
        <v>0</v>
      </c>
      <c r="O4040" s="1" t="str">
        <f t="shared" si="2708"/>
        <v>0</v>
      </c>
    </row>
    <row r="4041" s="1" customFormat="1" spans="1:15">
      <c r="A4041" s="1" t="str">
        <f t="shared" si="2706"/>
        <v>202406</v>
      </c>
      <c r="B4041" s="1" t="str">
        <f t="shared" si="2707"/>
        <v>150525100</v>
      </c>
      <c r="C4041" s="1" t="str">
        <f>"1040832567"</f>
        <v>1040832567</v>
      </c>
      <c r="D4041" s="1" t="str">
        <f>"152326193801200028"</f>
        <v>152326193801200028</v>
      </c>
      <c r="E4041" s="1" t="s">
        <v>4065</v>
      </c>
      <c r="F4041" s="1" t="s">
        <v>16</v>
      </c>
      <c r="G4041" s="1" t="s">
        <v>17</v>
      </c>
      <c r="H4041" s="1" t="str">
        <f>"86"</f>
        <v>86</v>
      </c>
      <c r="I4041" s="1" t="str">
        <f t="shared" si="2709"/>
        <v>170</v>
      </c>
      <c r="J4041" s="1" t="str">
        <f t="shared" si="2702"/>
        <v>0</v>
      </c>
      <c r="K4041" s="1" t="str">
        <f t="shared" si="2703"/>
        <v>103</v>
      </c>
      <c r="L4041" s="1" t="str">
        <f t="shared" si="2704"/>
        <v>47</v>
      </c>
      <c r="M4041" s="1" t="str">
        <f t="shared" si="2696"/>
        <v>0</v>
      </c>
      <c r="N4041" s="1" t="str">
        <f t="shared" si="2700"/>
        <v>0</v>
      </c>
      <c r="O4041" s="1" t="str">
        <f t="shared" si="2708"/>
        <v>0</v>
      </c>
    </row>
    <row r="4042" s="1" customFormat="1" spans="1:15">
      <c r="A4042" s="1" t="str">
        <f t="shared" si="2706"/>
        <v>202406</v>
      </c>
      <c r="B4042" s="1" t="str">
        <f t="shared" si="2707"/>
        <v>150525100</v>
      </c>
      <c r="C4042" s="1" t="str">
        <f>"1040832579"</f>
        <v>1040832579</v>
      </c>
      <c r="D4042" s="1" t="str">
        <f>"152326193112070029"</f>
        <v>152326193112070029</v>
      </c>
      <c r="E4042" s="1" t="s">
        <v>4066</v>
      </c>
      <c r="F4042" s="1" t="s">
        <v>16</v>
      </c>
      <c r="G4042" s="1" t="s">
        <v>17</v>
      </c>
      <c r="H4042" s="1" t="str">
        <f>"93"</f>
        <v>93</v>
      </c>
      <c r="I4042" s="1" t="str">
        <f t="shared" si="2709"/>
        <v>170</v>
      </c>
      <c r="J4042" s="1" t="str">
        <f t="shared" si="2702"/>
        <v>0</v>
      </c>
      <c r="K4042" s="1" t="str">
        <f t="shared" si="2703"/>
        <v>103</v>
      </c>
      <c r="L4042" s="1" t="str">
        <f t="shared" si="2704"/>
        <v>47</v>
      </c>
      <c r="M4042" s="1" t="str">
        <f t="shared" si="2696"/>
        <v>0</v>
      </c>
      <c r="N4042" s="1" t="str">
        <f t="shared" si="2700"/>
        <v>0</v>
      </c>
      <c r="O4042" s="1" t="str">
        <f t="shared" si="2708"/>
        <v>0</v>
      </c>
    </row>
    <row r="4043" s="1" customFormat="1" spans="1:15">
      <c r="A4043" s="1" t="str">
        <f t="shared" si="2706"/>
        <v>202406</v>
      </c>
      <c r="B4043" s="1" t="str">
        <f t="shared" si="2707"/>
        <v>150525100</v>
      </c>
      <c r="C4043" s="1" t="str">
        <f>"1040832589"</f>
        <v>1040832589</v>
      </c>
      <c r="D4043" s="1" t="str">
        <f>"152326193401023085"</f>
        <v>152326193401023085</v>
      </c>
      <c r="E4043" s="1" t="s">
        <v>4067</v>
      </c>
      <c r="F4043" s="1" t="s">
        <v>16</v>
      </c>
      <c r="G4043" s="1" t="s">
        <v>17</v>
      </c>
      <c r="H4043" s="1" t="str">
        <f>"91"</f>
        <v>91</v>
      </c>
      <c r="I4043" s="1" t="str">
        <f t="shared" si="2709"/>
        <v>170</v>
      </c>
      <c r="J4043" s="1" t="str">
        <f t="shared" si="2702"/>
        <v>0</v>
      </c>
      <c r="K4043" s="1" t="str">
        <f t="shared" si="2703"/>
        <v>103</v>
      </c>
      <c r="L4043" s="1" t="str">
        <f t="shared" si="2704"/>
        <v>47</v>
      </c>
      <c r="M4043" s="1" t="str">
        <f t="shared" si="2696"/>
        <v>0</v>
      </c>
      <c r="N4043" s="1" t="str">
        <f t="shared" si="2700"/>
        <v>0</v>
      </c>
      <c r="O4043" s="1" t="str">
        <f t="shared" si="2708"/>
        <v>0</v>
      </c>
    </row>
    <row r="4044" s="1" customFormat="1" spans="1:15">
      <c r="A4044" s="1" t="str">
        <f t="shared" si="2706"/>
        <v>202406</v>
      </c>
      <c r="B4044" s="1" t="str">
        <f t="shared" si="2707"/>
        <v>150525100</v>
      </c>
      <c r="C4044" s="1" t="str">
        <f>"1040832600"</f>
        <v>1040832600</v>
      </c>
      <c r="D4044" s="1" t="str">
        <f>"152326193503022286"</f>
        <v>152326193503022286</v>
      </c>
      <c r="E4044" s="1" t="s">
        <v>1177</v>
      </c>
      <c r="F4044" s="1" t="s">
        <v>16</v>
      </c>
      <c r="G4044" s="1" t="s">
        <v>17</v>
      </c>
      <c r="H4044" s="1" t="str">
        <f>"89"</f>
        <v>89</v>
      </c>
      <c r="I4044" s="1" t="str">
        <f t="shared" si="2709"/>
        <v>170</v>
      </c>
      <c r="J4044" s="1" t="str">
        <f t="shared" si="2702"/>
        <v>0</v>
      </c>
      <c r="K4044" s="1" t="str">
        <f t="shared" si="2703"/>
        <v>103</v>
      </c>
      <c r="L4044" s="1" t="str">
        <f t="shared" si="2704"/>
        <v>47</v>
      </c>
      <c r="M4044" s="1" t="str">
        <f t="shared" si="2696"/>
        <v>0</v>
      </c>
      <c r="N4044" s="1" t="str">
        <f t="shared" si="2700"/>
        <v>0</v>
      </c>
      <c r="O4044" s="1" t="str">
        <f t="shared" si="2708"/>
        <v>0</v>
      </c>
    </row>
    <row r="4045" s="1" customFormat="1" spans="1:15">
      <c r="A4045" s="1" t="str">
        <f t="shared" si="2706"/>
        <v>202406</v>
      </c>
      <c r="B4045" s="1" t="str">
        <f t="shared" si="2707"/>
        <v>150525100</v>
      </c>
      <c r="C4045" s="1" t="str">
        <f>"1040832616"</f>
        <v>1040832616</v>
      </c>
      <c r="D4045" s="1" t="str">
        <f>"152326193705141179"</f>
        <v>152326193705141179</v>
      </c>
      <c r="E4045" s="1" t="s">
        <v>4068</v>
      </c>
      <c r="F4045" s="1" t="s">
        <v>25</v>
      </c>
      <c r="G4045" s="1" t="s">
        <v>17</v>
      </c>
      <c r="H4045" s="1" t="str">
        <f>"87"</f>
        <v>87</v>
      </c>
      <c r="I4045" s="1" t="str">
        <f t="shared" si="2709"/>
        <v>170</v>
      </c>
      <c r="J4045" s="1" t="str">
        <f t="shared" si="2702"/>
        <v>0</v>
      </c>
      <c r="K4045" s="1" t="str">
        <f t="shared" si="2703"/>
        <v>103</v>
      </c>
      <c r="L4045" s="1" t="str">
        <f t="shared" si="2704"/>
        <v>47</v>
      </c>
      <c r="M4045" s="1" t="str">
        <f t="shared" si="2696"/>
        <v>0</v>
      </c>
      <c r="N4045" s="1" t="str">
        <f t="shared" si="2700"/>
        <v>0</v>
      </c>
      <c r="O4045" s="1" t="str">
        <f t="shared" si="2708"/>
        <v>0</v>
      </c>
    </row>
    <row r="4046" s="1" customFormat="1" spans="1:15">
      <c r="A4046" s="1" t="str">
        <f t="shared" si="2706"/>
        <v>202406</v>
      </c>
      <c r="B4046" s="1" t="str">
        <f t="shared" si="2707"/>
        <v>150525100</v>
      </c>
      <c r="C4046" s="1" t="str">
        <f>"1040832633"</f>
        <v>1040832633</v>
      </c>
      <c r="D4046" s="1" t="str">
        <f>"152326193905201180"</f>
        <v>152326193905201180</v>
      </c>
      <c r="E4046" s="1" t="s">
        <v>4069</v>
      </c>
      <c r="F4046" s="1" t="s">
        <v>16</v>
      </c>
      <c r="G4046" s="1" t="s">
        <v>17</v>
      </c>
      <c r="H4046" s="1" t="str">
        <f>"85"</f>
        <v>85</v>
      </c>
      <c r="I4046" s="1" t="str">
        <f t="shared" si="2709"/>
        <v>170</v>
      </c>
      <c r="J4046" s="1" t="str">
        <f t="shared" si="2702"/>
        <v>0</v>
      </c>
      <c r="K4046" s="1" t="str">
        <f t="shared" si="2703"/>
        <v>103</v>
      </c>
      <c r="L4046" s="1" t="str">
        <f t="shared" si="2704"/>
        <v>47</v>
      </c>
      <c r="M4046" s="1" t="str">
        <f t="shared" si="2696"/>
        <v>0</v>
      </c>
      <c r="N4046" s="1" t="str">
        <f t="shared" si="2700"/>
        <v>0</v>
      </c>
      <c r="O4046" s="1" t="str">
        <f t="shared" si="2708"/>
        <v>0</v>
      </c>
    </row>
    <row r="4047" s="1" customFormat="1" spans="1:15">
      <c r="A4047" s="1" t="str">
        <f t="shared" si="2706"/>
        <v>202406</v>
      </c>
      <c r="B4047" s="1" t="str">
        <f t="shared" si="2707"/>
        <v>150525100</v>
      </c>
      <c r="C4047" s="1" t="str">
        <f>"1040832640"</f>
        <v>1040832640</v>
      </c>
      <c r="D4047" s="1" t="str">
        <f>"152326194104070023"</f>
        <v>152326194104070023</v>
      </c>
      <c r="E4047" s="1" t="s">
        <v>4070</v>
      </c>
      <c r="F4047" s="1" t="s">
        <v>16</v>
      </c>
      <c r="G4047" s="1" t="s">
        <v>17</v>
      </c>
      <c r="H4047" s="1" t="str">
        <f>"83"</f>
        <v>83</v>
      </c>
      <c r="I4047" s="1" t="str">
        <f t="shared" si="2709"/>
        <v>170</v>
      </c>
      <c r="J4047" s="1" t="str">
        <f t="shared" si="2702"/>
        <v>0</v>
      </c>
      <c r="K4047" s="1" t="str">
        <f t="shared" si="2703"/>
        <v>103</v>
      </c>
      <c r="L4047" s="1" t="str">
        <f t="shared" si="2704"/>
        <v>47</v>
      </c>
      <c r="M4047" s="1" t="str">
        <f t="shared" si="2696"/>
        <v>0</v>
      </c>
      <c r="N4047" s="1" t="str">
        <f t="shared" si="2700"/>
        <v>0</v>
      </c>
      <c r="O4047" s="1" t="str">
        <f t="shared" si="2708"/>
        <v>0</v>
      </c>
    </row>
    <row r="4048" s="1" customFormat="1" spans="1:15">
      <c r="A4048" s="1" t="str">
        <f t="shared" si="2706"/>
        <v>202406</v>
      </c>
      <c r="B4048" s="1" t="str">
        <f t="shared" si="2707"/>
        <v>150525100</v>
      </c>
      <c r="C4048" s="1" t="str">
        <f>"1040832667"</f>
        <v>1040832667</v>
      </c>
      <c r="D4048" s="1" t="str">
        <f>"152326194408240028"</f>
        <v>152326194408240028</v>
      </c>
      <c r="E4048" s="1" t="s">
        <v>619</v>
      </c>
      <c r="F4048" s="1" t="s">
        <v>16</v>
      </c>
      <c r="G4048" s="1" t="s">
        <v>17</v>
      </c>
      <c r="H4048" s="1" t="str">
        <f>"80"</f>
        <v>80</v>
      </c>
      <c r="I4048" s="1" t="str">
        <f t="shared" ref="I4048:I4050" si="2710">"160"</f>
        <v>160</v>
      </c>
      <c r="J4048" s="1" t="str">
        <f t="shared" si="2702"/>
        <v>0</v>
      </c>
      <c r="K4048" s="1" t="str">
        <f t="shared" si="2703"/>
        <v>103</v>
      </c>
      <c r="L4048" s="1" t="str">
        <f t="shared" si="2704"/>
        <v>47</v>
      </c>
      <c r="M4048" s="1" t="str">
        <f t="shared" si="2696"/>
        <v>0</v>
      </c>
      <c r="N4048" s="1" t="str">
        <f t="shared" si="2700"/>
        <v>0</v>
      </c>
      <c r="O4048" s="1" t="str">
        <f t="shared" si="2708"/>
        <v>0</v>
      </c>
    </row>
    <row r="4049" s="1" customFormat="1" spans="1:15">
      <c r="A4049" s="1" t="str">
        <f t="shared" si="2706"/>
        <v>202406</v>
      </c>
      <c r="B4049" s="1" t="str">
        <f t="shared" si="2707"/>
        <v>150525100</v>
      </c>
      <c r="C4049" s="1" t="str">
        <f>"1040832672"</f>
        <v>1040832672</v>
      </c>
      <c r="D4049" s="1" t="str">
        <f>"152326194412200037"</f>
        <v>152326194412200037</v>
      </c>
      <c r="E4049" s="1" t="s">
        <v>4071</v>
      </c>
      <c r="F4049" s="1" t="s">
        <v>25</v>
      </c>
      <c r="G4049" s="1" t="s">
        <v>17</v>
      </c>
      <c r="H4049" s="1" t="str">
        <f>"80"</f>
        <v>80</v>
      </c>
      <c r="I4049" s="1" t="str">
        <f t="shared" si="2710"/>
        <v>160</v>
      </c>
      <c r="J4049" s="1" t="str">
        <f t="shared" si="2702"/>
        <v>0</v>
      </c>
      <c r="K4049" s="1" t="str">
        <f t="shared" si="2703"/>
        <v>103</v>
      </c>
      <c r="L4049" s="1" t="str">
        <f t="shared" si="2704"/>
        <v>47</v>
      </c>
      <c r="M4049" s="1" t="str">
        <f t="shared" si="2696"/>
        <v>0</v>
      </c>
      <c r="N4049" s="1" t="str">
        <f t="shared" si="2700"/>
        <v>0</v>
      </c>
      <c r="O4049" s="1" t="str">
        <f t="shared" si="2708"/>
        <v>0</v>
      </c>
    </row>
    <row r="4050" s="1" customFormat="1" spans="1:15">
      <c r="A4050" s="1" t="str">
        <f t="shared" si="2706"/>
        <v>202406</v>
      </c>
      <c r="B4050" s="1" t="str">
        <f t="shared" si="2707"/>
        <v>150525100</v>
      </c>
      <c r="C4050" s="1" t="str">
        <f>"1040832704"</f>
        <v>1040832704</v>
      </c>
      <c r="D4050" s="1" t="str">
        <f>"152326194809250024"</f>
        <v>152326194809250024</v>
      </c>
      <c r="E4050" s="1" t="s">
        <v>4072</v>
      </c>
      <c r="F4050" s="1" t="s">
        <v>16</v>
      </c>
      <c r="G4050" s="1" t="s">
        <v>17</v>
      </c>
      <c r="H4050" s="1" t="str">
        <f>"76"</f>
        <v>76</v>
      </c>
      <c r="I4050" s="1" t="str">
        <f t="shared" si="2710"/>
        <v>160</v>
      </c>
      <c r="J4050" s="1" t="str">
        <f t="shared" si="2702"/>
        <v>0</v>
      </c>
      <c r="K4050" s="1" t="str">
        <f t="shared" si="2703"/>
        <v>103</v>
      </c>
      <c r="L4050" s="1" t="str">
        <f t="shared" si="2704"/>
        <v>47</v>
      </c>
      <c r="M4050" s="1" t="str">
        <f t="shared" si="2696"/>
        <v>0</v>
      </c>
      <c r="N4050" s="1" t="str">
        <f t="shared" si="2700"/>
        <v>0</v>
      </c>
      <c r="O4050" s="1" t="str">
        <f t="shared" si="2708"/>
        <v>0</v>
      </c>
    </row>
    <row r="4051" s="1" customFormat="1" spans="1:15">
      <c r="A4051" s="1" t="str">
        <f t="shared" si="2706"/>
        <v>202406</v>
      </c>
      <c r="B4051" s="1" t="str">
        <f t="shared" si="2707"/>
        <v>150525100</v>
      </c>
      <c r="C4051" s="1" t="str">
        <f>"1040965543"</f>
        <v>1040965543</v>
      </c>
      <c r="D4051" s="1" t="str">
        <f>"152326196011240424"</f>
        <v>152326196011240424</v>
      </c>
      <c r="E4051" s="1" t="s">
        <v>4073</v>
      </c>
      <c r="F4051" s="1" t="s">
        <v>16</v>
      </c>
      <c r="G4051" s="1" t="s">
        <v>17</v>
      </c>
      <c r="H4051" s="1" t="str">
        <f>"64"</f>
        <v>64</v>
      </c>
      <c r="I4051" s="1" t="str">
        <f>"157.42"</f>
        <v>157.42</v>
      </c>
      <c r="J4051" s="1" t="str">
        <f t="shared" si="2702"/>
        <v>0</v>
      </c>
      <c r="K4051" s="1" t="str">
        <f t="shared" si="2703"/>
        <v>103</v>
      </c>
      <c r="L4051" s="1" t="str">
        <f t="shared" si="2704"/>
        <v>47</v>
      </c>
      <c r="M4051" s="1" t="str">
        <f t="shared" si="2696"/>
        <v>0</v>
      </c>
      <c r="N4051" s="1" t="str">
        <f t="shared" si="2700"/>
        <v>0</v>
      </c>
      <c r="O4051" s="1" t="str">
        <f>"7.42"</f>
        <v>7.42</v>
      </c>
    </row>
    <row r="4052" s="1" customFormat="1" spans="1:15">
      <c r="A4052" s="1" t="str">
        <f t="shared" si="2706"/>
        <v>202406</v>
      </c>
      <c r="B4052" s="1" t="str">
        <f t="shared" si="2707"/>
        <v>150525100</v>
      </c>
      <c r="C4052" s="1" t="str">
        <f>"1040991770"</f>
        <v>1040991770</v>
      </c>
      <c r="D4052" s="1" t="str">
        <f>"152326196306263826"</f>
        <v>152326196306263826</v>
      </c>
      <c r="E4052" s="1" t="s">
        <v>4074</v>
      </c>
      <c r="F4052" s="1" t="s">
        <v>16</v>
      </c>
      <c r="G4052" s="1" t="s">
        <v>17</v>
      </c>
      <c r="H4052" s="1" t="str">
        <f>"61"</f>
        <v>61</v>
      </c>
      <c r="I4052" s="1" t="str">
        <f>"171.09"</f>
        <v>171.09</v>
      </c>
      <c r="J4052" s="1" t="str">
        <f t="shared" si="2702"/>
        <v>0</v>
      </c>
      <c r="K4052" s="1" t="str">
        <f t="shared" si="2703"/>
        <v>103</v>
      </c>
      <c r="L4052" s="1" t="str">
        <f t="shared" si="2704"/>
        <v>47</v>
      </c>
      <c r="M4052" s="1" t="str">
        <f t="shared" si="2696"/>
        <v>0</v>
      </c>
      <c r="N4052" s="1" t="str">
        <f t="shared" si="2700"/>
        <v>0</v>
      </c>
      <c r="O4052" s="1" t="str">
        <f>"21.09"</f>
        <v>21.09</v>
      </c>
    </row>
    <row r="4053" s="1" customFormat="1" spans="1:15">
      <c r="A4053" s="1" t="str">
        <f t="shared" si="2706"/>
        <v>202406</v>
      </c>
      <c r="B4053" s="1" t="str">
        <f t="shared" si="2707"/>
        <v>150525100</v>
      </c>
      <c r="C4053" s="1" t="str">
        <f>"1040980944"</f>
        <v>1040980944</v>
      </c>
      <c r="D4053" s="1" t="s">
        <v>4075</v>
      </c>
      <c r="E4053" s="1" t="s">
        <v>4076</v>
      </c>
      <c r="F4053" s="1" t="s">
        <v>16</v>
      </c>
      <c r="G4053" s="1" t="s">
        <v>19</v>
      </c>
      <c r="H4053" s="1" t="str">
        <f>"61"</f>
        <v>61</v>
      </c>
      <c r="I4053" s="1" t="str">
        <f>"163.71"</f>
        <v>163.71</v>
      </c>
      <c r="J4053" s="1" t="str">
        <f t="shared" si="2702"/>
        <v>0</v>
      </c>
      <c r="K4053" s="1" t="str">
        <f t="shared" si="2703"/>
        <v>103</v>
      </c>
      <c r="L4053" s="1" t="str">
        <f t="shared" si="2704"/>
        <v>47</v>
      </c>
      <c r="M4053" s="1" t="str">
        <f t="shared" si="2696"/>
        <v>0</v>
      </c>
      <c r="N4053" s="1" t="str">
        <f t="shared" si="2700"/>
        <v>0</v>
      </c>
      <c r="O4053" s="1" t="str">
        <f>"13.71"</f>
        <v>13.71</v>
      </c>
    </row>
    <row r="4054" s="1" customFormat="1" spans="1:15">
      <c r="A4054" s="1" t="str">
        <f t="shared" si="2706"/>
        <v>202406</v>
      </c>
      <c r="B4054" s="1" t="str">
        <f t="shared" si="2707"/>
        <v>150525100</v>
      </c>
      <c r="C4054" s="1" t="str">
        <f>"1040948618"</f>
        <v>1040948618</v>
      </c>
      <c r="D4054" s="1" t="str">
        <f>"152326196001180413"</f>
        <v>152326196001180413</v>
      </c>
      <c r="E4054" s="1" t="s">
        <v>4077</v>
      </c>
      <c r="F4054" s="1" t="s">
        <v>25</v>
      </c>
      <c r="G4054" s="1" t="s">
        <v>19</v>
      </c>
      <c r="H4054" s="1" t="str">
        <f>"64"</f>
        <v>64</v>
      </c>
      <c r="I4054" s="1" t="str">
        <f>"157.33"</f>
        <v>157.33</v>
      </c>
      <c r="J4054" s="1" t="str">
        <f t="shared" si="2702"/>
        <v>0</v>
      </c>
      <c r="K4054" s="1" t="str">
        <f t="shared" si="2703"/>
        <v>103</v>
      </c>
      <c r="L4054" s="1" t="str">
        <f t="shared" si="2704"/>
        <v>47</v>
      </c>
      <c r="M4054" s="1" t="str">
        <f t="shared" si="2696"/>
        <v>0</v>
      </c>
      <c r="N4054" s="1" t="str">
        <f t="shared" si="2700"/>
        <v>0</v>
      </c>
      <c r="O4054" s="1" t="str">
        <f>"7.33"</f>
        <v>7.33</v>
      </c>
    </row>
    <row r="4055" s="1" customFormat="1" spans="1:15">
      <c r="A4055" s="1" t="str">
        <f t="shared" si="2706"/>
        <v>202406</v>
      </c>
      <c r="B4055" s="1" t="str">
        <f t="shared" si="2707"/>
        <v>150525100</v>
      </c>
      <c r="C4055" s="1" t="str">
        <f>"1040832712"</f>
        <v>1040832712</v>
      </c>
      <c r="D4055" s="1" t="str">
        <f>"152326194901263581"</f>
        <v>152326194901263581</v>
      </c>
      <c r="E4055" s="1" t="s">
        <v>4078</v>
      </c>
      <c r="F4055" s="1" t="s">
        <v>16</v>
      </c>
      <c r="G4055" s="1" t="s">
        <v>17</v>
      </c>
      <c r="H4055" s="1" t="str">
        <f>"75"</f>
        <v>75</v>
      </c>
      <c r="I4055" s="1" t="str">
        <f t="shared" ref="I4055:I4058" si="2711">"160"</f>
        <v>160</v>
      </c>
      <c r="J4055" s="1" t="str">
        <f t="shared" si="2702"/>
        <v>0</v>
      </c>
      <c r="K4055" s="1" t="str">
        <f t="shared" si="2703"/>
        <v>103</v>
      </c>
      <c r="L4055" s="1" t="str">
        <f t="shared" si="2704"/>
        <v>47</v>
      </c>
      <c r="M4055" s="1" t="str">
        <f t="shared" si="2696"/>
        <v>0</v>
      </c>
      <c r="N4055" s="1" t="str">
        <f t="shared" si="2700"/>
        <v>0</v>
      </c>
      <c r="O4055" s="1" t="str">
        <f t="shared" ref="O4055:O4058" si="2712">"0"</f>
        <v>0</v>
      </c>
    </row>
    <row r="4056" s="1" customFormat="1" spans="1:15">
      <c r="A4056" s="1" t="str">
        <f t="shared" si="2706"/>
        <v>202406</v>
      </c>
      <c r="B4056" s="1" t="str">
        <f t="shared" si="2707"/>
        <v>150525100</v>
      </c>
      <c r="C4056" s="1" t="str">
        <f>"1040832722"</f>
        <v>1040832722</v>
      </c>
      <c r="D4056" s="1" t="str">
        <f>"152326194907253827"</f>
        <v>152326194907253827</v>
      </c>
      <c r="E4056" s="1" t="s">
        <v>4079</v>
      </c>
      <c r="F4056" s="1" t="s">
        <v>16</v>
      </c>
      <c r="G4056" s="1" t="s">
        <v>17</v>
      </c>
      <c r="H4056" s="1" t="str">
        <f>"75"</f>
        <v>75</v>
      </c>
      <c r="I4056" s="1" t="str">
        <f t="shared" si="2711"/>
        <v>160</v>
      </c>
      <c r="J4056" s="1" t="str">
        <f t="shared" si="2702"/>
        <v>0</v>
      </c>
      <c r="K4056" s="1" t="str">
        <f t="shared" si="2703"/>
        <v>103</v>
      </c>
      <c r="L4056" s="1" t="str">
        <f t="shared" si="2704"/>
        <v>47</v>
      </c>
      <c r="M4056" s="1" t="str">
        <f t="shared" si="2696"/>
        <v>0</v>
      </c>
      <c r="N4056" s="1" t="str">
        <f t="shared" si="2700"/>
        <v>0</v>
      </c>
      <c r="O4056" s="1" t="str">
        <f t="shared" si="2712"/>
        <v>0</v>
      </c>
    </row>
    <row r="4057" s="1" customFormat="1" spans="1:15">
      <c r="A4057" s="1" t="str">
        <f t="shared" si="2706"/>
        <v>202406</v>
      </c>
      <c r="B4057" s="1" t="str">
        <f t="shared" si="2707"/>
        <v>150525100</v>
      </c>
      <c r="C4057" s="1" t="str">
        <f>"1040832747"</f>
        <v>1040832747</v>
      </c>
      <c r="D4057" s="1" t="s">
        <v>4080</v>
      </c>
      <c r="E4057" s="1" t="s">
        <v>4081</v>
      </c>
      <c r="F4057" s="1" t="s">
        <v>16</v>
      </c>
      <c r="G4057" s="1" t="s">
        <v>17</v>
      </c>
      <c r="H4057" s="1" t="str">
        <f>"73"</f>
        <v>73</v>
      </c>
      <c r="I4057" s="1" t="str">
        <f t="shared" si="2711"/>
        <v>160</v>
      </c>
      <c r="J4057" s="1" t="str">
        <f t="shared" si="2702"/>
        <v>0</v>
      </c>
      <c r="K4057" s="1" t="str">
        <f t="shared" si="2703"/>
        <v>103</v>
      </c>
      <c r="L4057" s="1" t="str">
        <f t="shared" si="2704"/>
        <v>47</v>
      </c>
      <c r="M4057" s="1" t="str">
        <f t="shared" si="2696"/>
        <v>0</v>
      </c>
      <c r="N4057" s="1" t="str">
        <f t="shared" si="2700"/>
        <v>0</v>
      </c>
      <c r="O4057" s="1" t="str">
        <f t="shared" si="2712"/>
        <v>0</v>
      </c>
    </row>
    <row r="4058" s="1" customFormat="1" spans="1:15">
      <c r="A4058" s="1" t="str">
        <f t="shared" si="2706"/>
        <v>202406</v>
      </c>
      <c r="B4058" s="1" t="str">
        <f t="shared" si="2707"/>
        <v>150525100</v>
      </c>
      <c r="C4058" s="1" t="str">
        <f>"1040832753"</f>
        <v>1040832753</v>
      </c>
      <c r="D4058" s="1" t="str">
        <f>"152104195108095725"</f>
        <v>152104195108095725</v>
      </c>
      <c r="E4058" s="1" t="s">
        <v>4082</v>
      </c>
      <c r="F4058" s="1" t="s">
        <v>16</v>
      </c>
      <c r="G4058" s="1" t="s">
        <v>17</v>
      </c>
      <c r="H4058" s="1" t="str">
        <f>"73"</f>
        <v>73</v>
      </c>
      <c r="I4058" s="1" t="str">
        <f t="shared" si="2711"/>
        <v>160</v>
      </c>
      <c r="J4058" s="1" t="str">
        <f t="shared" si="2702"/>
        <v>0</v>
      </c>
      <c r="K4058" s="1" t="str">
        <f t="shared" si="2703"/>
        <v>103</v>
      </c>
      <c r="L4058" s="1" t="str">
        <f t="shared" si="2704"/>
        <v>47</v>
      </c>
      <c r="M4058" s="1" t="str">
        <f t="shared" si="2696"/>
        <v>0</v>
      </c>
      <c r="N4058" s="1" t="str">
        <f t="shared" si="2700"/>
        <v>0</v>
      </c>
      <c r="O4058" s="1" t="str">
        <f t="shared" si="2712"/>
        <v>0</v>
      </c>
    </row>
    <row r="4059" s="1" customFormat="1" spans="1:15">
      <c r="A4059" s="1" t="str">
        <f t="shared" si="2706"/>
        <v>202406</v>
      </c>
      <c r="B4059" s="1" t="str">
        <f t="shared" si="2707"/>
        <v>150525100</v>
      </c>
      <c r="C4059" s="1" t="str">
        <f>"1040978904"</f>
        <v>1040978904</v>
      </c>
      <c r="D4059" s="1" t="str">
        <f>"152326195904283101"</f>
        <v>152326195904283101</v>
      </c>
      <c r="E4059" s="1" t="s">
        <v>1567</v>
      </c>
      <c r="F4059" s="1" t="s">
        <v>16</v>
      </c>
      <c r="G4059" s="1" t="s">
        <v>17</v>
      </c>
      <c r="H4059" s="1" t="str">
        <f>"65"</f>
        <v>65</v>
      </c>
      <c r="I4059" s="1" t="str">
        <f>"156.32"</f>
        <v>156.32</v>
      </c>
      <c r="J4059" s="1" t="str">
        <f t="shared" si="2702"/>
        <v>0</v>
      </c>
      <c r="K4059" s="1" t="str">
        <f t="shared" si="2703"/>
        <v>103</v>
      </c>
      <c r="L4059" s="1" t="str">
        <f t="shared" si="2704"/>
        <v>47</v>
      </c>
      <c r="M4059" s="1" t="str">
        <f t="shared" si="2696"/>
        <v>0</v>
      </c>
      <c r="N4059" s="1" t="str">
        <f t="shared" si="2700"/>
        <v>0</v>
      </c>
      <c r="O4059" s="1" t="str">
        <f>"6.32"</f>
        <v>6.32</v>
      </c>
    </row>
    <row r="4060" s="1" customFormat="1" spans="1:15">
      <c r="A4060" s="1" t="str">
        <f t="shared" si="2706"/>
        <v>202406</v>
      </c>
      <c r="B4060" s="1" t="str">
        <f t="shared" si="2707"/>
        <v>150525100</v>
      </c>
      <c r="C4060" s="1" t="str">
        <f>"1041153469"</f>
        <v>1041153469</v>
      </c>
      <c r="D4060" s="1" t="str">
        <f>"152326196205170014"</f>
        <v>152326196205170014</v>
      </c>
      <c r="E4060" s="1" t="s">
        <v>4083</v>
      </c>
      <c r="F4060" s="1" t="s">
        <v>25</v>
      </c>
      <c r="G4060" s="1" t="s">
        <v>17</v>
      </c>
      <c r="H4060" s="1" t="str">
        <f>"62"</f>
        <v>62</v>
      </c>
      <c r="I4060" s="1" t="str">
        <f>"242.96"</f>
        <v>242.96</v>
      </c>
      <c r="J4060" s="1" t="str">
        <f t="shared" si="2702"/>
        <v>0</v>
      </c>
      <c r="K4060" s="1" t="str">
        <f t="shared" si="2703"/>
        <v>103</v>
      </c>
      <c r="L4060" s="1" t="str">
        <f t="shared" si="2704"/>
        <v>47</v>
      </c>
      <c r="M4060" s="1" t="str">
        <f t="shared" si="2696"/>
        <v>0</v>
      </c>
      <c r="N4060" s="1" t="str">
        <f t="shared" si="2700"/>
        <v>0</v>
      </c>
      <c r="O4060" s="1" t="str">
        <f>"92.96"</f>
        <v>92.96</v>
      </c>
    </row>
    <row r="4061" s="1" customFormat="1" spans="1:15">
      <c r="A4061" s="1" t="str">
        <f t="shared" si="2706"/>
        <v>202406</v>
      </c>
      <c r="B4061" s="1" t="str">
        <f t="shared" si="2707"/>
        <v>150525100</v>
      </c>
      <c r="C4061" s="1" t="str">
        <f>"1041153484"</f>
        <v>1041153484</v>
      </c>
      <c r="D4061" s="1" t="str">
        <f>"152326196304240057"</f>
        <v>152326196304240057</v>
      </c>
      <c r="E4061" s="1" t="s">
        <v>4084</v>
      </c>
      <c r="F4061" s="1" t="s">
        <v>25</v>
      </c>
      <c r="G4061" s="1" t="s">
        <v>17</v>
      </c>
      <c r="H4061" s="1" t="str">
        <f>"61"</f>
        <v>61</v>
      </c>
      <c r="I4061" s="1" t="str">
        <f>"252.85"</f>
        <v>252.85</v>
      </c>
      <c r="J4061" s="1" t="str">
        <f t="shared" si="2702"/>
        <v>0</v>
      </c>
      <c r="K4061" s="1" t="str">
        <f t="shared" si="2703"/>
        <v>103</v>
      </c>
      <c r="L4061" s="1" t="str">
        <f t="shared" si="2704"/>
        <v>47</v>
      </c>
      <c r="M4061" s="1" t="str">
        <f t="shared" si="2696"/>
        <v>0</v>
      </c>
      <c r="N4061" s="1" t="str">
        <f t="shared" si="2700"/>
        <v>0</v>
      </c>
      <c r="O4061" s="1" t="str">
        <f>"102.85"</f>
        <v>102.85</v>
      </c>
    </row>
    <row r="4062" s="1" customFormat="1" spans="1:15">
      <c r="A4062" s="1" t="str">
        <f t="shared" si="2706"/>
        <v>202406</v>
      </c>
      <c r="B4062" s="1" t="str">
        <f t="shared" si="2707"/>
        <v>150525100</v>
      </c>
      <c r="C4062" s="1" t="str">
        <f>"1041153490"</f>
        <v>1041153490</v>
      </c>
      <c r="D4062" s="1" t="s">
        <v>4085</v>
      </c>
      <c r="E4062" s="1" t="s">
        <v>4086</v>
      </c>
      <c r="F4062" s="1" t="s">
        <v>25</v>
      </c>
      <c r="G4062" s="1" t="s">
        <v>17</v>
      </c>
      <c r="H4062" s="1" t="str">
        <f>"60"</f>
        <v>60</v>
      </c>
      <c r="I4062" s="1" t="str">
        <f>"3977.17"</f>
        <v>3977.17</v>
      </c>
      <c r="J4062" s="1" t="str">
        <f t="shared" si="2702"/>
        <v>0</v>
      </c>
      <c r="K4062" s="1" t="str">
        <f t="shared" ref="K4062:O4062" si="2713">"0"</f>
        <v>0</v>
      </c>
      <c r="L4062" s="1" t="str">
        <f t="shared" si="2713"/>
        <v>0</v>
      </c>
      <c r="M4062" s="1" t="str">
        <f t="shared" si="2696"/>
        <v>0</v>
      </c>
      <c r="N4062" s="1" t="str">
        <f t="shared" si="2700"/>
        <v>0</v>
      </c>
      <c r="O4062" s="1" t="str">
        <f t="shared" si="2713"/>
        <v>0</v>
      </c>
    </row>
    <row r="4063" s="1" customFormat="1" spans="1:15">
      <c r="A4063" s="1" t="str">
        <f t="shared" si="2706"/>
        <v>202406</v>
      </c>
      <c r="B4063" s="1" t="str">
        <f t="shared" si="2707"/>
        <v>150525100</v>
      </c>
      <c r="C4063" s="1" t="str">
        <f>"1041153499"</f>
        <v>1041153499</v>
      </c>
      <c r="D4063" s="1" t="str">
        <f>"152326196403280054"</f>
        <v>152326196403280054</v>
      </c>
      <c r="E4063" s="1" t="s">
        <v>4087</v>
      </c>
      <c r="F4063" s="1" t="s">
        <v>25</v>
      </c>
      <c r="G4063" s="1" t="s">
        <v>17</v>
      </c>
      <c r="H4063" s="1" t="str">
        <f>"60"</f>
        <v>60</v>
      </c>
      <c r="I4063" s="1" t="str">
        <f>"166.18"</f>
        <v>166.18</v>
      </c>
      <c r="J4063" s="1" t="str">
        <f t="shared" si="2702"/>
        <v>0</v>
      </c>
      <c r="K4063" s="1" t="str">
        <f t="shared" ref="K4063:K4126" si="2714">"103"</f>
        <v>103</v>
      </c>
      <c r="L4063" s="1" t="str">
        <f t="shared" ref="L4063:L4126" si="2715">"47"</f>
        <v>47</v>
      </c>
      <c r="M4063" s="1" t="str">
        <f t="shared" si="2696"/>
        <v>0</v>
      </c>
      <c r="N4063" s="1" t="str">
        <f t="shared" si="2700"/>
        <v>0</v>
      </c>
      <c r="O4063" s="1" t="str">
        <f>"16.18"</f>
        <v>16.18</v>
      </c>
    </row>
    <row r="4064" s="1" customFormat="1" spans="1:15">
      <c r="A4064" s="1" t="str">
        <f t="shared" si="2706"/>
        <v>202406</v>
      </c>
      <c r="B4064" s="1" t="str">
        <f t="shared" si="2707"/>
        <v>150525100</v>
      </c>
      <c r="C4064" s="1" t="str">
        <f>"1041153520"</f>
        <v>1041153520</v>
      </c>
      <c r="D4064" s="1" t="str">
        <f>"152326196209240040"</f>
        <v>152326196209240040</v>
      </c>
      <c r="E4064" s="1" t="s">
        <v>4088</v>
      </c>
      <c r="F4064" s="1" t="s">
        <v>16</v>
      </c>
      <c r="G4064" s="1" t="s">
        <v>17</v>
      </c>
      <c r="H4064" s="1" t="str">
        <f>"62"</f>
        <v>62</v>
      </c>
      <c r="I4064" s="1" t="str">
        <f>"163.17"</f>
        <v>163.17</v>
      </c>
      <c r="J4064" s="1" t="str">
        <f t="shared" si="2702"/>
        <v>0</v>
      </c>
      <c r="K4064" s="1" t="str">
        <f t="shared" si="2714"/>
        <v>103</v>
      </c>
      <c r="L4064" s="1" t="str">
        <f t="shared" si="2715"/>
        <v>47</v>
      </c>
      <c r="M4064" s="1" t="str">
        <f t="shared" ref="M4064:M4127" si="2716">"0"</f>
        <v>0</v>
      </c>
      <c r="N4064" s="1" t="str">
        <f t="shared" si="2700"/>
        <v>0</v>
      </c>
      <c r="O4064" s="1" t="str">
        <f>"13.17"</f>
        <v>13.17</v>
      </c>
    </row>
    <row r="4065" s="1" customFormat="1" spans="1:15">
      <c r="A4065" s="1" t="str">
        <f t="shared" si="2706"/>
        <v>202406</v>
      </c>
      <c r="B4065" s="1" t="str">
        <f t="shared" si="2707"/>
        <v>150525100</v>
      </c>
      <c r="C4065" s="1" t="str">
        <f>"1040937276"</f>
        <v>1040937276</v>
      </c>
      <c r="D4065" s="1" t="str">
        <f>"152326195604210664"</f>
        <v>152326195604210664</v>
      </c>
      <c r="E4065" s="1" t="s">
        <v>4089</v>
      </c>
      <c r="F4065" s="1" t="s">
        <v>16</v>
      </c>
      <c r="G4065" s="1" t="s">
        <v>17</v>
      </c>
      <c r="H4065" s="1" t="str">
        <f>"68"</f>
        <v>68</v>
      </c>
      <c r="I4065" s="1" t="str">
        <f>"155.43"</f>
        <v>155.43</v>
      </c>
      <c r="J4065" s="1" t="str">
        <f t="shared" si="2702"/>
        <v>0</v>
      </c>
      <c r="K4065" s="1" t="str">
        <f t="shared" si="2714"/>
        <v>103</v>
      </c>
      <c r="L4065" s="1" t="str">
        <f t="shared" si="2715"/>
        <v>47</v>
      </c>
      <c r="M4065" s="1" t="str">
        <f t="shared" si="2716"/>
        <v>0</v>
      </c>
      <c r="N4065" s="1" t="str">
        <f t="shared" si="2700"/>
        <v>0</v>
      </c>
      <c r="O4065" s="1" t="str">
        <f>"5.43"</f>
        <v>5.43</v>
      </c>
    </row>
    <row r="4066" s="1" customFormat="1" spans="1:15">
      <c r="A4066" s="1" t="str">
        <f t="shared" si="2706"/>
        <v>202406</v>
      </c>
      <c r="B4066" s="1" t="str">
        <f t="shared" si="2707"/>
        <v>150525100</v>
      </c>
      <c r="C4066" s="1" t="str">
        <f>"1040988867"</f>
        <v>1040988867</v>
      </c>
      <c r="D4066" s="1" t="str">
        <f>"152326196304240428"</f>
        <v>152326196304240428</v>
      </c>
      <c r="E4066" s="1" t="s">
        <v>805</v>
      </c>
      <c r="F4066" s="1" t="s">
        <v>16</v>
      </c>
      <c r="G4066" s="1" t="s">
        <v>19</v>
      </c>
      <c r="H4066" s="1" t="str">
        <f>"61"</f>
        <v>61</v>
      </c>
      <c r="I4066" s="1" t="str">
        <f>"162.75"</f>
        <v>162.75</v>
      </c>
      <c r="J4066" s="1" t="str">
        <f t="shared" si="2702"/>
        <v>0</v>
      </c>
      <c r="K4066" s="1" t="str">
        <f t="shared" si="2714"/>
        <v>103</v>
      </c>
      <c r="L4066" s="1" t="str">
        <f t="shared" si="2715"/>
        <v>47</v>
      </c>
      <c r="M4066" s="1" t="str">
        <f t="shared" si="2716"/>
        <v>0</v>
      </c>
      <c r="N4066" s="1" t="str">
        <f t="shared" si="2700"/>
        <v>0</v>
      </c>
      <c r="O4066" s="1" t="str">
        <f>"12.75"</f>
        <v>12.75</v>
      </c>
    </row>
    <row r="4067" s="1" customFormat="1" spans="1:15">
      <c r="A4067" s="1" t="str">
        <f t="shared" si="2706"/>
        <v>202406</v>
      </c>
      <c r="B4067" s="1" t="str">
        <f t="shared" si="2707"/>
        <v>150525100</v>
      </c>
      <c r="C4067" s="1" t="str">
        <f>"1040983817"</f>
        <v>1040983817</v>
      </c>
      <c r="D4067" s="1" t="str">
        <f>"152326195809233077"</f>
        <v>152326195809233077</v>
      </c>
      <c r="E4067" s="1" t="s">
        <v>4090</v>
      </c>
      <c r="F4067" s="1" t="s">
        <v>25</v>
      </c>
      <c r="G4067" s="1" t="s">
        <v>19</v>
      </c>
      <c r="H4067" s="1" t="str">
        <f>"66"</f>
        <v>66</v>
      </c>
      <c r="I4067" s="1" t="str">
        <f>"155.33"</f>
        <v>155.33</v>
      </c>
      <c r="J4067" s="1" t="str">
        <f t="shared" si="2702"/>
        <v>0</v>
      </c>
      <c r="K4067" s="1" t="str">
        <f t="shared" si="2714"/>
        <v>103</v>
      </c>
      <c r="L4067" s="1" t="str">
        <f t="shared" si="2715"/>
        <v>47</v>
      </c>
      <c r="M4067" s="1" t="str">
        <f t="shared" si="2716"/>
        <v>0</v>
      </c>
      <c r="N4067" s="1" t="str">
        <f t="shared" si="2700"/>
        <v>0</v>
      </c>
      <c r="O4067" s="1" t="str">
        <f>"5.33"</f>
        <v>5.33</v>
      </c>
    </row>
    <row r="4068" s="1" customFormat="1" spans="1:15">
      <c r="A4068" s="1" t="str">
        <f t="shared" si="2706"/>
        <v>202406</v>
      </c>
      <c r="B4068" s="1" t="str">
        <f t="shared" si="2707"/>
        <v>150525100</v>
      </c>
      <c r="C4068" s="1" t="str">
        <f>"1040975740"</f>
        <v>1040975740</v>
      </c>
      <c r="D4068" s="1" t="str">
        <f>"152326196006263074"</f>
        <v>152326196006263074</v>
      </c>
      <c r="E4068" s="1" t="s">
        <v>4091</v>
      </c>
      <c r="F4068" s="1" t="s">
        <v>25</v>
      </c>
      <c r="G4068" s="1" t="s">
        <v>17</v>
      </c>
      <c r="H4068" s="1" t="str">
        <f>"64"</f>
        <v>64</v>
      </c>
      <c r="I4068" s="1" t="str">
        <f>"184.89"</f>
        <v>184.89</v>
      </c>
      <c r="J4068" s="1" t="str">
        <f t="shared" si="2702"/>
        <v>0</v>
      </c>
      <c r="K4068" s="1" t="str">
        <f t="shared" si="2714"/>
        <v>103</v>
      </c>
      <c r="L4068" s="1" t="str">
        <f t="shared" si="2715"/>
        <v>47</v>
      </c>
      <c r="M4068" s="1" t="str">
        <f t="shared" si="2716"/>
        <v>0</v>
      </c>
      <c r="N4068" s="1" t="str">
        <f t="shared" si="2700"/>
        <v>0</v>
      </c>
      <c r="O4068" s="1" t="str">
        <f>"34.89"</f>
        <v>34.89</v>
      </c>
    </row>
    <row r="4069" s="1" customFormat="1" spans="1:15">
      <c r="A4069" s="1" t="str">
        <f t="shared" si="2706"/>
        <v>202406</v>
      </c>
      <c r="B4069" s="1" t="str">
        <f t="shared" si="2707"/>
        <v>150525100</v>
      </c>
      <c r="C4069" s="1" t="str">
        <f>"1040978817"</f>
        <v>1040978817</v>
      </c>
      <c r="D4069" s="1" t="str">
        <f>"152326195803213817"</f>
        <v>152326195803213817</v>
      </c>
      <c r="E4069" s="1" t="s">
        <v>4092</v>
      </c>
      <c r="F4069" s="1" t="s">
        <v>25</v>
      </c>
      <c r="G4069" s="1" t="s">
        <v>19</v>
      </c>
      <c r="H4069" s="1" t="str">
        <f>"66"</f>
        <v>66</v>
      </c>
      <c r="I4069" s="1" t="str">
        <f>"155.3"</f>
        <v>155.3</v>
      </c>
      <c r="J4069" s="1" t="str">
        <f t="shared" si="2702"/>
        <v>0</v>
      </c>
      <c r="K4069" s="1" t="str">
        <f t="shared" si="2714"/>
        <v>103</v>
      </c>
      <c r="L4069" s="1" t="str">
        <f t="shared" si="2715"/>
        <v>47</v>
      </c>
      <c r="M4069" s="1" t="str">
        <f t="shared" si="2716"/>
        <v>0</v>
      </c>
      <c r="N4069" s="1" t="str">
        <f t="shared" si="2700"/>
        <v>0</v>
      </c>
      <c r="O4069" s="1" t="str">
        <f>"5.3"</f>
        <v>5.3</v>
      </c>
    </row>
    <row r="4070" s="1" customFormat="1" spans="1:15">
      <c r="A4070" s="1" t="str">
        <f t="shared" si="2706"/>
        <v>202406</v>
      </c>
      <c r="B4070" s="1" t="str">
        <f t="shared" si="2707"/>
        <v>150525100</v>
      </c>
      <c r="C4070" s="1" t="str">
        <f>"1041168952"</f>
        <v>1041168952</v>
      </c>
      <c r="D4070" s="1" t="str">
        <f>"152326195704140675"</f>
        <v>152326195704140675</v>
      </c>
      <c r="E4070" s="1" t="s">
        <v>4093</v>
      </c>
      <c r="F4070" s="1" t="s">
        <v>16</v>
      </c>
      <c r="G4070" s="1" t="s">
        <v>19</v>
      </c>
      <c r="H4070" s="1" t="str">
        <f>"67"</f>
        <v>67</v>
      </c>
      <c r="I4070" s="1" t="str">
        <f>"154.32"</f>
        <v>154.32</v>
      </c>
      <c r="J4070" s="1" t="str">
        <f t="shared" si="2702"/>
        <v>0</v>
      </c>
      <c r="K4070" s="1" t="str">
        <f t="shared" si="2714"/>
        <v>103</v>
      </c>
      <c r="L4070" s="1" t="str">
        <f t="shared" si="2715"/>
        <v>47</v>
      </c>
      <c r="M4070" s="1" t="str">
        <f t="shared" si="2716"/>
        <v>0</v>
      </c>
      <c r="N4070" s="1" t="str">
        <f t="shared" si="2700"/>
        <v>0</v>
      </c>
      <c r="O4070" s="1" t="str">
        <f>"4.32"</f>
        <v>4.32</v>
      </c>
    </row>
    <row r="4071" s="1" customFormat="1" spans="1:15">
      <c r="A4071" s="1" t="str">
        <f t="shared" si="2706"/>
        <v>202406</v>
      </c>
      <c r="B4071" s="1" t="str">
        <f t="shared" si="2707"/>
        <v>150525100</v>
      </c>
      <c r="C4071" s="1" t="str">
        <f>"1040948702"</f>
        <v>1040948702</v>
      </c>
      <c r="D4071" s="1" t="str">
        <f>"152326196304043336"</f>
        <v>152326196304043336</v>
      </c>
      <c r="E4071" s="1" t="s">
        <v>4094</v>
      </c>
      <c r="F4071" s="1" t="s">
        <v>25</v>
      </c>
      <c r="G4071" s="1" t="s">
        <v>17</v>
      </c>
      <c r="H4071" s="1" t="str">
        <f>"61"</f>
        <v>61</v>
      </c>
      <c r="I4071" s="1" t="str">
        <f>"163.02"</f>
        <v>163.02</v>
      </c>
      <c r="J4071" s="1" t="str">
        <f t="shared" si="2702"/>
        <v>0</v>
      </c>
      <c r="K4071" s="1" t="str">
        <f t="shared" si="2714"/>
        <v>103</v>
      </c>
      <c r="L4071" s="1" t="str">
        <f t="shared" si="2715"/>
        <v>47</v>
      </c>
      <c r="M4071" s="1" t="str">
        <f t="shared" si="2716"/>
        <v>0</v>
      </c>
      <c r="N4071" s="1" t="str">
        <f t="shared" ref="N4071:N4134" si="2717">"0"</f>
        <v>0</v>
      </c>
      <c r="O4071" s="1" t="str">
        <f>"13.02"</f>
        <v>13.02</v>
      </c>
    </row>
    <row r="4072" s="1" customFormat="1" spans="1:15">
      <c r="A4072" s="1" t="str">
        <f t="shared" si="2706"/>
        <v>202406</v>
      </c>
      <c r="B4072" s="1" t="str">
        <f t="shared" si="2707"/>
        <v>150525100</v>
      </c>
      <c r="C4072" s="1" t="str">
        <f>"1040937633"</f>
        <v>1040937633</v>
      </c>
      <c r="D4072" s="1" t="s">
        <v>4095</v>
      </c>
      <c r="E4072" s="1" t="s">
        <v>4096</v>
      </c>
      <c r="F4072" s="1" t="s">
        <v>16</v>
      </c>
      <c r="G4072" s="1" t="s">
        <v>17</v>
      </c>
      <c r="H4072" s="1" t="str">
        <f>"65"</f>
        <v>65</v>
      </c>
      <c r="I4072" s="1" t="str">
        <f>"158.32"</f>
        <v>158.32</v>
      </c>
      <c r="J4072" s="1" t="str">
        <f t="shared" si="2702"/>
        <v>0</v>
      </c>
      <c r="K4072" s="1" t="str">
        <f t="shared" si="2714"/>
        <v>103</v>
      </c>
      <c r="L4072" s="1" t="str">
        <f t="shared" si="2715"/>
        <v>47</v>
      </c>
      <c r="M4072" s="1" t="str">
        <f t="shared" si="2716"/>
        <v>0</v>
      </c>
      <c r="N4072" s="1" t="str">
        <f t="shared" si="2717"/>
        <v>0</v>
      </c>
      <c r="O4072" s="1" t="str">
        <f>"8.32"</f>
        <v>8.32</v>
      </c>
    </row>
    <row r="4073" s="1" customFormat="1" spans="1:15">
      <c r="A4073" s="1" t="str">
        <f t="shared" si="2706"/>
        <v>202406</v>
      </c>
      <c r="B4073" s="1" t="str">
        <f t="shared" si="2707"/>
        <v>150525100</v>
      </c>
      <c r="C4073" s="1" t="str">
        <f>"1040991388"</f>
        <v>1040991388</v>
      </c>
      <c r="D4073" s="1" t="str">
        <f>"152326196311230420"</f>
        <v>152326196311230420</v>
      </c>
      <c r="E4073" s="1" t="s">
        <v>4097</v>
      </c>
      <c r="F4073" s="1" t="s">
        <v>16</v>
      </c>
      <c r="G4073" s="1" t="s">
        <v>17</v>
      </c>
      <c r="H4073" s="1" t="str">
        <f>"61"</f>
        <v>61</v>
      </c>
      <c r="I4073" s="1" t="str">
        <f>"163.13"</f>
        <v>163.13</v>
      </c>
      <c r="J4073" s="1" t="str">
        <f t="shared" si="2702"/>
        <v>0</v>
      </c>
      <c r="K4073" s="1" t="str">
        <f t="shared" si="2714"/>
        <v>103</v>
      </c>
      <c r="L4073" s="1" t="str">
        <f t="shared" si="2715"/>
        <v>47</v>
      </c>
      <c r="M4073" s="1" t="str">
        <f t="shared" si="2716"/>
        <v>0</v>
      </c>
      <c r="N4073" s="1" t="str">
        <f t="shared" si="2717"/>
        <v>0</v>
      </c>
      <c r="O4073" s="1" t="str">
        <f>"13.13"</f>
        <v>13.13</v>
      </c>
    </row>
    <row r="4074" s="1" customFormat="1" spans="1:15">
      <c r="A4074" s="1" t="str">
        <f t="shared" si="2706"/>
        <v>202406</v>
      </c>
      <c r="B4074" s="1" t="str">
        <f t="shared" si="2707"/>
        <v>150525100</v>
      </c>
      <c r="C4074" s="1" t="str">
        <f>"1040991524"</f>
        <v>1040991524</v>
      </c>
      <c r="D4074" s="1" t="str">
        <f>"152326196206246383"</f>
        <v>152326196206246383</v>
      </c>
      <c r="E4074" s="1" t="s">
        <v>2169</v>
      </c>
      <c r="F4074" s="1" t="s">
        <v>16</v>
      </c>
      <c r="G4074" s="1" t="s">
        <v>17</v>
      </c>
      <c r="H4074" s="1" t="str">
        <f>"62"</f>
        <v>62</v>
      </c>
      <c r="I4074" s="1" t="str">
        <f>"161.59"</f>
        <v>161.59</v>
      </c>
      <c r="J4074" s="1" t="str">
        <f t="shared" si="2702"/>
        <v>0</v>
      </c>
      <c r="K4074" s="1" t="str">
        <f t="shared" si="2714"/>
        <v>103</v>
      </c>
      <c r="L4074" s="1" t="str">
        <f t="shared" si="2715"/>
        <v>47</v>
      </c>
      <c r="M4074" s="1" t="str">
        <f t="shared" si="2716"/>
        <v>0</v>
      </c>
      <c r="N4074" s="1" t="str">
        <f t="shared" si="2717"/>
        <v>0</v>
      </c>
      <c r="O4074" s="1" t="str">
        <f>"11.59"</f>
        <v>11.59</v>
      </c>
    </row>
    <row r="4075" s="1" customFormat="1" spans="1:15">
      <c r="A4075" s="1" t="str">
        <f t="shared" si="2706"/>
        <v>202406</v>
      </c>
      <c r="B4075" s="1" t="str">
        <f t="shared" si="2707"/>
        <v>150525100</v>
      </c>
      <c r="C4075" s="1" t="str">
        <f>"1040937064"</f>
        <v>1040937064</v>
      </c>
      <c r="D4075" s="1" t="str">
        <f>"152326196102030668"</f>
        <v>152326196102030668</v>
      </c>
      <c r="E4075" s="1" t="s">
        <v>4098</v>
      </c>
      <c r="F4075" s="1" t="s">
        <v>16</v>
      </c>
      <c r="G4075" s="1" t="s">
        <v>17</v>
      </c>
      <c r="H4075" s="1" t="str">
        <f>"63"</f>
        <v>63</v>
      </c>
      <c r="I4075" s="1" t="str">
        <f>"160.42"</f>
        <v>160.42</v>
      </c>
      <c r="J4075" s="1" t="str">
        <f t="shared" si="2702"/>
        <v>0</v>
      </c>
      <c r="K4075" s="1" t="str">
        <f t="shared" si="2714"/>
        <v>103</v>
      </c>
      <c r="L4075" s="1" t="str">
        <f t="shared" si="2715"/>
        <v>47</v>
      </c>
      <c r="M4075" s="1" t="str">
        <f t="shared" si="2716"/>
        <v>0</v>
      </c>
      <c r="N4075" s="1" t="str">
        <f t="shared" si="2717"/>
        <v>0</v>
      </c>
      <c r="O4075" s="1" t="str">
        <f>"10.42"</f>
        <v>10.42</v>
      </c>
    </row>
    <row r="4076" s="1" customFormat="1" spans="1:15">
      <c r="A4076" s="1" t="str">
        <f t="shared" si="2706"/>
        <v>202406</v>
      </c>
      <c r="B4076" s="1" t="str">
        <f t="shared" si="2707"/>
        <v>150525100</v>
      </c>
      <c r="C4076" s="1" t="str">
        <f>"1040937067"</f>
        <v>1040937067</v>
      </c>
      <c r="D4076" s="1" t="str">
        <f>"152326196209100662"</f>
        <v>152326196209100662</v>
      </c>
      <c r="E4076" s="1" t="s">
        <v>4099</v>
      </c>
      <c r="F4076" s="1" t="s">
        <v>16</v>
      </c>
      <c r="G4076" s="1" t="s">
        <v>17</v>
      </c>
      <c r="H4076" s="1" t="str">
        <f>"62"</f>
        <v>62</v>
      </c>
      <c r="I4076" s="1" t="str">
        <f>"162.48"</f>
        <v>162.48</v>
      </c>
      <c r="J4076" s="1" t="str">
        <f t="shared" si="2702"/>
        <v>0</v>
      </c>
      <c r="K4076" s="1" t="str">
        <f t="shared" si="2714"/>
        <v>103</v>
      </c>
      <c r="L4076" s="1" t="str">
        <f t="shared" si="2715"/>
        <v>47</v>
      </c>
      <c r="M4076" s="1" t="str">
        <f t="shared" si="2716"/>
        <v>0</v>
      </c>
      <c r="N4076" s="1" t="str">
        <f t="shared" si="2717"/>
        <v>0</v>
      </c>
      <c r="O4076" s="1" t="str">
        <f>"12.48"</f>
        <v>12.48</v>
      </c>
    </row>
    <row r="4077" s="1" customFormat="1" spans="1:15">
      <c r="A4077" s="1" t="str">
        <f t="shared" si="2706"/>
        <v>202406</v>
      </c>
      <c r="B4077" s="1" t="str">
        <f t="shared" si="2707"/>
        <v>150525100</v>
      </c>
      <c r="C4077" s="1" t="str">
        <f>"1040937092"</f>
        <v>1040937092</v>
      </c>
      <c r="D4077" s="1" t="str">
        <f>"152326196306100672"</f>
        <v>152326196306100672</v>
      </c>
      <c r="E4077" s="1" t="s">
        <v>4100</v>
      </c>
      <c r="F4077" s="1" t="s">
        <v>25</v>
      </c>
      <c r="G4077" s="1" t="s">
        <v>17</v>
      </c>
      <c r="H4077" s="1" t="str">
        <f t="shared" ref="H4077:H4082" si="2718">"61"</f>
        <v>61</v>
      </c>
      <c r="I4077" s="1" t="str">
        <f>"164.37"</f>
        <v>164.37</v>
      </c>
      <c r="J4077" s="1" t="str">
        <f t="shared" ref="J4077:J4140" si="2719">"0"</f>
        <v>0</v>
      </c>
      <c r="K4077" s="1" t="str">
        <f t="shared" si="2714"/>
        <v>103</v>
      </c>
      <c r="L4077" s="1" t="str">
        <f t="shared" si="2715"/>
        <v>47</v>
      </c>
      <c r="M4077" s="1" t="str">
        <f t="shared" si="2716"/>
        <v>0</v>
      </c>
      <c r="N4077" s="1" t="str">
        <f t="shared" si="2717"/>
        <v>0</v>
      </c>
      <c r="O4077" s="1" t="str">
        <f>"14.37"</f>
        <v>14.37</v>
      </c>
    </row>
    <row r="4078" s="1" customFormat="1" spans="1:15">
      <c r="A4078" s="1" t="str">
        <f t="shared" si="2706"/>
        <v>202406</v>
      </c>
      <c r="B4078" s="1" t="str">
        <f t="shared" si="2707"/>
        <v>150525100</v>
      </c>
      <c r="C4078" s="1" t="str">
        <f>"1040937121"</f>
        <v>1040937121</v>
      </c>
      <c r="D4078" s="1" t="str">
        <f>"152326195801040668"</f>
        <v>152326195801040668</v>
      </c>
      <c r="E4078" s="1" t="s">
        <v>4101</v>
      </c>
      <c r="F4078" s="1" t="s">
        <v>16</v>
      </c>
      <c r="G4078" s="1" t="s">
        <v>17</v>
      </c>
      <c r="H4078" s="1" t="str">
        <f>"67"</f>
        <v>67</v>
      </c>
      <c r="I4078" s="1" t="str">
        <f>"156.47"</f>
        <v>156.47</v>
      </c>
      <c r="J4078" s="1" t="str">
        <f t="shared" si="2719"/>
        <v>0</v>
      </c>
      <c r="K4078" s="1" t="str">
        <f t="shared" si="2714"/>
        <v>103</v>
      </c>
      <c r="L4078" s="1" t="str">
        <f t="shared" si="2715"/>
        <v>47</v>
      </c>
      <c r="M4078" s="1" t="str">
        <f t="shared" si="2716"/>
        <v>0</v>
      </c>
      <c r="N4078" s="1" t="str">
        <f t="shared" si="2717"/>
        <v>0</v>
      </c>
      <c r="O4078" s="1" t="str">
        <f>"6.47"</f>
        <v>6.47</v>
      </c>
    </row>
    <row r="4079" s="1" customFormat="1" spans="1:15">
      <c r="A4079" s="1" t="str">
        <f t="shared" si="2706"/>
        <v>202406</v>
      </c>
      <c r="B4079" s="1" t="str">
        <f t="shared" si="2707"/>
        <v>150525100</v>
      </c>
      <c r="C4079" s="1" t="str">
        <f>"1040937179"</f>
        <v>1040937179</v>
      </c>
      <c r="D4079" s="1" t="str">
        <f>"152326196011030689"</f>
        <v>152326196011030689</v>
      </c>
      <c r="E4079" s="1" t="s">
        <v>4102</v>
      </c>
      <c r="F4079" s="1" t="s">
        <v>16</v>
      </c>
      <c r="G4079" s="1" t="s">
        <v>17</v>
      </c>
      <c r="H4079" s="1" t="str">
        <f>"64"</f>
        <v>64</v>
      </c>
      <c r="I4079" s="1" t="str">
        <f>"158.69"</f>
        <v>158.69</v>
      </c>
      <c r="J4079" s="1" t="str">
        <f t="shared" si="2719"/>
        <v>0</v>
      </c>
      <c r="K4079" s="1" t="str">
        <f t="shared" si="2714"/>
        <v>103</v>
      </c>
      <c r="L4079" s="1" t="str">
        <f t="shared" si="2715"/>
        <v>47</v>
      </c>
      <c r="M4079" s="1" t="str">
        <f t="shared" si="2716"/>
        <v>0</v>
      </c>
      <c r="N4079" s="1" t="str">
        <f t="shared" si="2717"/>
        <v>0</v>
      </c>
      <c r="O4079" s="1" t="str">
        <f>"8.69"</f>
        <v>8.69</v>
      </c>
    </row>
    <row r="4080" s="1" customFormat="1" spans="1:15">
      <c r="A4080" s="1" t="str">
        <f t="shared" si="2706"/>
        <v>202406</v>
      </c>
      <c r="B4080" s="1" t="str">
        <f t="shared" si="2707"/>
        <v>150525100</v>
      </c>
      <c r="C4080" s="1" t="str">
        <f>"1040937182"</f>
        <v>1040937182</v>
      </c>
      <c r="D4080" s="1" t="str">
        <f>"152326196209120671"</f>
        <v>152326196209120671</v>
      </c>
      <c r="E4080" s="1" t="s">
        <v>4103</v>
      </c>
      <c r="F4080" s="1" t="s">
        <v>25</v>
      </c>
      <c r="G4080" s="1" t="s">
        <v>17</v>
      </c>
      <c r="H4080" s="1" t="str">
        <f>"62"</f>
        <v>62</v>
      </c>
      <c r="I4080" s="1" t="str">
        <f>"162.49"</f>
        <v>162.49</v>
      </c>
      <c r="J4080" s="1" t="str">
        <f t="shared" si="2719"/>
        <v>0</v>
      </c>
      <c r="K4080" s="1" t="str">
        <f t="shared" si="2714"/>
        <v>103</v>
      </c>
      <c r="L4080" s="1" t="str">
        <f t="shared" si="2715"/>
        <v>47</v>
      </c>
      <c r="M4080" s="1" t="str">
        <f t="shared" si="2716"/>
        <v>0</v>
      </c>
      <c r="N4080" s="1" t="str">
        <f t="shared" si="2717"/>
        <v>0</v>
      </c>
      <c r="O4080" s="1" t="str">
        <f>"12.49"</f>
        <v>12.49</v>
      </c>
    </row>
    <row r="4081" s="1" customFormat="1" spans="1:15">
      <c r="A4081" s="1" t="str">
        <f t="shared" si="2706"/>
        <v>202406</v>
      </c>
      <c r="B4081" s="1" t="str">
        <f t="shared" si="2707"/>
        <v>150525100</v>
      </c>
      <c r="C4081" s="1" t="str">
        <f>"1040937187"</f>
        <v>1040937187</v>
      </c>
      <c r="D4081" s="1" t="str">
        <f>"152326196310290667"</f>
        <v>152326196310290667</v>
      </c>
      <c r="E4081" s="1" t="s">
        <v>4104</v>
      </c>
      <c r="F4081" s="1" t="s">
        <v>16</v>
      </c>
      <c r="G4081" s="1" t="s">
        <v>17</v>
      </c>
      <c r="H4081" s="1" t="str">
        <f t="shared" si="2718"/>
        <v>61</v>
      </c>
      <c r="I4081" s="1" t="str">
        <f>"164.45"</f>
        <v>164.45</v>
      </c>
      <c r="J4081" s="1" t="str">
        <f t="shared" si="2719"/>
        <v>0</v>
      </c>
      <c r="K4081" s="1" t="str">
        <f t="shared" si="2714"/>
        <v>103</v>
      </c>
      <c r="L4081" s="1" t="str">
        <f t="shared" si="2715"/>
        <v>47</v>
      </c>
      <c r="M4081" s="1" t="str">
        <f t="shared" si="2716"/>
        <v>0</v>
      </c>
      <c r="N4081" s="1" t="str">
        <f t="shared" si="2717"/>
        <v>0</v>
      </c>
      <c r="O4081" s="1" t="str">
        <f>"14.45"</f>
        <v>14.45</v>
      </c>
    </row>
    <row r="4082" s="1" customFormat="1" spans="1:15">
      <c r="A4082" s="1" t="str">
        <f t="shared" si="2706"/>
        <v>202406</v>
      </c>
      <c r="B4082" s="1" t="str">
        <f t="shared" si="2707"/>
        <v>150525100</v>
      </c>
      <c r="C4082" s="1" t="str">
        <f>"1040937196"</f>
        <v>1040937196</v>
      </c>
      <c r="D4082" s="1" t="str">
        <f>"152326196307300676"</f>
        <v>152326196307300676</v>
      </c>
      <c r="E4082" s="1" t="s">
        <v>4105</v>
      </c>
      <c r="F4082" s="1" t="s">
        <v>25</v>
      </c>
      <c r="G4082" s="1" t="s">
        <v>17</v>
      </c>
      <c r="H4082" s="1" t="str">
        <f t="shared" si="2718"/>
        <v>61</v>
      </c>
      <c r="I4082" s="1" t="str">
        <f>"164.39"</f>
        <v>164.39</v>
      </c>
      <c r="J4082" s="1" t="str">
        <f t="shared" si="2719"/>
        <v>0</v>
      </c>
      <c r="K4082" s="1" t="str">
        <f t="shared" si="2714"/>
        <v>103</v>
      </c>
      <c r="L4082" s="1" t="str">
        <f t="shared" si="2715"/>
        <v>47</v>
      </c>
      <c r="M4082" s="1" t="str">
        <f t="shared" si="2716"/>
        <v>0</v>
      </c>
      <c r="N4082" s="1" t="str">
        <f t="shared" si="2717"/>
        <v>0</v>
      </c>
      <c r="O4082" s="1" t="str">
        <f>"14.39"</f>
        <v>14.39</v>
      </c>
    </row>
    <row r="4083" s="1" customFormat="1" spans="1:15">
      <c r="A4083" s="1" t="str">
        <f t="shared" si="2706"/>
        <v>202406</v>
      </c>
      <c r="B4083" s="1" t="str">
        <f t="shared" si="2707"/>
        <v>150525100</v>
      </c>
      <c r="C4083" s="1" t="str">
        <f>"1040937214"</f>
        <v>1040937214</v>
      </c>
      <c r="D4083" s="1" t="str">
        <f>"152326196110290670"</f>
        <v>152326196110290670</v>
      </c>
      <c r="E4083" s="1" t="s">
        <v>4106</v>
      </c>
      <c r="F4083" s="1" t="s">
        <v>25</v>
      </c>
      <c r="G4083" s="1" t="s">
        <v>17</v>
      </c>
      <c r="H4083" s="1" t="str">
        <f>"63"</f>
        <v>63</v>
      </c>
      <c r="I4083" s="1" t="str">
        <f>"160.5"</f>
        <v>160.5</v>
      </c>
      <c r="J4083" s="1" t="str">
        <f t="shared" si="2719"/>
        <v>0</v>
      </c>
      <c r="K4083" s="1" t="str">
        <f t="shared" si="2714"/>
        <v>103</v>
      </c>
      <c r="L4083" s="1" t="str">
        <f t="shared" si="2715"/>
        <v>47</v>
      </c>
      <c r="M4083" s="1" t="str">
        <f t="shared" si="2716"/>
        <v>0</v>
      </c>
      <c r="N4083" s="1" t="str">
        <f t="shared" si="2717"/>
        <v>0</v>
      </c>
      <c r="O4083" s="1" t="str">
        <f>"10.5"</f>
        <v>10.5</v>
      </c>
    </row>
    <row r="4084" s="1" customFormat="1" spans="1:15">
      <c r="A4084" s="1" t="str">
        <f t="shared" si="2706"/>
        <v>202406</v>
      </c>
      <c r="B4084" s="1" t="str">
        <f t="shared" si="2707"/>
        <v>150525100</v>
      </c>
      <c r="C4084" s="1" t="str">
        <f>"1040937238"</f>
        <v>1040937238</v>
      </c>
      <c r="D4084" s="1" t="str">
        <f>"152326196304020679"</f>
        <v>152326196304020679</v>
      </c>
      <c r="E4084" s="1" t="s">
        <v>4107</v>
      </c>
      <c r="F4084" s="1" t="s">
        <v>25</v>
      </c>
      <c r="G4084" s="1" t="s">
        <v>17</v>
      </c>
      <c r="H4084" s="1" t="str">
        <f>"61"</f>
        <v>61</v>
      </c>
      <c r="I4084" s="1" t="str">
        <f>"163.74"</f>
        <v>163.74</v>
      </c>
      <c r="J4084" s="1" t="str">
        <f t="shared" si="2719"/>
        <v>0</v>
      </c>
      <c r="K4084" s="1" t="str">
        <f t="shared" si="2714"/>
        <v>103</v>
      </c>
      <c r="L4084" s="1" t="str">
        <f t="shared" si="2715"/>
        <v>47</v>
      </c>
      <c r="M4084" s="1" t="str">
        <f t="shared" si="2716"/>
        <v>0</v>
      </c>
      <c r="N4084" s="1" t="str">
        <f t="shared" si="2717"/>
        <v>0</v>
      </c>
      <c r="O4084" s="1" t="str">
        <f>"13.74"</f>
        <v>13.74</v>
      </c>
    </row>
    <row r="4085" s="1" customFormat="1" spans="1:15">
      <c r="A4085" s="1" t="str">
        <f t="shared" si="2706"/>
        <v>202406</v>
      </c>
      <c r="B4085" s="1" t="str">
        <f t="shared" si="2707"/>
        <v>150525100</v>
      </c>
      <c r="C4085" s="1" t="str">
        <f>"1040937687"</f>
        <v>1040937687</v>
      </c>
      <c r="D4085" s="1" t="str">
        <f>"152326196309230712"</f>
        <v>152326196309230712</v>
      </c>
      <c r="E4085" s="1" t="s">
        <v>4108</v>
      </c>
      <c r="F4085" s="1" t="s">
        <v>25</v>
      </c>
      <c r="G4085" s="1" t="s">
        <v>17</v>
      </c>
      <c r="H4085" s="1" t="str">
        <f>"61"</f>
        <v>61</v>
      </c>
      <c r="I4085" s="1" t="str">
        <f>"164.31"</f>
        <v>164.31</v>
      </c>
      <c r="J4085" s="1" t="str">
        <f t="shared" si="2719"/>
        <v>0</v>
      </c>
      <c r="K4085" s="1" t="str">
        <f t="shared" si="2714"/>
        <v>103</v>
      </c>
      <c r="L4085" s="1" t="str">
        <f t="shared" si="2715"/>
        <v>47</v>
      </c>
      <c r="M4085" s="1" t="str">
        <f t="shared" si="2716"/>
        <v>0</v>
      </c>
      <c r="N4085" s="1" t="str">
        <f t="shared" si="2717"/>
        <v>0</v>
      </c>
      <c r="O4085" s="1" t="str">
        <f>"14.31"</f>
        <v>14.31</v>
      </c>
    </row>
    <row r="4086" s="1" customFormat="1" spans="1:15">
      <c r="A4086" s="1" t="str">
        <f t="shared" si="2706"/>
        <v>202406</v>
      </c>
      <c r="B4086" s="1" t="str">
        <f t="shared" si="2707"/>
        <v>150525100</v>
      </c>
      <c r="C4086" s="1" t="str">
        <f>"1040937699"</f>
        <v>1040937699</v>
      </c>
      <c r="D4086" s="1" t="str">
        <f>"152326196001130424"</f>
        <v>152326196001130424</v>
      </c>
      <c r="E4086" s="1" t="s">
        <v>4109</v>
      </c>
      <c r="F4086" s="1" t="s">
        <v>16</v>
      </c>
      <c r="G4086" s="1" t="s">
        <v>17</v>
      </c>
      <c r="H4086" s="1" t="str">
        <f>"64"</f>
        <v>64</v>
      </c>
      <c r="I4086" s="1" t="str">
        <f>"157.61"</f>
        <v>157.61</v>
      </c>
      <c r="J4086" s="1" t="str">
        <f t="shared" si="2719"/>
        <v>0</v>
      </c>
      <c r="K4086" s="1" t="str">
        <f t="shared" si="2714"/>
        <v>103</v>
      </c>
      <c r="L4086" s="1" t="str">
        <f t="shared" si="2715"/>
        <v>47</v>
      </c>
      <c r="M4086" s="1" t="str">
        <f t="shared" si="2716"/>
        <v>0</v>
      </c>
      <c r="N4086" s="1" t="str">
        <f t="shared" si="2717"/>
        <v>0</v>
      </c>
      <c r="O4086" s="1" t="str">
        <f>"7.61"</f>
        <v>7.61</v>
      </c>
    </row>
    <row r="4087" s="1" customFormat="1" spans="1:15">
      <c r="A4087" s="1" t="str">
        <f t="shared" si="2706"/>
        <v>202406</v>
      </c>
      <c r="B4087" s="1" t="str">
        <f t="shared" si="2707"/>
        <v>150525100</v>
      </c>
      <c r="C4087" s="1" t="str">
        <f>"1040937246"</f>
        <v>1040937246</v>
      </c>
      <c r="D4087" s="1" t="str">
        <f>"152326196109240676"</f>
        <v>152326196109240676</v>
      </c>
      <c r="E4087" s="1" t="s">
        <v>4110</v>
      </c>
      <c r="F4087" s="1" t="s">
        <v>25</v>
      </c>
      <c r="G4087" s="1" t="s">
        <v>17</v>
      </c>
      <c r="H4087" s="1" t="str">
        <f>"63"</f>
        <v>63</v>
      </c>
      <c r="I4087" s="1" t="str">
        <f>"160.49"</f>
        <v>160.49</v>
      </c>
      <c r="J4087" s="1" t="str">
        <f t="shared" si="2719"/>
        <v>0</v>
      </c>
      <c r="K4087" s="1" t="str">
        <f t="shared" si="2714"/>
        <v>103</v>
      </c>
      <c r="L4087" s="1" t="str">
        <f t="shared" si="2715"/>
        <v>47</v>
      </c>
      <c r="M4087" s="1" t="str">
        <f t="shared" si="2716"/>
        <v>0</v>
      </c>
      <c r="N4087" s="1" t="str">
        <f t="shared" si="2717"/>
        <v>0</v>
      </c>
      <c r="O4087" s="1" t="str">
        <f>"10.49"</f>
        <v>10.49</v>
      </c>
    </row>
    <row r="4088" s="1" customFormat="1" spans="1:15">
      <c r="A4088" s="1" t="str">
        <f t="shared" si="2706"/>
        <v>202406</v>
      </c>
      <c r="B4088" s="1" t="str">
        <f t="shared" si="2707"/>
        <v>150525100</v>
      </c>
      <c r="C4088" s="1" t="str">
        <f>"1040937255"</f>
        <v>1040937255</v>
      </c>
      <c r="D4088" s="1" t="str">
        <f>"152326195703240674"</f>
        <v>152326195703240674</v>
      </c>
      <c r="E4088" s="1" t="s">
        <v>4111</v>
      </c>
      <c r="F4088" s="1" t="s">
        <v>25</v>
      </c>
      <c r="G4088" s="1" t="s">
        <v>17</v>
      </c>
      <c r="H4088" s="1" t="str">
        <f>"67"</f>
        <v>67</v>
      </c>
      <c r="I4088" s="1" t="str">
        <f>"155.46"</f>
        <v>155.46</v>
      </c>
      <c r="J4088" s="1" t="str">
        <f t="shared" si="2719"/>
        <v>0</v>
      </c>
      <c r="K4088" s="1" t="str">
        <f t="shared" si="2714"/>
        <v>103</v>
      </c>
      <c r="L4088" s="1" t="str">
        <f t="shared" si="2715"/>
        <v>47</v>
      </c>
      <c r="M4088" s="1" t="str">
        <f t="shared" si="2716"/>
        <v>0</v>
      </c>
      <c r="N4088" s="1" t="str">
        <f t="shared" si="2717"/>
        <v>0</v>
      </c>
      <c r="O4088" s="1" t="str">
        <f>"5.46"</f>
        <v>5.46</v>
      </c>
    </row>
    <row r="4089" s="1" customFormat="1" spans="1:15">
      <c r="A4089" s="1" t="str">
        <f t="shared" si="2706"/>
        <v>202406</v>
      </c>
      <c r="B4089" s="1" t="str">
        <f t="shared" si="2707"/>
        <v>150525100</v>
      </c>
      <c r="C4089" s="1" t="str">
        <f>"1040937256"</f>
        <v>1040937256</v>
      </c>
      <c r="D4089" s="1" t="s">
        <v>4112</v>
      </c>
      <c r="E4089" s="1" t="s">
        <v>4113</v>
      </c>
      <c r="F4089" s="1" t="s">
        <v>16</v>
      </c>
      <c r="G4089" s="1" t="s">
        <v>17</v>
      </c>
      <c r="H4089" s="1" t="str">
        <f>"67"</f>
        <v>67</v>
      </c>
      <c r="I4089" s="1" t="str">
        <f>"155.51"</f>
        <v>155.51</v>
      </c>
      <c r="J4089" s="1" t="str">
        <f t="shared" si="2719"/>
        <v>0</v>
      </c>
      <c r="K4089" s="1" t="str">
        <f t="shared" si="2714"/>
        <v>103</v>
      </c>
      <c r="L4089" s="1" t="str">
        <f t="shared" si="2715"/>
        <v>47</v>
      </c>
      <c r="M4089" s="1" t="str">
        <f t="shared" si="2716"/>
        <v>0</v>
      </c>
      <c r="N4089" s="1" t="str">
        <f t="shared" si="2717"/>
        <v>0</v>
      </c>
      <c r="O4089" s="1" t="str">
        <f>"5.51"</f>
        <v>5.51</v>
      </c>
    </row>
    <row r="4090" s="1" customFormat="1" spans="1:15">
      <c r="A4090" s="1" t="str">
        <f t="shared" si="2706"/>
        <v>202406</v>
      </c>
      <c r="B4090" s="1" t="str">
        <f t="shared" si="2707"/>
        <v>150525100</v>
      </c>
      <c r="C4090" s="1" t="str">
        <f>"1040937300"</f>
        <v>1040937300</v>
      </c>
      <c r="D4090" s="1" t="str">
        <f>"152326195604023826"</f>
        <v>152326195604023826</v>
      </c>
      <c r="E4090" s="1" t="s">
        <v>15</v>
      </c>
      <c r="F4090" s="1" t="s">
        <v>16</v>
      </c>
      <c r="G4090" s="1" t="s">
        <v>19</v>
      </c>
      <c r="H4090" s="1" t="str">
        <f t="shared" ref="H4090:H4093" si="2720">"68"</f>
        <v>68</v>
      </c>
      <c r="I4090" s="1" t="str">
        <f>"154.54"</f>
        <v>154.54</v>
      </c>
      <c r="J4090" s="1" t="str">
        <f t="shared" si="2719"/>
        <v>0</v>
      </c>
      <c r="K4090" s="1" t="str">
        <f t="shared" si="2714"/>
        <v>103</v>
      </c>
      <c r="L4090" s="1" t="str">
        <f t="shared" si="2715"/>
        <v>47</v>
      </c>
      <c r="M4090" s="1" t="str">
        <f t="shared" si="2716"/>
        <v>0</v>
      </c>
      <c r="N4090" s="1" t="str">
        <f t="shared" si="2717"/>
        <v>0</v>
      </c>
      <c r="O4090" s="1" t="str">
        <f>"4.54"</f>
        <v>4.54</v>
      </c>
    </row>
    <row r="4091" s="1" customFormat="1" spans="1:15">
      <c r="A4091" s="1" t="str">
        <f t="shared" si="2706"/>
        <v>202406</v>
      </c>
      <c r="B4091" s="1" t="str">
        <f t="shared" si="2707"/>
        <v>150525100</v>
      </c>
      <c r="C4091" s="1" t="str">
        <f>"1040937652"</f>
        <v>1040937652</v>
      </c>
      <c r="D4091" s="1" t="str">
        <f>"152326195607290663"</f>
        <v>152326195607290663</v>
      </c>
      <c r="E4091" s="1" t="s">
        <v>4114</v>
      </c>
      <c r="F4091" s="1" t="s">
        <v>16</v>
      </c>
      <c r="G4091" s="1" t="s">
        <v>17</v>
      </c>
      <c r="H4091" s="1" t="str">
        <f t="shared" si="2720"/>
        <v>68</v>
      </c>
      <c r="I4091" s="1" t="str">
        <f>"154.54"</f>
        <v>154.54</v>
      </c>
      <c r="J4091" s="1" t="str">
        <f t="shared" si="2719"/>
        <v>0</v>
      </c>
      <c r="K4091" s="1" t="str">
        <f t="shared" si="2714"/>
        <v>103</v>
      </c>
      <c r="L4091" s="1" t="str">
        <f t="shared" si="2715"/>
        <v>47</v>
      </c>
      <c r="M4091" s="1" t="str">
        <f t="shared" si="2716"/>
        <v>0</v>
      </c>
      <c r="N4091" s="1" t="str">
        <f t="shared" si="2717"/>
        <v>0</v>
      </c>
      <c r="O4091" s="1" t="str">
        <f>"4.54"</f>
        <v>4.54</v>
      </c>
    </row>
    <row r="4092" s="1" customFormat="1" spans="1:15">
      <c r="A4092" s="1" t="str">
        <f t="shared" si="2706"/>
        <v>202406</v>
      </c>
      <c r="B4092" s="1" t="str">
        <f t="shared" si="2707"/>
        <v>150525100</v>
      </c>
      <c r="C4092" s="1" t="str">
        <f>"1040937655"</f>
        <v>1040937655</v>
      </c>
      <c r="D4092" s="1" t="str">
        <f>"152326195805020699"</f>
        <v>152326195805020699</v>
      </c>
      <c r="E4092" s="1" t="s">
        <v>4115</v>
      </c>
      <c r="F4092" s="1" t="s">
        <v>25</v>
      </c>
      <c r="G4092" s="1" t="s">
        <v>17</v>
      </c>
      <c r="H4092" s="1" t="str">
        <f>"66"</f>
        <v>66</v>
      </c>
      <c r="I4092" s="1" t="str">
        <f>"155.58"</f>
        <v>155.58</v>
      </c>
      <c r="J4092" s="1" t="str">
        <f t="shared" si="2719"/>
        <v>0</v>
      </c>
      <c r="K4092" s="1" t="str">
        <f t="shared" si="2714"/>
        <v>103</v>
      </c>
      <c r="L4092" s="1" t="str">
        <f t="shared" si="2715"/>
        <v>47</v>
      </c>
      <c r="M4092" s="1" t="str">
        <f t="shared" si="2716"/>
        <v>0</v>
      </c>
      <c r="N4092" s="1" t="str">
        <f t="shared" si="2717"/>
        <v>0</v>
      </c>
      <c r="O4092" s="1" t="str">
        <f>"5.58"</f>
        <v>5.58</v>
      </c>
    </row>
    <row r="4093" s="1" customFormat="1" spans="1:15">
      <c r="A4093" s="1" t="str">
        <f t="shared" si="2706"/>
        <v>202406</v>
      </c>
      <c r="B4093" s="1" t="str">
        <f t="shared" si="2707"/>
        <v>150525100</v>
      </c>
      <c r="C4093" s="1" t="str">
        <f>"1041028511"</f>
        <v>1041028511</v>
      </c>
      <c r="D4093" s="1" t="str">
        <f>"152326195608140667"</f>
        <v>152326195608140667</v>
      </c>
      <c r="E4093" s="1" t="s">
        <v>4116</v>
      </c>
      <c r="F4093" s="1" t="s">
        <v>16</v>
      </c>
      <c r="G4093" s="1" t="s">
        <v>19</v>
      </c>
      <c r="H4093" s="1" t="str">
        <f t="shared" si="2720"/>
        <v>68</v>
      </c>
      <c r="I4093" s="1" t="str">
        <f>"154.32"</f>
        <v>154.32</v>
      </c>
      <c r="J4093" s="1" t="str">
        <f t="shared" si="2719"/>
        <v>0</v>
      </c>
      <c r="K4093" s="1" t="str">
        <f t="shared" si="2714"/>
        <v>103</v>
      </c>
      <c r="L4093" s="1" t="str">
        <f t="shared" si="2715"/>
        <v>47</v>
      </c>
      <c r="M4093" s="1" t="str">
        <f t="shared" si="2716"/>
        <v>0</v>
      </c>
      <c r="N4093" s="1" t="str">
        <f t="shared" si="2717"/>
        <v>0</v>
      </c>
      <c r="O4093" s="1" t="str">
        <f>"4.32"</f>
        <v>4.32</v>
      </c>
    </row>
    <row r="4094" s="1" customFormat="1" spans="1:15">
      <c r="A4094" s="1" t="str">
        <f t="shared" si="2706"/>
        <v>202406</v>
      </c>
      <c r="B4094" s="1" t="str">
        <f t="shared" si="2707"/>
        <v>150525100</v>
      </c>
      <c r="C4094" s="1" t="str">
        <f>"1041161478"</f>
        <v>1041161478</v>
      </c>
      <c r="D4094" s="1" t="str">
        <f>"152326196303220425"</f>
        <v>152326196303220425</v>
      </c>
      <c r="E4094" s="1" t="s">
        <v>835</v>
      </c>
      <c r="F4094" s="1" t="s">
        <v>16</v>
      </c>
      <c r="G4094" s="1" t="s">
        <v>19</v>
      </c>
      <c r="H4094" s="1" t="str">
        <f>"61"</f>
        <v>61</v>
      </c>
      <c r="I4094" s="1" t="str">
        <f>"164.06"</f>
        <v>164.06</v>
      </c>
      <c r="J4094" s="1" t="str">
        <f t="shared" si="2719"/>
        <v>0</v>
      </c>
      <c r="K4094" s="1" t="str">
        <f t="shared" si="2714"/>
        <v>103</v>
      </c>
      <c r="L4094" s="1" t="str">
        <f t="shared" si="2715"/>
        <v>47</v>
      </c>
      <c r="M4094" s="1" t="str">
        <f t="shared" si="2716"/>
        <v>0</v>
      </c>
      <c r="N4094" s="1" t="str">
        <f t="shared" si="2717"/>
        <v>0</v>
      </c>
      <c r="O4094" s="1" t="str">
        <f>"14.06"</f>
        <v>14.06</v>
      </c>
    </row>
    <row r="4095" s="1" customFormat="1" spans="1:15">
      <c r="A4095" s="1" t="str">
        <f t="shared" si="2706"/>
        <v>202406</v>
      </c>
      <c r="B4095" s="1" t="str">
        <f t="shared" si="2707"/>
        <v>150525100</v>
      </c>
      <c r="C4095" s="1" t="str">
        <f>"1041317793"</f>
        <v>1041317793</v>
      </c>
      <c r="D4095" s="1" t="str">
        <f>"152326196009020430"</f>
        <v>152326196009020430</v>
      </c>
      <c r="E4095" s="1" t="s">
        <v>4117</v>
      </c>
      <c r="F4095" s="1" t="s">
        <v>25</v>
      </c>
      <c r="G4095" s="1" t="s">
        <v>17</v>
      </c>
      <c r="H4095" s="1" t="str">
        <f>"64"</f>
        <v>64</v>
      </c>
      <c r="I4095" s="1" t="str">
        <f>"157.08"</f>
        <v>157.08</v>
      </c>
      <c r="J4095" s="1" t="str">
        <f t="shared" si="2719"/>
        <v>0</v>
      </c>
      <c r="K4095" s="1" t="str">
        <f t="shared" si="2714"/>
        <v>103</v>
      </c>
      <c r="L4095" s="1" t="str">
        <f t="shared" si="2715"/>
        <v>47</v>
      </c>
      <c r="M4095" s="1" t="str">
        <f t="shared" si="2716"/>
        <v>0</v>
      </c>
      <c r="N4095" s="1" t="str">
        <f t="shared" si="2717"/>
        <v>0</v>
      </c>
      <c r="O4095" s="1" t="str">
        <f>"7.08"</f>
        <v>7.08</v>
      </c>
    </row>
    <row r="4096" s="1" customFormat="1" spans="1:15">
      <c r="A4096" s="1" t="str">
        <f t="shared" si="2706"/>
        <v>202406</v>
      </c>
      <c r="B4096" s="1" t="str">
        <f t="shared" si="2707"/>
        <v>150525100</v>
      </c>
      <c r="C4096" s="1" t="str">
        <f>"1041327031"</f>
        <v>1041327031</v>
      </c>
      <c r="D4096" s="1" t="str">
        <f>"152326196008290025"</f>
        <v>152326196008290025</v>
      </c>
      <c r="E4096" s="1" t="s">
        <v>4118</v>
      </c>
      <c r="F4096" s="1" t="s">
        <v>16</v>
      </c>
      <c r="G4096" s="1" t="s">
        <v>17</v>
      </c>
      <c r="H4096" s="1" t="str">
        <f>"64"</f>
        <v>64</v>
      </c>
      <c r="I4096" s="1" t="str">
        <f>"156.04"</f>
        <v>156.04</v>
      </c>
      <c r="J4096" s="1" t="str">
        <f t="shared" si="2719"/>
        <v>0</v>
      </c>
      <c r="K4096" s="1" t="str">
        <f t="shared" si="2714"/>
        <v>103</v>
      </c>
      <c r="L4096" s="1" t="str">
        <f t="shared" si="2715"/>
        <v>47</v>
      </c>
      <c r="M4096" s="1" t="str">
        <f t="shared" si="2716"/>
        <v>0</v>
      </c>
      <c r="N4096" s="1" t="str">
        <f t="shared" si="2717"/>
        <v>0</v>
      </c>
      <c r="O4096" s="1" t="str">
        <f>"6.04"</f>
        <v>6.04</v>
      </c>
    </row>
    <row r="4097" s="1" customFormat="1" spans="1:15">
      <c r="A4097" s="1" t="str">
        <f t="shared" si="2706"/>
        <v>202406</v>
      </c>
      <c r="B4097" s="1" t="str">
        <f t="shared" si="2707"/>
        <v>150525100</v>
      </c>
      <c r="C4097" s="1" t="str">
        <f>"1041397252"</f>
        <v>1041397252</v>
      </c>
      <c r="D4097" s="1" t="str">
        <f>"152326196205253813"</f>
        <v>152326196205253813</v>
      </c>
      <c r="E4097" s="1" t="s">
        <v>4119</v>
      </c>
      <c r="F4097" s="1" t="s">
        <v>25</v>
      </c>
      <c r="G4097" s="1" t="s">
        <v>17</v>
      </c>
      <c r="H4097" s="1" t="str">
        <f>"62"</f>
        <v>62</v>
      </c>
      <c r="I4097" s="1" t="str">
        <f>"159.92"</f>
        <v>159.92</v>
      </c>
      <c r="J4097" s="1" t="str">
        <f t="shared" si="2719"/>
        <v>0</v>
      </c>
      <c r="K4097" s="1" t="str">
        <f t="shared" si="2714"/>
        <v>103</v>
      </c>
      <c r="L4097" s="1" t="str">
        <f t="shared" si="2715"/>
        <v>47</v>
      </c>
      <c r="M4097" s="1" t="str">
        <f t="shared" si="2716"/>
        <v>0</v>
      </c>
      <c r="N4097" s="1" t="str">
        <f t="shared" si="2717"/>
        <v>0</v>
      </c>
      <c r="O4097" s="1" t="str">
        <f>"9.92"</f>
        <v>9.92</v>
      </c>
    </row>
    <row r="4098" s="1" customFormat="1" spans="1:15">
      <c r="A4098" s="1" t="str">
        <f t="shared" ref="A4098:A4161" si="2721">"202406"</f>
        <v>202406</v>
      </c>
      <c r="B4098" s="1" t="str">
        <f t="shared" ref="B4098:B4161" si="2722">"150525100"</f>
        <v>150525100</v>
      </c>
      <c r="C4098" s="1" t="str">
        <f>"1041364599"</f>
        <v>1041364599</v>
      </c>
      <c r="D4098" s="1" t="str">
        <f>"152326195601220912"</f>
        <v>152326195601220912</v>
      </c>
      <c r="E4098" s="1" t="s">
        <v>4120</v>
      </c>
      <c r="F4098" s="1" t="s">
        <v>25</v>
      </c>
      <c r="G4098" s="1" t="s">
        <v>19</v>
      </c>
      <c r="H4098" s="1" t="str">
        <f>"68"</f>
        <v>68</v>
      </c>
      <c r="I4098" s="1" t="str">
        <f>"154.32"</f>
        <v>154.32</v>
      </c>
      <c r="J4098" s="1" t="str">
        <f t="shared" si="2719"/>
        <v>0</v>
      </c>
      <c r="K4098" s="1" t="str">
        <f t="shared" si="2714"/>
        <v>103</v>
      </c>
      <c r="L4098" s="1" t="str">
        <f t="shared" si="2715"/>
        <v>47</v>
      </c>
      <c r="M4098" s="1" t="str">
        <f t="shared" si="2716"/>
        <v>0</v>
      </c>
      <c r="N4098" s="1" t="str">
        <f t="shared" si="2717"/>
        <v>0</v>
      </c>
      <c r="O4098" s="1" t="str">
        <f>"4.32"</f>
        <v>4.32</v>
      </c>
    </row>
    <row r="4099" s="1" customFormat="1" spans="1:15">
      <c r="A4099" s="1" t="str">
        <f t="shared" si="2721"/>
        <v>202406</v>
      </c>
      <c r="B4099" s="1" t="str">
        <f t="shared" si="2722"/>
        <v>150525100</v>
      </c>
      <c r="C4099" s="1" t="str">
        <f>"1041364874"</f>
        <v>1041364874</v>
      </c>
      <c r="D4099" s="1" t="str">
        <f>"152326195809010420"</f>
        <v>152326195809010420</v>
      </c>
      <c r="E4099" s="1" t="s">
        <v>409</v>
      </c>
      <c r="F4099" s="1" t="s">
        <v>16</v>
      </c>
      <c r="G4099" s="1" t="s">
        <v>17</v>
      </c>
      <c r="H4099" s="1" t="str">
        <f>"66"</f>
        <v>66</v>
      </c>
      <c r="I4099" s="1" t="str">
        <f>"185.3"</f>
        <v>185.3</v>
      </c>
      <c r="J4099" s="1" t="str">
        <f t="shared" si="2719"/>
        <v>0</v>
      </c>
      <c r="K4099" s="1" t="str">
        <f t="shared" si="2714"/>
        <v>103</v>
      </c>
      <c r="L4099" s="1" t="str">
        <f t="shared" si="2715"/>
        <v>47</v>
      </c>
      <c r="M4099" s="1" t="str">
        <f t="shared" si="2716"/>
        <v>0</v>
      </c>
      <c r="N4099" s="1" t="str">
        <f t="shared" si="2717"/>
        <v>0</v>
      </c>
      <c r="O4099" s="1" t="str">
        <f>"35.3"</f>
        <v>35.3</v>
      </c>
    </row>
    <row r="4100" s="1" customFormat="1" spans="1:15">
      <c r="A4100" s="1" t="str">
        <f t="shared" si="2721"/>
        <v>202406</v>
      </c>
      <c r="B4100" s="1" t="str">
        <f t="shared" si="2722"/>
        <v>150525100</v>
      </c>
      <c r="C4100" s="1" t="str">
        <f>"1041351995"</f>
        <v>1041351995</v>
      </c>
      <c r="D4100" s="1" t="s">
        <v>4121</v>
      </c>
      <c r="E4100" s="1" t="s">
        <v>4122</v>
      </c>
      <c r="F4100" s="1" t="s">
        <v>25</v>
      </c>
      <c r="G4100" s="1" t="s">
        <v>17</v>
      </c>
      <c r="H4100" s="1" t="str">
        <f>"63"</f>
        <v>63</v>
      </c>
      <c r="I4100" s="1" t="str">
        <f>"158.95"</f>
        <v>158.95</v>
      </c>
      <c r="J4100" s="1" t="str">
        <f t="shared" si="2719"/>
        <v>0</v>
      </c>
      <c r="K4100" s="1" t="str">
        <f t="shared" si="2714"/>
        <v>103</v>
      </c>
      <c r="L4100" s="1" t="str">
        <f t="shared" si="2715"/>
        <v>47</v>
      </c>
      <c r="M4100" s="1" t="str">
        <f t="shared" si="2716"/>
        <v>0</v>
      </c>
      <c r="N4100" s="1" t="str">
        <f t="shared" si="2717"/>
        <v>0</v>
      </c>
      <c r="O4100" s="1" t="str">
        <f>"8.95"</f>
        <v>8.95</v>
      </c>
    </row>
    <row r="4101" s="1" customFormat="1" spans="1:15">
      <c r="A4101" s="1" t="str">
        <f t="shared" si="2721"/>
        <v>202406</v>
      </c>
      <c r="B4101" s="1" t="str">
        <f t="shared" si="2722"/>
        <v>150525100</v>
      </c>
      <c r="C4101" s="1" t="str">
        <f>"1041310569"</f>
        <v>1041310569</v>
      </c>
      <c r="D4101" s="1" t="str">
        <f>"152326196303100036"</f>
        <v>152326196303100036</v>
      </c>
      <c r="E4101" s="1" t="s">
        <v>4123</v>
      </c>
      <c r="F4101" s="1" t="s">
        <v>25</v>
      </c>
      <c r="G4101" s="1" t="s">
        <v>17</v>
      </c>
      <c r="H4101" s="1" t="str">
        <f>"61"</f>
        <v>61</v>
      </c>
      <c r="I4101" s="1" t="str">
        <f>"164.63"</f>
        <v>164.63</v>
      </c>
      <c r="J4101" s="1" t="str">
        <f t="shared" si="2719"/>
        <v>0</v>
      </c>
      <c r="K4101" s="1" t="str">
        <f t="shared" si="2714"/>
        <v>103</v>
      </c>
      <c r="L4101" s="1" t="str">
        <f t="shared" si="2715"/>
        <v>47</v>
      </c>
      <c r="M4101" s="1" t="str">
        <f t="shared" si="2716"/>
        <v>0</v>
      </c>
      <c r="N4101" s="1" t="str">
        <f t="shared" si="2717"/>
        <v>0</v>
      </c>
      <c r="O4101" s="1" t="str">
        <f>"14.63"</f>
        <v>14.63</v>
      </c>
    </row>
    <row r="4102" s="1" customFormat="1" spans="1:15">
      <c r="A4102" s="1" t="str">
        <f t="shared" si="2721"/>
        <v>202406</v>
      </c>
      <c r="B4102" s="1" t="str">
        <f t="shared" si="2722"/>
        <v>150525100</v>
      </c>
      <c r="C4102" s="1" t="str">
        <f>"1041310596"</f>
        <v>1041310596</v>
      </c>
      <c r="D4102" s="1" t="str">
        <f>"152326196010010942"</f>
        <v>152326196010010942</v>
      </c>
      <c r="E4102" s="1" t="s">
        <v>4124</v>
      </c>
      <c r="F4102" s="1" t="s">
        <v>16</v>
      </c>
      <c r="G4102" s="1" t="s">
        <v>17</v>
      </c>
      <c r="H4102" s="1" t="str">
        <f>"64"</f>
        <v>64</v>
      </c>
      <c r="I4102" s="1" t="str">
        <f>"151.93"</f>
        <v>151.93</v>
      </c>
      <c r="J4102" s="1" t="str">
        <f t="shared" si="2719"/>
        <v>0</v>
      </c>
      <c r="K4102" s="1" t="str">
        <f t="shared" si="2714"/>
        <v>103</v>
      </c>
      <c r="L4102" s="1" t="str">
        <f t="shared" si="2715"/>
        <v>47</v>
      </c>
      <c r="M4102" s="1" t="str">
        <f t="shared" si="2716"/>
        <v>0</v>
      </c>
      <c r="N4102" s="1" t="str">
        <f t="shared" si="2717"/>
        <v>0</v>
      </c>
      <c r="O4102" s="1" t="str">
        <f>"1.93"</f>
        <v>1.93</v>
      </c>
    </row>
    <row r="4103" s="1" customFormat="1" spans="1:15">
      <c r="A4103" s="1" t="str">
        <f t="shared" si="2721"/>
        <v>202406</v>
      </c>
      <c r="B4103" s="1" t="str">
        <f t="shared" si="2722"/>
        <v>150525100</v>
      </c>
      <c r="C4103" s="1" t="str">
        <f>"1041401725"</f>
        <v>1041401725</v>
      </c>
      <c r="D4103" s="1" t="str">
        <f>"152326195704163818"</f>
        <v>152326195704163818</v>
      </c>
      <c r="E4103" s="1" t="s">
        <v>4125</v>
      </c>
      <c r="F4103" s="1" t="s">
        <v>25</v>
      </c>
      <c r="G4103" s="1" t="s">
        <v>19</v>
      </c>
      <c r="H4103" s="1" t="str">
        <f>"67"</f>
        <v>67</v>
      </c>
      <c r="I4103" s="1" t="str">
        <f>"154.32"</f>
        <v>154.32</v>
      </c>
      <c r="J4103" s="1" t="str">
        <f t="shared" si="2719"/>
        <v>0</v>
      </c>
      <c r="K4103" s="1" t="str">
        <f t="shared" si="2714"/>
        <v>103</v>
      </c>
      <c r="L4103" s="1" t="str">
        <f t="shared" si="2715"/>
        <v>47</v>
      </c>
      <c r="M4103" s="1" t="str">
        <f t="shared" si="2716"/>
        <v>0</v>
      </c>
      <c r="N4103" s="1" t="str">
        <f t="shared" si="2717"/>
        <v>0</v>
      </c>
      <c r="O4103" s="1" t="str">
        <f>"4.32"</f>
        <v>4.32</v>
      </c>
    </row>
    <row r="4104" s="1" customFormat="1" spans="1:15">
      <c r="A4104" s="1" t="str">
        <f t="shared" si="2721"/>
        <v>202406</v>
      </c>
      <c r="B4104" s="1" t="str">
        <f t="shared" si="2722"/>
        <v>150525100</v>
      </c>
      <c r="C4104" s="1" t="str">
        <f>"1041401473"</f>
        <v>1041401473</v>
      </c>
      <c r="D4104" s="1" t="str">
        <f>"152326196105093824"</f>
        <v>152326196105093824</v>
      </c>
      <c r="E4104" s="1" t="s">
        <v>4126</v>
      </c>
      <c r="F4104" s="1" t="s">
        <v>16</v>
      </c>
      <c r="G4104" s="1" t="s">
        <v>17</v>
      </c>
      <c r="H4104" s="1" t="str">
        <f>"63"</f>
        <v>63</v>
      </c>
      <c r="I4104" s="1" t="str">
        <f>"158.84"</f>
        <v>158.84</v>
      </c>
      <c r="J4104" s="1" t="str">
        <f t="shared" si="2719"/>
        <v>0</v>
      </c>
      <c r="K4104" s="1" t="str">
        <f t="shared" si="2714"/>
        <v>103</v>
      </c>
      <c r="L4104" s="1" t="str">
        <f t="shared" si="2715"/>
        <v>47</v>
      </c>
      <c r="M4104" s="1" t="str">
        <f t="shared" si="2716"/>
        <v>0</v>
      </c>
      <c r="N4104" s="1" t="str">
        <f t="shared" si="2717"/>
        <v>0</v>
      </c>
      <c r="O4104" s="1" t="str">
        <f>"8.84"</f>
        <v>8.84</v>
      </c>
    </row>
    <row r="4105" s="1" customFormat="1" spans="1:15">
      <c r="A4105" s="1" t="str">
        <f t="shared" si="2721"/>
        <v>202406</v>
      </c>
      <c r="B4105" s="1" t="str">
        <f t="shared" si="2722"/>
        <v>150525100</v>
      </c>
      <c r="C4105" s="1" t="str">
        <f>"1041279749"</f>
        <v>1041279749</v>
      </c>
      <c r="D4105" s="1" t="str">
        <f>"152326196005023319"</f>
        <v>152326196005023319</v>
      </c>
      <c r="E4105" s="1" t="s">
        <v>4127</v>
      </c>
      <c r="F4105" s="1" t="s">
        <v>25</v>
      </c>
      <c r="G4105" s="1" t="s">
        <v>19</v>
      </c>
      <c r="H4105" s="1" t="str">
        <f>"64"</f>
        <v>64</v>
      </c>
      <c r="I4105" s="1" t="str">
        <f>"157.06"</f>
        <v>157.06</v>
      </c>
      <c r="J4105" s="1" t="str">
        <f t="shared" si="2719"/>
        <v>0</v>
      </c>
      <c r="K4105" s="1" t="str">
        <f t="shared" si="2714"/>
        <v>103</v>
      </c>
      <c r="L4105" s="1" t="str">
        <f t="shared" si="2715"/>
        <v>47</v>
      </c>
      <c r="M4105" s="1" t="str">
        <f t="shared" si="2716"/>
        <v>0</v>
      </c>
      <c r="N4105" s="1" t="str">
        <f t="shared" si="2717"/>
        <v>0</v>
      </c>
      <c r="O4105" s="1" t="str">
        <f>"7.06"</f>
        <v>7.06</v>
      </c>
    </row>
    <row r="4106" s="1" customFormat="1" spans="1:15">
      <c r="A4106" s="1" t="str">
        <f t="shared" si="2721"/>
        <v>202406</v>
      </c>
      <c r="B4106" s="1" t="str">
        <f t="shared" si="2722"/>
        <v>150525100</v>
      </c>
      <c r="C4106" s="1" t="str">
        <f>"1041403188"</f>
        <v>1041403188</v>
      </c>
      <c r="D4106" s="1" t="str">
        <f>"152326196105106373"</f>
        <v>152326196105106373</v>
      </c>
      <c r="E4106" s="1" t="s">
        <v>4128</v>
      </c>
      <c r="F4106" s="1" t="s">
        <v>25</v>
      </c>
      <c r="G4106" s="1" t="s">
        <v>17</v>
      </c>
      <c r="H4106" s="1" t="str">
        <f>"63"</f>
        <v>63</v>
      </c>
      <c r="I4106" s="1" t="str">
        <f>"158.11"</f>
        <v>158.11</v>
      </c>
      <c r="J4106" s="1" t="str">
        <f t="shared" si="2719"/>
        <v>0</v>
      </c>
      <c r="K4106" s="1" t="str">
        <f t="shared" si="2714"/>
        <v>103</v>
      </c>
      <c r="L4106" s="1" t="str">
        <f t="shared" si="2715"/>
        <v>47</v>
      </c>
      <c r="M4106" s="1" t="str">
        <f t="shared" si="2716"/>
        <v>0</v>
      </c>
      <c r="N4106" s="1" t="str">
        <f t="shared" si="2717"/>
        <v>0</v>
      </c>
      <c r="O4106" s="1" t="str">
        <f>"8.11"</f>
        <v>8.11</v>
      </c>
    </row>
    <row r="4107" s="1" customFormat="1" spans="1:15">
      <c r="A4107" s="1" t="str">
        <f t="shared" si="2721"/>
        <v>202406</v>
      </c>
      <c r="B4107" s="1" t="str">
        <f t="shared" si="2722"/>
        <v>150525100</v>
      </c>
      <c r="C4107" s="1" t="str">
        <f>"1041286871"</f>
        <v>1041286871</v>
      </c>
      <c r="D4107" s="1" t="str">
        <f>"152326196001010422"</f>
        <v>152326196001010422</v>
      </c>
      <c r="E4107" s="1" t="s">
        <v>3161</v>
      </c>
      <c r="F4107" s="1" t="s">
        <v>16</v>
      </c>
      <c r="G4107" s="1" t="s">
        <v>19</v>
      </c>
      <c r="H4107" s="1" t="str">
        <f>"65"</f>
        <v>65</v>
      </c>
      <c r="I4107" s="1" t="str">
        <f>"157.03"</f>
        <v>157.03</v>
      </c>
      <c r="J4107" s="1" t="str">
        <f t="shared" si="2719"/>
        <v>0</v>
      </c>
      <c r="K4107" s="1" t="str">
        <f t="shared" si="2714"/>
        <v>103</v>
      </c>
      <c r="L4107" s="1" t="str">
        <f t="shared" si="2715"/>
        <v>47</v>
      </c>
      <c r="M4107" s="1" t="str">
        <f t="shared" si="2716"/>
        <v>0</v>
      </c>
      <c r="N4107" s="1" t="str">
        <f t="shared" si="2717"/>
        <v>0</v>
      </c>
      <c r="O4107" s="1" t="str">
        <f>"7.03"</f>
        <v>7.03</v>
      </c>
    </row>
    <row r="4108" s="1" customFormat="1" spans="1:15">
      <c r="A4108" s="1" t="str">
        <f t="shared" si="2721"/>
        <v>202406</v>
      </c>
      <c r="B4108" s="1" t="str">
        <f t="shared" si="2722"/>
        <v>150525100</v>
      </c>
      <c r="C4108" s="1" t="str">
        <f>"1041403495"</f>
        <v>1041403495</v>
      </c>
      <c r="D4108" s="1" t="str">
        <f>"152326196207040926"</f>
        <v>152326196207040926</v>
      </c>
      <c r="E4108" s="1" t="s">
        <v>4129</v>
      </c>
      <c r="F4108" s="1" t="s">
        <v>16</v>
      </c>
      <c r="G4108" s="1" t="s">
        <v>19</v>
      </c>
      <c r="H4108" s="1" t="str">
        <f>"62"</f>
        <v>62</v>
      </c>
      <c r="I4108" s="1" t="str">
        <f>"162.29"</f>
        <v>162.29</v>
      </c>
      <c r="J4108" s="1" t="str">
        <f t="shared" si="2719"/>
        <v>0</v>
      </c>
      <c r="K4108" s="1" t="str">
        <f t="shared" si="2714"/>
        <v>103</v>
      </c>
      <c r="L4108" s="1" t="str">
        <f t="shared" si="2715"/>
        <v>47</v>
      </c>
      <c r="M4108" s="1" t="str">
        <f t="shared" si="2716"/>
        <v>0</v>
      </c>
      <c r="N4108" s="1" t="str">
        <f t="shared" si="2717"/>
        <v>0</v>
      </c>
      <c r="O4108" s="1" t="str">
        <f>"12.29"</f>
        <v>12.29</v>
      </c>
    </row>
    <row r="4109" s="1" customFormat="1" spans="1:15">
      <c r="A4109" s="1" t="str">
        <f t="shared" si="2721"/>
        <v>202406</v>
      </c>
      <c r="B4109" s="1" t="str">
        <f t="shared" si="2722"/>
        <v>150525100</v>
      </c>
      <c r="C4109" s="1" t="str">
        <f>"1041306502"</f>
        <v>1041306502</v>
      </c>
      <c r="D4109" s="1" t="str">
        <f>"152326196304190926"</f>
        <v>152326196304190926</v>
      </c>
      <c r="E4109" s="1" t="s">
        <v>3634</v>
      </c>
      <c r="F4109" s="1" t="s">
        <v>16</v>
      </c>
      <c r="G4109" s="1" t="s">
        <v>17</v>
      </c>
      <c r="H4109" s="1" t="str">
        <f t="shared" ref="H4109:H4111" si="2723">"61"</f>
        <v>61</v>
      </c>
      <c r="I4109" s="1" t="str">
        <f>"163.06"</f>
        <v>163.06</v>
      </c>
      <c r="J4109" s="1" t="str">
        <f t="shared" si="2719"/>
        <v>0</v>
      </c>
      <c r="K4109" s="1" t="str">
        <f t="shared" si="2714"/>
        <v>103</v>
      </c>
      <c r="L4109" s="1" t="str">
        <f t="shared" si="2715"/>
        <v>47</v>
      </c>
      <c r="M4109" s="1" t="str">
        <f t="shared" si="2716"/>
        <v>0</v>
      </c>
      <c r="N4109" s="1" t="str">
        <f t="shared" si="2717"/>
        <v>0</v>
      </c>
      <c r="O4109" s="1" t="str">
        <f>"13.06"</f>
        <v>13.06</v>
      </c>
    </row>
    <row r="4110" s="1" customFormat="1" spans="1:15">
      <c r="A4110" s="1" t="str">
        <f t="shared" si="2721"/>
        <v>202406</v>
      </c>
      <c r="B4110" s="1" t="str">
        <f t="shared" si="2722"/>
        <v>150525100</v>
      </c>
      <c r="C4110" s="1" t="str">
        <f>"1041306519"</f>
        <v>1041306519</v>
      </c>
      <c r="D4110" s="1" t="str">
        <f>"152326196308180661"</f>
        <v>152326196308180661</v>
      </c>
      <c r="E4110" s="1" t="s">
        <v>4130</v>
      </c>
      <c r="F4110" s="1" t="s">
        <v>16</v>
      </c>
      <c r="G4110" s="1" t="s">
        <v>17</v>
      </c>
      <c r="H4110" s="1" t="str">
        <f t="shared" si="2723"/>
        <v>61</v>
      </c>
      <c r="I4110" s="1" t="str">
        <f>"163.8"</f>
        <v>163.8</v>
      </c>
      <c r="J4110" s="1" t="str">
        <f t="shared" si="2719"/>
        <v>0</v>
      </c>
      <c r="K4110" s="1" t="str">
        <f t="shared" si="2714"/>
        <v>103</v>
      </c>
      <c r="L4110" s="1" t="str">
        <f t="shared" si="2715"/>
        <v>47</v>
      </c>
      <c r="M4110" s="1" t="str">
        <f t="shared" si="2716"/>
        <v>0</v>
      </c>
      <c r="N4110" s="1" t="str">
        <f t="shared" si="2717"/>
        <v>0</v>
      </c>
      <c r="O4110" s="1" t="str">
        <f>"13.8"</f>
        <v>13.8</v>
      </c>
    </row>
    <row r="4111" s="1" customFormat="1" spans="1:15">
      <c r="A4111" s="1" t="str">
        <f t="shared" si="2721"/>
        <v>202406</v>
      </c>
      <c r="B4111" s="1" t="str">
        <f t="shared" si="2722"/>
        <v>150525100</v>
      </c>
      <c r="C4111" s="1" t="str">
        <f>"1041287125"</f>
        <v>1041287125</v>
      </c>
      <c r="D4111" s="1" t="str">
        <f>"152326196311103827"</f>
        <v>152326196311103827</v>
      </c>
      <c r="E4111" s="1" t="s">
        <v>4131</v>
      </c>
      <c r="F4111" s="1" t="s">
        <v>16</v>
      </c>
      <c r="G4111" s="1" t="s">
        <v>17</v>
      </c>
      <c r="H4111" s="1" t="str">
        <f t="shared" si="2723"/>
        <v>61</v>
      </c>
      <c r="I4111" s="1" t="str">
        <f>"165.19"</f>
        <v>165.19</v>
      </c>
      <c r="J4111" s="1" t="str">
        <f t="shared" si="2719"/>
        <v>0</v>
      </c>
      <c r="K4111" s="1" t="str">
        <f t="shared" si="2714"/>
        <v>103</v>
      </c>
      <c r="L4111" s="1" t="str">
        <f t="shared" si="2715"/>
        <v>47</v>
      </c>
      <c r="M4111" s="1" t="str">
        <f t="shared" si="2716"/>
        <v>0</v>
      </c>
      <c r="N4111" s="1" t="str">
        <f t="shared" si="2717"/>
        <v>0</v>
      </c>
      <c r="O4111" s="1" t="str">
        <f>"15.19"</f>
        <v>15.19</v>
      </c>
    </row>
    <row r="4112" s="1" customFormat="1" spans="1:15">
      <c r="A4112" s="1" t="str">
        <f t="shared" si="2721"/>
        <v>202406</v>
      </c>
      <c r="B4112" s="1" t="str">
        <f t="shared" si="2722"/>
        <v>150525100</v>
      </c>
      <c r="C4112" s="1" t="str">
        <f>"1041306591"</f>
        <v>1041306591</v>
      </c>
      <c r="D4112" s="1" t="str">
        <f>"152326195612243108"</f>
        <v>152326195612243108</v>
      </c>
      <c r="E4112" s="1" t="s">
        <v>4132</v>
      </c>
      <c r="F4112" s="1" t="s">
        <v>16</v>
      </c>
      <c r="G4112" s="1" t="s">
        <v>19</v>
      </c>
      <c r="H4112" s="1" t="str">
        <f>"68"</f>
        <v>68</v>
      </c>
      <c r="I4112" s="1" t="str">
        <f>"154.32"</f>
        <v>154.32</v>
      </c>
      <c r="J4112" s="1" t="str">
        <f t="shared" si="2719"/>
        <v>0</v>
      </c>
      <c r="K4112" s="1" t="str">
        <f t="shared" si="2714"/>
        <v>103</v>
      </c>
      <c r="L4112" s="1" t="str">
        <f t="shared" si="2715"/>
        <v>47</v>
      </c>
      <c r="M4112" s="1" t="str">
        <f t="shared" si="2716"/>
        <v>0</v>
      </c>
      <c r="N4112" s="1" t="str">
        <f t="shared" si="2717"/>
        <v>0</v>
      </c>
      <c r="O4112" s="1" t="str">
        <f>"4.32"</f>
        <v>4.32</v>
      </c>
    </row>
    <row r="4113" s="1" customFormat="1" spans="1:15">
      <c r="A4113" s="1" t="str">
        <f t="shared" si="2721"/>
        <v>202406</v>
      </c>
      <c r="B4113" s="1" t="str">
        <f t="shared" si="2722"/>
        <v>150525100</v>
      </c>
      <c r="C4113" s="1" t="str">
        <f>"1041306594"</f>
        <v>1041306594</v>
      </c>
      <c r="D4113" s="1" t="str">
        <f>"152326195706153074"</f>
        <v>152326195706153074</v>
      </c>
      <c r="E4113" s="1" t="s">
        <v>4133</v>
      </c>
      <c r="F4113" s="1" t="s">
        <v>25</v>
      </c>
      <c r="G4113" s="1" t="s">
        <v>17</v>
      </c>
      <c r="H4113" s="1" t="str">
        <f>"67"</f>
        <v>67</v>
      </c>
      <c r="I4113" s="1" t="str">
        <f>"154.32"</f>
        <v>154.32</v>
      </c>
      <c r="J4113" s="1" t="str">
        <f t="shared" si="2719"/>
        <v>0</v>
      </c>
      <c r="K4113" s="1" t="str">
        <f t="shared" si="2714"/>
        <v>103</v>
      </c>
      <c r="L4113" s="1" t="str">
        <f t="shared" si="2715"/>
        <v>47</v>
      </c>
      <c r="M4113" s="1" t="str">
        <f t="shared" si="2716"/>
        <v>0</v>
      </c>
      <c r="N4113" s="1" t="str">
        <f t="shared" si="2717"/>
        <v>0</v>
      </c>
      <c r="O4113" s="1" t="str">
        <f>"4.32"</f>
        <v>4.32</v>
      </c>
    </row>
    <row r="4114" s="1" customFormat="1" spans="1:15">
      <c r="A4114" s="1" t="str">
        <f t="shared" si="2721"/>
        <v>202406</v>
      </c>
      <c r="B4114" s="1" t="str">
        <f t="shared" si="2722"/>
        <v>150525100</v>
      </c>
      <c r="C4114" s="1" t="str">
        <f>"1041307761"</f>
        <v>1041307761</v>
      </c>
      <c r="D4114" s="1" t="str">
        <f>"152326195808310018"</f>
        <v>152326195808310018</v>
      </c>
      <c r="E4114" s="1" t="s">
        <v>4134</v>
      </c>
      <c r="F4114" s="1" t="s">
        <v>25</v>
      </c>
      <c r="G4114" s="1" t="s">
        <v>17</v>
      </c>
      <c r="H4114" s="1" t="str">
        <f>"66"</f>
        <v>66</v>
      </c>
      <c r="I4114" s="1" t="str">
        <f>"155.45"</f>
        <v>155.45</v>
      </c>
      <c r="J4114" s="1" t="str">
        <f t="shared" si="2719"/>
        <v>0</v>
      </c>
      <c r="K4114" s="1" t="str">
        <f t="shared" si="2714"/>
        <v>103</v>
      </c>
      <c r="L4114" s="1" t="str">
        <f t="shared" si="2715"/>
        <v>47</v>
      </c>
      <c r="M4114" s="1" t="str">
        <f t="shared" si="2716"/>
        <v>0</v>
      </c>
      <c r="N4114" s="1" t="str">
        <f t="shared" si="2717"/>
        <v>0</v>
      </c>
      <c r="O4114" s="1" t="str">
        <f>"5.45"</f>
        <v>5.45</v>
      </c>
    </row>
    <row r="4115" s="1" customFormat="1" spans="1:15">
      <c r="A4115" s="1" t="str">
        <f t="shared" si="2721"/>
        <v>202406</v>
      </c>
      <c r="B4115" s="1" t="str">
        <f t="shared" si="2722"/>
        <v>150525100</v>
      </c>
      <c r="C4115" s="1" t="str">
        <f>"1041307799"</f>
        <v>1041307799</v>
      </c>
      <c r="D4115" s="1" t="str">
        <f>"152326195806090445"</f>
        <v>152326195806090445</v>
      </c>
      <c r="E4115" s="1" t="s">
        <v>4135</v>
      </c>
      <c r="F4115" s="1" t="s">
        <v>16</v>
      </c>
      <c r="G4115" s="1" t="s">
        <v>17</v>
      </c>
      <c r="H4115" s="1" t="str">
        <f>"66"</f>
        <v>66</v>
      </c>
      <c r="I4115" s="1" t="str">
        <f>"155.32"</f>
        <v>155.32</v>
      </c>
      <c r="J4115" s="1" t="str">
        <f t="shared" si="2719"/>
        <v>0</v>
      </c>
      <c r="K4115" s="1" t="str">
        <f t="shared" si="2714"/>
        <v>103</v>
      </c>
      <c r="L4115" s="1" t="str">
        <f t="shared" si="2715"/>
        <v>47</v>
      </c>
      <c r="M4115" s="1" t="str">
        <f t="shared" si="2716"/>
        <v>0</v>
      </c>
      <c r="N4115" s="1" t="str">
        <f t="shared" si="2717"/>
        <v>0</v>
      </c>
      <c r="O4115" s="1" t="str">
        <f>"5.32"</f>
        <v>5.32</v>
      </c>
    </row>
    <row r="4116" s="1" customFormat="1" spans="1:15">
      <c r="A4116" s="1" t="str">
        <f t="shared" si="2721"/>
        <v>202406</v>
      </c>
      <c r="B4116" s="1" t="str">
        <f t="shared" si="2722"/>
        <v>150525100</v>
      </c>
      <c r="C4116" s="1" t="str">
        <f>"1041306779"</f>
        <v>1041306779</v>
      </c>
      <c r="D4116" s="1" t="str">
        <f>"152326196310260927"</f>
        <v>152326196310260927</v>
      </c>
      <c r="E4116" s="1" t="s">
        <v>4136</v>
      </c>
      <c r="F4116" s="1" t="s">
        <v>16</v>
      </c>
      <c r="G4116" s="1" t="s">
        <v>17</v>
      </c>
      <c r="H4116" s="1" t="str">
        <f>"61"</f>
        <v>61</v>
      </c>
      <c r="I4116" s="1" t="str">
        <f>"163.44"</f>
        <v>163.44</v>
      </c>
      <c r="J4116" s="1" t="str">
        <f t="shared" si="2719"/>
        <v>0</v>
      </c>
      <c r="K4116" s="1" t="str">
        <f t="shared" si="2714"/>
        <v>103</v>
      </c>
      <c r="L4116" s="1" t="str">
        <f t="shared" si="2715"/>
        <v>47</v>
      </c>
      <c r="M4116" s="1" t="str">
        <f t="shared" si="2716"/>
        <v>0</v>
      </c>
      <c r="N4116" s="1" t="str">
        <f t="shared" si="2717"/>
        <v>0</v>
      </c>
      <c r="O4116" s="1" t="str">
        <f>"13.44"</f>
        <v>13.44</v>
      </c>
    </row>
    <row r="4117" s="1" customFormat="1" spans="1:15">
      <c r="A4117" s="1" t="str">
        <f t="shared" si="2721"/>
        <v>202406</v>
      </c>
      <c r="B4117" s="1" t="str">
        <f t="shared" si="2722"/>
        <v>150525100</v>
      </c>
      <c r="C4117" s="1" t="str">
        <f>"1041305743"</f>
        <v>1041305743</v>
      </c>
      <c r="D4117" s="1" t="str">
        <f>"152326196004063810"</f>
        <v>152326196004063810</v>
      </c>
      <c r="E4117" s="1" t="s">
        <v>4137</v>
      </c>
      <c r="F4117" s="1" t="s">
        <v>25</v>
      </c>
      <c r="G4117" s="1" t="s">
        <v>17</v>
      </c>
      <c r="H4117" s="1" t="str">
        <f>"64"</f>
        <v>64</v>
      </c>
      <c r="I4117" s="1" t="str">
        <f>"157.97"</f>
        <v>157.97</v>
      </c>
      <c r="J4117" s="1" t="str">
        <f t="shared" si="2719"/>
        <v>0</v>
      </c>
      <c r="K4117" s="1" t="str">
        <f t="shared" si="2714"/>
        <v>103</v>
      </c>
      <c r="L4117" s="1" t="str">
        <f t="shared" si="2715"/>
        <v>47</v>
      </c>
      <c r="M4117" s="1" t="str">
        <f t="shared" si="2716"/>
        <v>0</v>
      </c>
      <c r="N4117" s="1" t="str">
        <f t="shared" si="2717"/>
        <v>0</v>
      </c>
      <c r="O4117" s="1" t="str">
        <f>"7.97"</f>
        <v>7.97</v>
      </c>
    </row>
    <row r="4118" s="1" customFormat="1" spans="1:15">
      <c r="A4118" s="1" t="str">
        <f t="shared" si="2721"/>
        <v>202406</v>
      </c>
      <c r="B4118" s="1" t="str">
        <f t="shared" si="2722"/>
        <v>150525100</v>
      </c>
      <c r="C4118" s="1" t="str">
        <f>"1041279741"</f>
        <v>1041279741</v>
      </c>
      <c r="D4118" s="1" t="str">
        <f>"152326196103053319"</f>
        <v>152326196103053319</v>
      </c>
      <c r="E4118" s="1" t="s">
        <v>1248</v>
      </c>
      <c r="F4118" s="1" t="s">
        <v>25</v>
      </c>
      <c r="G4118" s="1" t="s">
        <v>17</v>
      </c>
      <c r="H4118" s="1" t="str">
        <f t="shared" ref="H4118:H4121" si="2724">"63"</f>
        <v>63</v>
      </c>
      <c r="I4118" s="1" t="str">
        <f>"162.25"</f>
        <v>162.25</v>
      </c>
      <c r="J4118" s="1" t="str">
        <f t="shared" si="2719"/>
        <v>0</v>
      </c>
      <c r="K4118" s="1" t="str">
        <f t="shared" si="2714"/>
        <v>103</v>
      </c>
      <c r="L4118" s="1" t="str">
        <f t="shared" si="2715"/>
        <v>47</v>
      </c>
      <c r="M4118" s="1" t="str">
        <f t="shared" si="2716"/>
        <v>0</v>
      </c>
      <c r="N4118" s="1" t="str">
        <f t="shared" si="2717"/>
        <v>0</v>
      </c>
      <c r="O4118" s="1" t="str">
        <f>"12.25"</f>
        <v>12.25</v>
      </c>
    </row>
    <row r="4119" s="1" customFormat="1" spans="1:15">
      <c r="A4119" s="1" t="str">
        <f t="shared" si="2721"/>
        <v>202406</v>
      </c>
      <c r="B4119" s="1" t="str">
        <f t="shared" si="2722"/>
        <v>150525100</v>
      </c>
      <c r="C4119" s="1" t="str">
        <f>"1041286398"</f>
        <v>1041286398</v>
      </c>
      <c r="D4119" s="1" t="str">
        <f>"152326195911070411"</f>
        <v>152326195911070411</v>
      </c>
      <c r="E4119" s="1" t="s">
        <v>4138</v>
      </c>
      <c r="F4119" s="1" t="s">
        <v>25</v>
      </c>
      <c r="G4119" s="1" t="s">
        <v>17</v>
      </c>
      <c r="H4119" s="1" t="str">
        <f>"65"</f>
        <v>65</v>
      </c>
      <c r="I4119" s="1" t="str">
        <f>"156.08"</f>
        <v>156.08</v>
      </c>
      <c r="J4119" s="1" t="str">
        <f t="shared" si="2719"/>
        <v>0</v>
      </c>
      <c r="K4119" s="1" t="str">
        <f t="shared" si="2714"/>
        <v>103</v>
      </c>
      <c r="L4119" s="1" t="str">
        <f t="shared" si="2715"/>
        <v>47</v>
      </c>
      <c r="M4119" s="1" t="str">
        <f t="shared" si="2716"/>
        <v>0</v>
      </c>
      <c r="N4119" s="1" t="str">
        <f t="shared" si="2717"/>
        <v>0</v>
      </c>
      <c r="O4119" s="1" t="str">
        <f>"6.08"</f>
        <v>6.08</v>
      </c>
    </row>
    <row r="4120" s="1" customFormat="1" spans="1:15">
      <c r="A4120" s="1" t="str">
        <f t="shared" si="2721"/>
        <v>202406</v>
      </c>
      <c r="B4120" s="1" t="str">
        <f t="shared" si="2722"/>
        <v>150525100</v>
      </c>
      <c r="C4120" s="1" t="str">
        <f>"1041307342"</f>
        <v>1041307342</v>
      </c>
      <c r="D4120" s="1" t="str">
        <f>"152326196110122271"</f>
        <v>152326196110122271</v>
      </c>
      <c r="E4120" s="1" t="s">
        <v>4139</v>
      </c>
      <c r="F4120" s="1" t="s">
        <v>25</v>
      </c>
      <c r="G4120" s="1" t="s">
        <v>17</v>
      </c>
      <c r="H4120" s="1" t="str">
        <f t="shared" si="2724"/>
        <v>63</v>
      </c>
      <c r="I4120" s="1" t="str">
        <f>"159.25"</f>
        <v>159.25</v>
      </c>
      <c r="J4120" s="1" t="str">
        <f t="shared" si="2719"/>
        <v>0</v>
      </c>
      <c r="K4120" s="1" t="str">
        <f t="shared" si="2714"/>
        <v>103</v>
      </c>
      <c r="L4120" s="1" t="str">
        <f t="shared" si="2715"/>
        <v>47</v>
      </c>
      <c r="M4120" s="1" t="str">
        <f t="shared" si="2716"/>
        <v>0</v>
      </c>
      <c r="N4120" s="1" t="str">
        <f t="shared" si="2717"/>
        <v>0</v>
      </c>
      <c r="O4120" s="1" t="str">
        <f>"9.25"</f>
        <v>9.25</v>
      </c>
    </row>
    <row r="4121" s="1" customFormat="1" spans="1:15">
      <c r="A4121" s="1" t="str">
        <f t="shared" si="2721"/>
        <v>202406</v>
      </c>
      <c r="B4121" s="1" t="str">
        <f t="shared" si="2722"/>
        <v>150525100</v>
      </c>
      <c r="C4121" s="1" t="str">
        <f>"1041307346"</f>
        <v>1041307346</v>
      </c>
      <c r="D4121" s="1" t="str">
        <f>"152326196111303816"</f>
        <v>152326196111303816</v>
      </c>
      <c r="E4121" s="1" t="s">
        <v>4140</v>
      </c>
      <c r="F4121" s="1" t="s">
        <v>25</v>
      </c>
      <c r="G4121" s="1" t="s">
        <v>17</v>
      </c>
      <c r="H4121" s="1" t="str">
        <f t="shared" si="2724"/>
        <v>63</v>
      </c>
      <c r="I4121" s="1" t="str">
        <f>"159.24"</f>
        <v>159.24</v>
      </c>
      <c r="J4121" s="1" t="str">
        <f t="shared" si="2719"/>
        <v>0</v>
      </c>
      <c r="K4121" s="1" t="str">
        <f t="shared" si="2714"/>
        <v>103</v>
      </c>
      <c r="L4121" s="1" t="str">
        <f t="shared" si="2715"/>
        <v>47</v>
      </c>
      <c r="M4121" s="1" t="str">
        <f t="shared" si="2716"/>
        <v>0</v>
      </c>
      <c r="N4121" s="1" t="str">
        <f t="shared" si="2717"/>
        <v>0</v>
      </c>
      <c r="O4121" s="1" t="str">
        <f>"9.24"</f>
        <v>9.24</v>
      </c>
    </row>
    <row r="4122" s="1" customFormat="1" spans="1:15">
      <c r="A4122" s="1" t="str">
        <f t="shared" si="2721"/>
        <v>202406</v>
      </c>
      <c r="B4122" s="1" t="str">
        <f t="shared" si="2722"/>
        <v>150525100</v>
      </c>
      <c r="C4122" s="1" t="str">
        <f>"1041307358"</f>
        <v>1041307358</v>
      </c>
      <c r="D4122" s="1" t="str">
        <f>"152326196205220421"</f>
        <v>152326196205220421</v>
      </c>
      <c r="E4122" s="1" t="s">
        <v>2013</v>
      </c>
      <c r="F4122" s="1" t="s">
        <v>16</v>
      </c>
      <c r="G4122" s="1" t="s">
        <v>17</v>
      </c>
      <c r="H4122" s="1" t="str">
        <f t="shared" ref="H4122:H4128" si="2725">"62"</f>
        <v>62</v>
      </c>
      <c r="I4122" s="1" t="str">
        <f>"161.1"</f>
        <v>161.1</v>
      </c>
      <c r="J4122" s="1" t="str">
        <f t="shared" si="2719"/>
        <v>0</v>
      </c>
      <c r="K4122" s="1" t="str">
        <f t="shared" si="2714"/>
        <v>103</v>
      </c>
      <c r="L4122" s="1" t="str">
        <f t="shared" si="2715"/>
        <v>47</v>
      </c>
      <c r="M4122" s="1" t="str">
        <f t="shared" si="2716"/>
        <v>0</v>
      </c>
      <c r="N4122" s="1" t="str">
        <f t="shared" si="2717"/>
        <v>0</v>
      </c>
      <c r="O4122" s="1" t="str">
        <f>"11.1"</f>
        <v>11.1</v>
      </c>
    </row>
    <row r="4123" s="1" customFormat="1" spans="1:15">
      <c r="A4123" s="1" t="str">
        <f t="shared" si="2721"/>
        <v>202406</v>
      </c>
      <c r="B4123" s="1" t="str">
        <f t="shared" si="2722"/>
        <v>150525100</v>
      </c>
      <c r="C4123" s="1" t="str">
        <f>"1041305043"</f>
        <v>1041305043</v>
      </c>
      <c r="D4123" s="1" t="str">
        <f>"152326196308010048"</f>
        <v>152326196308010048</v>
      </c>
      <c r="E4123" s="1" t="s">
        <v>4141</v>
      </c>
      <c r="F4123" s="1" t="s">
        <v>16</v>
      </c>
      <c r="G4123" s="1" t="s">
        <v>17</v>
      </c>
      <c r="H4123" s="1" t="str">
        <f>"61"</f>
        <v>61</v>
      </c>
      <c r="I4123" s="1" t="str">
        <f>"199.21"</f>
        <v>199.21</v>
      </c>
      <c r="J4123" s="1" t="str">
        <f t="shared" si="2719"/>
        <v>0</v>
      </c>
      <c r="K4123" s="1" t="str">
        <f t="shared" si="2714"/>
        <v>103</v>
      </c>
      <c r="L4123" s="1" t="str">
        <f t="shared" si="2715"/>
        <v>47</v>
      </c>
      <c r="M4123" s="1" t="str">
        <f t="shared" si="2716"/>
        <v>0</v>
      </c>
      <c r="N4123" s="1" t="str">
        <f t="shared" si="2717"/>
        <v>0</v>
      </c>
      <c r="O4123" s="1" t="str">
        <f>"49.21"</f>
        <v>49.21</v>
      </c>
    </row>
    <row r="4124" s="1" customFormat="1" spans="1:15">
      <c r="A4124" s="1" t="str">
        <f t="shared" si="2721"/>
        <v>202406</v>
      </c>
      <c r="B4124" s="1" t="str">
        <f t="shared" si="2722"/>
        <v>150525100</v>
      </c>
      <c r="C4124" s="1" t="str">
        <f>"1041307378"</f>
        <v>1041307378</v>
      </c>
      <c r="D4124" s="1" t="str">
        <f>"152326196212043822"</f>
        <v>152326196212043822</v>
      </c>
      <c r="E4124" s="1" t="s">
        <v>4142</v>
      </c>
      <c r="F4124" s="1" t="s">
        <v>16</v>
      </c>
      <c r="G4124" s="1" t="s">
        <v>19</v>
      </c>
      <c r="H4124" s="1" t="str">
        <f t="shared" si="2725"/>
        <v>62</v>
      </c>
      <c r="I4124" s="1" t="str">
        <f>"161.43"</f>
        <v>161.43</v>
      </c>
      <c r="J4124" s="1" t="str">
        <f t="shared" si="2719"/>
        <v>0</v>
      </c>
      <c r="K4124" s="1" t="str">
        <f t="shared" si="2714"/>
        <v>103</v>
      </c>
      <c r="L4124" s="1" t="str">
        <f t="shared" si="2715"/>
        <v>47</v>
      </c>
      <c r="M4124" s="1" t="str">
        <f t="shared" si="2716"/>
        <v>0</v>
      </c>
      <c r="N4124" s="1" t="str">
        <f t="shared" si="2717"/>
        <v>0</v>
      </c>
      <c r="O4124" s="1" t="str">
        <f>"11.43"</f>
        <v>11.43</v>
      </c>
    </row>
    <row r="4125" s="1" customFormat="1" spans="1:15">
      <c r="A4125" s="1" t="str">
        <f t="shared" si="2721"/>
        <v>202406</v>
      </c>
      <c r="B4125" s="1" t="str">
        <f t="shared" si="2722"/>
        <v>150525100</v>
      </c>
      <c r="C4125" s="1" t="str">
        <f>"1041307426"</f>
        <v>1041307426</v>
      </c>
      <c r="D4125" s="1" t="str">
        <f>"152326195905240066"</f>
        <v>152326195905240066</v>
      </c>
      <c r="E4125" s="1" t="s">
        <v>4143</v>
      </c>
      <c r="F4125" s="1" t="s">
        <v>16</v>
      </c>
      <c r="G4125" s="1" t="s">
        <v>17</v>
      </c>
      <c r="H4125" s="1" t="str">
        <f>"65"</f>
        <v>65</v>
      </c>
      <c r="I4125" s="1" t="str">
        <f>"281.29"</f>
        <v>281.29</v>
      </c>
      <c r="J4125" s="1" t="str">
        <f t="shared" si="2719"/>
        <v>0</v>
      </c>
      <c r="K4125" s="1" t="str">
        <f t="shared" si="2714"/>
        <v>103</v>
      </c>
      <c r="L4125" s="1" t="str">
        <f t="shared" si="2715"/>
        <v>47</v>
      </c>
      <c r="M4125" s="1" t="str">
        <f t="shared" si="2716"/>
        <v>0</v>
      </c>
      <c r="N4125" s="1" t="str">
        <f t="shared" si="2717"/>
        <v>0</v>
      </c>
      <c r="O4125" s="1" t="str">
        <f>"131.29"</f>
        <v>131.29</v>
      </c>
    </row>
    <row r="4126" s="1" customFormat="1" spans="1:15">
      <c r="A4126" s="1" t="str">
        <f t="shared" si="2721"/>
        <v>202406</v>
      </c>
      <c r="B4126" s="1" t="str">
        <f t="shared" si="2722"/>
        <v>150525100</v>
      </c>
      <c r="C4126" s="1" t="str">
        <f>"1041307439"</f>
        <v>1041307439</v>
      </c>
      <c r="D4126" s="1" t="str">
        <f>"152326196304040098"</f>
        <v>152326196304040098</v>
      </c>
      <c r="E4126" s="1" t="s">
        <v>4144</v>
      </c>
      <c r="F4126" s="1" t="s">
        <v>25</v>
      </c>
      <c r="G4126" s="1" t="s">
        <v>17</v>
      </c>
      <c r="H4126" s="1" t="str">
        <f>"61"</f>
        <v>61</v>
      </c>
      <c r="I4126" s="1" t="str">
        <f>"169.54"</f>
        <v>169.54</v>
      </c>
      <c r="J4126" s="1" t="str">
        <f t="shared" si="2719"/>
        <v>0</v>
      </c>
      <c r="K4126" s="1" t="str">
        <f t="shared" si="2714"/>
        <v>103</v>
      </c>
      <c r="L4126" s="1" t="str">
        <f t="shared" si="2715"/>
        <v>47</v>
      </c>
      <c r="M4126" s="1" t="str">
        <f t="shared" si="2716"/>
        <v>0</v>
      </c>
      <c r="N4126" s="1" t="str">
        <f t="shared" si="2717"/>
        <v>0</v>
      </c>
      <c r="O4126" s="1" t="str">
        <f>"19.54"</f>
        <v>19.54</v>
      </c>
    </row>
    <row r="4127" s="1" customFormat="1" spans="1:15">
      <c r="A4127" s="1" t="str">
        <f t="shared" si="2721"/>
        <v>202406</v>
      </c>
      <c r="B4127" s="1" t="str">
        <f t="shared" si="2722"/>
        <v>150525100</v>
      </c>
      <c r="C4127" s="1" t="str">
        <f>"1041398480"</f>
        <v>1041398480</v>
      </c>
      <c r="D4127" s="1" t="str">
        <f>"152326196212283842"</f>
        <v>152326196212283842</v>
      </c>
      <c r="E4127" s="1" t="s">
        <v>4145</v>
      </c>
      <c r="F4127" s="1" t="s">
        <v>16</v>
      </c>
      <c r="G4127" s="1" t="s">
        <v>19</v>
      </c>
      <c r="H4127" s="1" t="str">
        <f t="shared" si="2725"/>
        <v>62</v>
      </c>
      <c r="I4127" s="1" t="str">
        <f>"159.82"</f>
        <v>159.82</v>
      </c>
      <c r="J4127" s="1" t="str">
        <f t="shared" si="2719"/>
        <v>0</v>
      </c>
      <c r="K4127" s="1" t="str">
        <f t="shared" ref="K4127:K4190" si="2726">"103"</f>
        <v>103</v>
      </c>
      <c r="L4127" s="1" t="str">
        <f t="shared" ref="L4127:L4190" si="2727">"47"</f>
        <v>47</v>
      </c>
      <c r="M4127" s="1" t="str">
        <f t="shared" si="2716"/>
        <v>0</v>
      </c>
      <c r="N4127" s="1" t="str">
        <f t="shared" si="2717"/>
        <v>0</v>
      </c>
      <c r="O4127" s="1" t="str">
        <f>"9.82"</f>
        <v>9.82</v>
      </c>
    </row>
    <row r="4128" s="1" customFormat="1" spans="1:15">
      <c r="A4128" s="1" t="str">
        <f t="shared" si="2721"/>
        <v>202406</v>
      </c>
      <c r="B4128" s="1" t="str">
        <f t="shared" si="2722"/>
        <v>150525100</v>
      </c>
      <c r="C4128" s="1" t="str">
        <f>"1041307456"</f>
        <v>1041307456</v>
      </c>
      <c r="D4128" s="1" t="str">
        <f>"152326196210230042"</f>
        <v>152326196210230042</v>
      </c>
      <c r="E4128" s="1" t="s">
        <v>4146</v>
      </c>
      <c r="F4128" s="1" t="s">
        <v>16</v>
      </c>
      <c r="G4128" s="1" t="s">
        <v>17</v>
      </c>
      <c r="H4128" s="1" t="str">
        <f t="shared" si="2725"/>
        <v>62</v>
      </c>
      <c r="I4128" s="1" t="str">
        <f>"164.29"</f>
        <v>164.29</v>
      </c>
      <c r="J4128" s="1" t="str">
        <f t="shared" si="2719"/>
        <v>0</v>
      </c>
      <c r="K4128" s="1" t="str">
        <f t="shared" si="2726"/>
        <v>103</v>
      </c>
      <c r="L4128" s="1" t="str">
        <f t="shared" si="2727"/>
        <v>47</v>
      </c>
      <c r="M4128" s="1" t="str">
        <f t="shared" ref="M4128:M4191" si="2728">"0"</f>
        <v>0</v>
      </c>
      <c r="N4128" s="1" t="str">
        <f t="shared" si="2717"/>
        <v>0</v>
      </c>
      <c r="O4128" s="1" t="str">
        <f>"14.29"</f>
        <v>14.29</v>
      </c>
    </row>
    <row r="4129" s="1" customFormat="1" spans="1:15">
      <c r="A4129" s="1" t="str">
        <f t="shared" si="2721"/>
        <v>202406</v>
      </c>
      <c r="B4129" s="1" t="str">
        <f t="shared" si="2722"/>
        <v>150525100</v>
      </c>
      <c r="C4129" s="1" t="str">
        <f>"1041660885"</f>
        <v>1041660885</v>
      </c>
      <c r="D4129" s="1" t="str">
        <f>"152326195709273821"</f>
        <v>152326195709273821</v>
      </c>
      <c r="E4129" s="1" t="s">
        <v>4147</v>
      </c>
      <c r="F4129" s="1" t="s">
        <v>16</v>
      </c>
      <c r="G4129" s="1" t="s">
        <v>17</v>
      </c>
      <c r="H4129" s="1" t="str">
        <f>"67"</f>
        <v>67</v>
      </c>
      <c r="I4129" s="1" t="str">
        <f>"155.04"</f>
        <v>155.04</v>
      </c>
      <c r="J4129" s="1" t="str">
        <f t="shared" si="2719"/>
        <v>0</v>
      </c>
      <c r="K4129" s="1" t="str">
        <f t="shared" si="2726"/>
        <v>103</v>
      </c>
      <c r="L4129" s="1" t="str">
        <f t="shared" si="2727"/>
        <v>47</v>
      </c>
      <c r="M4129" s="1" t="str">
        <f t="shared" si="2728"/>
        <v>0</v>
      </c>
      <c r="N4129" s="1" t="str">
        <f t="shared" si="2717"/>
        <v>0</v>
      </c>
      <c r="O4129" s="1" t="str">
        <f>"5.04"</f>
        <v>5.04</v>
      </c>
    </row>
    <row r="4130" s="1" customFormat="1" spans="1:15">
      <c r="A4130" s="1" t="str">
        <f t="shared" si="2721"/>
        <v>202406</v>
      </c>
      <c r="B4130" s="1" t="str">
        <f t="shared" si="2722"/>
        <v>150525100</v>
      </c>
      <c r="C4130" s="1" t="str">
        <f>"1041607737"</f>
        <v>1041607737</v>
      </c>
      <c r="D4130" s="1" t="s">
        <v>4148</v>
      </c>
      <c r="E4130" s="1" t="s">
        <v>4149</v>
      </c>
      <c r="F4130" s="1" t="s">
        <v>25</v>
      </c>
      <c r="G4130" s="1" t="s">
        <v>17</v>
      </c>
      <c r="H4130" s="1" t="str">
        <f t="shared" ref="H4130:H4135" si="2729">"65"</f>
        <v>65</v>
      </c>
      <c r="I4130" s="1" t="str">
        <f>"156"</f>
        <v>156</v>
      </c>
      <c r="J4130" s="1" t="str">
        <f t="shared" si="2719"/>
        <v>0</v>
      </c>
      <c r="K4130" s="1" t="str">
        <f t="shared" si="2726"/>
        <v>103</v>
      </c>
      <c r="L4130" s="1" t="str">
        <f t="shared" si="2727"/>
        <v>47</v>
      </c>
      <c r="M4130" s="1" t="str">
        <f t="shared" si="2728"/>
        <v>0</v>
      </c>
      <c r="N4130" s="1" t="str">
        <f t="shared" si="2717"/>
        <v>0</v>
      </c>
      <c r="O4130" s="1" t="str">
        <f>"6"</f>
        <v>6</v>
      </c>
    </row>
    <row r="4131" s="1" customFormat="1" spans="1:15">
      <c r="A4131" s="1" t="str">
        <f t="shared" si="2721"/>
        <v>202406</v>
      </c>
      <c r="B4131" s="1" t="str">
        <f t="shared" si="2722"/>
        <v>150525100</v>
      </c>
      <c r="C4131" s="1" t="str">
        <f>"1041865034"</f>
        <v>1041865034</v>
      </c>
      <c r="D4131" s="1" t="str">
        <f>"152326195909120926"</f>
        <v>152326195909120926</v>
      </c>
      <c r="E4131" s="1" t="s">
        <v>4150</v>
      </c>
      <c r="F4131" s="1" t="s">
        <v>16</v>
      </c>
      <c r="G4131" s="1" t="s">
        <v>19</v>
      </c>
      <c r="H4131" s="1" t="str">
        <f t="shared" si="2729"/>
        <v>65</v>
      </c>
      <c r="I4131" s="1" t="str">
        <f>"156.05"</f>
        <v>156.05</v>
      </c>
      <c r="J4131" s="1" t="str">
        <f t="shared" si="2719"/>
        <v>0</v>
      </c>
      <c r="K4131" s="1" t="str">
        <f t="shared" si="2726"/>
        <v>103</v>
      </c>
      <c r="L4131" s="1" t="str">
        <f t="shared" si="2727"/>
        <v>47</v>
      </c>
      <c r="M4131" s="1" t="str">
        <f t="shared" si="2728"/>
        <v>0</v>
      </c>
      <c r="N4131" s="1" t="str">
        <f t="shared" si="2717"/>
        <v>0</v>
      </c>
      <c r="O4131" s="1" t="str">
        <f>"6.05"</f>
        <v>6.05</v>
      </c>
    </row>
    <row r="4132" s="1" customFormat="1" spans="1:15">
      <c r="A4132" s="1" t="str">
        <f t="shared" si="2721"/>
        <v>202406</v>
      </c>
      <c r="B4132" s="1" t="str">
        <f t="shared" si="2722"/>
        <v>150525100</v>
      </c>
      <c r="C4132" s="1" t="str">
        <f>"1042049666"</f>
        <v>1042049666</v>
      </c>
      <c r="D4132" s="1" t="s">
        <v>4151</v>
      </c>
      <c r="E4132" s="1" t="s">
        <v>4152</v>
      </c>
      <c r="F4132" s="1" t="s">
        <v>16</v>
      </c>
      <c r="G4132" s="1" t="s">
        <v>17</v>
      </c>
      <c r="H4132" s="1" t="str">
        <f t="shared" ref="H4132:H4134" si="2730">"66"</f>
        <v>66</v>
      </c>
      <c r="I4132" s="1" t="str">
        <f>"155.76"</f>
        <v>155.76</v>
      </c>
      <c r="J4132" s="1" t="str">
        <f t="shared" si="2719"/>
        <v>0</v>
      </c>
      <c r="K4132" s="1" t="str">
        <f t="shared" si="2726"/>
        <v>103</v>
      </c>
      <c r="L4132" s="1" t="str">
        <f t="shared" si="2727"/>
        <v>47</v>
      </c>
      <c r="M4132" s="1" t="str">
        <f t="shared" si="2728"/>
        <v>0</v>
      </c>
      <c r="N4132" s="1" t="str">
        <f t="shared" si="2717"/>
        <v>0</v>
      </c>
      <c r="O4132" s="1" t="str">
        <f>"5.76"</f>
        <v>5.76</v>
      </c>
    </row>
    <row r="4133" s="1" customFormat="1" spans="1:15">
      <c r="A4133" s="1" t="str">
        <f t="shared" si="2721"/>
        <v>202406</v>
      </c>
      <c r="B4133" s="1" t="str">
        <f t="shared" si="2722"/>
        <v>150525100</v>
      </c>
      <c r="C4133" s="1" t="str">
        <f>"1042050047"</f>
        <v>1042050047</v>
      </c>
      <c r="D4133" s="1" t="str">
        <f>"152326195810153816"</f>
        <v>152326195810153816</v>
      </c>
      <c r="E4133" s="1" t="s">
        <v>4153</v>
      </c>
      <c r="F4133" s="1" t="s">
        <v>25</v>
      </c>
      <c r="G4133" s="1" t="s">
        <v>17</v>
      </c>
      <c r="H4133" s="1" t="str">
        <f t="shared" si="2730"/>
        <v>66</v>
      </c>
      <c r="I4133" s="1" t="str">
        <f>"155.04"</f>
        <v>155.04</v>
      </c>
      <c r="J4133" s="1" t="str">
        <f t="shared" si="2719"/>
        <v>0</v>
      </c>
      <c r="K4133" s="1" t="str">
        <f t="shared" si="2726"/>
        <v>103</v>
      </c>
      <c r="L4133" s="1" t="str">
        <f t="shared" si="2727"/>
        <v>47</v>
      </c>
      <c r="M4133" s="1" t="str">
        <f t="shared" si="2728"/>
        <v>0</v>
      </c>
      <c r="N4133" s="1" t="str">
        <f t="shared" si="2717"/>
        <v>0</v>
      </c>
      <c r="O4133" s="1" t="str">
        <f>"5.04"</f>
        <v>5.04</v>
      </c>
    </row>
    <row r="4134" s="1" customFormat="1" spans="1:15">
      <c r="A4134" s="1" t="str">
        <f t="shared" si="2721"/>
        <v>202406</v>
      </c>
      <c r="B4134" s="1" t="str">
        <f t="shared" si="2722"/>
        <v>150525100</v>
      </c>
      <c r="C4134" s="1" t="str">
        <f>"1042101420"</f>
        <v>1042101420</v>
      </c>
      <c r="D4134" s="1" t="str">
        <f>"152326195812050415"</f>
        <v>152326195812050415</v>
      </c>
      <c r="E4134" s="1" t="s">
        <v>4154</v>
      </c>
      <c r="F4134" s="1" t="s">
        <v>25</v>
      </c>
      <c r="G4134" s="1" t="s">
        <v>17</v>
      </c>
      <c r="H4134" s="1" t="str">
        <f t="shared" si="2730"/>
        <v>66</v>
      </c>
      <c r="I4134" s="1" t="str">
        <f>"161.53"</f>
        <v>161.53</v>
      </c>
      <c r="J4134" s="1" t="str">
        <f t="shared" si="2719"/>
        <v>0</v>
      </c>
      <c r="K4134" s="1" t="str">
        <f t="shared" si="2726"/>
        <v>103</v>
      </c>
      <c r="L4134" s="1" t="str">
        <f t="shared" si="2727"/>
        <v>47</v>
      </c>
      <c r="M4134" s="1" t="str">
        <f t="shared" si="2728"/>
        <v>0</v>
      </c>
      <c r="N4134" s="1" t="str">
        <f t="shared" si="2717"/>
        <v>0</v>
      </c>
      <c r="O4134" s="1" t="str">
        <f>"11.53"</f>
        <v>11.53</v>
      </c>
    </row>
    <row r="4135" s="1" customFormat="1" spans="1:15">
      <c r="A4135" s="1" t="str">
        <f t="shared" si="2721"/>
        <v>202406</v>
      </c>
      <c r="B4135" s="1" t="str">
        <f t="shared" si="2722"/>
        <v>150525100</v>
      </c>
      <c r="C4135" s="1" t="str">
        <f>"1042097260"</f>
        <v>1042097260</v>
      </c>
      <c r="D4135" s="1" t="str">
        <f>"152326195912230675"</f>
        <v>152326195912230675</v>
      </c>
      <c r="E4135" s="1" t="s">
        <v>4155</v>
      </c>
      <c r="F4135" s="1" t="s">
        <v>25</v>
      </c>
      <c r="G4135" s="1" t="s">
        <v>19</v>
      </c>
      <c r="H4135" s="1" t="str">
        <f t="shared" si="2729"/>
        <v>65</v>
      </c>
      <c r="I4135" s="1" t="str">
        <f>"156.7"</f>
        <v>156.7</v>
      </c>
      <c r="J4135" s="1" t="str">
        <f t="shared" si="2719"/>
        <v>0</v>
      </c>
      <c r="K4135" s="1" t="str">
        <f t="shared" si="2726"/>
        <v>103</v>
      </c>
      <c r="L4135" s="1" t="str">
        <f t="shared" si="2727"/>
        <v>47</v>
      </c>
      <c r="M4135" s="1" t="str">
        <f t="shared" si="2728"/>
        <v>0</v>
      </c>
      <c r="N4135" s="1" t="str">
        <f t="shared" ref="N4135:N4198" si="2731">"0"</f>
        <v>0</v>
      </c>
      <c r="O4135" s="1" t="str">
        <f>"6.7"</f>
        <v>6.7</v>
      </c>
    </row>
    <row r="4136" s="1" customFormat="1" spans="1:15">
      <c r="A4136" s="1" t="str">
        <f t="shared" si="2721"/>
        <v>202406</v>
      </c>
      <c r="B4136" s="1" t="str">
        <f t="shared" si="2722"/>
        <v>150525100</v>
      </c>
      <c r="C4136" s="1" t="str">
        <f>"1041606750"</f>
        <v>1041606750</v>
      </c>
      <c r="D4136" s="1" t="str">
        <f>"152326195810190422"</f>
        <v>152326195810190422</v>
      </c>
      <c r="E4136" s="1" t="s">
        <v>4156</v>
      </c>
      <c r="F4136" s="1" t="s">
        <v>16</v>
      </c>
      <c r="G4136" s="1" t="s">
        <v>17</v>
      </c>
      <c r="H4136" s="1" t="str">
        <f t="shared" ref="H4136:H4140" si="2732">"66"</f>
        <v>66</v>
      </c>
      <c r="I4136" s="1" t="str">
        <f>"155.81"</f>
        <v>155.81</v>
      </c>
      <c r="J4136" s="1" t="str">
        <f t="shared" si="2719"/>
        <v>0</v>
      </c>
      <c r="K4136" s="1" t="str">
        <f t="shared" si="2726"/>
        <v>103</v>
      </c>
      <c r="L4136" s="1" t="str">
        <f t="shared" si="2727"/>
        <v>47</v>
      </c>
      <c r="M4136" s="1" t="str">
        <f t="shared" si="2728"/>
        <v>0</v>
      </c>
      <c r="N4136" s="1" t="str">
        <f t="shared" si="2731"/>
        <v>0</v>
      </c>
      <c r="O4136" s="1" t="str">
        <f>"5.81"</f>
        <v>5.81</v>
      </c>
    </row>
    <row r="4137" s="1" customFormat="1" spans="1:15">
      <c r="A4137" s="1" t="str">
        <f t="shared" si="2721"/>
        <v>202406</v>
      </c>
      <c r="B4137" s="1" t="str">
        <f t="shared" si="2722"/>
        <v>150525100</v>
      </c>
      <c r="C4137" s="1" t="str">
        <f>"1041833700"</f>
        <v>1041833700</v>
      </c>
      <c r="D4137" s="1" t="str">
        <f>"152326196004023085"</f>
        <v>152326196004023085</v>
      </c>
      <c r="E4137" s="1" t="s">
        <v>4157</v>
      </c>
      <c r="F4137" s="1" t="s">
        <v>16</v>
      </c>
      <c r="G4137" s="1" t="s">
        <v>19</v>
      </c>
      <c r="H4137" s="1" t="str">
        <f>"64"</f>
        <v>64</v>
      </c>
      <c r="I4137" s="1" t="str">
        <f>"156.74"</f>
        <v>156.74</v>
      </c>
      <c r="J4137" s="1" t="str">
        <f t="shared" si="2719"/>
        <v>0</v>
      </c>
      <c r="K4137" s="1" t="str">
        <f t="shared" si="2726"/>
        <v>103</v>
      </c>
      <c r="L4137" s="1" t="str">
        <f t="shared" si="2727"/>
        <v>47</v>
      </c>
      <c r="M4137" s="1" t="str">
        <f t="shared" si="2728"/>
        <v>0</v>
      </c>
      <c r="N4137" s="1" t="str">
        <f t="shared" si="2731"/>
        <v>0</v>
      </c>
      <c r="O4137" s="1" t="str">
        <f>"6.74"</f>
        <v>6.74</v>
      </c>
    </row>
    <row r="4138" s="1" customFormat="1" spans="1:15">
      <c r="A4138" s="1" t="str">
        <f t="shared" si="2721"/>
        <v>202406</v>
      </c>
      <c r="B4138" s="1" t="str">
        <f t="shared" si="2722"/>
        <v>150525100</v>
      </c>
      <c r="C4138" s="1" t="str">
        <f>"1041681566"</f>
        <v>1041681566</v>
      </c>
      <c r="D4138" s="1" t="str">
        <f>"152326196001051726"</f>
        <v>152326196001051726</v>
      </c>
      <c r="E4138" s="1" t="s">
        <v>4158</v>
      </c>
      <c r="F4138" s="1" t="s">
        <v>16</v>
      </c>
      <c r="G4138" s="1" t="s">
        <v>17</v>
      </c>
      <c r="H4138" s="1" t="str">
        <f t="shared" ref="H4138:H4142" si="2733">"65"</f>
        <v>65</v>
      </c>
      <c r="I4138" s="1" t="str">
        <f>"156.75"</f>
        <v>156.75</v>
      </c>
      <c r="J4138" s="1" t="str">
        <f t="shared" si="2719"/>
        <v>0</v>
      </c>
      <c r="K4138" s="1" t="str">
        <f t="shared" si="2726"/>
        <v>103</v>
      </c>
      <c r="L4138" s="1" t="str">
        <f t="shared" si="2727"/>
        <v>47</v>
      </c>
      <c r="M4138" s="1" t="str">
        <f t="shared" si="2728"/>
        <v>0</v>
      </c>
      <c r="N4138" s="1" t="str">
        <f t="shared" si="2731"/>
        <v>0</v>
      </c>
      <c r="O4138" s="1" t="str">
        <f>"6.75"</f>
        <v>6.75</v>
      </c>
    </row>
    <row r="4139" s="1" customFormat="1" spans="1:15">
      <c r="A4139" s="1" t="str">
        <f t="shared" si="2721"/>
        <v>202406</v>
      </c>
      <c r="B4139" s="1" t="str">
        <f t="shared" si="2722"/>
        <v>150525100</v>
      </c>
      <c r="C4139" s="1" t="str">
        <f>"1042154411"</f>
        <v>1042154411</v>
      </c>
      <c r="D4139" s="1" t="str">
        <f>"152326195810110664"</f>
        <v>152326195810110664</v>
      </c>
      <c r="E4139" s="1" t="s">
        <v>4159</v>
      </c>
      <c r="F4139" s="1" t="s">
        <v>16</v>
      </c>
      <c r="G4139" s="1" t="s">
        <v>19</v>
      </c>
      <c r="H4139" s="1" t="str">
        <f t="shared" si="2732"/>
        <v>66</v>
      </c>
      <c r="I4139" s="1" t="str">
        <f>"155.76"</f>
        <v>155.76</v>
      </c>
      <c r="J4139" s="1" t="str">
        <f t="shared" si="2719"/>
        <v>0</v>
      </c>
      <c r="K4139" s="1" t="str">
        <f t="shared" si="2726"/>
        <v>103</v>
      </c>
      <c r="L4139" s="1" t="str">
        <f t="shared" si="2727"/>
        <v>47</v>
      </c>
      <c r="M4139" s="1" t="str">
        <f t="shared" si="2728"/>
        <v>0</v>
      </c>
      <c r="N4139" s="1" t="str">
        <f t="shared" si="2731"/>
        <v>0</v>
      </c>
      <c r="O4139" s="1" t="str">
        <f>"5.76"</f>
        <v>5.76</v>
      </c>
    </row>
    <row r="4140" s="1" customFormat="1" spans="1:15">
      <c r="A4140" s="1" t="str">
        <f t="shared" si="2721"/>
        <v>202406</v>
      </c>
      <c r="B4140" s="1" t="str">
        <f t="shared" si="2722"/>
        <v>150525100</v>
      </c>
      <c r="C4140" s="1" t="str">
        <f>"1042025234"</f>
        <v>1042025234</v>
      </c>
      <c r="D4140" s="1" t="str">
        <f>"152326195812250054"</f>
        <v>152326195812250054</v>
      </c>
      <c r="E4140" s="1" t="s">
        <v>4160</v>
      </c>
      <c r="F4140" s="1" t="s">
        <v>25</v>
      </c>
      <c r="G4140" s="1" t="s">
        <v>19</v>
      </c>
      <c r="H4140" s="1" t="str">
        <f t="shared" si="2732"/>
        <v>66</v>
      </c>
      <c r="I4140" s="1" t="str">
        <f>"301.08"</f>
        <v>301.08</v>
      </c>
      <c r="J4140" s="1" t="str">
        <f t="shared" si="2719"/>
        <v>0</v>
      </c>
      <c r="K4140" s="1" t="str">
        <f t="shared" si="2726"/>
        <v>103</v>
      </c>
      <c r="L4140" s="1" t="str">
        <f t="shared" si="2727"/>
        <v>47</v>
      </c>
      <c r="M4140" s="1" t="str">
        <f t="shared" si="2728"/>
        <v>0</v>
      </c>
      <c r="N4140" s="1" t="str">
        <f t="shared" si="2731"/>
        <v>0</v>
      </c>
      <c r="O4140" s="1" t="str">
        <f>"151.08"</f>
        <v>151.08</v>
      </c>
    </row>
    <row r="4141" s="1" customFormat="1" spans="1:15">
      <c r="A4141" s="1" t="str">
        <f t="shared" si="2721"/>
        <v>202406</v>
      </c>
      <c r="B4141" s="1" t="str">
        <f t="shared" si="2722"/>
        <v>150525100</v>
      </c>
      <c r="C4141" s="1" t="str">
        <f>"1041659612"</f>
        <v>1041659612</v>
      </c>
      <c r="D4141" s="1" t="str">
        <f>"152326195912050738"</f>
        <v>152326195912050738</v>
      </c>
      <c r="E4141" s="1" t="s">
        <v>4161</v>
      </c>
      <c r="F4141" s="1" t="s">
        <v>25</v>
      </c>
      <c r="G4141" s="1" t="s">
        <v>17</v>
      </c>
      <c r="H4141" s="1" t="str">
        <f t="shared" si="2733"/>
        <v>65</v>
      </c>
      <c r="I4141" s="1" t="str">
        <f>"157.2"</f>
        <v>157.2</v>
      </c>
      <c r="J4141" s="1" t="str">
        <f t="shared" ref="J4141:J4204" si="2734">"0"</f>
        <v>0</v>
      </c>
      <c r="K4141" s="1" t="str">
        <f t="shared" si="2726"/>
        <v>103</v>
      </c>
      <c r="L4141" s="1" t="str">
        <f t="shared" si="2727"/>
        <v>47</v>
      </c>
      <c r="M4141" s="1" t="str">
        <f t="shared" si="2728"/>
        <v>0</v>
      </c>
      <c r="N4141" s="1" t="str">
        <f t="shared" si="2731"/>
        <v>0</v>
      </c>
      <c r="O4141" s="1" t="str">
        <f>"7.2"</f>
        <v>7.2</v>
      </c>
    </row>
    <row r="4142" s="1" customFormat="1" spans="1:15">
      <c r="A4142" s="1" t="str">
        <f t="shared" si="2721"/>
        <v>202406</v>
      </c>
      <c r="B4142" s="1" t="str">
        <f t="shared" si="2722"/>
        <v>150525100</v>
      </c>
      <c r="C4142" s="1" t="str">
        <f>"1042176477"</f>
        <v>1042176477</v>
      </c>
      <c r="D4142" s="1" t="s">
        <v>4162</v>
      </c>
      <c r="E4142" s="1" t="s">
        <v>4163</v>
      </c>
      <c r="F4142" s="1" t="s">
        <v>16</v>
      </c>
      <c r="G4142" s="1" t="s">
        <v>17</v>
      </c>
      <c r="H4142" s="1" t="str">
        <f t="shared" si="2733"/>
        <v>65</v>
      </c>
      <c r="I4142" s="1" t="str">
        <f>"156.48"</f>
        <v>156.48</v>
      </c>
      <c r="J4142" s="1" t="str">
        <f t="shared" si="2734"/>
        <v>0</v>
      </c>
      <c r="K4142" s="1" t="str">
        <f t="shared" si="2726"/>
        <v>103</v>
      </c>
      <c r="L4142" s="1" t="str">
        <f t="shared" si="2727"/>
        <v>47</v>
      </c>
      <c r="M4142" s="1" t="str">
        <f t="shared" si="2728"/>
        <v>0</v>
      </c>
      <c r="N4142" s="1" t="str">
        <f t="shared" si="2731"/>
        <v>0</v>
      </c>
      <c r="O4142" s="1" t="str">
        <f>"6.48"</f>
        <v>6.48</v>
      </c>
    </row>
    <row r="4143" s="1" customFormat="1" spans="1:15">
      <c r="A4143" s="1" t="str">
        <f t="shared" si="2721"/>
        <v>202406</v>
      </c>
      <c r="B4143" s="1" t="str">
        <f t="shared" si="2722"/>
        <v>150525100</v>
      </c>
      <c r="C4143" s="1" t="str">
        <f>"1042183299"</f>
        <v>1042183299</v>
      </c>
      <c r="D4143" s="1" t="str">
        <f>"152326195708263103"</f>
        <v>152326195708263103</v>
      </c>
      <c r="E4143" s="1" t="s">
        <v>4164</v>
      </c>
      <c r="F4143" s="1" t="s">
        <v>16</v>
      </c>
      <c r="G4143" s="1" t="s">
        <v>96</v>
      </c>
      <c r="H4143" s="1" t="str">
        <f>"67"</f>
        <v>67</v>
      </c>
      <c r="I4143" s="1" t="str">
        <f>"155.04"</f>
        <v>155.04</v>
      </c>
      <c r="J4143" s="1" t="str">
        <f t="shared" si="2734"/>
        <v>0</v>
      </c>
      <c r="K4143" s="1" t="str">
        <f t="shared" si="2726"/>
        <v>103</v>
      </c>
      <c r="L4143" s="1" t="str">
        <f t="shared" si="2727"/>
        <v>47</v>
      </c>
      <c r="M4143" s="1" t="str">
        <f t="shared" si="2728"/>
        <v>0</v>
      </c>
      <c r="N4143" s="1" t="str">
        <f t="shared" si="2731"/>
        <v>0</v>
      </c>
      <c r="O4143" s="1" t="str">
        <f>"5.04"</f>
        <v>5.04</v>
      </c>
    </row>
    <row r="4144" s="1" customFormat="1" spans="1:15">
      <c r="A4144" s="1" t="str">
        <f t="shared" si="2721"/>
        <v>202406</v>
      </c>
      <c r="B4144" s="1" t="str">
        <f t="shared" si="2722"/>
        <v>150525100</v>
      </c>
      <c r="C4144" s="1" t="str">
        <f>"1042249284"</f>
        <v>1042249284</v>
      </c>
      <c r="D4144" s="1" t="str">
        <f>"152326196002203824"</f>
        <v>152326196002203824</v>
      </c>
      <c r="E4144" s="1" t="s">
        <v>4165</v>
      </c>
      <c r="F4144" s="1" t="s">
        <v>16</v>
      </c>
      <c r="G4144" s="1" t="s">
        <v>19</v>
      </c>
      <c r="H4144" s="1" t="str">
        <f>"64"</f>
        <v>64</v>
      </c>
      <c r="I4144" s="1" t="str">
        <f>"156.72"</f>
        <v>156.72</v>
      </c>
      <c r="J4144" s="1" t="str">
        <f t="shared" si="2734"/>
        <v>0</v>
      </c>
      <c r="K4144" s="1" t="str">
        <f t="shared" si="2726"/>
        <v>103</v>
      </c>
      <c r="L4144" s="1" t="str">
        <f t="shared" si="2727"/>
        <v>47</v>
      </c>
      <c r="M4144" s="1" t="str">
        <f t="shared" si="2728"/>
        <v>0</v>
      </c>
      <c r="N4144" s="1" t="str">
        <f t="shared" si="2731"/>
        <v>0</v>
      </c>
      <c r="O4144" s="1" t="str">
        <f>"6.72"</f>
        <v>6.72</v>
      </c>
    </row>
    <row r="4145" s="1" customFormat="1" spans="1:15">
      <c r="A4145" s="1" t="str">
        <f t="shared" si="2721"/>
        <v>202406</v>
      </c>
      <c r="B4145" s="1" t="str">
        <f t="shared" si="2722"/>
        <v>150525100</v>
      </c>
      <c r="C4145" s="1" t="str">
        <f>"1042464096"</f>
        <v>1042464096</v>
      </c>
      <c r="D4145" s="1" t="str">
        <f>"152326196003160918"</f>
        <v>152326196003160918</v>
      </c>
      <c r="E4145" s="1" t="s">
        <v>4166</v>
      </c>
      <c r="F4145" s="1" t="s">
        <v>25</v>
      </c>
      <c r="G4145" s="1" t="s">
        <v>17</v>
      </c>
      <c r="H4145" s="1" t="str">
        <f>"64"</f>
        <v>64</v>
      </c>
      <c r="I4145" s="1" t="str">
        <f>"156.72"</f>
        <v>156.72</v>
      </c>
      <c r="J4145" s="1" t="str">
        <f t="shared" si="2734"/>
        <v>0</v>
      </c>
      <c r="K4145" s="1" t="str">
        <f t="shared" si="2726"/>
        <v>103</v>
      </c>
      <c r="L4145" s="1" t="str">
        <f t="shared" si="2727"/>
        <v>47</v>
      </c>
      <c r="M4145" s="1" t="str">
        <f t="shared" si="2728"/>
        <v>0</v>
      </c>
      <c r="N4145" s="1" t="str">
        <f t="shared" si="2731"/>
        <v>0</v>
      </c>
      <c r="O4145" s="1" t="str">
        <f>"6.72"</f>
        <v>6.72</v>
      </c>
    </row>
    <row r="4146" s="1" customFormat="1" spans="1:15">
      <c r="A4146" s="1" t="str">
        <f t="shared" si="2721"/>
        <v>202406</v>
      </c>
      <c r="B4146" s="1" t="str">
        <f t="shared" si="2722"/>
        <v>150525100</v>
      </c>
      <c r="C4146" s="1" t="str">
        <f>"1042488635"</f>
        <v>1042488635</v>
      </c>
      <c r="D4146" s="1" t="str">
        <f>"152326195911293076"</f>
        <v>152326195911293076</v>
      </c>
      <c r="E4146" s="1" t="s">
        <v>4167</v>
      </c>
      <c r="F4146" s="1" t="s">
        <v>25</v>
      </c>
      <c r="G4146" s="1" t="s">
        <v>17</v>
      </c>
      <c r="H4146" s="1" t="str">
        <f>"65"</f>
        <v>65</v>
      </c>
      <c r="I4146" s="1" t="str">
        <f>"156.08"</f>
        <v>156.08</v>
      </c>
      <c r="J4146" s="1" t="str">
        <f t="shared" si="2734"/>
        <v>0</v>
      </c>
      <c r="K4146" s="1" t="str">
        <f t="shared" si="2726"/>
        <v>103</v>
      </c>
      <c r="L4146" s="1" t="str">
        <f t="shared" si="2727"/>
        <v>47</v>
      </c>
      <c r="M4146" s="1" t="str">
        <f t="shared" si="2728"/>
        <v>0</v>
      </c>
      <c r="N4146" s="1" t="str">
        <f t="shared" si="2731"/>
        <v>0</v>
      </c>
      <c r="O4146" s="1" t="str">
        <f>"6.08"</f>
        <v>6.08</v>
      </c>
    </row>
    <row r="4147" s="1" customFormat="1" spans="1:15">
      <c r="A4147" s="1" t="str">
        <f t="shared" si="2721"/>
        <v>202406</v>
      </c>
      <c r="B4147" s="1" t="str">
        <f t="shared" si="2722"/>
        <v>150525100</v>
      </c>
      <c r="C4147" s="1" t="str">
        <f>"1042292987"</f>
        <v>1042292987</v>
      </c>
      <c r="D4147" s="1" t="str">
        <f>"210782196311211825"</f>
        <v>210782196311211825</v>
      </c>
      <c r="E4147" s="1" t="s">
        <v>4168</v>
      </c>
      <c r="F4147" s="1" t="s">
        <v>16</v>
      </c>
      <c r="G4147" s="1" t="s">
        <v>17</v>
      </c>
      <c r="H4147" s="1" t="str">
        <f>"61"</f>
        <v>61</v>
      </c>
      <c r="I4147" s="1" t="str">
        <f>"452.83"</f>
        <v>452.83</v>
      </c>
      <c r="J4147" s="1" t="str">
        <f t="shared" si="2734"/>
        <v>0</v>
      </c>
      <c r="K4147" s="1" t="str">
        <f t="shared" si="2726"/>
        <v>103</v>
      </c>
      <c r="L4147" s="1" t="str">
        <f t="shared" si="2727"/>
        <v>47</v>
      </c>
      <c r="M4147" s="1" t="str">
        <f t="shared" si="2728"/>
        <v>0</v>
      </c>
      <c r="N4147" s="1" t="str">
        <f t="shared" si="2731"/>
        <v>0</v>
      </c>
      <c r="O4147" s="1" t="str">
        <f>"302.83"</f>
        <v>302.83</v>
      </c>
    </row>
    <row r="4148" s="1" customFormat="1" spans="1:15">
      <c r="A4148" s="1" t="str">
        <f t="shared" si="2721"/>
        <v>202406</v>
      </c>
      <c r="B4148" s="1" t="str">
        <f t="shared" si="2722"/>
        <v>150525100</v>
      </c>
      <c r="C4148" s="1" t="str">
        <f>"1042285016"</f>
        <v>1042285016</v>
      </c>
      <c r="D4148" s="1" t="str">
        <f>"152326196302090673"</f>
        <v>152326196302090673</v>
      </c>
      <c r="E4148" s="1" t="s">
        <v>4169</v>
      </c>
      <c r="F4148" s="1" t="s">
        <v>25</v>
      </c>
      <c r="G4148" s="1" t="s">
        <v>17</v>
      </c>
      <c r="H4148" s="1" t="str">
        <f>"61"</f>
        <v>61</v>
      </c>
      <c r="I4148" s="1" t="str">
        <f>"168.81"</f>
        <v>168.81</v>
      </c>
      <c r="J4148" s="1" t="str">
        <f t="shared" si="2734"/>
        <v>0</v>
      </c>
      <c r="K4148" s="1" t="str">
        <f t="shared" si="2726"/>
        <v>103</v>
      </c>
      <c r="L4148" s="1" t="str">
        <f t="shared" si="2727"/>
        <v>47</v>
      </c>
      <c r="M4148" s="1" t="str">
        <f t="shared" si="2728"/>
        <v>0</v>
      </c>
      <c r="N4148" s="1" t="str">
        <f t="shared" si="2731"/>
        <v>0</v>
      </c>
      <c r="O4148" s="1" t="str">
        <f>"18.81"</f>
        <v>18.81</v>
      </c>
    </row>
    <row r="4149" s="1" customFormat="1" spans="1:15">
      <c r="A4149" s="1" t="str">
        <f t="shared" si="2721"/>
        <v>202406</v>
      </c>
      <c r="B4149" s="1" t="str">
        <f t="shared" si="2722"/>
        <v>150525100</v>
      </c>
      <c r="C4149" s="1" t="str">
        <f>"1042270612"</f>
        <v>1042270612</v>
      </c>
      <c r="D4149" s="1" t="str">
        <f>"152326195911260661"</f>
        <v>152326195911260661</v>
      </c>
      <c r="E4149" s="1" t="s">
        <v>74</v>
      </c>
      <c r="F4149" s="1" t="s">
        <v>16</v>
      </c>
      <c r="G4149" s="1" t="s">
        <v>19</v>
      </c>
      <c r="H4149" s="1" t="str">
        <f>"65"</f>
        <v>65</v>
      </c>
      <c r="I4149" s="1" t="str">
        <f>"156.48"</f>
        <v>156.48</v>
      </c>
      <c r="J4149" s="1" t="str">
        <f t="shared" si="2734"/>
        <v>0</v>
      </c>
      <c r="K4149" s="1" t="str">
        <f t="shared" si="2726"/>
        <v>103</v>
      </c>
      <c r="L4149" s="1" t="str">
        <f t="shared" si="2727"/>
        <v>47</v>
      </c>
      <c r="M4149" s="1" t="str">
        <f t="shared" si="2728"/>
        <v>0</v>
      </c>
      <c r="N4149" s="1" t="str">
        <f t="shared" si="2731"/>
        <v>0</v>
      </c>
      <c r="O4149" s="1" t="str">
        <f>"6.48"</f>
        <v>6.48</v>
      </c>
    </row>
    <row r="4150" s="1" customFormat="1" spans="1:15">
      <c r="A4150" s="1" t="str">
        <f t="shared" si="2721"/>
        <v>202406</v>
      </c>
      <c r="B4150" s="1" t="str">
        <f t="shared" si="2722"/>
        <v>150525100</v>
      </c>
      <c r="C4150" s="1" t="str">
        <f>"1042551140"</f>
        <v>1042551140</v>
      </c>
      <c r="D4150" s="1" t="str">
        <f>"152326196003083828"</f>
        <v>152326196003083828</v>
      </c>
      <c r="E4150" s="1" t="s">
        <v>4170</v>
      </c>
      <c r="F4150" s="1" t="s">
        <v>16</v>
      </c>
      <c r="G4150" s="1" t="s">
        <v>17</v>
      </c>
      <c r="H4150" s="1" t="str">
        <f>"64"</f>
        <v>64</v>
      </c>
      <c r="I4150" s="1" t="str">
        <f>"156.72"</f>
        <v>156.72</v>
      </c>
      <c r="J4150" s="1" t="str">
        <f t="shared" si="2734"/>
        <v>0</v>
      </c>
      <c r="K4150" s="1" t="str">
        <f t="shared" si="2726"/>
        <v>103</v>
      </c>
      <c r="L4150" s="1" t="str">
        <f t="shared" si="2727"/>
        <v>47</v>
      </c>
      <c r="M4150" s="1" t="str">
        <f t="shared" si="2728"/>
        <v>0</v>
      </c>
      <c r="N4150" s="1" t="str">
        <f t="shared" si="2731"/>
        <v>0</v>
      </c>
      <c r="O4150" s="1" t="str">
        <f>"6.72"</f>
        <v>6.72</v>
      </c>
    </row>
    <row r="4151" s="1" customFormat="1" spans="1:15">
      <c r="A4151" s="1" t="str">
        <f t="shared" si="2721"/>
        <v>202406</v>
      </c>
      <c r="B4151" s="1" t="str">
        <f t="shared" si="2722"/>
        <v>150525100</v>
      </c>
      <c r="C4151" s="1" t="str">
        <f>"1042529088"</f>
        <v>1042529088</v>
      </c>
      <c r="D4151" s="1" t="str">
        <f>"152326196201020086"</f>
        <v>152326196201020086</v>
      </c>
      <c r="E4151" s="1" t="s">
        <v>4171</v>
      </c>
      <c r="F4151" s="1" t="s">
        <v>16</v>
      </c>
      <c r="G4151" s="1" t="s">
        <v>19</v>
      </c>
      <c r="H4151" s="1" t="str">
        <f>"63"</f>
        <v>63</v>
      </c>
      <c r="I4151" s="1" t="str">
        <f>"166.33"</f>
        <v>166.33</v>
      </c>
      <c r="J4151" s="1" t="str">
        <f t="shared" si="2734"/>
        <v>0</v>
      </c>
      <c r="K4151" s="1" t="str">
        <f t="shared" si="2726"/>
        <v>103</v>
      </c>
      <c r="L4151" s="1" t="str">
        <f t="shared" si="2727"/>
        <v>47</v>
      </c>
      <c r="M4151" s="1" t="str">
        <f t="shared" si="2728"/>
        <v>0</v>
      </c>
      <c r="N4151" s="1" t="str">
        <f t="shared" si="2731"/>
        <v>0</v>
      </c>
      <c r="O4151" s="1" t="str">
        <f>"16.33"</f>
        <v>16.33</v>
      </c>
    </row>
    <row r="4152" s="1" customFormat="1" spans="1:15">
      <c r="A4152" s="1" t="str">
        <f t="shared" si="2721"/>
        <v>202406</v>
      </c>
      <c r="B4152" s="1" t="str">
        <f t="shared" si="2722"/>
        <v>150525100</v>
      </c>
      <c r="C4152" s="1" t="str">
        <f>"1042571051"</f>
        <v>1042571051</v>
      </c>
      <c r="D4152" s="1" t="str">
        <f>"152326196001266372"</f>
        <v>152326196001266372</v>
      </c>
      <c r="E4152" s="1" t="s">
        <v>4172</v>
      </c>
      <c r="F4152" s="1" t="s">
        <v>25</v>
      </c>
      <c r="G4152" s="1" t="s">
        <v>17</v>
      </c>
      <c r="H4152" s="1" t="str">
        <f>"64"</f>
        <v>64</v>
      </c>
      <c r="I4152" s="1" t="str">
        <f>"157.04"</f>
        <v>157.04</v>
      </c>
      <c r="J4152" s="1" t="str">
        <f t="shared" si="2734"/>
        <v>0</v>
      </c>
      <c r="K4152" s="1" t="str">
        <f t="shared" si="2726"/>
        <v>103</v>
      </c>
      <c r="L4152" s="1" t="str">
        <f t="shared" si="2727"/>
        <v>47</v>
      </c>
      <c r="M4152" s="1" t="str">
        <f t="shared" si="2728"/>
        <v>0</v>
      </c>
      <c r="N4152" s="1" t="str">
        <f t="shared" si="2731"/>
        <v>0</v>
      </c>
      <c r="O4152" s="1" t="str">
        <f>"7.04"</f>
        <v>7.04</v>
      </c>
    </row>
    <row r="4153" s="1" customFormat="1" spans="1:15">
      <c r="A4153" s="1" t="str">
        <f t="shared" si="2721"/>
        <v>202406</v>
      </c>
      <c r="B4153" s="1" t="str">
        <f t="shared" si="2722"/>
        <v>150525100</v>
      </c>
      <c r="C4153" s="1" t="str">
        <f>"1042682158"</f>
        <v>1042682158</v>
      </c>
      <c r="D4153" s="1" t="str">
        <f>"152326196106263821"</f>
        <v>152326196106263821</v>
      </c>
      <c r="E4153" s="1" t="s">
        <v>4173</v>
      </c>
      <c r="F4153" s="1" t="s">
        <v>16</v>
      </c>
      <c r="G4153" s="1" t="s">
        <v>17</v>
      </c>
      <c r="H4153" s="1" t="str">
        <f>"63"</f>
        <v>63</v>
      </c>
      <c r="I4153" s="1" t="str">
        <f>"164.77"</f>
        <v>164.77</v>
      </c>
      <c r="J4153" s="1" t="str">
        <f t="shared" si="2734"/>
        <v>0</v>
      </c>
      <c r="K4153" s="1" t="str">
        <f t="shared" si="2726"/>
        <v>103</v>
      </c>
      <c r="L4153" s="1" t="str">
        <f t="shared" si="2727"/>
        <v>47</v>
      </c>
      <c r="M4153" s="1" t="str">
        <f t="shared" si="2728"/>
        <v>0</v>
      </c>
      <c r="N4153" s="1" t="str">
        <f t="shared" si="2731"/>
        <v>0</v>
      </c>
      <c r="O4153" s="1" t="str">
        <f>"14.77"</f>
        <v>14.77</v>
      </c>
    </row>
    <row r="4154" s="1" customFormat="1" spans="1:15">
      <c r="A4154" s="1" t="str">
        <f t="shared" si="2721"/>
        <v>202406</v>
      </c>
      <c r="B4154" s="1" t="str">
        <f t="shared" si="2722"/>
        <v>150525100</v>
      </c>
      <c r="C4154" s="1" t="str">
        <f>"1042750350"</f>
        <v>1042750350</v>
      </c>
      <c r="D4154" s="1" t="str">
        <f>"152326196204280916"</f>
        <v>152326196204280916</v>
      </c>
      <c r="E4154" s="1" t="s">
        <v>4174</v>
      </c>
      <c r="F4154" s="1" t="s">
        <v>25</v>
      </c>
      <c r="G4154" s="1" t="s">
        <v>17</v>
      </c>
      <c r="H4154" s="1" t="str">
        <f>"62"</f>
        <v>62</v>
      </c>
      <c r="I4154" s="1" t="str">
        <f>"160.42"</f>
        <v>160.42</v>
      </c>
      <c r="J4154" s="1" t="str">
        <f t="shared" si="2734"/>
        <v>0</v>
      </c>
      <c r="K4154" s="1" t="str">
        <f t="shared" si="2726"/>
        <v>103</v>
      </c>
      <c r="L4154" s="1" t="str">
        <f t="shared" si="2727"/>
        <v>47</v>
      </c>
      <c r="M4154" s="1" t="str">
        <f t="shared" si="2728"/>
        <v>0</v>
      </c>
      <c r="N4154" s="1" t="str">
        <f t="shared" si="2731"/>
        <v>0</v>
      </c>
      <c r="O4154" s="1" t="str">
        <f>"10.42"</f>
        <v>10.42</v>
      </c>
    </row>
    <row r="4155" s="1" customFormat="1" spans="1:15">
      <c r="A4155" s="1" t="str">
        <f t="shared" si="2721"/>
        <v>202406</v>
      </c>
      <c r="B4155" s="1" t="str">
        <f t="shared" si="2722"/>
        <v>150525100</v>
      </c>
      <c r="C4155" s="1" t="str">
        <f>"1042721181"</f>
        <v>1042721181</v>
      </c>
      <c r="D4155" s="1" t="str">
        <f>"152326196304203846"</f>
        <v>152326196304203846</v>
      </c>
      <c r="E4155" s="1" t="s">
        <v>612</v>
      </c>
      <c r="F4155" s="1" t="s">
        <v>16</v>
      </c>
      <c r="G4155" s="1" t="s">
        <v>17</v>
      </c>
      <c r="H4155" s="1" t="str">
        <f>"61"</f>
        <v>61</v>
      </c>
      <c r="I4155" s="1" t="str">
        <f>"168.38"</f>
        <v>168.38</v>
      </c>
      <c r="J4155" s="1" t="str">
        <f t="shared" si="2734"/>
        <v>0</v>
      </c>
      <c r="K4155" s="1" t="str">
        <f t="shared" si="2726"/>
        <v>103</v>
      </c>
      <c r="L4155" s="1" t="str">
        <f t="shared" si="2727"/>
        <v>47</v>
      </c>
      <c r="M4155" s="1" t="str">
        <f t="shared" si="2728"/>
        <v>0</v>
      </c>
      <c r="N4155" s="1" t="str">
        <f t="shared" si="2731"/>
        <v>0</v>
      </c>
      <c r="O4155" s="1" t="str">
        <f>"18.38"</f>
        <v>18.38</v>
      </c>
    </row>
    <row r="4156" s="1" customFormat="1" spans="1:15">
      <c r="A4156" s="1" t="str">
        <f t="shared" si="2721"/>
        <v>202406</v>
      </c>
      <c r="B4156" s="1" t="str">
        <f t="shared" si="2722"/>
        <v>150525100</v>
      </c>
      <c r="C4156" s="1" t="str">
        <f>"1040832757"</f>
        <v>1040832757</v>
      </c>
      <c r="D4156" s="1" t="str">
        <f>"152326195112212022"</f>
        <v>152326195112212022</v>
      </c>
      <c r="E4156" s="1" t="s">
        <v>4175</v>
      </c>
      <c r="F4156" s="1" t="s">
        <v>16</v>
      </c>
      <c r="G4156" s="1" t="s">
        <v>17</v>
      </c>
      <c r="H4156" s="1" t="str">
        <f>"73"</f>
        <v>73</v>
      </c>
      <c r="I4156" s="1" t="str">
        <f>"160"</f>
        <v>160</v>
      </c>
      <c r="J4156" s="1" t="str">
        <f t="shared" si="2734"/>
        <v>0</v>
      </c>
      <c r="K4156" s="1" t="str">
        <f t="shared" si="2726"/>
        <v>103</v>
      </c>
      <c r="L4156" s="1" t="str">
        <f t="shared" si="2727"/>
        <v>47</v>
      </c>
      <c r="M4156" s="1" t="str">
        <f t="shared" si="2728"/>
        <v>0</v>
      </c>
      <c r="N4156" s="1" t="str">
        <f t="shared" si="2731"/>
        <v>0</v>
      </c>
      <c r="O4156" s="1" t="str">
        <f>"0"</f>
        <v>0</v>
      </c>
    </row>
    <row r="4157" s="1" customFormat="1" spans="1:15">
      <c r="A4157" s="1" t="str">
        <f t="shared" si="2721"/>
        <v>202406</v>
      </c>
      <c r="B4157" s="1" t="str">
        <f t="shared" si="2722"/>
        <v>150525100</v>
      </c>
      <c r="C4157" s="1" t="str">
        <f>"1042844845"</f>
        <v>1042844845</v>
      </c>
      <c r="D4157" s="1" t="str">
        <f>"152326196110056382"</f>
        <v>152326196110056382</v>
      </c>
      <c r="E4157" s="1" t="s">
        <v>4176</v>
      </c>
      <c r="F4157" s="1" t="s">
        <v>16</v>
      </c>
      <c r="G4157" s="1" t="s">
        <v>17</v>
      </c>
      <c r="H4157" s="1" t="str">
        <f>"63"</f>
        <v>63</v>
      </c>
      <c r="I4157" s="1" t="str">
        <f>"158.91"</f>
        <v>158.91</v>
      </c>
      <c r="J4157" s="1" t="str">
        <f t="shared" si="2734"/>
        <v>0</v>
      </c>
      <c r="K4157" s="1" t="str">
        <f t="shared" si="2726"/>
        <v>103</v>
      </c>
      <c r="L4157" s="1" t="str">
        <f t="shared" si="2727"/>
        <v>47</v>
      </c>
      <c r="M4157" s="1" t="str">
        <f t="shared" si="2728"/>
        <v>0</v>
      </c>
      <c r="N4157" s="1" t="str">
        <f t="shared" si="2731"/>
        <v>0</v>
      </c>
      <c r="O4157" s="1" t="str">
        <f>"8.91"</f>
        <v>8.91</v>
      </c>
    </row>
    <row r="4158" s="1" customFormat="1" spans="1:15">
      <c r="A4158" s="1" t="str">
        <f t="shared" si="2721"/>
        <v>202406</v>
      </c>
      <c r="B4158" s="1" t="str">
        <f t="shared" si="2722"/>
        <v>150525100</v>
      </c>
      <c r="C4158" s="1" t="str">
        <f>"1042787936"</f>
        <v>1042787936</v>
      </c>
      <c r="D4158" s="1" t="str">
        <f>"152326195907073310"</f>
        <v>152326195907073310</v>
      </c>
      <c r="E4158" s="1" t="s">
        <v>4177</v>
      </c>
      <c r="F4158" s="1" t="s">
        <v>25</v>
      </c>
      <c r="G4158" s="1" t="s">
        <v>17</v>
      </c>
      <c r="H4158" s="1" t="str">
        <f>"65"</f>
        <v>65</v>
      </c>
      <c r="I4158" s="1" t="str">
        <f>"161.53"</f>
        <v>161.53</v>
      </c>
      <c r="J4158" s="1" t="str">
        <f t="shared" si="2734"/>
        <v>0</v>
      </c>
      <c r="K4158" s="1" t="str">
        <f t="shared" si="2726"/>
        <v>103</v>
      </c>
      <c r="L4158" s="1" t="str">
        <f t="shared" si="2727"/>
        <v>47</v>
      </c>
      <c r="M4158" s="1" t="str">
        <f t="shared" si="2728"/>
        <v>0</v>
      </c>
      <c r="N4158" s="1" t="str">
        <f t="shared" si="2731"/>
        <v>0</v>
      </c>
      <c r="O4158" s="1" t="str">
        <f>"11.53"</f>
        <v>11.53</v>
      </c>
    </row>
    <row r="4159" s="1" customFormat="1" spans="1:15">
      <c r="A4159" s="1" t="str">
        <f t="shared" si="2721"/>
        <v>202406</v>
      </c>
      <c r="B4159" s="1" t="str">
        <f t="shared" si="2722"/>
        <v>150525100</v>
      </c>
      <c r="C4159" s="1" t="str">
        <f>"1042676929"</f>
        <v>1042676929</v>
      </c>
      <c r="D4159" s="1" t="str">
        <f>"152326195908190412"</f>
        <v>152326195908190412</v>
      </c>
      <c r="E4159" s="1" t="s">
        <v>4178</v>
      </c>
      <c r="F4159" s="1" t="s">
        <v>25</v>
      </c>
      <c r="G4159" s="1" t="s">
        <v>17</v>
      </c>
      <c r="H4159" s="1" t="str">
        <f>"65"</f>
        <v>65</v>
      </c>
      <c r="I4159" s="1" t="str">
        <f>"161.53"</f>
        <v>161.53</v>
      </c>
      <c r="J4159" s="1" t="str">
        <f t="shared" si="2734"/>
        <v>0</v>
      </c>
      <c r="K4159" s="1" t="str">
        <f t="shared" si="2726"/>
        <v>103</v>
      </c>
      <c r="L4159" s="1" t="str">
        <f t="shared" si="2727"/>
        <v>47</v>
      </c>
      <c r="M4159" s="1" t="str">
        <f t="shared" si="2728"/>
        <v>0</v>
      </c>
      <c r="N4159" s="1" t="str">
        <f t="shared" si="2731"/>
        <v>0</v>
      </c>
      <c r="O4159" s="1" t="str">
        <f>"11.53"</f>
        <v>11.53</v>
      </c>
    </row>
    <row r="4160" s="1" customFormat="1" spans="1:15">
      <c r="A4160" s="1" t="str">
        <f t="shared" si="2721"/>
        <v>202406</v>
      </c>
      <c r="B4160" s="1" t="str">
        <f t="shared" si="2722"/>
        <v>150525100</v>
      </c>
      <c r="C4160" s="1" t="str">
        <f>"1042953311"</f>
        <v>1042953311</v>
      </c>
      <c r="D4160" s="1" t="str">
        <f>"152326196308013820"</f>
        <v>152326196308013820</v>
      </c>
      <c r="E4160" s="1" t="s">
        <v>4179</v>
      </c>
      <c r="F4160" s="1" t="s">
        <v>16</v>
      </c>
      <c r="G4160" s="1" t="s">
        <v>17</v>
      </c>
      <c r="H4160" s="1" t="str">
        <f>"61"</f>
        <v>61</v>
      </c>
      <c r="I4160" s="1" t="str">
        <f>"168.41"</f>
        <v>168.41</v>
      </c>
      <c r="J4160" s="1" t="str">
        <f t="shared" si="2734"/>
        <v>0</v>
      </c>
      <c r="K4160" s="1" t="str">
        <f t="shared" si="2726"/>
        <v>103</v>
      </c>
      <c r="L4160" s="1" t="str">
        <f t="shared" si="2727"/>
        <v>47</v>
      </c>
      <c r="M4160" s="1" t="str">
        <f t="shared" si="2728"/>
        <v>0</v>
      </c>
      <c r="N4160" s="1" t="str">
        <f t="shared" si="2731"/>
        <v>0</v>
      </c>
      <c r="O4160" s="1" t="str">
        <f>"18.41"</f>
        <v>18.41</v>
      </c>
    </row>
    <row r="4161" s="1" customFormat="1" spans="1:15">
      <c r="A4161" s="1" t="str">
        <f t="shared" si="2721"/>
        <v>202406</v>
      </c>
      <c r="B4161" s="1" t="str">
        <f t="shared" si="2722"/>
        <v>150525100</v>
      </c>
      <c r="C4161" s="1" t="str">
        <f>"1042807605"</f>
        <v>1042807605</v>
      </c>
      <c r="D4161" s="1" t="str">
        <f>"152326196012030429"</f>
        <v>152326196012030429</v>
      </c>
      <c r="E4161" s="1" t="s">
        <v>4180</v>
      </c>
      <c r="F4161" s="1" t="s">
        <v>16</v>
      </c>
      <c r="G4161" s="1" t="s">
        <v>17</v>
      </c>
      <c r="H4161" s="1" t="str">
        <f>"64"</f>
        <v>64</v>
      </c>
      <c r="I4161" s="1" t="str">
        <f>"156.8"</f>
        <v>156.8</v>
      </c>
      <c r="J4161" s="1" t="str">
        <f t="shared" si="2734"/>
        <v>0</v>
      </c>
      <c r="K4161" s="1" t="str">
        <f t="shared" si="2726"/>
        <v>103</v>
      </c>
      <c r="L4161" s="1" t="str">
        <f t="shared" si="2727"/>
        <v>47</v>
      </c>
      <c r="M4161" s="1" t="str">
        <f t="shared" si="2728"/>
        <v>0</v>
      </c>
      <c r="N4161" s="1" t="str">
        <f t="shared" si="2731"/>
        <v>0</v>
      </c>
      <c r="O4161" s="1" t="str">
        <f>"6.8"</f>
        <v>6.8</v>
      </c>
    </row>
    <row r="4162" s="1" customFormat="1" spans="1:15">
      <c r="A4162" s="1" t="str">
        <f t="shared" ref="A4162:A4225" si="2735">"202406"</f>
        <v>202406</v>
      </c>
      <c r="B4162" s="1" t="str">
        <f t="shared" ref="B4162:B4225" si="2736">"150525100"</f>
        <v>150525100</v>
      </c>
      <c r="C4162" s="1" t="str">
        <f>"1043266432"</f>
        <v>1043266432</v>
      </c>
      <c r="D4162" s="1" t="str">
        <f>"152326196011270674"</f>
        <v>152326196011270674</v>
      </c>
      <c r="E4162" s="1" t="s">
        <v>4181</v>
      </c>
      <c r="F4162" s="1" t="s">
        <v>25</v>
      </c>
      <c r="G4162" s="1" t="s">
        <v>17</v>
      </c>
      <c r="H4162" s="1" t="str">
        <f>"64"</f>
        <v>64</v>
      </c>
      <c r="I4162" s="1" t="str">
        <f>"160.98"</f>
        <v>160.98</v>
      </c>
      <c r="J4162" s="1" t="str">
        <f t="shared" si="2734"/>
        <v>0</v>
      </c>
      <c r="K4162" s="1" t="str">
        <f t="shared" si="2726"/>
        <v>103</v>
      </c>
      <c r="L4162" s="1" t="str">
        <f t="shared" si="2727"/>
        <v>47</v>
      </c>
      <c r="M4162" s="1" t="str">
        <f t="shared" si="2728"/>
        <v>0</v>
      </c>
      <c r="N4162" s="1" t="str">
        <f t="shared" si="2731"/>
        <v>0</v>
      </c>
      <c r="O4162" s="1" t="str">
        <f>"10.98"</f>
        <v>10.98</v>
      </c>
    </row>
    <row r="4163" s="1" customFormat="1" spans="1:15">
      <c r="A4163" s="1" t="str">
        <f t="shared" si="2735"/>
        <v>202406</v>
      </c>
      <c r="B4163" s="1" t="str">
        <f t="shared" si="2736"/>
        <v>150525100</v>
      </c>
      <c r="C4163" s="1" t="str">
        <f>"1043291101"</f>
        <v>1043291101</v>
      </c>
      <c r="D4163" s="1" t="str">
        <f>"152326196301223825"</f>
        <v>152326196301223825</v>
      </c>
      <c r="E4163" s="1" t="s">
        <v>4182</v>
      </c>
      <c r="F4163" s="1" t="s">
        <v>16</v>
      </c>
      <c r="G4163" s="1" t="s">
        <v>17</v>
      </c>
      <c r="H4163" s="1" t="str">
        <f>"61"</f>
        <v>61</v>
      </c>
      <c r="I4163" s="1" t="str">
        <f>"167.56"</f>
        <v>167.56</v>
      </c>
      <c r="J4163" s="1" t="str">
        <f t="shared" si="2734"/>
        <v>0</v>
      </c>
      <c r="K4163" s="1" t="str">
        <f t="shared" si="2726"/>
        <v>103</v>
      </c>
      <c r="L4163" s="1" t="str">
        <f t="shared" si="2727"/>
        <v>47</v>
      </c>
      <c r="M4163" s="1" t="str">
        <f t="shared" si="2728"/>
        <v>0</v>
      </c>
      <c r="N4163" s="1" t="str">
        <f t="shared" si="2731"/>
        <v>0</v>
      </c>
      <c r="O4163" s="1" t="str">
        <f>"17.56"</f>
        <v>17.56</v>
      </c>
    </row>
    <row r="4164" s="1" customFormat="1" spans="1:15">
      <c r="A4164" s="1" t="str">
        <f t="shared" si="2735"/>
        <v>202406</v>
      </c>
      <c r="B4164" s="1" t="str">
        <f t="shared" si="2736"/>
        <v>150525100</v>
      </c>
      <c r="C4164" s="1" t="str">
        <f>"1042695125"</f>
        <v>1042695125</v>
      </c>
      <c r="D4164" s="1" t="str">
        <f>"152326196206123324"</f>
        <v>152326196206123324</v>
      </c>
      <c r="E4164" s="1" t="s">
        <v>4183</v>
      </c>
      <c r="F4164" s="1" t="s">
        <v>16</v>
      </c>
      <c r="G4164" s="1" t="s">
        <v>17</v>
      </c>
      <c r="H4164" s="1" t="str">
        <f t="shared" ref="H4164:H4169" si="2737">"62"</f>
        <v>62</v>
      </c>
      <c r="I4164" s="1" t="str">
        <f>"195.6"</f>
        <v>195.6</v>
      </c>
      <c r="J4164" s="1" t="str">
        <f t="shared" si="2734"/>
        <v>0</v>
      </c>
      <c r="K4164" s="1" t="str">
        <f t="shared" si="2726"/>
        <v>103</v>
      </c>
      <c r="L4164" s="1" t="str">
        <f t="shared" si="2727"/>
        <v>47</v>
      </c>
      <c r="M4164" s="1" t="str">
        <f t="shared" si="2728"/>
        <v>0</v>
      </c>
      <c r="N4164" s="1" t="str">
        <f t="shared" si="2731"/>
        <v>0</v>
      </c>
      <c r="O4164" s="1" t="str">
        <f>"45.6"</f>
        <v>45.6</v>
      </c>
    </row>
    <row r="4165" s="1" customFormat="1" spans="1:15">
      <c r="A4165" s="1" t="str">
        <f t="shared" si="2735"/>
        <v>202406</v>
      </c>
      <c r="B4165" s="1" t="str">
        <f t="shared" si="2736"/>
        <v>150525100</v>
      </c>
      <c r="C4165" s="1" t="str">
        <f>"1042703264"</f>
        <v>1042703264</v>
      </c>
      <c r="D4165" s="1" t="s">
        <v>4184</v>
      </c>
      <c r="E4165" s="1" t="s">
        <v>2995</v>
      </c>
      <c r="F4165" s="1" t="s">
        <v>16</v>
      </c>
      <c r="G4165" s="1" t="s">
        <v>17</v>
      </c>
      <c r="H4165" s="1" t="str">
        <f t="shared" si="2737"/>
        <v>62</v>
      </c>
      <c r="I4165" s="1" t="str">
        <f>"160.93"</f>
        <v>160.93</v>
      </c>
      <c r="J4165" s="1" t="str">
        <f t="shared" si="2734"/>
        <v>0</v>
      </c>
      <c r="K4165" s="1" t="str">
        <f t="shared" si="2726"/>
        <v>103</v>
      </c>
      <c r="L4165" s="1" t="str">
        <f t="shared" si="2727"/>
        <v>47</v>
      </c>
      <c r="M4165" s="1" t="str">
        <f t="shared" si="2728"/>
        <v>0</v>
      </c>
      <c r="N4165" s="1" t="str">
        <f t="shared" si="2731"/>
        <v>0</v>
      </c>
      <c r="O4165" s="1" t="str">
        <f>"10.93"</f>
        <v>10.93</v>
      </c>
    </row>
    <row r="4166" s="1" customFormat="1" spans="1:15">
      <c r="A4166" s="1" t="str">
        <f t="shared" si="2735"/>
        <v>202406</v>
      </c>
      <c r="B4166" s="1" t="str">
        <f t="shared" si="2736"/>
        <v>150525100</v>
      </c>
      <c r="C4166" s="1" t="str">
        <f>"1042704119"</f>
        <v>1042704119</v>
      </c>
      <c r="D4166" s="1" t="str">
        <f>"152326196310010928"</f>
        <v>152326196310010928</v>
      </c>
      <c r="E4166" s="1" t="s">
        <v>4185</v>
      </c>
      <c r="F4166" s="1" t="s">
        <v>16</v>
      </c>
      <c r="G4166" s="1" t="s">
        <v>17</v>
      </c>
      <c r="H4166" s="1" t="str">
        <f t="shared" ref="H4166:H4172" si="2738">"61"</f>
        <v>61</v>
      </c>
      <c r="I4166" s="1" t="str">
        <f>"163.91"</f>
        <v>163.91</v>
      </c>
      <c r="J4166" s="1" t="str">
        <f t="shared" si="2734"/>
        <v>0</v>
      </c>
      <c r="K4166" s="1" t="str">
        <f t="shared" si="2726"/>
        <v>103</v>
      </c>
      <c r="L4166" s="1" t="str">
        <f t="shared" si="2727"/>
        <v>47</v>
      </c>
      <c r="M4166" s="1" t="str">
        <f t="shared" si="2728"/>
        <v>0</v>
      </c>
      <c r="N4166" s="1" t="str">
        <f t="shared" si="2731"/>
        <v>0</v>
      </c>
      <c r="O4166" s="1" t="str">
        <f>"13.91"</f>
        <v>13.91</v>
      </c>
    </row>
    <row r="4167" s="1" customFormat="1" spans="1:15">
      <c r="A4167" s="1" t="str">
        <f t="shared" si="2735"/>
        <v>202406</v>
      </c>
      <c r="B4167" s="1" t="str">
        <f t="shared" si="2736"/>
        <v>150525100</v>
      </c>
      <c r="C4167" s="1" t="str">
        <f>"1042785378"</f>
        <v>1042785378</v>
      </c>
      <c r="D4167" s="1" t="str">
        <f>"152326196210130674"</f>
        <v>152326196210130674</v>
      </c>
      <c r="E4167" s="1" t="s">
        <v>4186</v>
      </c>
      <c r="F4167" s="1" t="s">
        <v>25</v>
      </c>
      <c r="G4167" s="1" t="s">
        <v>17</v>
      </c>
      <c r="H4167" s="1" t="str">
        <f t="shared" si="2737"/>
        <v>62</v>
      </c>
      <c r="I4167" s="1" t="str">
        <f>"160.93"</f>
        <v>160.93</v>
      </c>
      <c r="J4167" s="1" t="str">
        <f t="shared" si="2734"/>
        <v>0</v>
      </c>
      <c r="K4167" s="1" t="str">
        <f t="shared" si="2726"/>
        <v>103</v>
      </c>
      <c r="L4167" s="1" t="str">
        <f t="shared" si="2727"/>
        <v>47</v>
      </c>
      <c r="M4167" s="1" t="str">
        <f t="shared" si="2728"/>
        <v>0</v>
      </c>
      <c r="N4167" s="1" t="str">
        <f t="shared" si="2731"/>
        <v>0</v>
      </c>
      <c r="O4167" s="1" t="str">
        <f>"10.93"</f>
        <v>10.93</v>
      </c>
    </row>
    <row r="4168" s="1" customFormat="1" spans="1:15">
      <c r="A4168" s="1" t="str">
        <f t="shared" si="2735"/>
        <v>202406</v>
      </c>
      <c r="B4168" s="1" t="str">
        <f t="shared" si="2736"/>
        <v>150525100</v>
      </c>
      <c r="C4168" s="1" t="str">
        <f>"1043061113"</f>
        <v>1043061113</v>
      </c>
      <c r="D4168" s="1" t="str">
        <f>"152326196208233842"</f>
        <v>152326196208233842</v>
      </c>
      <c r="E4168" s="1" t="s">
        <v>416</v>
      </c>
      <c r="F4168" s="1" t="s">
        <v>16</v>
      </c>
      <c r="G4168" s="1" t="s">
        <v>17</v>
      </c>
      <c r="H4168" s="1" t="str">
        <f t="shared" si="2737"/>
        <v>62</v>
      </c>
      <c r="I4168" s="1" t="str">
        <f>"166"</f>
        <v>166</v>
      </c>
      <c r="J4168" s="1" t="str">
        <f t="shared" si="2734"/>
        <v>0</v>
      </c>
      <c r="K4168" s="1" t="str">
        <f t="shared" si="2726"/>
        <v>103</v>
      </c>
      <c r="L4168" s="1" t="str">
        <f t="shared" si="2727"/>
        <v>47</v>
      </c>
      <c r="M4168" s="1" t="str">
        <f t="shared" si="2728"/>
        <v>0</v>
      </c>
      <c r="N4168" s="1" t="str">
        <f t="shared" si="2731"/>
        <v>0</v>
      </c>
      <c r="O4168" s="1" t="str">
        <f>"16"</f>
        <v>16</v>
      </c>
    </row>
    <row r="4169" s="1" customFormat="1" spans="1:15">
      <c r="A4169" s="1" t="str">
        <f t="shared" si="2735"/>
        <v>202406</v>
      </c>
      <c r="B4169" s="1" t="str">
        <f t="shared" si="2736"/>
        <v>150525100</v>
      </c>
      <c r="C4169" s="1" t="str">
        <f>"1042708659"</f>
        <v>1042708659</v>
      </c>
      <c r="D4169" s="1" t="str">
        <f>"152326196209040428"</f>
        <v>152326196209040428</v>
      </c>
      <c r="E4169" s="1" t="s">
        <v>4187</v>
      </c>
      <c r="F4169" s="1" t="s">
        <v>16</v>
      </c>
      <c r="G4169" s="1" t="s">
        <v>17</v>
      </c>
      <c r="H4169" s="1" t="str">
        <f t="shared" si="2737"/>
        <v>62</v>
      </c>
      <c r="I4169" s="1" t="str">
        <f>"160.86"</f>
        <v>160.86</v>
      </c>
      <c r="J4169" s="1" t="str">
        <f t="shared" si="2734"/>
        <v>0</v>
      </c>
      <c r="K4169" s="1" t="str">
        <f t="shared" si="2726"/>
        <v>103</v>
      </c>
      <c r="L4169" s="1" t="str">
        <f t="shared" si="2727"/>
        <v>47</v>
      </c>
      <c r="M4169" s="1" t="str">
        <f t="shared" si="2728"/>
        <v>0</v>
      </c>
      <c r="N4169" s="1" t="str">
        <f t="shared" si="2731"/>
        <v>0</v>
      </c>
      <c r="O4169" s="1" t="str">
        <f>"10.86"</f>
        <v>10.86</v>
      </c>
    </row>
    <row r="4170" s="1" customFormat="1" spans="1:15">
      <c r="A4170" s="1" t="str">
        <f t="shared" si="2735"/>
        <v>202406</v>
      </c>
      <c r="B4170" s="1" t="str">
        <f t="shared" si="2736"/>
        <v>150525100</v>
      </c>
      <c r="C4170" s="1" t="str">
        <f>"1042750923"</f>
        <v>1042750923</v>
      </c>
      <c r="D4170" s="1" t="str">
        <f>"152326196312253368"</f>
        <v>152326196312253368</v>
      </c>
      <c r="E4170" s="1" t="s">
        <v>4188</v>
      </c>
      <c r="F4170" s="1" t="s">
        <v>16</v>
      </c>
      <c r="G4170" s="1" t="s">
        <v>17</v>
      </c>
      <c r="H4170" s="1" t="str">
        <f t="shared" si="2738"/>
        <v>61</v>
      </c>
      <c r="I4170" s="1" t="str">
        <f>"168.99"</f>
        <v>168.99</v>
      </c>
      <c r="J4170" s="1" t="str">
        <f t="shared" si="2734"/>
        <v>0</v>
      </c>
      <c r="K4170" s="1" t="str">
        <f t="shared" si="2726"/>
        <v>103</v>
      </c>
      <c r="L4170" s="1" t="str">
        <f t="shared" si="2727"/>
        <v>47</v>
      </c>
      <c r="M4170" s="1" t="str">
        <f t="shared" si="2728"/>
        <v>0</v>
      </c>
      <c r="N4170" s="1" t="str">
        <f t="shared" si="2731"/>
        <v>0</v>
      </c>
      <c r="O4170" s="1" t="str">
        <f>"18.99"</f>
        <v>18.99</v>
      </c>
    </row>
    <row r="4171" s="1" customFormat="1" spans="1:15">
      <c r="A4171" s="1" t="str">
        <f t="shared" si="2735"/>
        <v>202406</v>
      </c>
      <c r="B4171" s="1" t="str">
        <f t="shared" si="2736"/>
        <v>150525100</v>
      </c>
      <c r="C4171" s="1" t="str">
        <f>"1042709076"</f>
        <v>1042709076</v>
      </c>
      <c r="D4171" s="1" t="str">
        <f>"152326196301193849"</f>
        <v>152326196301193849</v>
      </c>
      <c r="E4171" s="1" t="s">
        <v>1249</v>
      </c>
      <c r="F4171" s="1" t="s">
        <v>16</v>
      </c>
      <c r="G4171" s="1" t="s">
        <v>17</v>
      </c>
      <c r="H4171" s="1" t="str">
        <f t="shared" si="2738"/>
        <v>61</v>
      </c>
      <c r="I4171" s="1" t="str">
        <f>"169.7"</f>
        <v>169.7</v>
      </c>
      <c r="J4171" s="1" t="str">
        <f t="shared" si="2734"/>
        <v>0</v>
      </c>
      <c r="K4171" s="1" t="str">
        <f t="shared" si="2726"/>
        <v>103</v>
      </c>
      <c r="L4171" s="1" t="str">
        <f t="shared" si="2727"/>
        <v>47</v>
      </c>
      <c r="M4171" s="1" t="str">
        <f t="shared" si="2728"/>
        <v>0</v>
      </c>
      <c r="N4171" s="1" t="str">
        <f t="shared" si="2731"/>
        <v>0</v>
      </c>
      <c r="O4171" s="1" t="str">
        <f>"19.7"</f>
        <v>19.7</v>
      </c>
    </row>
    <row r="4172" s="1" customFormat="1" spans="1:15">
      <c r="A4172" s="1" t="str">
        <f t="shared" si="2735"/>
        <v>202406</v>
      </c>
      <c r="B4172" s="1" t="str">
        <f t="shared" si="2736"/>
        <v>150525100</v>
      </c>
      <c r="C4172" s="1" t="str">
        <f>"1042709085"</f>
        <v>1042709085</v>
      </c>
      <c r="D4172" s="1" t="str">
        <f>"152326196304150924"</f>
        <v>152326196304150924</v>
      </c>
      <c r="E4172" s="1" t="s">
        <v>4189</v>
      </c>
      <c r="F4172" s="1" t="s">
        <v>16</v>
      </c>
      <c r="G4172" s="1" t="s">
        <v>17</v>
      </c>
      <c r="H4172" s="1" t="str">
        <f t="shared" si="2738"/>
        <v>61</v>
      </c>
      <c r="I4172" s="1" t="str">
        <f>"162.39"</f>
        <v>162.39</v>
      </c>
      <c r="J4172" s="1" t="str">
        <f t="shared" si="2734"/>
        <v>0</v>
      </c>
      <c r="K4172" s="1" t="str">
        <f t="shared" si="2726"/>
        <v>103</v>
      </c>
      <c r="L4172" s="1" t="str">
        <f t="shared" si="2727"/>
        <v>47</v>
      </c>
      <c r="M4172" s="1" t="str">
        <f t="shared" si="2728"/>
        <v>0</v>
      </c>
      <c r="N4172" s="1" t="str">
        <f t="shared" si="2731"/>
        <v>0</v>
      </c>
      <c r="O4172" s="1" t="str">
        <f>"12.39"</f>
        <v>12.39</v>
      </c>
    </row>
    <row r="4173" s="1" customFormat="1" spans="1:15">
      <c r="A4173" s="1" t="str">
        <f t="shared" si="2735"/>
        <v>202406</v>
      </c>
      <c r="B4173" s="1" t="str">
        <f t="shared" si="2736"/>
        <v>150525100</v>
      </c>
      <c r="C4173" s="1" t="str">
        <f>"1042751806"</f>
        <v>1042751806</v>
      </c>
      <c r="D4173" s="1" t="str">
        <f>"152326196211233827"</f>
        <v>152326196211233827</v>
      </c>
      <c r="E4173" s="1" t="s">
        <v>4190</v>
      </c>
      <c r="F4173" s="1" t="s">
        <v>16</v>
      </c>
      <c r="G4173" s="1" t="s">
        <v>19</v>
      </c>
      <c r="H4173" s="1" t="str">
        <f>"62"</f>
        <v>62</v>
      </c>
      <c r="I4173" s="1" t="str">
        <f>"160.62"</f>
        <v>160.62</v>
      </c>
      <c r="J4173" s="1" t="str">
        <f t="shared" si="2734"/>
        <v>0</v>
      </c>
      <c r="K4173" s="1" t="str">
        <f t="shared" si="2726"/>
        <v>103</v>
      </c>
      <c r="L4173" s="1" t="str">
        <f t="shared" si="2727"/>
        <v>47</v>
      </c>
      <c r="M4173" s="1" t="str">
        <f t="shared" si="2728"/>
        <v>0</v>
      </c>
      <c r="N4173" s="1" t="str">
        <f t="shared" si="2731"/>
        <v>0</v>
      </c>
      <c r="O4173" s="1" t="str">
        <f>"10.62"</f>
        <v>10.62</v>
      </c>
    </row>
    <row r="4174" s="1" customFormat="1" spans="1:15">
      <c r="A4174" s="1" t="str">
        <f t="shared" si="2735"/>
        <v>202406</v>
      </c>
      <c r="B4174" s="1" t="str">
        <f t="shared" si="2736"/>
        <v>150525100</v>
      </c>
      <c r="C4174" s="1" t="str">
        <f>"1043081593"</f>
        <v>1043081593</v>
      </c>
      <c r="D4174" s="1" t="str">
        <f>"152326196112120667"</f>
        <v>152326196112120667</v>
      </c>
      <c r="E4174" s="1" t="s">
        <v>4191</v>
      </c>
      <c r="F4174" s="1" t="s">
        <v>16</v>
      </c>
      <c r="G4174" s="1" t="s">
        <v>19</v>
      </c>
      <c r="H4174" s="1" t="str">
        <f>"63"</f>
        <v>63</v>
      </c>
      <c r="I4174" s="1" t="str">
        <f>"158.65"</f>
        <v>158.65</v>
      </c>
      <c r="J4174" s="1" t="str">
        <f t="shared" si="2734"/>
        <v>0</v>
      </c>
      <c r="K4174" s="1" t="str">
        <f t="shared" si="2726"/>
        <v>103</v>
      </c>
      <c r="L4174" s="1" t="str">
        <f t="shared" si="2727"/>
        <v>47</v>
      </c>
      <c r="M4174" s="1" t="str">
        <f t="shared" si="2728"/>
        <v>0</v>
      </c>
      <c r="N4174" s="1" t="str">
        <f t="shared" si="2731"/>
        <v>0</v>
      </c>
      <c r="O4174" s="1" t="str">
        <f>"8.65"</f>
        <v>8.65</v>
      </c>
    </row>
    <row r="4175" s="1" customFormat="1" spans="1:15">
      <c r="A4175" s="1" t="str">
        <f t="shared" si="2735"/>
        <v>202406</v>
      </c>
      <c r="B4175" s="1" t="str">
        <f t="shared" si="2736"/>
        <v>150525100</v>
      </c>
      <c r="C4175" s="1" t="str">
        <f>"1042794982"</f>
        <v>1042794982</v>
      </c>
      <c r="D4175" s="1" t="str">
        <f>"152326196309190415"</f>
        <v>152326196309190415</v>
      </c>
      <c r="E4175" s="1" t="s">
        <v>4192</v>
      </c>
      <c r="F4175" s="1" t="s">
        <v>25</v>
      </c>
      <c r="G4175" s="1" t="s">
        <v>17</v>
      </c>
      <c r="H4175" s="1" t="str">
        <f t="shared" ref="H4175:H4179" si="2739">"61"</f>
        <v>61</v>
      </c>
      <c r="I4175" s="1" t="str">
        <f>"162.45"</f>
        <v>162.45</v>
      </c>
      <c r="J4175" s="1" t="str">
        <f t="shared" si="2734"/>
        <v>0</v>
      </c>
      <c r="K4175" s="1" t="str">
        <f t="shared" si="2726"/>
        <v>103</v>
      </c>
      <c r="L4175" s="1" t="str">
        <f t="shared" si="2727"/>
        <v>47</v>
      </c>
      <c r="M4175" s="1" t="str">
        <f t="shared" si="2728"/>
        <v>0</v>
      </c>
      <c r="N4175" s="1" t="str">
        <f t="shared" si="2731"/>
        <v>0</v>
      </c>
      <c r="O4175" s="1" t="str">
        <f>"12.45"</f>
        <v>12.45</v>
      </c>
    </row>
    <row r="4176" s="1" customFormat="1" spans="1:15">
      <c r="A4176" s="1" t="str">
        <f t="shared" si="2735"/>
        <v>202406</v>
      </c>
      <c r="B4176" s="1" t="str">
        <f t="shared" si="2736"/>
        <v>150525100</v>
      </c>
      <c r="C4176" s="1" t="str">
        <f>"1042796216"</f>
        <v>1042796216</v>
      </c>
      <c r="D4176" s="1" t="str">
        <f>"152326196309063328"</f>
        <v>152326196309063328</v>
      </c>
      <c r="E4176" s="1" t="s">
        <v>4193</v>
      </c>
      <c r="F4176" s="1" t="s">
        <v>16</v>
      </c>
      <c r="G4176" s="1" t="s">
        <v>19</v>
      </c>
      <c r="H4176" s="1" t="str">
        <f t="shared" si="2739"/>
        <v>61</v>
      </c>
      <c r="I4176" s="1" t="str">
        <f>"162.45"</f>
        <v>162.45</v>
      </c>
      <c r="J4176" s="1" t="str">
        <f t="shared" si="2734"/>
        <v>0</v>
      </c>
      <c r="K4176" s="1" t="str">
        <f t="shared" si="2726"/>
        <v>103</v>
      </c>
      <c r="L4176" s="1" t="str">
        <f t="shared" si="2727"/>
        <v>47</v>
      </c>
      <c r="M4176" s="1" t="str">
        <f t="shared" si="2728"/>
        <v>0</v>
      </c>
      <c r="N4176" s="1" t="str">
        <f t="shared" si="2731"/>
        <v>0</v>
      </c>
      <c r="O4176" s="1" t="str">
        <f>"12.45"</f>
        <v>12.45</v>
      </c>
    </row>
    <row r="4177" s="1" customFormat="1" spans="1:15">
      <c r="A4177" s="1" t="str">
        <f t="shared" si="2735"/>
        <v>202406</v>
      </c>
      <c r="B4177" s="1" t="str">
        <f t="shared" si="2736"/>
        <v>150525100</v>
      </c>
      <c r="C4177" s="1" t="str">
        <f>"1042727892"</f>
        <v>1042727892</v>
      </c>
      <c r="D4177" s="1" t="str">
        <f>"152326196303023077"</f>
        <v>152326196303023077</v>
      </c>
      <c r="E4177" s="1" t="s">
        <v>4194</v>
      </c>
      <c r="F4177" s="1" t="s">
        <v>25</v>
      </c>
      <c r="G4177" s="1" t="s">
        <v>17</v>
      </c>
      <c r="H4177" s="1" t="str">
        <f t="shared" si="2739"/>
        <v>61</v>
      </c>
      <c r="I4177" s="1" t="str">
        <f>"429.59"</f>
        <v>429.59</v>
      </c>
      <c r="J4177" s="1" t="str">
        <f t="shared" si="2734"/>
        <v>0</v>
      </c>
      <c r="K4177" s="1" t="str">
        <f t="shared" si="2726"/>
        <v>103</v>
      </c>
      <c r="L4177" s="1" t="str">
        <f t="shared" si="2727"/>
        <v>47</v>
      </c>
      <c r="M4177" s="1" t="str">
        <f t="shared" si="2728"/>
        <v>0</v>
      </c>
      <c r="N4177" s="1" t="str">
        <f t="shared" si="2731"/>
        <v>0</v>
      </c>
      <c r="O4177" s="1" t="str">
        <f>"279.59"</f>
        <v>279.59</v>
      </c>
    </row>
    <row r="4178" s="1" customFormat="1" spans="1:15">
      <c r="A4178" s="1" t="str">
        <f t="shared" si="2735"/>
        <v>202406</v>
      </c>
      <c r="B4178" s="1" t="str">
        <f t="shared" si="2736"/>
        <v>150525100</v>
      </c>
      <c r="C4178" s="1" t="str">
        <f>"1042753028"</f>
        <v>1042753028</v>
      </c>
      <c r="D4178" s="1" t="str">
        <f>"150525196401054822"</f>
        <v>150525196401054822</v>
      </c>
      <c r="E4178" s="1" t="s">
        <v>4195</v>
      </c>
      <c r="F4178" s="1" t="s">
        <v>16</v>
      </c>
      <c r="G4178" s="1" t="s">
        <v>17</v>
      </c>
      <c r="H4178" s="1" t="str">
        <f t="shared" si="2739"/>
        <v>61</v>
      </c>
      <c r="I4178" s="1" t="str">
        <f>"170.56"</f>
        <v>170.56</v>
      </c>
      <c r="J4178" s="1" t="str">
        <f t="shared" si="2734"/>
        <v>0</v>
      </c>
      <c r="K4178" s="1" t="str">
        <f t="shared" si="2726"/>
        <v>103</v>
      </c>
      <c r="L4178" s="1" t="str">
        <f t="shared" si="2727"/>
        <v>47</v>
      </c>
      <c r="M4178" s="1" t="str">
        <f t="shared" si="2728"/>
        <v>0</v>
      </c>
      <c r="N4178" s="1" t="str">
        <f t="shared" si="2731"/>
        <v>0</v>
      </c>
      <c r="O4178" s="1" t="str">
        <f>"20.56"</f>
        <v>20.56</v>
      </c>
    </row>
    <row r="4179" s="1" customFormat="1" spans="1:15">
      <c r="A4179" s="1" t="str">
        <f t="shared" si="2735"/>
        <v>202406</v>
      </c>
      <c r="B4179" s="1" t="str">
        <f t="shared" si="2736"/>
        <v>150525100</v>
      </c>
      <c r="C4179" s="1" t="str">
        <f>"1042753337"</f>
        <v>1042753337</v>
      </c>
      <c r="D4179" s="1" t="str">
        <f>"152326196307223316"</f>
        <v>152326196307223316</v>
      </c>
      <c r="E4179" s="1" t="s">
        <v>4196</v>
      </c>
      <c r="F4179" s="1" t="s">
        <v>25</v>
      </c>
      <c r="G4179" s="1" t="s">
        <v>17</v>
      </c>
      <c r="H4179" s="1" t="str">
        <f t="shared" si="2739"/>
        <v>61</v>
      </c>
      <c r="I4179" s="1" t="str">
        <f>"168.88"</f>
        <v>168.88</v>
      </c>
      <c r="J4179" s="1" t="str">
        <f t="shared" si="2734"/>
        <v>0</v>
      </c>
      <c r="K4179" s="1" t="str">
        <f t="shared" si="2726"/>
        <v>103</v>
      </c>
      <c r="L4179" s="1" t="str">
        <f t="shared" si="2727"/>
        <v>47</v>
      </c>
      <c r="M4179" s="1" t="str">
        <f t="shared" si="2728"/>
        <v>0</v>
      </c>
      <c r="N4179" s="1" t="str">
        <f t="shared" si="2731"/>
        <v>0</v>
      </c>
      <c r="O4179" s="1" t="str">
        <f>"18.88"</f>
        <v>18.88</v>
      </c>
    </row>
    <row r="4180" s="1" customFormat="1" spans="1:15">
      <c r="A4180" s="1" t="str">
        <f t="shared" si="2735"/>
        <v>202406</v>
      </c>
      <c r="B4180" s="1" t="str">
        <f t="shared" si="2736"/>
        <v>150525100</v>
      </c>
      <c r="C4180" s="1" t="str">
        <f>"1042748509"</f>
        <v>1042748509</v>
      </c>
      <c r="D4180" s="1" t="str">
        <f>"152326196205053811"</f>
        <v>152326196205053811</v>
      </c>
      <c r="E4180" s="1" t="s">
        <v>4197</v>
      </c>
      <c r="F4180" s="1" t="s">
        <v>25</v>
      </c>
      <c r="G4180" s="1" t="s">
        <v>19</v>
      </c>
      <c r="H4180" s="1" t="str">
        <f t="shared" ref="H4180:H4183" si="2740">"62"</f>
        <v>62</v>
      </c>
      <c r="I4180" s="1" t="str">
        <f>"160.79"</f>
        <v>160.79</v>
      </c>
      <c r="J4180" s="1" t="str">
        <f t="shared" si="2734"/>
        <v>0</v>
      </c>
      <c r="K4180" s="1" t="str">
        <f t="shared" si="2726"/>
        <v>103</v>
      </c>
      <c r="L4180" s="1" t="str">
        <f t="shared" si="2727"/>
        <v>47</v>
      </c>
      <c r="M4180" s="1" t="str">
        <f t="shared" si="2728"/>
        <v>0</v>
      </c>
      <c r="N4180" s="1" t="str">
        <f t="shared" si="2731"/>
        <v>0</v>
      </c>
      <c r="O4180" s="1" t="str">
        <f>"10.79"</f>
        <v>10.79</v>
      </c>
    </row>
    <row r="4181" s="1" customFormat="1" spans="1:15">
      <c r="A4181" s="1" t="str">
        <f t="shared" si="2735"/>
        <v>202406</v>
      </c>
      <c r="B4181" s="1" t="str">
        <f t="shared" si="2736"/>
        <v>150525100</v>
      </c>
      <c r="C4181" s="1" t="str">
        <f>"1042748546"</f>
        <v>1042748546</v>
      </c>
      <c r="D4181" s="1" t="s">
        <v>4198</v>
      </c>
      <c r="E4181" s="1" t="s">
        <v>4199</v>
      </c>
      <c r="F4181" s="1" t="s">
        <v>16</v>
      </c>
      <c r="G4181" s="1" t="s">
        <v>19</v>
      </c>
      <c r="H4181" s="1" t="str">
        <f t="shared" ref="H4181:H4187" si="2741">"61"</f>
        <v>61</v>
      </c>
      <c r="I4181" s="1" t="str">
        <f>"162.34"</f>
        <v>162.34</v>
      </c>
      <c r="J4181" s="1" t="str">
        <f t="shared" si="2734"/>
        <v>0</v>
      </c>
      <c r="K4181" s="1" t="str">
        <f t="shared" si="2726"/>
        <v>103</v>
      </c>
      <c r="L4181" s="1" t="str">
        <f t="shared" si="2727"/>
        <v>47</v>
      </c>
      <c r="M4181" s="1" t="str">
        <f t="shared" si="2728"/>
        <v>0</v>
      </c>
      <c r="N4181" s="1" t="str">
        <f t="shared" si="2731"/>
        <v>0</v>
      </c>
      <c r="O4181" s="1" t="str">
        <f>"12.34"</f>
        <v>12.34</v>
      </c>
    </row>
    <row r="4182" s="1" customFormat="1" spans="1:15">
      <c r="A4182" s="1" t="str">
        <f t="shared" si="2735"/>
        <v>202406</v>
      </c>
      <c r="B4182" s="1" t="str">
        <f t="shared" si="2736"/>
        <v>150525100</v>
      </c>
      <c r="C4182" s="1" t="str">
        <f>"1041796603"</f>
        <v>1041796603</v>
      </c>
      <c r="D4182" s="1" t="str">
        <f>"152326196207170464"</f>
        <v>152326196207170464</v>
      </c>
      <c r="E4182" s="1" t="s">
        <v>4200</v>
      </c>
      <c r="F4182" s="1" t="s">
        <v>16</v>
      </c>
      <c r="G4182" s="1" t="s">
        <v>17</v>
      </c>
      <c r="H4182" s="1" t="str">
        <f t="shared" si="2740"/>
        <v>62</v>
      </c>
      <c r="I4182" s="1" t="str">
        <f>"160.49"</f>
        <v>160.49</v>
      </c>
      <c r="J4182" s="1" t="str">
        <f t="shared" si="2734"/>
        <v>0</v>
      </c>
      <c r="K4182" s="1" t="str">
        <f t="shared" si="2726"/>
        <v>103</v>
      </c>
      <c r="L4182" s="1" t="str">
        <f t="shared" si="2727"/>
        <v>47</v>
      </c>
      <c r="M4182" s="1" t="str">
        <f t="shared" si="2728"/>
        <v>0</v>
      </c>
      <c r="N4182" s="1" t="str">
        <f t="shared" si="2731"/>
        <v>0</v>
      </c>
      <c r="O4182" s="1" t="str">
        <f>"10.49"</f>
        <v>10.49</v>
      </c>
    </row>
    <row r="4183" s="1" customFormat="1" spans="1:15">
      <c r="A4183" s="1" t="str">
        <f t="shared" si="2735"/>
        <v>202406</v>
      </c>
      <c r="B4183" s="1" t="str">
        <f t="shared" si="2736"/>
        <v>150525100</v>
      </c>
      <c r="C4183" s="1" t="str">
        <f>"1042700534"</f>
        <v>1042700534</v>
      </c>
      <c r="D4183" s="1" t="str">
        <f>"152326196206290923"</f>
        <v>152326196206290923</v>
      </c>
      <c r="E4183" s="1" t="s">
        <v>4201</v>
      </c>
      <c r="F4183" s="1" t="s">
        <v>16</v>
      </c>
      <c r="G4183" s="1" t="s">
        <v>17</v>
      </c>
      <c r="H4183" s="1" t="str">
        <f t="shared" si="2740"/>
        <v>62</v>
      </c>
      <c r="I4183" s="1" t="str">
        <f>"160.48"</f>
        <v>160.48</v>
      </c>
      <c r="J4183" s="1" t="str">
        <f t="shared" si="2734"/>
        <v>0</v>
      </c>
      <c r="K4183" s="1" t="str">
        <f t="shared" si="2726"/>
        <v>103</v>
      </c>
      <c r="L4183" s="1" t="str">
        <f t="shared" si="2727"/>
        <v>47</v>
      </c>
      <c r="M4183" s="1" t="str">
        <f t="shared" si="2728"/>
        <v>0</v>
      </c>
      <c r="N4183" s="1" t="str">
        <f t="shared" si="2731"/>
        <v>0</v>
      </c>
      <c r="O4183" s="1" t="str">
        <f>"10.48"</f>
        <v>10.48</v>
      </c>
    </row>
    <row r="4184" s="1" customFormat="1" spans="1:15">
      <c r="A4184" s="1" t="str">
        <f t="shared" si="2735"/>
        <v>202406</v>
      </c>
      <c r="B4184" s="1" t="str">
        <f t="shared" si="2736"/>
        <v>150525100</v>
      </c>
      <c r="C4184" s="1" t="str">
        <f>"1042710860"</f>
        <v>1042710860</v>
      </c>
      <c r="D4184" s="1" t="str">
        <f>"152326196307033846"</f>
        <v>152326196307033846</v>
      </c>
      <c r="E4184" s="1" t="s">
        <v>4202</v>
      </c>
      <c r="F4184" s="1" t="s">
        <v>16</v>
      </c>
      <c r="G4184" s="1" t="s">
        <v>19</v>
      </c>
      <c r="H4184" s="1" t="str">
        <f t="shared" si="2741"/>
        <v>61</v>
      </c>
      <c r="I4184" s="1" t="str">
        <f>"306.14"</f>
        <v>306.14</v>
      </c>
      <c r="J4184" s="1" t="str">
        <f t="shared" si="2734"/>
        <v>0</v>
      </c>
      <c r="K4184" s="1" t="str">
        <f t="shared" si="2726"/>
        <v>103</v>
      </c>
      <c r="L4184" s="1" t="str">
        <f t="shared" si="2727"/>
        <v>47</v>
      </c>
      <c r="M4184" s="1" t="str">
        <f t="shared" si="2728"/>
        <v>0</v>
      </c>
      <c r="N4184" s="1" t="str">
        <f t="shared" si="2731"/>
        <v>0</v>
      </c>
      <c r="O4184" s="1" t="str">
        <f>"156.14"</f>
        <v>156.14</v>
      </c>
    </row>
    <row r="4185" s="1" customFormat="1" spans="1:15">
      <c r="A4185" s="1" t="str">
        <f t="shared" si="2735"/>
        <v>202406</v>
      </c>
      <c r="B4185" s="1" t="str">
        <f t="shared" si="2736"/>
        <v>150525100</v>
      </c>
      <c r="C4185" s="1" t="str">
        <f>"1042711006"</f>
        <v>1042711006</v>
      </c>
      <c r="D4185" s="1" t="str">
        <f>"152326196310183829"</f>
        <v>152326196310183829</v>
      </c>
      <c r="E4185" s="1" t="s">
        <v>4203</v>
      </c>
      <c r="F4185" s="1" t="s">
        <v>16</v>
      </c>
      <c r="G4185" s="1" t="s">
        <v>19</v>
      </c>
      <c r="H4185" s="1" t="str">
        <f t="shared" si="2741"/>
        <v>61</v>
      </c>
      <c r="I4185" s="1" t="str">
        <f>"162.81"</f>
        <v>162.81</v>
      </c>
      <c r="J4185" s="1" t="str">
        <f t="shared" si="2734"/>
        <v>0</v>
      </c>
      <c r="K4185" s="1" t="str">
        <f t="shared" si="2726"/>
        <v>103</v>
      </c>
      <c r="L4185" s="1" t="str">
        <f t="shared" si="2727"/>
        <v>47</v>
      </c>
      <c r="M4185" s="1" t="str">
        <f t="shared" si="2728"/>
        <v>0</v>
      </c>
      <c r="N4185" s="1" t="str">
        <f t="shared" si="2731"/>
        <v>0</v>
      </c>
      <c r="O4185" s="1" t="str">
        <f>"12.81"</f>
        <v>12.81</v>
      </c>
    </row>
    <row r="4186" s="1" customFormat="1" spans="1:15">
      <c r="A4186" s="1" t="str">
        <f t="shared" si="2735"/>
        <v>202406</v>
      </c>
      <c r="B4186" s="1" t="str">
        <f t="shared" si="2736"/>
        <v>150525100</v>
      </c>
      <c r="C4186" s="1" t="str">
        <f>"1042750301"</f>
        <v>1042750301</v>
      </c>
      <c r="D4186" s="1" t="str">
        <f>"152326196312233826"</f>
        <v>152326196312233826</v>
      </c>
      <c r="E4186" s="1" t="s">
        <v>4204</v>
      </c>
      <c r="F4186" s="1" t="s">
        <v>16</v>
      </c>
      <c r="G4186" s="1" t="s">
        <v>17</v>
      </c>
      <c r="H4186" s="1" t="str">
        <f t="shared" si="2741"/>
        <v>61</v>
      </c>
      <c r="I4186" s="1" t="str">
        <f>"168.99"</f>
        <v>168.99</v>
      </c>
      <c r="J4186" s="1" t="str">
        <f t="shared" si="2734"/>
        <v>0</v>
      </c>
      <c r="K4186" s="1" t="str">
        <f t="shared" si="2726"/>
        <v>103</v>
      </c>
      <c r="L4186" s="1" t="str">
        <f t="shared" si="2727"/>
        <v>47</v>
      </c>
      <c r="M4186" s="1" t="str">
        <f t="shared" si="2728"/>
        <v>0</v>
      </c>
      <c r="N4186" s="1" t="str">
        <f t="shared" si="2731"/>
        <v>0</v>
      </c>
      <c r="O4186" s="1" t="str">
        <f>"18.99"</f>
        <v>18.99</v>
      </c>
    </row>
    <row r="4187" s="1" customFormat="1" spans="1:15">
      <c r="A4187" s="1" t="str">
        <f t="shared" si="2735"/>
        <v>202406</v>
      </c>
      <c r="B4187" s="1" t="str">
        <f t="shared" si="2736"/>
        <v>150525100</v>
      </c>
      <c r="C4187" s="1" t="str">
        <f>"1042687386"</f>
        <v>1042687386</v>
      </c>
      <c r="D4187" s="1" t="str">
        <f>"152326196309230739"</f>
        <v>152326196309230739</v>
      </c>
      <c r="E4187" s="1" t="s">
        <v>4205</v>
      </c>
      <c r="F4187" s="1" t="s">
        <v>25</v>
      </c>
      <c r="G4187" s="1" t="s">
        <v>17</v>
      </c>
      <c r="H4187" s="1" t="str">
        <f t="shared" si="2741"/>
        <v>61</v>
      </c>
      <c r="I4187" s="1" t="str">
        <f>"163.3"</f>
        <v>163.3</v>
      </c>
      <c r="J4187" s="1" t="str">
        <f t="shared" si="2734"/>
        <v>0</v>
      </c>
      <c r="K4187" s="1" t="str">
        <f t="shared" si="2726"/>
        <v>103</v>
      </c>
      <c r="L4187" s="1" t="str">
        <f t="shared" si="2727"/>
        <v>47</v>
      </c>
      <c r="M4187" s="1" t="str">
        <f t="shared" si="2728"/>
        <v>0</v>
      </c>
      <c r="N4187" s="1" t="str">
        <f t="shared" si="2731"/>
        <v>0</v>
      </c>
      <c r="O4187" s="1" t="str">
        <f>"13.3"</f>
        <v>13.3</v>
      </c>
    </row>
    <row r="4188" s="1" customFormat="1" spans="1:15">
      <c r="A4188" s="1" t="str">
        <f t="shared" si="2735"/>
        <v>202406</v>
      </c>
      <c r="B4188" s="1" t="str">
        <f t="shared" si="2736"/>
        <v>150525100</v>
      </c>
      <c r="C4188" s="1" t="str">
        <f>"1043873143"</f>
        <v>1043873143</v>
      </c>
      <c r="D4188" s="1" t="str">
        <f>"152326195210130063"</f>
        <v>152326195210130063</v>
      </c>
      <c r="E4188" s="1" t="s">
        <v>4206</v>
      </c>
      <c r="F4188" s="1" t="s">
        <v>16</v>
      </c>
      <c r="G4188" s="1" t="s">
        <v>19</v>
      </c>
      <c r="H4188" s="1" t="str">
        <f>"72"</f>
        <v>72</v>
      </c>
      <c r="I4188" s="1" t="str">
        <f>"161.44"</f>
        <v>161.44</v>
      </c>
      <c r="J4188" s="1" t="str">
        <f t="shared" si="2734"/>
        <v>0</v>
      </c>
      <c r="K4188" s="1" t="str">
        <f t="shared" si="2726"/>
        <v>103</v>
      </c>
      <c r="L4188" s="1" t="str">
        <f t="shared" si="2727"/>
        <v>47</v>
      </c>
      <c r="M4188" s="1" t="str">
        <f t="shared" si="2728"/>
        <v>0</v>
      </c>
      <c r="N4188" s="1" t="str">
        <f t="shared" si="2731"/>
        <v>0</v>
      </c>
      <c r="O4188" s="1" t="str">
        <f>"1.44"</f>
        <v>1.44</v>
      </c>
    </row>
    <row r="4189" s="1" customFormat="1" spans="1:15">
      <c r="A4189" s="1" t="str">
        <f t="shared" si="2735"/>
        <v>202406</v>
      </c>
      <c r="B4189" s="1" t="str">
        <f t="shared" si="2736"/>
        <v>150525100</v>
      </c>
      <c r="C4189" s="1" t="str">
        <f>"1043378115"</f>
        <v>1043378115</v>
      </c>
      <c r="D4189" s="1" t="s">
        <v>4207</v>
      </c>
      <c r="E4189" s="1" t="s">
        <v>4208</v>
      </c>
      <c r="F4189" s="1" t="s">
        <v>25</v>
      </c>
      <c r="G4189" s="1" t="s">
        <v>17</v>
      </c>
      <c r="H4189" s="1" t="str">
        <f>"63"</f>
        <v>63</v>
      </c>
      <c r="I4189" s="1" t="str">
        <f>"164.41"</f>
        <v>164.41</v>
      </c>
      <c r="J4189" s="1" t="str">
        <f t="shared" si="2734"/>
        <v>0</v>
      </c>
      <c r="K4189" s="1" t="str">
        <f t="shared" si="2726"/>
        <v>103</v>
      </c>
      <c r="L4189" s="1" t="str">
        <f t="shared" si="2727"/>
        <v>47</v>
      </c>
      <c r="M4189" s="1" t="str">
        <f t="shared" si="2728"/>
        <v>0</v>
      </c>
      <c r="N4189" s="1" t="str">
        <f t="shared" si="2731"/>
        <v>0</v>
      </c>
      <c r="O4189" s="1" t="str">
        <f>"14.41"</f>
        <v>14.41</v>
      </c>
    </row>
    <row r="4190" s="1" customFormat="1" spans="1:15">
      <c r="A4190" s="1" t="str">
        <f t="shared" si="2735"/>
        <v>202406</v>
      </c>
      <c r="B4190" s="1" t="str">
        <f t="shared" si="2736"/>
        <v>150525100</v>
      </c>
      <c r="C4190" s="1" t="str">
        <f>"1043264954"</f>
        <v>1043264954</v>
      </c>
      <c r="D4190" s="1" t="str">
        <f>"152326196307033088"</f>
        <v>152326196307033088</v>
      </c>
      <c r="E4190" s="1" t="s">
        <v>4209</v>
      </c>
      <c r="F4190" s="1" t="s">
        <v>16</v>
      </c>
      <c r="G4190" s="1" t="s">
        <v>19</v>
      </c>
      <c r="H4190" s="1" t="str">
        <f>"61"</f>
        <v>61</v>
      </c>
      <c r="I4190" s="1" t="str">
        <f>"167.73"</f>
        <v>167.73</v>
      </c>
      <c r="J4190" s="1" t="str">
        <f t="shared" si="2734"/>
        <v>0</v>
      </c>
      <c r="K4190" s="1" t="str">
        <f t="shared" si="2726"/>
        <v>103</v>
      </c>
      <c r="L4190" s="1" t="str">
        <f t="shared" si="2727"/>
        <v>47</v>
      </c>
      <c r="M4190" s="1" t="str">
        <f t="shared" si="2728"/>
        <v>0</v>
      </c>
      <c r="N4190" s="1" t="str">
        <f t="shared" si="2731"/>
        <v>0</v>
      </c>
      <c r="O4190" s="1" t="str">
        <f>"17.73"</f>
        <v>17.73</v>
      </c>
    </row>
    <row r="4191" s="1" customFormat="1" spans="1:15">
      <c r="A4191" s="1" t="str">
        <f t="shared" si="2735"/>
        <v>202406</v>
      </c>
      <c r="B4191" s="1" t="str">
        <f t="shared" si="2736"/>
        <v>150525100</v>
      </c>
      <c r="C4191" s="1" t="str">
        <f>"1043320998"</f>
        <v>1043320998</v>
      </c>
      <c r="D4191" s="1" t="str">
        <f>"152326196211083339"</f>
        <v>152326196211083339</v>
      </c>
      <c r="E4191" s="1" t="s">
        <v>4210</v>
      </c>
      <c r="F4191" s="1" t="s">
        <v>25</v>
      </c>
      <c r="G4191" s="1" t="s">
        <v>17</v>
      </c>
      <c r="H4191" s="1" t="str">
        <f>"62"</f>
        <v>62</v>
      </c>
      <c r="I4191" s="1" t="str">
        <f>"160.68"</f>
        <v>160.68</v>
      </c>
      <c r="J4191" s="1" t="str">
        <f t="shared" si="2734"/>
        <v>0</v>
      </c>
      <c r="K4191" s="1" t="str">
        <f t="shared" ref="K4191:K4254" si="2742">"103"</f>
        <v>103</v>
      </c>
      <c r="L4191" s="1" t="str">
        <f t="shared" ref="L4191:L4254" si="2743">"47"</f>
        <v>47</v>
      </c>
      <c r="M4191" s="1" t="str">
        <f t="shared" si="2728"/>
        <v>0</v>
      </c>
      <c r="N4191" s="1" t="str">
        <f t="shared" si="2731"/>
        <v>0</v>
      </c>
      <c r="O4191" s="1" t="str">
        <f>"10.68"</f>
        <v>10.68</v>
      </c>
    </row>
    <row r="4192" s="1" customFormat="1" spans="1:15">
      <c r="A4192" s="1" t="str">
        <f t="shared" si="2735"/>
        <v>202406</v>
      </c>
      <c r="B4192" s="1" t="str">
        <f t="shared" si="2736"/>
        <v>150525100</v>
      </c>
      <c r="C4192" s="1" t="str">
        <f>"1043315570"</f>
        <v>1043315570</v>
      </c>
      <c r="D4192" s="1" t="str">
        <f>"152326196112303818"</f>
        <v>152326196112303818</v>
      </c>
      <c r="E4192" s="1" t="s">
        <v>4211</v>
      </c>
      <c r="F4192" s="1" t="s">
        <v>25</v>
      </c>
      <c r="G4192" s="1" t="s">
        <v>19</v>
      </c>
      <c r="H4192" s="1" t="str">
        <f>"63"</f>
        <v>63</v>
      </c>
      <c r="I4192" s="1" t="str">
        <f>"164.91"</f>
        <v>164.91</v>
      </c>
      <c r="J4192" s="1" t="str">
        <f t="shared" si="2734"/>
        <v>0</v>
      </c>
      <c r="K4192" s="1" t="str">
        <f t="shared" si="2742"/>
        <v>103</v>
      </c>
      <c r="L4192" s="1" t="str">
        <f t="shared" si="2743"/>
        <v>47</v>
      </c>
      <c r="M4192" s="1" t="str">
        <f t="shared" ref="M4192:M4255" si="2744">"0"</f>
        <v>0</v>
      </c>
      <c r="N4192" s="1" t="str">
        <f t="shared" si="2731"/>
        <v>0</v>
      </c>
      <c r="O4192" s="1" t="str">
        <f>"14.91"</f>
        <v>14.91</v>
      </c>
    </row>
    <row r="4193" s="1" customFormat="1" spans="1:15">
      <c r="A4193" s="1" t="str">
        <f t="shared" si="2735"/>
        <v>202406</v>
      </c>
      <c r="B4193" s="1" t="str">
        <f t="shared" si="2736"/>
        <v>150525100</v>
      </c>
      <c r="C4193" s="1" t="str">
        <f>"1040651126"</f>
        <v>1040651126</v>
      </c>
      <c r="D4193" s="1" t="str">
        <f>"152326195406210671"</f>
        <v>152326195406210671</v>
      </c>
      <c r="E4193" s="1" t="s">
        <v>275</v>
      </c>
      <c r="F4193" s="1" t="s">
        <v>25</v>
      </c>
      <c r="G4193" s="1" t="s">
        <v>17</v>
      </c>
      <c r="H4193" s="1" t="str">
        <f t="shared" ref="H4193:H4195" si="2745">"70"</f>
        <v>70</v>
      </c>
      <c r="I4193" s="1" t="str">
        <f>"153.55"</f>
        <v>153.55</v>
      </c>
      <c r="J4193" s="1" t="str">
        <f t="shared" si="2734"/>
        <v>0</v>
      </c>
      <c r="K4193" s="1" t="str">
        <f t="shared" si="2742"/>
        <v>103</v>
      </c>
      <c r="L4193" s="1" t="str">
        <f t="shared" si="2743"/>
        <v>47</v>
      </c>
      <c r="M4193" s="1" t="str">
        <f t="shared" si="2744"/>
        <v>0</v>
      </c>
      <c r="N4193" s="1" t="str">
        <f t="shared" si="2731"/>
        <v>0</v>
      </c>
      <c r="O4193" s="1" t="str">
        <f>"3.55"</f>
        <v>3.55</v>
      </c>
    </row>
    <row r="4194" s="1" customFormat="1" spans="1:15">
      <c r="A4194" s="1" t="str">
        <f t="shared" si="2735"/>
        <v>202406</v>
      </c>
      <c r="B4194" s="1" t="str">
        <f t="shared" si="2736"/>
        <v>150525100</v>
      </c>
      <c r="C4194" s="1" t="str">
        <f>"1040651127"</f>
        <v>1040651127</v>
      </c>
      <c r="D4194" s="1" t="str">
        <f>"152326195404200664"</f>
        <v>152326195404200664</v>
      </c>
      <c r="E4194" s="1" t="s">
        <v>4212</v>
      </c>
      <c r="F4194" s="1" t="s">
        <v>16</v>
      </c>
      <c r="G4194" s="1" t="s">
        <v>19</v>
      </c>
      <c r="H4194" s="1" t="str">
        <f t="shared" si="2745"/>
        <v>70</v>
      </c>
      <c r="I4194" s="1" t="str">
        <f>"163.55"</f>
        <v>163.55</v>
      </c>
      <c r="J4194" s="1" t="str">
        <f t="shared" si="2734"/>
        <v>0</v>
      </c>
      <c r="K4194" s="1" t="str">
        <f t="shared" si="2742"/>
        <v>103</v>
      </c>
      <c r="L4194" s="1" t="str">
        <f t="shared" si="2743"/>
        <v>47</v>
      </c>
      <c r="M4194" s="1" t="str">
        <f t="shared" si="2744"/>
        <v>0</v>
      </c>
      <c r="N4194" s="1" t="str">
        <f t="shared" si="2731"/>
        <v>0</v>
      </c>
      <c r="O4194" s="1" t="str">
        <f>"3.55"</f>
        <v>3.55</v>
      </c>
    </row>
    <row r="4195" s="1" customFormat="1" spans="1:15">
      <c r="A4195" s="1" t="str">
        <f t="shared" si="2735"/>
        <v>202406</v>
      </c>
      <c r="B4195" s="1" t="str">
        <f t="shared" si="2736"/>
        <v>150525100</v>
      </c>
      <c r="C4195" s="1" t="str">
        <f>"1040642827"</f>
        <v>1040642827</v>
      </c>
      <c r="D4195" s="1" t="str">
        <f>"152326195406100923"</f>
        <v>152326195406100923</v>
      </c>
      <c r="E4195" s="1" t="s">
        <v>4213</v>
      </c>
      <c r="F4195" s="1" t="s">
        <v>16</v>
      </c>
      <c r="G4195" s="1" t="s">
        <v>19</v>
      </c>
      <c r="H4195" s="1" t="str">
        <f t="shared" si="2745"/>
        <v>70</v>
      </c>
      <c r="I4195" s="1" t="str">
        <f>"153.26"</f>
        <v>153.26</v>
      </c>
      <c r="J4195" s="1" t="str">
        <f t="shared" si="2734"/>
        <v>0</v>
      </c>
      <c r="K4195" s="1" t="str">
        <f t="shared" si="2742"/>
        <v>103</v>
      </c>
      <c r="L4195" s="1" t="str">
        <f t="shared" si="2743"/>
        <v>47</v>
      </c>
      <c r="M4195" s="1" t="str">
        <f t="shared" si="2744"/>
        <v>0</v>
      </c>
      <c r="N4195" s="1" t="str">
        <f t="shared" si="2731"/>
        <v>0</v>
      </c>
      <c r="O4195" s="1" t="str">
        <f>"3.26"</f>
        <v>3.26</v>
      </c>
    </row>
    <row r="4196" s="1" customFormat="1" spans="1:15">
      <c r="A4196" s="1" t="str">
        <f t="shared" si="2735"/>
        <v>202406</v>
      </c>
      <c r="B4196" s="1" t="str">
        <f t="shared" si="2736"/>
        <v>150525100</v>
      </c>
      <c r="C4196" s="1" t="str">
        <f>"1014561302"</f>
        <v>1014561302</v>
      </c>
      <c r="D4196" s="1" t="str">
        <f>"152326196303230412"</f>
        <v>152326196303230412</v>
      </c>
      <c r="E4196" s="1" t="s">
        <v>4214</v>
      </c>
      <c r="F4196" s="1" t="s">
        <v>25</v>
      </c>
      <c r="G4196" s="1" t="s">
        <v>17</v>
      </c>
      <c r="H4196" s="1" t="str">
        <f t="shared" ref="H4196:H4201" si="2746">"61"</f>
        <v>61</v>
      </c>
      <c r="I4196" s="1" t="str">
        <f>"164.95"</f>
        <v>164.95</v>
      </c>
      <c r="J4196" s="1" t="str">
        <f t="shared" si="2734"/>
        <v>0</v>
      </c>
      <c r="K4196" s="1" t="str">
        <f t="shared" si="2742"/>
        <v>103</v>
      </c>
      <c r="L4196" s="1" t="str">
        <f t="shared" si="2743"/>
        <v>47</v>
      </c>
      <c r="M4196" s="1" t="str">
        <f t="shared" si="2744"/>
        <v>0</v>
      </c>
      <c r="N4196" s="1" t="str">
        <f t="shared" si="2731"/>
        <v>0</v>
      </c>
      <c r="O4196" s="1" t="str">
        <f>"14.95"</f>
        <v>14.95</v>
      </c>
    </row>
    <row r="4197" s="1" customFormat="1" spans="1:15">
      <c r="A4197" s="1" t="str">
        <f t="shared" si="2735"/>
        <v>202406</v>
      </c>
      <c r="B4197" s="1" t="str">
        <f t="shared" si="2736"/>
        <v>150525100</v>
      </c>
      <c r="C4197" s="1" t="str">
        <f>"1014561308"</f>
        <v>1014561308</v>
      </c>
      <c r="D4197" s="1" t="str">
        <f>"152326196311230447"</f>
        <v>152326196311230447</v>
      </c>
      <c r="E4197" s="1" t="s">
        <v>4215</v>
      </c>
      <c r="F4197" s="1" t="s">
        <v>16</v>
      </c>
      <c r="G4197" s="1" t="s">
        <v>17</v>
      </c>
      <c r="H4197" s="1" t="str">
        <f t="shared" si="2746"/>
        <v>61</v>
      </c>
      <c r="I4197" s="1" t="str">
        <f>"211.6"</f>
        <v>211.6</v>
      </c>
      <c r="J4197" s="1" t="str">
        <f t="shared" si="2734"/>
        <v>0</v>
      </c>
      <c r="K4197" s="1" t="str">
        <f t="shared" si="2742"/>
        <v>103</v>
      </c>
      <c r="L4197" s="1" t="str">
        <f t="shared" si="2743"/>
        <v>47</v>
      </c>
      <c r="M4197" s="1" t="str">
        <f t="shared" si="2744"/>
        <v>0</v>
      </c>
      <c r="N4197" s="1" t="str">
        <f t="shared" si="2731"/>
        <v>0</v>
      </c>
      <c r="O4197" s="1" t="str">
        <f>"61.6"</f>
        <v>61.6</v>
      </c>
    </row>
    <row r="4198" s="1" customFormat="1" spans="1:15">
      <c r="A4198" s="1" t="str">
        <f t="shared" si="2735"/>
        <v>202406</v>
      </c>
      <c r="B4198" s="1" t="str">
        <f t="shared" si="2736"/>
        <v>150525100</v>
      </c>
      <c r="C4198" s="1" t="str">
        <f>"1014562555"</f>
        <v>1014562555</v>
      </c>
      <c r="D4198" s="1" t="str">
        <f>"152326195308190427"</f>
        <v>152326195308190427</v>
      </c>
      <c r="E4198" s="1" t="s">
        <v>2204</v>
      </c>
      <c r="F4198" s="1" t="s">
        <v>16</v>
      </c>
      <c r="G4198" s="1" t="s">
        <v>17</v>
      </c>
      <c r="H4198" s="1" t="str">
        <f>"71"</f>
        <v>71</v>
      </c>
      <c r="I4198" s="1" t="str">
        <f>"163.18"</f>
        <v>163.18</v>
      </c>
      <c r="J4198" s="1" t="str">
        <f t="shared" si="2734"/>
        <v>0</v>
      </c>
      <c r="K4198" s="1" t="str">
        <f t="shared" si="2742"/>
        <v>103</v>
      </c>
      <c r="L4198" s="1" t="str">
        <f t="shared" si="2743"/>
        <v>47</v>
      </c>
      <c r="M4198" s="1" t="str">
        <f t="shared" si="2744"/>
        <v>0</v>
      </c>
      <c r="N4198" s="1" t="str">
        <f t="shared" si="2731"/>
        <v>0</v>
      </c>
      <c r="O4198" s="1" t="str">
        <f>"3.18"</f>
        <v>3.18</v>
      </c>
    </row>
    <row r="4199" s="1" customFormat="1" spans="1:15">
      <c r="A4199" s="1" t="str">
        <f t="shared" si="2735"/>
        <v>202406</v>
      </c>
      <c r="B4199" s="1" t="str">
        <f t="shared" si="2736"/>
        <v>150525100</v>
      </c>
      <c r="C4199" s="1" t="str">
        <f>"1014563436"</f>
        <v>1014563436</v>
      </c>
      <c r="D4199" s="1" t="s">
        <v>4216</v>
      </c>
      <c r="E4199" s="1" t="s">
        <v>4217</v>
      </c>
      <c r="F4199" s="1" t="s">
        <v>16</v>
      </c>
      <c r="G4199" s="1" t="s">
        <v>17</v>
      </c>
      <c r="H4199" s="1" t="str">
        <f>"65"</f>
        <v>65</v>
      </c>
      <c r="I4199" s="1" t="str">
        <f>"158.13"</f>
        <v>158.13</v>
      </c>
      <c r="J4199" s="1" t="str">
        <f t="shared" si="2734"/>
        <v>0</v>
      </c>
      <c r="K4199" s="1" t="str">
        <f t="shared" si="2742"/>
        <v>103</v>
      </c>
      <c r="L4199" s="1" t="str">
        <f t="shared" si="2743"/>
        <v>47</v>
      </c>
      <c r="M4199" s="1" t="str">
        <f t="shared" si="2744"/>
        <v>0</v>
      </c>
      <c r="N4199" s="1" t="str">
        <f t="shared" ref="N4199:N4262" si="2747">"0"</f>
        <v>0</v>
      </c>
      <c r="O4199" s="1" t="str">
        <f>"8.13"</f>
        <v>8.13</v>
      </c>
    </row>
    <row r="4200" s="1" customFormat="1" spans="1:15">
      <c r="A4200" s="1" t="str">
        <f t="shared" si="2735"/>
        <v>202406</v>
      </c>
      <c r="B4200" s="1" t="str">
        <f t="shared" si="2736"/>
        <v>150525100</v>
      </c>
      <c r="C4200" s="1" t="str">
        <f>"1014563437"</f>
        <v>1014563437</v>
      </c>
      <c r="D4200" s="1" t="str">
        <f>"152326196111230426"</f>
        <v>152326196111230426</v>
      </c>
      <c r="E4200" s="1" t="s">
        <v>4218</v>
      </c>
      <c r="F4200" s="1" t="s">
        <v>16</v>
      </c>
      <c r="G4200" s="1" t="s">
        <v>17</v>
      </c>
      <c r="H4200" s="1" t="str">
        <f>"63"</f>
        <v>63</v>
      </c>
      <c r="I4200" s="1" t="str">
        <f>"160.43"</f>
        <v>160.43</v>
      </c>
      <c r="J4200" s="1" t="str">
        <f t="shared" si="2734"/>
        <v>0</v>
      </c>
      <c r="K4200" s="1" t="str">
        <f t="shared" si="2742"/>
        <v>103</v>
      </c>
      <c r="L4200" s="1" t="str">
        <f t="shared" si="2743"/>
        <v>47</v>
      </c>
      <c r="M4200" s="1" t="str">
        <f t="shared" si="2744"/>
        <v>0</v>
      </c>
      <c r="N4200" s="1" t="str">
        <f t="shared" si="2747"/>
        <v>0</v>
      </c>
      <c r="O4200" s="1" t="str">
        <f>"10.43"</f>
        <v>10.43</v>
      </c>
    </row>
    <row r="4201" s="1" customFormat="1" spans="1:15">
      <c r="A4201" s="1" t="str">
        <f t="shared" si="2735"/>
        <v>202406</v>
      </c>
      <c r="B4201" s="1" t="str">
        <f t="shared" si="2736"/>
        <v>150525100</v>
      </c>
      <c r="C4201" s="1" t="str">
        <f>"1014563442"</f>
        <v>1014563442</v>
      </c>
      <c r="D4201" s="1" t="str">
        <f>"152326196303090413"</f>
        <v>152326196303090413</v>
      </c>
      <c r="E4201" s="1" t="s">
        <v>4219</v>
      </c>
      <c r="F4201" s="1" t="s">
        <v>25</v>
      </c>
      <c r="G4201" s="1" t="s">
        <v>17</v>
      </c>
      <c r="H4201" s="1" t="str">
        <f t="shared" si="2746"/>
        <v>61</v>
      </c>
      <c r="I4201" s="1" t="str">
        <f>"164.98"</f>
        <v>164.98</v>
      </c>
      <c r="J4201" s="1" t="str">
        <f t="shared" si="2734"/>
        <v>0</v>
      </c>
      <c r="K4201" s="1" t="str">
        <f t="shared" si="2742"/>
        <v>103</v>
      </c>
      <c r="L4201" s="1" t="str">
        <f t="shared" si="2743"/>
        <v>47</v>
      </c>
      <c r="M4201" s="1" t="str">
        <f t="shared" si="2744"/>
        <v>0</v>
      </c>
      <c r="N4201" s="1" t="str">
        <f t="shared" si="2747"/>
        <v>0</v>
      </c>
      <c r="O4201" s="1" t="str">
        <f>"14.98"</f>
        <v>14.98</v>
      </c>
    </row>
    <row r="4202" s="1" customFormat="1" spans="1:15">
      <c r="A4202" s="1" t="str">
        <f t="shared" si="2735"/>
        <v>202406</v>
      </c>
      <c r="B4202" s="1" t="str">
        <f t="shared" si="2736"/>
        <v>150525100</v>
      </c>
      <c r="C4202" s="1" t="str">
        <f>"1014569857"</f>
        <v>1014569857</v>
      </c>
      <c r="D4202" s="1" t="s">
        <v>4220</v>
      </c>
      <c r="E4202" s="1" t="s">
        <v>4221</v>
      </c>
      <c r="F4202" s="1" t="s">
        <v>16</v>
      </c>
      <c r="G4202" s="1" t="s">
        <v>17</v>
      </c>
      <c r="H4202" s="1" t="str">
        <f>"65"</f>
        <v>65</v>
      </c>
      <c r="I4202" s="1" t="str">
        <f>"158.22"</f>
        <v>158.22</v>
      </c>
      <c r="J4202" s="1" t="str">
        <f t="shared" si="2734"/>
        <v>0</v>
      </c>
      <c r="K4202" s="1" t="str">
        <f t="shared" si="2742"/>
        <v>103</v>
      </c>
      <c r="L4202" s="1" t="str">
        <f t="shared" si="2743"/>
        <v>47</v>
      </c>
      <c r="M4202" s="1" t="str">
        <f t="shared" si="2744"/>
        <v>0</v>
      </c>
      <c r="N4202" s="1" t="str">
        <f t="shared" si="2747"/>
        <v>0</v>
      </c>
      <c r="O4202" s="1" t="str">
        <f>"8.22"</f>
        <v>8.22</v>
      </c>
    </row>
    <row r="4203" s="1" customFormat="1" spans="1:15">
      <c r="A4203" s="1" t="str">
        <f t="shared" si="2735"/>
        <v>202406</v>
      </c>
      <c r="B4203" s="1" t="str">
        <f t="shared" si="2736"/>
        <v>150525100</v>
      </c>
      <c r="C4203" s="1" t="str">
        <f>"1014569875"</f>
        <v>1014569875</v>
      </c>
      <c r="D4203" s="1" t="str">
        <f>"152326195311030424"</f>
        <v>152326195311030424</v>
      </c>
      <c r="E4203" s="1" t="s">
        <v>926</v>
      </c>
      <c r="F4203" s="1" t="s">
        <v>16</v>
      </c>
      <c r="G4203" s="1" t="s">
        <v>19</v>
      </c>
      <c r="H4203" s="1" t="str">
        <f>"71"</f>
        <v>71</v>
      </c>
      <c r="I4203" s="1" t="str">
        <f>"163.16"</f>
        <v>163.16</v>
      </c>
      <c r="J4203" s="1" t="str">
        <f t="shared" si="2734"/>
        <v>0</v>
      </c>
      <c r="K4203" s="1" t="str">
        <f t="shared" si="2742"/>
        <v>103</v>
      </c>
      <c r="L4203" s="1" t="str">
        <f t="shared" si="2743"/>
        <v>47</v>
      </c>
      <c r="M4203" s="1" t="str">
        <f t="shared" si="2744"/>
        <v>0</v>
      </c>
      <c r="N4203" s="1" t="str">
        <f t="shared" si="2747"/>
        <v>0</v>
      </c>
      <c r="O4203" s="1" t="str">
        <f>"3.16"</f>
        <v>3.16</v>
      </c>
    </row>
    <row r="4204" s="1" customFormat="1" spans="1:15">
      <c r="A4204" s="1" t="str">
        <f t="shared" si="2735"/>
        <v>202406</v>
      </c>
      <c r="B4204" s="1" t="str">
        <f t="shared" si="2736"/>
        <v>150525100</v>
      </c>
      <c r="C4204" s="1" t="str">
        <f>"1014569876"</f>
        <v>1014569876</v>
      </c>
      <c r="D4204" s="1" t="str">
        <f>"152326195401290422"</f>
        <v>152326195401290422</v>
      </c>
      <c r="E4204" s="1" t="s">
        <v>4222</v>
      </c>
      <c r="F4204" s="1" t="s">
        <v>16</v>
      </c>
      <c r="G4204" s="1" t="s">
        <v>19</v>
      </c>
      <c r="H4204" s="1" t="str">
        <f>"70"</f>
        <v>70</v>
      </c>
      <c r="I4204" s="1" t="str">
        <f>"164.11"</f>
        <v>164.11</v>
      </c>
      <c r="J4204" s="1" t="str">
        <f t="shared" si="2734"/>
        <v>0</v>
      </c>
      <c r="K4204" s="1" t="str">
        <f t="shared" si="2742"/>
        <v>103</v>
      </c>
      <c r="L4204" s="1" t="str">
        <f t="shared" si="2743"/>
        <v>47</v>
      </c>
      <c r="M4204" s="1" t="str">
        <f t="shared" si="2744"/>
        <v>0</v>
      </c>
      <c r="N4204" s="1" t="str">
        <f t="shared" si="2747"/>
        <v>0</v>
      </c>
      <c r="O4204" s="1" t="str">
        <f>"4.11"</f>
        <v>4.11</v>
      </c>
    </row>
    <row r="4205" s="1" customFormat="1" spans="1:15">
      <c r="A4205" s="1" t="str">
        <f t="shared" si="2735"/>
        <v>202406</v>
      </c>
      <c r="B4205" s="1" t="str">
        <f t="shared" si="2736"/>
        <v>150525100</v>
      </c>
      <c r="C4205" s="1" t="str">
        <f>"1014583776"</f>
        <v>1014583776</v>
      </c>
      <c r="D4205" s="1" t="str">
        <f>"152326195608080676"</f>
        <v>152326195608080676</v>
      </c>
      <c r="E4205" s="1" t="s">
        <v>4223</v>
      </c>
      <c r="F4205" s="1" t="s">
        <v>25</v>
      </c>
      <c r="G4205" s="1" t="s">
        <v>19</v>
      </c>
      <c r="H4205" s="1" t="str">
        <f>"68"</f>
        <v>68</v>
      </c>
      <c r="I4205" s="1" t="str">
        <f>"154.8"</f>
        <v>154.8</v>
      </c>
      <c r="J4205" s="1" t="str">
        <f t="shared" ref="J4205:J4268" si="2748">"0"</f>
        <v>0</v>
      </c>
      <c r="K4205" s="1" t="str">
        <f t="shared" si="2742"/>
        <v>103</v>
      </c>
      <c r="L4205" s="1" t="str">
        <f t="shared" si="2743"/>
        <v>47</v>
      </c>
      <c r="M4205" s="1" t="str">
        <f t="shared" si="2744"/>
        <v>0</v>
      </c>
      <c r="N4205" s="1" t="str">
        <f t="shared" si="2747"/>
        <v>0</v>
      </c>
      <c r="O4205" s="1" t="str">
        <f>"4.8"</f>
        <v>4.8</v>
      </c>
    </row>
    <row r="4206" s="1" customFormat="1" spans="1:15">
      <c r="A4206" s="1" t="str">
        <f t="shared" si="2735"/>
        <v>202406</v>
      </c>
      <c r="B4206" s="1" t="str">
        <f t="shared" si="2736"/>
        <v>150525100</v>
      </c>
      <c r="C4206" s="1" t="str">
        <f>"1014550146"</f>
        <v>1014550146</v>
      </c>
      <c r="D4206" s="1" t="str">
        <f>"152326195204270027"</f>
        <v>152326195204270027</v>
      </c>
      <c r="E4206" s="1" t="s">
        <v>4224</v>
      </c>
      <c r="F4206" s="1" t="s">
        <v>16</v>
      </c>
      <c r="G4206" s="1" t="s">
        <v>19</v>
      </c>
      <c r="H4206" s="1" t="str">
        <f>"72"</f>
        <v>72</v>
      </c>
      <c r="I4206" s="1" t="str">
        <f>"169.09"</f>
        <v>169.09</v>
      </c>
      <c r="J4206" s="1" t="str">
        <f t="shared" si="2748"/>
        <v>0</v>
      </c>
      <c r="K4206" s="1" t="str">
        <f t="shared" si="2742"/>
        <v>103</v>
      </c>
      <c r="L4206" s="1" t="str">
        <f t="shared" si="2743"/>
        <v>47</v>
      </c>
      <c r="M4206" s="1" t="str">
        <f t="shared" si="2744"/>
        <v>0</v>
      </c>
      <c r="N4206" s="1" t="str">
        <f t="shared" si="2747"/>
        <v>0</v>
      </c>
      <c r="O4206" s="1" t="str">
        <f>"9.09"</f>
        <v>9.09</v>
      </c>
    </row>
    <row r="4207" s="1" customFormat="1" spans="1:15">
      <c r="A4207" s="1" t="str">
        <f t="shared" si="2735"/>
        <v>202406</v>
      </c>
      <c r="B4207" s="1" t="str">
        <f t="shared" si="2736"/>
        <v>150525100</v>
      </c>
      <c r="C4207" s="1" t="str">
        <f>"1014550165"</f>
        <v>1014550165</v>
      </c>
      <c r="D4207" s="1" t="str">
        <f>"152326195703020671"</f>
        <v>152326195703020671</v>
      </c>
      <c r="E4207" s="1" t="s">
        <v>4225</v>
      </c>
      <c r="F4207" s="1" t="s">
        <v>25</v>
      </c>
      <c r="G4207" s="1" t="s">
        <v>17</v>
      </c>
      <c r="H4207" s="1" t="str">
        <f>"67"</f>
        <v>67</v>
      </c>
      <c r="I4207" s="1" t="str">
        <f>"156.05"</f>
        <v>156.05</v>
      </c>
      <c r="J4207" s="1" t="str">
        <f t="shared" si="2748"/>
        <v>0</v>
      </c>
      <c r="K4207" s="1" t="str">
        <f t="shared" si="2742"/>
        <v>103</v>
      </c>
      <c r="L4207" s="1" t="str">
        <f t="shared" si="2743"/>
        <v>47</v>
      </c>
      <c r="M4207" s="1" t="str">
        <f t="shared" si="2744"/>
        <v>0</v>
      </c>
      <c r="N4207" s="1" t="str">
        <f t="shared" si="2747"/>
        <v>0</v>
      </c>
      <c r="O4207" s="1" t="str">
        <f>"6.05"</f>
        <v>6.05</v>
      </c>
    </row>
    <row r="4208" s="1" customFormat="1" spans="1:15">
      <c r="A4208" s="1" t="str">
        <f t="shared" si="2735"/>
        <v>202406</v>
      </c>
      <c r="B4208" s="1" t="str">
        <f t="shared" si="2736"/>
        <v>150525100</v>
      </c>
      <c r="C4208" s="1" t="str">
        <f>"1014550169"</f>
        <v>1014550169</v>
      </c>
      <c r="D4208" s="1" t="str">
        <f>"152326195705070664"</f>
        <v>152326195705070664</v>
      </c>
      <c r="E4208" s="1" t="s">
        <v>4226</v>
      </c>
      <c r="F4208" s="1" t="s">
        <v>16</v>
      </c>
      <c r="G4208" s="1" t="s">
        <v>17</v>
      </c>
      <c r="H4208" s="1" t="str">
        <f>"67"</f>
        <v>67</v>
      </c>
      <c r="I4208" s="1" t="str">
        <f>"156.07"</f>
        <v>156.07</v>
      </c>
      <c r="J4208" s="1" t="str">
        <f t="shared" si="2748"/>
        <v>0</v>
      </c>
      <c r="K4208" s="1" t="str">
        <f t="shared" si="2742"/>
        <v>103</v>
      </c>
      <c r="L4208" s="1" t="str">
        <f t="shared" si="2743"/>
        <v>47</v>
      </c>
      <c r="M4208" s="1" t="str">
        <f t="shared" si="2744"/>
        <v>0</v>
      </c>
      <c r="N4208" s="1" t="str">
        <f t="shared" si="2747"/>
        <v>0</v>
      </c>
      <c r="O4208" s="1" t="str">
        <f>"6.07"</f>
        <v>6.07</v>
      </c>
    </row>
    <row r="4209" s="1" customFormat="1" spans="1:15">
      <c r="A4209" s="1" t="str">
        <f t="shared" si="2735"/>
        <v>202406</v>
      </c>
      <c r="B4209" s="1" t="str">
        <f t="shared" si="2736"/>
        <v>150525100</v>
      </c>
      <c r="C4209" s="1" t="str">
        <f>"1014585183"</f>
        <v>1014585183</v>
      </c>
      <c r="D4209" s="1" t="str">
        <f>"152326196107140663"</f>
        <v>152326196107140663</v>
      </c>
      <c r="E4209" s="1" t="s">
        <v>4227</v>
      </c>
      <c r="F4209" s="1" t="s">
        <v>16</v>
      </c>
      <c r="G4209" s="1" t="s">
        <v>17</v>
      </c>
      <c r="H4209" s="1" t="str">
        <f>"63"</f>
        <v>63</v>
      </c>
      <c r="I4209" s="1" t="str">
        <f>"161.07"</f>
        <v>161.07</v>
      </c>
      <c r="J4209" s="1" t="str">
        <f t="shared" si="2748"/>
        <v>0</v>
      </c>
      <c r="K4209" s="1" t="str">
        <f t="shared" si="2742"/>
        <v>103</v>
      </c>
      <c r="L4209" s="1" t="str">
        <f t="shared" si="2743"/>
        <v>47</v>
      </c>
      <c r="M4209" s="1" t="str">
        <f t="shared" si="2744"/>
        <v>0</v>
      </c>
      <c r="N4209" s="1" t="str">
        <f t="shared" si="2747"/>
        <v>0</v>
      </c>
      <c r="O4209" s="1" t="str">
        <f>"11.07"</f>
        <v>11.07</v>
      </c>
    </row>
    <row r="4210" s="1" customFormat="1" spans="1:15">
      <c r="A4210" s="1" t="str">
        <f t="shared" si="2735"/>
        <v>202406</v>
      </c>
      <c r="B4210" s="1" t="str">
        <f t="shared" si="2736"/>
        <v>150525100</v>
      </c>
      <c r="C4210" s="1" t="str">
        <f>"1014585192"</f>
        <v>1014585192</v>
      </c>
      <c r="D4210" s="1" t="str">
        <f>"152326196110020689"</f>
        <v>152326196110020689</v>
      </c>
      <c r="E4210" s="1" t="s">
        <v>4228</v>
      </c>
      <c r="F4210" s="1" t="s">
        <v>16</v>
      </c>
      <c r="G4210" s="1" t="s">
        <v>17</v>
      </c>
      <c r="H4210" s="1" t="str">
        <f>"63"</f>
        <v>63</v>
      </c>
      <c r="I4210" s="1" t="str">
        <f>"163.47"</f>
        <v>163.47</v>
      </c>
      <c r="J4210" s="1" t="str">
        <f t="shared" si="2748"/>
        <v>0</v>
      </c>
      <c r="K4210" s="1" t="str">
        <f t="shared" si="2742"/>
        <v>103</v>
      </c>
      <c r="L4210" s="1" t="str">
        <f t="shared" si="2743"/>
        <v>47</v>
      </c>
      <c r="M4210" s="1" t="str">
        <f t="shared" si="2744"/>
        <v>0</v>
      </c>
      <c r="N4210" s="1" t="str">
        <f t="shared" si="2747"/>
        <v>0</v>
      </c>
      <c r="O4210" s="1" t="str">
        <f>"13.47"</f>
        <v>13.47</v>
      </c>
    </row>
    <row r="4211" s="1" customFormat="1" spans="1:15">
      <c r="A4211" s="1" t="str">
        <f t="shared" si="2735"/>
        <v>202406</v>
      </c>
      <c r="B4211" s="1" t="str">
        <f t="shared" si="2736"/>
        <v>150525100</v>
      </c>
      <c r="C4211" s="1" t="str">
        <f>"1014585212"</f>
        <v>1014585212</v>
      </c>
      <c r="D4211" s="1" t="str">
        <f>"152326196210080435"</f>
        <v>152326196210080435</v>
      </c>
      <c r="E4211" s="1" t="s">
        <v>4229</v>
      </c>
      <c r="F4211" s="1" t="s">
        <v>25</v>
      </c>
      <c r="G4211" s="1" t="s">
        <v>17</v>
      </c>
      <c r="H4211" s="1" t="str">
        <f>"62"</f>
        <v>62</v>
      </c>
      <c r="I4211" s="1" t="str">
        <f>"163.15"</f>
        <v>163.15</v>
      </c>
      <c r="J4211" s="1" t="str">
        <f t="shared" si="2748"/>
        <v>0</v>
      </c>
      <c r="K4211" s="1" t="str">
        <f t="shared" si="2742"/>
        <v>103</v>
      </c>
      <c r="L4211" s="1" t="str">
        <f t="shared" si="2743"/>
        <v>47</v>
      </c>
      <c r="M4211" s="1" t="str">
        <f t="shared" si="2744"/>
        <v>0</v>
      </c>
      <c r="N4211" s="1" t="str">
        <f t="shared" si="2747"/>
        <v>0</v>
      </c>
      <c r="O4211" s="1" t="str">
        <f>"13.15"</f>
        <v>13.15</v>
      </c>
    </row>
    <row r="4212" s="1" customFormat="1" spans="1:15">
      <c r="A4212" s="1" t="str">
        <f t="shared" si="2735"/>
        <v>202406</v>
      </c>
      <c r="B4212" s="1" t="str">
        <f t="shared" si="2736"/>
        <v>150525100</v>
      </c>
      <c r="C4212" s="1" t="str">
        <f>"1014583787"</f>
        <v>1014583787</v>
      </c>
      <c r="D4212" s="1" t="str">
        <f>"152326195802230666"</f>
        <v>152326195802230666</v>
      </c>
      <c r="E4212" s="1" t="s">
        <v>4230</v>
      </c>
      <c r="F4212" s="1" t="s">
        <v>16</v>
      </c>
      <c r="G4212" s="1" t="s">
        <v>19</v>
      </c>
      <c r="H4212" s="1" t="str">
        <f>"66"</f>
        <v>66</v>
      </c>
      <c r="I4212" s="1" t="str">
        <f>"156.83"</f>
        <v>156.83</v>
      </c>
      <c r="J4212" s="1" t="str">
        <f t="shared" si="2748"/>
        <v>0</v>
      </c>
      <c r="K4212" s="1" t="str">
        <f t="shared" si="2742"/>
        <v>103</v>
      </c>
      <c r="L4212" s="1" t="str">
        <f t="shared" si="2743"/>
        <v>47</v>
      </c>
      <c r="M4212" s="1" t="str">
        <f t="shared" si="2744"/>
        <v>0</v>
      </c>
      <c r="N4212" s="1" t="str">
        <f t="shared" si="2747"/>
        <v>0</v>
      </c>
      <c r="O4212" s="1" t="str">
        <f>"6.83"</f>
        <v>6.83</v>
      </c>
    </row>
    <row r="4213" s="1" customFormat="1" spans="1:15">
      <c r="A4213" s="1" t="str">
        <f t="shared" si="2735"/>
        <v>202406</v>
      </c>
      <c r="B4213" s="1" t="str">
        <f t="shared" si="2736"/>
        <v>150525100</v>
      </c>
      <c r="C4213" s="1" t="str">
        <f>"1014549662"</f>
        <v>1014549662</v>
      </c>
      <c r="D4213" s="1" t="s">
        <v>4231</v>
      </c>
      <c r="E4213" s="1" t="s">
        <v>4232</v>
      </c>
      <c r="F4213" s="1" t="s">
        <v>25</v>
      </c>
      <c r="G4213" s="1" t="s">
        <v>17</v>
      </c>
      <c r="H4213" s="1" t="str">
        <f>"66"</f>
        <v>66</v>
      </c>
      <c r="I4213" s="1" t="str">
        <f>"157.13"</f>
        <v>157.13</v>
      </c>
      <c r="J4213" s="1" t="str">
        <f t="shared" si="2748"/>
        <v>0</v>
      </c>
      <c r="K4213" s="1" t="str">
        <f t="shared" si="2742"/>
        <v>103</v>
      </c>
      <c r="L4213" s="1" t="str">
        <f t="shared" si="2743"/>
        <v>47</v>
      </c>
      <c r="M4213" s="1" t="str">
        <f t="shared" si="2744"/>
        <v>0</v>
      </c>
      <c r="N4213" s="1" t="str">
        <f t="shared" si="2747"/>
        <v>0</v>
      </c>
      <c r="O4213" s="1" t="str">
        <f>"7.13"</f>
        <v>7.13</v>
      </c>
    </row>
    <row r="4214" s="1" customFormat="1" spans="1:15">
      <c r="A4214" s="1" t="str">
        <f t="shared" si="2735"/>
        <v>202406</v>
      </c>
      <c r="B4214" s="1" t="str">
        <f t="shared" si="2736"/>
        <v>150525100</v>
      </c>
      <c r="C4214" s="1" t="str">
        <f>"1014549671"</f>
        <v>1014549671</v>
      </c>
      <c r="D4214" s="1" t="s">
        <v>4233</v>
      </c>
      <c r="E4214" s="1" t="s">
        <v>4234</v>
      </c>
      <c r="F4214" s="1" t="s">
        <v>16</v>
      </c>
      <c r="G4214" s="1" t="s">
        <v>19</v>
      </c>
      <c r="H4214" s="1" t="str">
        <f>"65"</f>
        <v>65</v>
      </c>
      <c r="I4214" s="1" t="str">
        <f>"158.22"</f>
        <v>158.22</v>
      </c>
      <c r="J4214" s="1" t="str">
        <f t="shared" si="2748"/>
        <v>0</v>
      </c>
      <c r="K4214" s="1" t="str">
        <f t="shared" si="2742"/>
        <v>103</v>
      </c>
      <c r="L4214" s="1" t="str">
        <f t="shared" si="2743"/>
        <v>47</v>
      </c>
      <c r="M4214" s="1" t="str">
        <f t="shared" si="2744"/>
        <v>0</v>
      </c>
      <c r="N4214" s="1" t="str">
        <f t="shared" si="2747"/>
        <v>0</v>
      </c>
      <c r="O4214" s="1" t="str">
        <f>"8.22"</f>
        <v>8.22</v>
      </c>
    </row>
    <row r="4215" s="1" customFormat="1" spans="1:15">
      <c r="A4215" s="1" t="str">
        <f t="shared" si="2735"/>
        <v>202406</v>
      </c>
      <c r="B4215" s="1" t="str">
        <f t="shared" si="2736"/>
        <v>150525100</v>
      </c>
      <c r="C4215" s="1" t="str">
        <f>"1014550179"</f>
        <v>1014550179</v>
      </c>
      <c r="D4215" s="1" t="str">
        <f>"152326195708080673"</f>
        <v>152326195708080673</v>
      </c>
      <c r="E4215" s="1" t="s">
        <v>4235</v>
      </c>
      <c r="F4215" s="1" t="s">
        <v>25</v>
      </c>
      <c r="G4215" s="1" t="s">
        <v>19</v>
      </c>
      <c r="H4215" s="1" t="str">
        <f>"67"</f>
        <v>67</v>
      </c>
      <c r="I4215" s="1" t="str">
        <f>"156.09"</f>
        <v>156.09</v>
      </c>
      <c r="J4215" s="1" t="str">
        <f t="shared" si="2748"/>
        <v>0</v>
      </c>
      <c r="K4215" s="1" t="str">
        <f t="shared" si="2742"/>
        <v>103</v>
      </c>
      <c r="L4215" s="1" t="str">
        <f t="shared" si="2743"/>
        <v>47</v>
      </c>
      <c r="M4215" s="1" t="str">
        <f t="shared" si="2744"/>
        <v>0</v>
      </c>
      <c r="N4215" s="1" t="str">
        <f t="shared" si="2747"/>
        <v>0</v>
      </c>
      <c r="O4215" s="1" t="str">
        <f>"6.09"</f>
        <v>6.09</v>
      </c>
    </row>
    <row r="4216" s="1" customFormat="1" spans="1:15">
      <c r="A4216" s="1" t="str">
        <f t="shared" si="2735"/>
        <v>202406</v>
      </c>
      <c r="B4216" s="1" t="str">
        <f t="shared" si="2736"/>
        <v>150525100</v>
      </c>
      <c r="C4216" s="1" t="str">
        <f>"1014550193"</f>
        <v>1014550193</v>
      </c>
      <c r="D4216" s="1" t="str">
        <f>"152326195711290663"</f>
        <v>152326195711290663</v>
      </c>
      <c r="E4216" s="1" t="s">
        <v>135</v>
      </c>
      <c r="F4216" s="1" t="s">
        <v>16</v>
      </c>
      <c r="G4216" s="1" t="s">
        <v>19</v>
      </c>
      <c r="H4216" s="1" t="str">
        <f>"67"</f>
        <v>67</v>
      </c>
      <c r="I4216" s="1" t="str">
        <f>"156.11"</f>
        <v>156.11</v>
      </c>
      <c r="J4216" s="1" t="str">
        <f t="shared" si="2748"/>
        <v>0</v>
      </c>
      <c r="K4216" s="1" t="str">
        <f t="shared" si="2742"/>
        <v>103</v>
      </c>
      <c r="L4216" s="1" t="str">
        <f t="shared" si="2743"/>
        <v>47</v>
      </c>
      <c r="M4216" s="1" t="str">
        <f t="shared" si="2744"/>
        <v>0</v>
      </c>
      <c r="N4216" s="1" t="str">
        <f t="shared" si="2747"/>
        <v>0</v>
      </c>
      <c r="O4216" s="1" t="str">
        <f>"6.11"</f>
        <v>6.11</v>
      </c>
    </row>
    <row r="4217" s="1" customFormat="1" spans="1:15">
      <c r="A4217" s="1" t="str">
        <f t="shared" si="2735"/>
        <v>202406</v>
      </c>
      <c r="B4217" s="1" t="str">
        <f t="shared" si="2736"/>
        <v>150525100</v>
      </c>
      <c r="C4217" s="1" t="str">
        <f>"1014550668"</f>
        <v>1014550668</v>
      </c>
      <c r="D4217" s="1" t="str">
        <f>"152326195303110029"</f>
        <v>152326195303110029</v>
      </c>
      <c r="E4217" s="1" t="s">
        <v>4236</v>
      </c>
      <c r="F4217" s="1" t="s">
        <v>16</v>
      </c>
      <c r="G4217" s="1" t="s">
        <v>17</v>
      </c>
      <c r="H4217" s="1" t="str">
        <f>"71"</f>
        <v>71</v>
      </c>
      <c r="I4217" s="1" t="str">
        <f>"164.45"</f>
        <v>164.45</v>
      </c>
      <c r="J4217" s="1" t="str">
        <f t="shared" si="2748"/>
        <v>0</v>
      </c>
      <c r="K4217" s="1" t="str">
        <f t="shared" si="2742"/>
        <v>103</v>
      </c>
      <c r="L4217" s="1" t="str">
        <f t="shared" si="2743"/>
        <v>47</v>
      </c>
      <c r="M4217" s="1" t="str">
        <f t="shared" si="2744"/>
        <v>0</v>
      </c>
      <c r="N4217" s="1" t="str">
        <f t="shared" si="2747"/>
        <v>0</v>
      </c>
      <c r="O4217" s="1" t="str">
        <f>"4.45"</f>
        <v>4.45</v>
      </c>
    </row>
    <row r="4218" s="1" customFormat="1" spans="1:15">
      <c r="A4218" s="1" t="str">
        <f t="shared" si="2735"/>
        <v>202406</v>
      </c>
      <c r="B4218" s="1" t="str">
        <f t="shared" si="2736"/>
        <v>150525100</v>
      </c>
      <c r="C4218" s="1" t="str">
        <f>"1014548907"</f>
        <v>1014548907</v>
      </c>
      <c r="D4218" s="1" t="str">
        <f>"152326195404043320"</f>
        <v>152326195404043320</v>
      </c>
      <c r="E4218" s="1" t="s">
        <v>4237</v>
      </c>
      <c r="F4218" s="1" t="s">
        <v>16</v>
      </c>
      <c r="G4218" s="1" t="s">
        <v>19</v>
      </c>
      <c r="H4218" s="1" t="str">
        <f t="shared" ref="H4218:H4223" si="2749">"70"</f>
        <v>70</v>
      </c>
      <c r="I4218" s="1" t="str">
        <f>"164.14"</f>
        <v>164.14</v>
      </c>
      <c r="J4218" s="1" t="str">
        <f t="shared" si="2748"/>
        <v>0</v>
      </c>
      <c r="K4218" s="1" t="str">
        <f t="shared" si="2742"/>
        <v>103</v>
      </c>
      <c r="L4218" s="1" t="str">
        <f t="shared" si="2743"/>
        <v>47</v>
      </c>
      <c r="M4218" s="1" t="str">
        <f t="shared" si="2744"/>
        <v>0</v>
      </c>
      <c r="N4218" s="1" t="str">
        <f t="shared" si="2747"/>
        <v>0</v>
      </c>
      <c r="O4218" s="1" t="str">
        <f>"4.14"</f>
        <v>4.14</v>
      </c>
    </row>
    <row r="4219" s="1" customFormat="1" spans="1:15">
      <c r="A4219" s="1" t="str">
        <f t="shared" si="2735"/>
        <v>202406</v>
      </c>
      <c r="B4219" s="1" t="str">
        <f t="shared" si="2736"/>
        <v>150525100</v>
      </c>
      <c r="C4219" s="1" t="str">
        <f>"1014548909"</f>
        <v>1014548909</v>
      </c>
      <c r="D4219" s="1" t="str">
        <f>"152326196301063315"</f>
        <v>152326196301063315</v>
      </c>
      <c r="E4219" s="1" t="s">
        <v>4238</v>
      </c>
      <c r="F4219" s="1" t="s">
        <v>25</v>
      </c>
      <c r="G4219" s="1" t="s">
        <v>19</v>
      </c>
      <c r="H4219" s="1" t="str">
        <f>"62"</f>
        <v>62</v>
      </c>
      <c r="I4219" s="1" t="str">
        <f>"164.91"</f>
        <v>164.91</v>
      </c>
      <c r="J4219" s="1" t="str">
        <f t="shared" si="2748"/>
        <v>0</v>
      </c>
      <c r="K4219" s="1" t="str">
        <f t="shared" si="2742"/>
        <v>103</v>
      </c>
      <c r="L4219" s="1" t="str">
        <f t="shared" si="2743"/>
        <v>47</v>
      </c>
      <c r="M4219" s="1" t="str">
        <f t="shared" si="2744"/>
        <v>0</v>
      </c>
      <c r="N4219" s="1" t="str">
        <f t="shared" si="2747"/>
        <v>0</v>
      </c>
      <c r="O4219" s="1" t="str">
        <f>"14.91"</f>
        <v>14.91</v>
      </c>
    </row>
    <row r="4220" s="1" customFormat="1" spans="1:15">
      <c r="A4220" s="1" t="str">
        <f t="shared" si="2735"/>
        <v>202406</v>
      </c>
      <c r="B4220" s="1" t="str">
        <f t="shared" si="2736"/>
        <v>150525100</v>
      </c>
      <c r="C4220" s="1" t="str">
        <f>"1040642183"</f>
        <v>1040642183</v>
      </c>
      <c r="D4220" s="1" t="str">
        <f>"152326195812093327"</f>
        <v>152326195812093327</v>
      </c>
      <c r="E4220" s="1" t="s">
        <v>4239</v>
      </c>
      <c r="F4220" s="1" t="s">
        <v>16</v>
      </c>
      <c r="G4220" s="1" t="s">
        <v>19</v>
      </c>
      <c r="H4220" s="1" t="str">
        <f>"66"</f>
        <v>66</v>
      </c>
      <c r="I4220" s="1" t="str">
        <f>"156.57"</f>
        <v>156.57</v>
      </c>
      <c r="J4220" s="1" t="str">
        <f t="shared" si="2748"/>
        <v>0</v>
      </c>
      <c r="K4220" s="1" t="str">
        <f t="shared" si="2742"/>
        <v>103</v>
      </c>
      <c r="L4220" s="1" t="str">
        <f t="shared" si="2743"/>
        <v>47</v>
      </c>
      <c r="M4220" s="1" t="str">
        <f t="shared" si="2744"/>
        <v>0</v>
      </c>
      <c r="N4220" s="1" t="str">
        <f t="shared" si="2747"/>
        <v>0</v>
      </c>
      <c r="O4220" s="1" t="str">
        <f>"6.57"</f>
        <v>6.57</v>
      </c>
    </row>
    <row r="4221" s="1" customFormat="1" spans="1:15">
      <c r="A4221" s="1" t="str">
        <f t="shared" si="2735"/>
        <v>202406</v>
      </c>
      <c r="B4221" s="1" t="str">
        <f t="shared" si="2736"/>
        <v>150525100</v>
      </c>
      <c r="C4221" s="1" t="str">
        <f>"1040642196"</f>
        <v>1040642196</v>
      </c>
      <c r="D4221" s="1" t="str">
        <f>"152326195411213316"</f>
        <v>152326195411213316</v>
      </c>
      <c r="E4221" s="1" t="s">
        <v>4240</v>
      </c>
      <c r="F4221" s="1" t="s">
        <v>25</v>
      </c>
      <c r="G4221" s="1" t="s">
        <v>19</v>
      </c>
      <c r="H4221" s="1" t="str">
        <f t="shared" si="2749"/>
        <v>70</v>
      </c>
      <c r="I4221" s="1" t="str">
        <f>"166.27"</f>
        <v>166.27</v>
      </c>
      <c r="J4221" s="1" t="str">
        <f t="shared" si="2748"/>
        <v>0</v>
      </c>
      <c r="K4221" s="1" t="str">
        <f t="shared" si="2742"/>
        <v>103</v>
      </c>
      <c r="L4221" s="1" t="str">
        <f t="shared" si="2743"/>
        <v>47</v>
      </c>
      <c r="M4221" s="1" t="str">
        <f t="shared" si="2744"/>
        <v>0</v>
      </c>
      <c r="N4221" s="1" t="str">
        <f t="shared" si="2747"/>
        <v>0</v>
      </c>
      <c r="O4221" s="1" t="str">
        <f>"16.27"</f>
        <v>16.27</v>
      </c>
    </row>
    <row r="4222" s="1" customFormat="1" spans="1:15">
      <c r="A4222" s="1" t="str">
        <f t="shared" si="2735"/>
        <v>202406</v>
      </c>
      <c r="B4222" s="1" t="str">
        <f t="shared" si="2736"/>
        <v>150525100</v>
      </c>
      <c r="C4222" s="1" t="str">
        <f>"1040642159"</f>
        <v>1040642159</v>
      </c>
      <c r="D4222" s="1" t="str">
        <f>"152326196102123311"</f>
        <v>152326196102123311</v>
      </c>
      <c r="E4222" s="1" t="s">
        <v>4241</v>
      </c>
      <c r="F4222" s="1" t="s">
        <v>25</v>
      </c>
      <c r="G4222" s="1" t="s">
        <v>19</v>
      </c>
      <c r="H4222" s="1" t="str">
        <f>"63"</f>
        <v>63</v>
      </c>
      <c r="I4222" s="1" t="str">
        <f>"160.39"</f>
        <v>160.39</v>
      </c>
      <c r="J4222" s="1" t="str">
        <f t="shared" si="2748"/>
        <v>0</v>
      </c>
      <c r="K4222" s="1" t="str">
        <f t="shared" si="2742"/>
        <v>103</v>
      </c>
      <c r="L4222" s="1" t="str">
        <f t="shared" si="2743"/>
        <v>47</v>
      </c>
      <c r="M4222" s="1" t="str">
        <f t="shared" si="2744"/>
        <v>0</v>
      </c>
      <c r="N4222" s="1" t="str">
        <f t="shared" si="2747"/>
        <v>0</v>
      </c>
      <c r="O4222" s="1" t="str">
        <f>"10.39"</f>
        <v>10.39</v>
      </c>
    </row>
    <row r="4223" s="1" customFormat="1" spans="1:15">
      <c r="A4223" s="1" t="str">
        <f t="shared" si="2735"/>
        <v>202406</v>
      </c>
      <c r="B4223" s="1" t="str">
        <f t="shared" si="2736"/>
        <v>150525100</v>
      </c>
      <c r="C4223" s="1" t="str">
        <f>"1040642164"</f>
        <v>1040642164</v>
      </c>
      <c r="D4223" s="1" t="str">
        <f>"152326195407213313"</f>
        <v>152326195407213313</v>
      </c>
      <c r="E4223" s="1" t="s">
        <v>4242</v>
      </c>
      <c r="F4223" s="1" t="s">
        <v>25</v>
      </c>
      <c r="G4223" s="1" t="s">
        <v>19</v>
      </c>
      <c r="H4223" s="1" t="str">
        <f t="shared" si="2749"/>
        <v>70</v>
      </c>
      <c r="I4223" s="1" t="str">
        <f>"153.56"</f>
        <v>153.56</v>
      </c>
      <c r="J4223" s="1" t="str">
        <f t="shared" si="2748"/>
        <v>0</v>
      </c>
      <c r="K4223" s="1" t="str">
        <f t="shared" si="2742"/>
        <v>103</v>
      </c>
      <c r="L4223" s="1" t="str">
        <f t="shared" si="2743"/>
        <v>47</v>
      </c>
      <c r="M4223" s="1" t="str">
        <f t="shared" si="2744"/>
        <v>0</v>
      </c>
      <c r="N4223" s="1" t="str">
        <f t="shared" si="2747"/>
        <v>0</v>
      </c>
      <c r="O4223" s="1" t="str">
        <f>"3.56"</f>
        <v>3.56</v>
      </c>
    </row>
    <row r="4224" s="1" customFormat="1" spans="1:15">
      <c r="A4224" s="1" t="str">
        <f t="shared" si="2735"/>
        <v>202406</v>
      </c>
      <c r="B4224" s="1" t="str">
        <f t="shared" si="2736"/>
        <v>150525100</v>
      </c>
      <c r="C4224" s="1" t="str">
        <f>"1040642173"</f>
        <v>1040642173</v>
      </c>
      <c r="D4224" s="1" t="str">
        <f>"152326196002183317"</f>
        <v>152326196002183317</v>
      </c>
      <c r="E4224" s="1" t="s">
        <v>4243</v>
      </c>
      <c r="F4224" s="1" t="s">
        <v>25</v>
      </c>
      <c r="G4224" s="1" t="s">
        <v>19</v>
      </c>
      <c r="H4224" s="1" t="str">
        <f>"64"</f>
        <v>64</v>
      </c>
      <c r="I4224" s="1" t="str">
        <f>"158.57"</f>
        <v>158.57</v>
      </c>
      <c r="J4224" s="1" t="str">
        <f t="shared" si="2748"/>
        <v>0</v>
      </c>
      <c r="K4224" s="1" t="str">
        <f t="shared" si="2742"/>
        <v>103</v>
      </c>
      <c r="L4224" s="1" t="str">
        <f t="shared" si="2743"/>
        <v>47</v>
      </c>
      <c r="M4224" s="1" t="str">
        <f t="shared" si="2744"/>
        <v>0</v>
      </c>
      <c r="N4224" s="1" t="str">
        <f t="shared" si="2747"/>
        <v>0</v>
      </c>
      <c r="O4224" s="1" t="str">
        <f>"8.57"</f>
        <v>8.57</v>
      </c>
    </row>
    <row r="4225" s="1" customFormat="1" spans="1:15">
      <c r="A4225" s="1" t="str">
        <f t="shared" si="2735"/>
        <v>202406</v>
      </c>
      <c r="B4225" s="1" t="str">
        <f t="shared" si="2736"/>
        <v>150525100</v>
      </c>
      <c r="C4225" s="1" t="str">
        <f>"1040642250"</f>
        <v>1040642250</v>
      </c>
      <c r="D4225" s="1" t="str">
        <f>"152326195503223327"</f>
        <v>152326195503223327</v>
      </c>
      <c r="E4225" s="1" t="s">
        <v>4244</v>
      </c>
      <c r="F4225" s="1" t="s">
        <v>16</v>
      </c>
      <c r="G4225" s="1" t="s">
        <v>19</v>
      </c>
      <c r="H4225" s="1" t="str">
        <f>"69"</f>
        <v>69</v>
      </c>
      <c r="I4225" s="1" t="str">
        <f>"154.52"</f>
        <v>154.52</v>
      </c>
      <c r="J4225" s="1" t="str">
        <f t="shared" si="2748"/>
        <v>0</v>
      </c>
      <c r="K4225" s="1" t="str">
        <f t="shared" si="2742"/>
        <v>103</v>
      </c>
      <c r="L4225" s="1" t="str">
        <f t="shared" si="2743"/>
        <v>47</v>
      </c>
      <c r="M4225" s="1" t="str">
        <f t="shared" si="2744"/>
        <v>0</v>
      </c>
      <c r="N4225" s="1" t="str">
        <f t="shared" si="2747"/>
        <v>0</v>
      </c>
      <c r="O4225" s="1" t="str">
        <f>"4.52"</f>
        <v>4.52</v>
      </c>
    </row>
    <row r="4226" s="1" customFormat="1" spans="1:15">
      <c r="A4226" s="1" t="str">
        <f t="shared" ref="A4226:A4289" si="2750">"202406"</f>
        <v>202406</v>
      </c>
      <c r="B4226" s="1" t="str">
        <f t="shared" ref="B4226:B4289" si="2751">"150525100"</f>
        <v>150525100</v>
      </c>
      <c r="C4226" s="1" t="str">
        <f>"1040641611"</f>
        <v>1040641611</v>
      </c>
      <c r="D4226" s="1" t="str">
        <f>"152326195403170918"</f>
        <v>152326195403170918</v>
      </c>
      <c r="E4226" s="1" t="s">
        <v>4245</v>
      </c>
      <c r="F4226" s="1" t="s">
        <v>25</v>
      </c>
      <c r="G4226" s="1" t="s">
        <v>19</v>
      </c>
      <c r="H4226" s="1" t="str">
        <f>"70"</f>
        <v>70</v>
      </c>
      <c r="I4226" s="1" t="str">
        <f>"163.55"</f>
        <v>163.55</v>
      </c>
      <c r="J4226" s="1" t="str">
        <f t="shared" si="2748"/>
        <v>0</v>
      </c>
      <c r="K4226" s="1" t="str">
        <f t="shared" si="2742"/>
        <v>103</v>
      </c>
      <c r="L4226" s="1" t="str">
        <f t="shared" si="2743"/>
        <v>47</v>
      </c>
      <c r="M4226" s="1" t="str">
        <f t="shared" si="2744"/>
        <v>0</v>
      </c>
      <c r="N4226" s="1" t="str">
        <f t="shared" si="2747"/>
        <v>0</v>
      </c>
      <c r="O4226" s="1" t="str">
        <f>"3.55"</f>
        <v>3.55</v>
      </c>
    </row>
    <row r="4227" s="1" customFormat="1" spans="1:15">
      <c r="A4227" s="1" t="str">
        <f t="shared" si="2750"/>
        <v>202406</v>
      </c>
      <c r="B4227" s="1" t="str">
        <f t="shared" si="2751"/>
        <v>150525100</v>
      </c>
      <c r="C4227" s="1" t="str">
        <f>"1014561135"</f>
        <v>1014561135</v>
      </c>
      <c r="D4227" s="1" t="str">
        <f>"152326195412130424"</f>
        <v>152326195412130424</v>
      </c>
      <c r="E4227" s="1" t="s">
        <v>4246</v>
      </c>
      <c r="F4227" s="1" t="s">
        <v>16</v>
      </c>
      <c r="G4227" s="1" t="s">
        <v>17</v>
      </c>
      <c r="H4227" s="1" t="str">
        <f>"70"</f>
        <v>70</v>
      </c>
      <c r="I4227" s="1" t="str">
        <f>"154.14"</f>
        <v>154.14</v>
      </c>
      <c r="J4227" s="1" t="str">
        <f t="shared" si="2748"/>
        <v>0</v>
      </c>
      <c r="K4227" s="1" t="str">
        <f t="shared" si="2742"/>
        <v>103</v>
      </c>
      <c r="L4227" s="1" t="str">
        <f t="shared" si="2743"/>
        <v>47</v>
      </c>
      <c r="M4227" s="1" t="str">
        <f t="shared" si="2744"/>
        <v>0</v>
      </c>
      <c r="N4227" s="1" t="str">
        <f t="shared" si="2747"/>
        <v>0</v>
      </c>
      <c r="O4227" s="1" t="str">
        <f>"4.14"</f>
        <v>4.14</v>
      </c>
    </row>
    <row r="4228" s="1" customFormat="1" spans="1:15">
      <c r="A4228" s="1" t="str">
        <f t="shared" si="2750"/>
        <v>202406</v>
      </c>
      <c r="B4228" s="1" t="str">
        <f t="shared" si="2751"/>
        <v>150525100</v>
      </c>
      <c r="C4228" s="1" t="str">
        <f>"1014562611"</f>
        <v>1014562611</v>
      </c>
      <c r="D4228" s="1" t="str">
        <f>"152326195904050420"</f>
        <v>152326195904050420</v>
      </c>
      <c r="E4228" s="1" t="s">
        <v>4247</v>
      </c>
      <c r="F4228" s="1" t="s">
        <v>16</v>
      </c>
      <c r="G4228" s="1" t="s">
        <v>19</v>
      </c>
      <c r="H4228" s="1" t="str">
        <f>"65"</f>
        <v>65</v>
      </c>
      <c r="I4228" s="1" t="str">
        <f>"158.16"</f>
        <v>158.16</v>
      </c>
      <c r="J4228" s="1" t="str">
        <f t="shared" si="2748"/>
        <v>0</v>
      </c>
      <c r="K4228" s="1" t="str">
        <f t="shared" si="2742"/>
        <v>103</v>
      </c>
      <c r="L4228" s="1" t="str">
        <f t="shared" si="2743"/>
        <v>47</v>
      </c>
      <c r="M4228" s="1" t="str">
        <f t="shared" si="2744"/>
        <v>0</v>
      </c>
      <c r="N4228" s="1" t="str">
        <f t="shared" si="2747"/>
        <v>0</v>
      </c>
      <c r="O4228" s="1" t="str">
        <f>"8.16"</f>
        <v>8.16</v>
      </c>
    </row>
    <row r="4229" s="1" customFormat="1" spans="1:15">
      <c r="A4229" s="1" t="str">
        <f t="shared" si="2750"/>
        <v>202406</v>
      </c>
      <c r="B4229" s="1" t="str">
        <f t="shared" si="2751"/>
        <v>150525100</v>
      </c>
      <c r="C4229" s="1" t="str">
        <f>"1014550702"</f>
        <v>1014550702</v>
      </c>
      <c r="D4229" s="1" t="str">
        <f>"152326195311103320"</f>
        <v>152326195311103320</v>
      </c>
      <c r="E4229" s="1" t="s">
        <v>4248</v>
      </c>
      <c r="F4229" s="1" t="s">
        <v>16</v>
      </c>
      <c r="G4229" s="1" t="s">
        <v>19</v>
      </c>
      <c r="H4229" s="1" t="str">
        <f>"71"</f>
        <v>71</v>
      </c>
      <c r="I4229" s="1" t="str">
        <f>"163.16"</f>
        <v>163.16</v>
      </c>
      <c r="J4229" s="1" t="str">
        <f t="shared" si="2748"/>
        <v>0</v>
      </c>
      <c r="K4229" s="1" t="str">
        <f t="shared" si="2742"/>
        <v>103</v>
      </c>
      <c r="L4229" s="1" t="str">
        <f t="shared" si="2743"/>
        <v>47</v>
      </c>
      <c r="M4229" s="1" t="str">
        <f t="shared" si="2744"/>
        <v>0</v>
      </c>
      <c r="N4229" s="1" t="str">
        <f t="shared" si="2747"/>
        <v>0</v>
      </c>
      <c r="O4229" s="1" t="str">
        <f>"3.16"</f>
        <v>3.16</v>
      </c>
    </row>
    <row r="4230" s="1" customFormat="1" spans="1:15">
      <c r="A4230" s="1" t="str">
        <f t="shared" si="2750"/>
        <v>202406</v>
      </c>
      <c r="B4230" s="1" t="str">
        <f t="shared" si="2751"/>
        <v>150525100</v>
      </c>
      <c r="C4230" s="1" t="str">
        <f>"1014585267"</f>
        <v>1014585267</v>
      </c>
      <c r="D4230" s="1" t="str">
        <f>"152326196302150680"</f>
        <v>152326196302150680</v>
      </c>
      <c r="E4230" s="1" t="s">
        <v>4249</v>
      </c>
      <c r="F4230" s="1" t="s">
        <v>16</v>
      </c>
      <c r="G4230" s="1" t="s">
        <v>17</v>
      </c>
      <c r="H4230" s="1" t="str">
        <f>"61"</f>
        <v>61</v>
      </c>
      <c r="I4230" s="1" t="str">
        <f>"166.49"</f>
        <v>166.49</v>
      </c>
      <c r="J4230" s="1" t="str">
        <f t="shared" si="2748"/>
        <v>0</v>
      </c>
      <c r="K4230" s="1" t="str">
        <f t="shared" si="2742"/>
        <v>103</v>
      </c>
      <c r="L4230" s="1" t="str">
        <f t="shared" si="2743"/>
        <v>47</v>
      </c>
      <c r="M4230" s="1" t="str">
        <f t="shared" si="2744"/>
        <v>0</v>
      </c>
      <c r="N4230" s="1" t="str">
        <f t="shared" si="2747"/>
        <v>0</v>
      </c>
      <c r="O4230" s="1" t="str">
        <f>"16.49"</f>
        <v>16.49</v>
      </c>
    </row>
    <row r="4231" s="1" customFormat="1" spans="1:15">
      <c r="A4231" s="1" t="str">
        <f t="shared" si="2750"/>
        <v>202406</v>
      </c>
      <c r="B4231" s="1" t="str">
        <f t="shared" si="2751"/>
        <v>150525100</v>
      </c>
      <c r="C4231" s="1" t="str">
        <f>"1014561152"</f>
        <v>1014561152</v>
      </c>
      <c r="D4231" s="1" t="str">
        <f>"152326195504130421"</f>
        <v>152326195504130421</v>
      </c>
      <c r="E4231" s="1" t="s">
        <v>4250</v>
      </c>
      <c r="F4231" s="1" t="s">
        <v>16</v>
      </c>
      <c r="G4231" s="1" t="s">
        <v>17</v>
      </c>
      <c r="H4231" s="1" t="str">
        <f>"69"</f>
        <v>69</v>
      </c>
      <c r="I4231" s="1" t="str">
        <f>"155.6"</f>
        <v>155.6</v>
      </c>
      <c r="J4231" s="1" t="str">
        <f t="shared" si="2748"/>
        <v>0</v>
      </c>
      <c r="K4231" s="1" t="str">
        <f t="shared" si="2742"/>
        <v>103</v>
      </c>
      <c r="L4231" s="1" t="str">
        <f t="shared" si="2743"/>
        <v>47</v>
      </c>
      <c r="M4231" s="1" t="str">
        <f t="shared" si="2744"/>
        <v>0</v>
      </c>
      <c r="N4231" s="1" t="str">
        <f t="shared" si="2747"/>
        <v>0</v>
      </c>
      <c r="O4231" s="1" t="str">
        <f>"5.6"</f>
        <v>5.6</v>
      </c>
    </row>
    <row r="4232" s="1" customFormat="1" spans="1:15">
      <c r="A4232" s="1" t="str">
        <f t="shared" si="2750"/>
        <v>202406</v>
      </c>
      <c r="B4232" s="1" t="str">
        <f t="shared" si="2751"/>
        <v>150525100</v>
      </c>
      <c r="C4232" s="1" t="str">
        <f>"1014562644"</f>
        <v>1014562644</v>
      </c>
      <c r="D4232" s="1" t="str">
        <f>"152326196304260429"</f>
        <v>152326196304260429</v>
      </c>
      <c r="E4232" s="1" t="s">
        <v>4251</v>
      </c>
      <c r="F4232" s="1" t="s">
        <v>16</v>
      </c>
      <c r="G4232" s="1" t="s">
        <v>19</v>
      </c>
      <c r="H4232" s="1" t="str">
        <f>"61"</f>
        <v>61</v>
      </c>
      <c r="I4232" s="1" t="str">
        <f>"164.99"</f>
        <v>164.99</v>
      </c>
      <c r="J4232" s="1" t="str">
        <f t="shared" si="2748"/>
        <v>0</v>
      </c>
      <c r="K4232" s="1" t="str">
        <f t="shared" si="2742"/>
        <v>103</v>
      </c>
      <c r="L4232" s="1" t="str">
        <f t="shared" si="2743"/>
        <v>47</v>
      </c>
      <c r="M4232" s="1" t="str">
        <f t="shared" si="2744"/>
        <v>0</v>
      </c>
      <c r="N4232" s="1" t="str">
        <f t="shared" si="2747"/>
        <v>0</v>
      </c>
      <c r="O4232" s="1" t="str">
        <f>"14.99"</f>
        <v>14.99</v>
      </c>
    </row>
    <row r="4233" s="1" customFormat="1" spans="1:15">
      <c r="A4233" s="1" t="str">
        <f t="shared" si="2750"/>
        <v>202406</v>
      </c>
      <c r="B4233" s="1" t="str">
        <f t="shared" si="2751"/>
        <v>150525100</v>
      </c>
      <c r="C4233" s="1" t="str">
        <f>"1014583853"</f>
        <v>1014583853</v>
      </c>
      <c r="D4233" s="1" t="str">
        <f>"152326196012180670"</f>
        <v>152326196012180670</v>
      </c>
      <c r="E4233" s="1" t="s">
        <v>4252</v>
      </c>
      <c r="F4233" s="1" t="s">
        <v>25</v>
      </c>
      <c r="G4233" s="1" t="s">
        <v>19</v>
      </c>
      <c r="H4233" s="1" t="str">
        <f>"64"</f>
        <v>64</v>
      </c>
      <c r="I4233" s="1" t="str">
        <f>"158.79"</f>
        <v>158.79</v>
      </c>
      <c r="J4233" s="1" t="str">
        <f t="shared" si="2748"/>
        <v>0</v>
      </c>
      <c r="K4233" s="1" t="str">
        <f t="shared" si="2742"/>
        <v>103</v>
      </c>
      <c r="L4233" s="1" t="str">
        <f t="shared" si="2743"/>
        <v>47</v>
      </c>
      <c r="M4233" s="1" t="str">
        <f t="shared" si="2744"/>
        <v>0</v>
      </c>
      <c r="N4233" s="1" t="str">
        <f t="shared" si="2747"/>
        <v>0</v>
      </c>
      <c r="O4233" s="1" t="str">
        <f>"8.79"</f>
        <v>8.79</v>
      </c>
    </row>
    <row r="4234" s="1" customFormat="1" spans="1:15">
      <c r="A4234" s="1" t="str">
        <f t="shared" si="2750"/>
        <v>202406</v>
      </c>
      <c r="B4234" s="1" t="str">
        <f t="shared" si="2751"/>
        <v>150525100</v>
      </c>
      <c r="C4234" s="1" t="str">
        <f>"1014549721"</f>
        <v>1014549721</v>
      </c>
      <c r="D4234" s="1" t="s">
        <v>4253</v>
      </c>
      <c r="E4234" s="1" t="s">
        <v>4254</v>
      </c>
      <c r="F4234" s="1" t="s">
        <v>25</v>
      </c>
      <c r="G4234" s="1" t="s">
        <v>17</v>
      </c>
      <c r="H4234" s="1" t="str">
        <f>"64"</f>
        <v>64</v>
      </c>
      <c r="I4234" s="1" t="str">
        <f>"159.25"</f>
        <v>159.25</v>
      </c>
      <c r="J4234" s="1" t="str">
        <f t="shared" si="2748"/>
        <v>0</v>
      </c>
      <c r="K4234" s="1" t="str">
        <f t="shared" si="2742"/>
        <v>103</v>
      </c>
      <c r="L4234" s="1" t="str">
        <f t="shared" si="2743"/>
        <v>47</v>
      </c>
      <c r="M4234" s="1" t="str">
        <f t="shared" si="2744"/>
        <v>0</v>
      </c>
      <c r="N4234" s="1" t="str">
        <f t="shared" si="2747"/>
        <v>0</v>
      </c>
      <c r="O4234" s="1" t="str">
        <f>"9.25"</f>
        <v>9.25</v>
      </c>
    </row>
    <row r="4235" s="1" customFormat="1" spans="1:15">
      <c r="A4235" s="1" t="str">
        <f t="shared" si="2750"/>
        <v>202406</v>
      </c>
      <c r="B4235" s="1" t="str">
        <f t="shared" si="2751"/>
        <v>150525100</v>
      </c>
      <c r="C4235" s="1" t="str">
        <f>"1014549723"</f>
        <v>1014549723</v>
      </c>
      <c r="D4235" s="1" t="s">
        <v>4255</v>
      </c>
      <c r="E4235" s="1" t="s">
        <v>4256</v>
      </c>
      <c r="F4235" s="1" t="s">
        <v>16</v>
      </c>
      <c r="G4235" s="1" t="s">
        <v>17</v>
      </c>
      <c r="H4235" s="1" t="str">
        <f>"63"</f>
        <v>63</v>
      </c>
      <c r="I4235" s="1" t="str">
        <f>"161.82"</f>
        <v>161.82</v>
      </c>
      <c r="J4235" s="1" t="str">
        <f t="shared" si="2748"/>
        <v>0</v>
      </c>
      <c r="K4235" s="1" t="str">
        <f t="shared" si="2742"/>
        <v>103</v>
      </c>
      <c r="L4235" s="1" t="str">
        <f t="shared" si="2743"/>
        <v>47</v>
      </c>
      <c r="M4235" s="1" t="str">
        <f t="shared" si="2744"/>
        <v>0</v>
      </c>
      <c r="N4235" s="1" t="str">
        <f t="shared" si="2747"/>
        <v>0</v>
      </c>
      <c r="O4235" s="1" t="str">
        <f>"11.82"</f>
        <v>11.82</v>
      </c>
    </row>
    <row r="4236" s="1" customFormat="1" spans="1:15">
      <c r="A4236" s="1" t="str">
        <f t="shared" si="2750"/>
        <v>202406</v>
      </c>
      <c r="B4236" s="1" t="str">
        <f t="shared" si="2751"/>
        <v>150525100</v>
      </c>
      <c r="C4236" s="1" t="str">
        <f>"1014549724"</f>
        <v>1014549724</v>
      </c>
      <c r="D4236" s="1" t="s">
        <v>4257</v>
      </c>
      <c r="E4236" s="1" t="s">
        <v>4258</v>
      </c>
      <c r="F4236" s="1" t="s">
        <v>25</v>
      </c>
      <c r="G4236" s="1" t="s">
        <v>17</v>
      </c>
      <c r="H4236" s="1" t="str">
        <f>"63"</f>
        <v>63</v>
      </c>
      <c r="I4236" s="1" t="str">
        <f>"160.83"</f>
        <v>160.83</v>
      </c>
      <c r="J4236" s="1" t="str">
        <f t="shared" si="2748"/>
        <v>0</v>
      </c>
      <c r="K4236" s="1" t="str">
        <f t="shared" si="2742"/>
        <v>103</v>
      </c>
      <c r="L4236" s="1" t="str">
        <f t="shared" si="2743"/>
        <v>47</v>
      </c>
      <c r="M4236" s="1" t="str">
        <f t="shared" si="2744"/>
        <v>0</v>
      </c>
      <c r="N4236" s="1" t="str">
        <f t="shared" si="2747"/>
        <v>0</v>
      </c>
      <c r="O4236" s="1" t="str">
        <f>"10.83"</f>
        <v>10.83</v>
      </c>
    </row>
    <row r="4237" s="1" customFormat="1" spans="1:15">
      <c r="A4237" s="1" t="str">
        <f t="shared" si="2750"/>
        <v>202406</v>
      </c>
      <c r="B4237" s="1" t="str">
        <f t="shared" si="2751"/>
        <v>150525100</v>
      </c>
      <c r="C4237" s="1" t="str">
        <f>"1014549738"</f>
        <v>1014549738</v>
      </c>
      <c r="D4237" s="1" t="str">
        <f>"152326195909130673"</f>
        <v>152326195909130673</v>
      </c>
      <c r="E4237" s="1" t="s">
        <v>4259</v>
      </c>
      <c r="F4237" s="1" t="s">
        <v>25</v>
      </c>
      <c r="G4237" s="1" t="s">
        <v>19</v>
      </c>
      <c r="H4237" s="1" t="str">
        <f t="shared" ref="H4237:H4239" si="2752">"65"</f>
        <v>65</v>
      </c>
      <c r="I4237" s="1" t="str">
        <f>"157.99"</f>
        <v>157.99</v>
      </c>
      <c r="J4237" s="1" t="str">
        <f t="shared" si="2748"/>
        <v>0</v>
      </c>
      <c r="K4237" s="1" t="str">
        <f t="shared" si="2742"/>
        <v>103</v>
      </c>
      <c r="L4237" s="1" t="str">
        <f t="shared" si="2743"/>
        <v>47</v>
      </c>
      <c r="M4237" s="1" t="str">
        <f t="shared" si="2744"/>
        <v>0</v>
      </c>
      <c r="N4237" s="1" t="str">
        <f t="shared" si="2747"/>
        <v>0</v>
      </c>
      <c r="O4237" s="1" t="str">
        <f>"7.99"</f>
        <v>7.99</v>
      </c>
    </row>
    <row r="4238" s="1" customFormat="1" spans="1:15">
      <c r="A4238" s="1" t="str">
        <f t="shared" si="2750"/>
        <v>202406</v>
      </c>
      <c r="B4238" s="1" t="str">
        <f t="shared" si="2751"/>
        <v>150525100</v>
      </c>
      <c r="C4238" s="1" t="str">
        <f>"1014549740"</f>
        <v>1014549740</v>
      </c>
      <c r="D4238" s="1" t="str">
        <f>"152326195910100682"</f>
        <v>152326195910100682</v>
      </c>
      <c r="E4238" s="1" t="s">
        <v>4260</v>
      </c>
      <c r="F4238" s="1" t="s">
        <v>16</v>
      </c>
      <c r="G4238" s="1" t="s">
        <v>17</v>
      </c>
      <c r="H4238" s="1" t="str">
        <f t="shared" si="2752"/>
        <v>65</v>
      </c>
      <c r="I4238" s="1" t="str">
        <f>"158.2"</f>
        <v>158.2</v>
      </c>
      <c r="J4238" s="1" t="str">
        <f t="shared" si="2748"/>
        <v>0</v>
      </c>
      <c r="K4238" s="1" t="str">
        <f t="shared" si="2742"/>
        <v>103</v>
      </c>
      <c r="L4238" s="1" t="str">
        <f t="shared" si="2743"/>
        <v>47</v>
      </c>
      <c r="M4238" s="1" t="str">
        <f t="shared" si="2744"/>
        <v>0</v>
      </c>
      <c r="N4238" s="1" t="str">
        <f t="shared" si="2747"/>
        <v>0</v>
      </c>
      <c r="O4238" s="1" t="str">
        <f>"8.2"</f>
        <v>8.2</v>
      </c>
    </row>
    <row r="4239" s="1" customFormat="1" spans="1:15">
      <c r="A4239" s="1" t="str">
        <f t="shared" si="2750"/>
        <v>202406</v>
      </c>
      <c r="B4239" s="1" t="str">
        <f t="shared" si="2751"/>
        <v>150525100</v>
      </c>
      <c r="C4239" s="1" t="str">
        <f>"1014549743"</f>
        <v>1014549743</v>
      </c>
      <c r="D4239" s="1" t="str">
        <f>"152326195910133070"</f>
        <v>152326195910133070</v>
      </c>
      <c r="E4239" s="1" t="s">
        <v>4261</v>
      </c>
      <c r="F4239" s="1" t="s">
        <v>25</v>
      </c>
      <c r="G4239" s="1" t="s">
        <v>19</v>
      </c>
      <c r="H4239" s="1" t="str">
        <f t="shared" si="2752"/>
        <v>65</v>
      </c>
      <c r="I4239" s="1" t="str">
        <f>"157.9"</f>
        <v>157.9</v>
      </c>
      <c r="J4239" s="1" t="str">
        <f t="shared" si="2748"/>
        <v>0</v>
      </c>
      <c r="K4239" s="1" t="str">
        <f t="shared" si="2742"/>
        <v>103</v>
      </c>
      <c r="L4239" s="1" t="str">
        <f t="shared" si="2743"/>
        <v>47</v>
      </c>
      <c r="M4239" s="1" t="str">
        <f t="shared" si="2744"/>
        <v>0</v>
      </c>
      <c r="N4239" s="1" t="str">
        <f t="shared" si="2747"/>
        <v>0</v>
      </c>
      <c r="O4239" s="1" t="str">
        <f>"7.9"</f>
        <v>7.9</v>
      </c>
    </row>
    <row r="4240" s="1" customFormat="1" spans="1:15">
      <c r="A4240" s="1" t="str">
        <f t="shared" si="2750"/>
        <v>202406</v>
      </c>
      <c r="B4240" s="1" t="str">
        <f t="shared" si="2751"/>
        <v>150525100</v>
      </c>
      <c r="C4240" s="1" t="str">
        <f>"1014550252"</f>
        <v>1014550252</v>
      </c>
      <c r="D4240" s="1" t="str">
        <f>"152326195803160663"</f>
        <v>152326195803160663</v>
      </c>
      <c r="E4240" s="1" t="s">
        <v>2012</v>
      </c>
      <c r="F4240" s="1" t="s">
        <v>16</v>
      </c>
      <c r="G4240" s="1" t="s">
        <v>17</v>
      </c>
      <c r="H4240" s="1" t="str">
        <f>"66"</f>
        <v>66</v>
      </c>
      <c r="I4240" s="1" t="str">
        <f>"157.09"</f>
        <v>157.09</v>
      </c>
      <c r="J4240" s="1" t="str">
        <f t="shared" si="2748"/>
        <v>0</v>
      </c>
      <c r="K4240" s="1" t="str">
        <f t="shared" si="2742"/>
        <v>103</v>
      </c>
      <c r="L4240" s="1" t="str">
        <f t="shared" si="2743"/>
        <v>47</v>
      </c>
      <c r="M4240" s="1" t="str">
        <f t="shared" si="2744"/>
        <v>0</v>
      </c>
      <c r="N4240" s="1" t="str">
        <f t="shared" si="2747"/>
        <v>0</v>
      </c>
      <c r="O4240" s="1" t="str">
        <f>"7.09"</f>
        <v>7.09</v>
      </c>
    </row>
    <row r="4241" s="1" customFormat="1" spans="1:15">
      <c r="A4241" s="1" t="str">
        <f t="shared" si="2750"/>
        <v>202406</v>
      </c>
      <c r="B4241" s="1" t="str">
        <f t="shared" si="2751"/>
        <v>150525100</v>
      </c>
      <c r="C4241" s="1" t="str">
        <f>"1014550257"</f>
        <v>1014550257</v>
      </c>
      <c r="D4241" s="1" t="str">
        <f>"152326195806133310"</f>
        <v>152326195806133310</v>
      </c>
      <c r="E4241" s="1" t="s">
        <v>4262</v>
      </c>
      <c r="F4241" s="1" t="s">
        <v>25</v>
      </c>
      <c r="G4241" s="1" t="s">
        <v>17</v>
      </c>
      <c r="H4241" s="1" t="str">
        <f>"66"</f>
        <v>66</v>
      </c>
      <c r="I4241" s="1" t="str">
        <f>"158.04"</f>
        <v>158.04</v>
      </c>
      <c r="J4241" s="1" t="str">
        <f t="shared" si="2748"/>
        <v>0</v>
      </c>
      <c r="K4241" s="1" t="str">
        <f t="shared" si="2742"/>
        <v>103</v>
      </c>
      <c r="L4241" s="1" t="str">
        <f t="shared" si="2743"/>
        <v>47</v>
      </c>
      <c r="M4241" s="1" t="str">
        <f t="shared" si="2744"/>
        <v>0</v>
      </c>
      <c r="N4241" s="1" t="str">
        <f t="shared" si="2747"/>
        <v>0</v>
      </c>
      <c r="O4241" s="1" t="str">
        <f>"8.04"</f>
        <v>8.04</v>
      </c>
    </row>
    <row r="4242" s="1" customFormat="1" spans="1:15">
      <c r="A4242" s="1" t="str">
        <f t="shared" si="2750"/>
        <v>202406</v>
      </c>
      <c r="B4242" s="1" t="str">
        <f t="shared" si="2751"/>
        <v>150525100</v>
      </c>
      <c r="C4242" s="1" t="str">
        <f>"1014585273"</f>
        <v>1014585273</v>
      </c>
      <c r="D4242" s="1" t="str">
        <f>"152326196303170691"</f>
        <v>152326196303170691</v>
      </c>
      <c r="E4242" s="1" t="s">
        <v>4263</v>
      </c>
      <c r="F4242" s="1" t="s">
        <v>25</v>
      </c>
      <c r="G4242" s="1" t="s">
        <v>17</v>
      </c>
      <c r="H4242" s="1" t="str">
        <f>"61"</f>
        <v>61</v>
      </c>
      <c r="I4242" s="1" t="str">
        <f>"165.81"</f>
        <v>165.81</v>
      </c>
      <c r="J4242" s="1" t="str">
        <f t="shared" si="2748"/>
        <v>0</v>
      </c>
      <c r="K4242" s="1" t="str">
        <f t="shared" si="2742"/>
        <v>103</v>
      </c>
      <c r="L4242" s="1" t="str">
        <f t="shared" si="2743"/>
        <v>47</v>
      </c>
      <c r="M4242" s="1" t="str">
        <f t="shared" si="2744"/>
        <v>0</v>
      </c>
      <c r="N4242" s="1" t="str">
        <f t="shared" si="2747"/>
        <v>0</v>
      </c>
      <c r="O4242" s="1" t="str">
        <f>"15.81"</f>
        <v>15.81</v>
      </c>
    </row>
    <row r="4243" s="1" customFormat="1" spans="1:15">
      <c r="A4243" s="1" t="str">
        <f t="shared" si="2750"/>
        <v>202406</v>
      </c>
      <c r="B4243" s="1" t="str">
        <f t="shared" si="2751"/>
        <v>150525100</v>
      </c>
      <c r="C4243" s="1" t="str">
        <f>"1014585287"</f>
        <v>1014585287</v>
      </c>
      <c r="D4243" s="1" t="str">
        <f>"152326196307120675"</f>
        <v>152326196307120675</v>
      </c>
      <c r="E4243" s="1" t="s">
        <v>4264</v>
      </c>
      <c r="F4243" s="1" t="s">
        <v>25</v>
      </c>
      <c r="G4243" s="1" t="s">
        <v>17</v>
      </c>
      <c r="H4243" s="1" t="str">
        <f>"61"</f>
        <v>61</v>
      </c>
      <c r="I4243" s="1" t="str">
        <f>"164.47"</f>
        <v>164.47</v>
      </c>
      <c r="J4243" s="1" t="str">
        <f t="shared" si="2748"/>
        <v>0</v>
      </c>
      <c r="K4243" s="1" t="str">
        <f t="shared" si="2742"/>
        <v>103</v>
      </c>
      <c r="L4243" s="1" t="str">
        <f t="shared" si="2743"/>
        <v>47</v>
      </c>
      <c r="M4243" s="1" t="str">
        <f t="shared" si="2744"/>
        <v>0</v>
      </c>
      <c r="N4243" s="1" t="str">
        <f t="shared" si="2747"/>
        <v>0</v>
      </c>
      <c r="O4243" s="1" t="str">
        <f>"14.47"</f>
        <v>14.47</v>
      </c>
    </row>
    <row r="4244" s="1" customFormat="1" spans="1:15">
      <c r="A4244" s="1" t="str">
        <f t="shared" si="2750"/>
        <v>202406</v>
      </c>
      <c r="B4244" s="1" t="str">
        <f t="shared" si="2751"/>
        <v>150525100</v>
      </c>
      <c r="C4244" s="1" t="str">
        <f>"1040641633"</f>
        <v>1040641633</v>
      </c>
      <c r="D4244" s="1" t="str">
        <f>"152326195505160921"</f>
        <v>152326195505160921</v>
      </c>
      <c r="E4244" s="1" t="s">
        <v>4265</v>
      </c>
      <c r="F4244" s="1" t="s">
        <v>16</v>
      </c>
      <c r="G4244" s="1" t="s">
        <v>19</v>
      </c>
      <c r="H4244" s="1" t="str">
        <f t="shared" ref="H4244:H4247" si="2753">"69"</f>
        <v>69</v>
      </c>
      <c r="I4244" s="1" t="str">
        <f>"170.34"</f>
        <v>170.34</v>
      </c>
      <c r="J4244" s="1" t="str">
        <f t="shared" si="2748"/>
        <v>0</v>
      </c>
      <c r="K4244" s="1" t="str">
        <f t="shared" si="2742"/>
        <v>103</v>
      </c>
      <c r="L4244" s="1" t="str">
        <f t="shared" si="2743"/>
        <v>47</v>
      </c>
      <c r="M4244" s="1" t="str">
        <f t="shared" si="2744"/>
        <v>0</v>
      </c>
      <c r="N4244" s="1" t="str">
        <f t="shared" si="2747"/>
        <v>0</v>
      </c>
      <c r="O4244" s="1" t="str">
        <f>"20.34"</f>
        <v>20.34</v>
      </c>
    </row>
    <row r="4245" s="1" customFormat="1" spans="1:15">
      <c r="A4245" s="1" t="str">
        <f t="shared" si="2750"/>
        <v>202406</v>
      </c>
      <c r="B4245" s="1" t="str">
        <f t="shared" si="2751"/>
        <v>150525100</v>
      </c>
      <c r="C4245" s="1" t="str">
        <f>"1040641664"</f>
        <v>1040641664</v>
      </c>
      <c r="D4245" s="1" t="str">
        <f>"152326195510290667"</f>
        <v>152326195510290667</v>
      </c>
      <c r="E4245" s="1" t="s">
        <v>4266</v>
      </c>
      <c r="F4245" s="1" t="s">
        <v>16</v>
      </c>
      <c r="G4245" s="1" t="s">
        <v>17</v>
      </c>
      <c r="H4245" s="1" t="str">
        <f t="shared" si="2753"/>
        <v>69</v>
      </c>
      <c r="I4245" s="1" t="str">
        <f>"154.26"</f>
        <v>154.26</v>
      </c>
      <c r="J4245" s="1" t="str">
        <f t="shared" si="2748"/>
        <v>0</v>
      </c>
      <c r="K4245" s="1" t="str">
        <f t="shared" si="2742"/>
        <v>103</v>
      </c>
      <c r="L4245" s="1" t="str">
        <f t="shared" si="2743"/>
        <v>47</v>
      </c>
      <c r="M4245" s="1" t="str">
        <f t="shared" si="2744"/>
        <v>0</v>
      </c>
      <c r="N4245" s="1" t="str">
        <f t="shared" si="2747"/>
        <v>0</v>
      </c>
      <c r="O4245" s="1" t="str">
        <f>"4.26"</f>
        <v>4.26</v>
      </c>
    </row>
    <row r="4246" s="1" customFormat="1" spans="1:15">
      <c r="A4246" s="1" t="str">
        <f t="shared" si="2750"/>
        <v>202406</v>
      </c>
      <c r="B4246" s="1" t="str">
        <f t="shared" si="2751"/>
        <v>150525100</v>
      </c>
      <c r="C4246" s="1" t="str">
        <f>"1040641686"</f>
        <v>1040641686</v>
      </c>
      <c r="D4246" s="1" t="str">
        <f>"152326195712050661"</f>
        <v>152326195712050661</v>
      </c>
      <c r="E4246" s="1" t="s">
        <v>4267</v>
      </c>
      <c r="F4246" s="1" t="s">
        <v>16</v>
      </c>
      <c r="G4246" s="1" t="s">
        <v>17</v>
      </c>
      <c r="H4246" s="1" t="str">
        <f>"67"</f>
        <v>67</v>
      </c>
      <c r="I4246" s="1" t="str">
        <f>"155.27"</f>
        <v>155.27</v>
      </c>
      <c r="J4246" s="1" t="str">
        <f t="shared" si="2748"/>
        <v>0</v>
      </c>
      <c r="K4246" s="1" t="str">
        <f t="shared" si="2742"/>
        <v>103</v>
      </c>
      <c r="L4246" s="1" t="str">
        <f t="shared" si="2743"/>
        <v>47</v>
      </c>
      <c r="M4246" s="1" t="str">
        <f t="shared" si="2744"/>
        <v>0</v>
      </c>
      <c r="N4246" s="1" t="str">
        <f t="shared" si="2747"/>
        <v>0</v>
      </c>
      <c r="O4246" s="1" t="str">
        <f>"5.27"</f>
        <v>5.27</v>
      </c>
    </row>
    <row r="4247" s="1" customFormat="1" spans="1:15">
      <c r="A4247" s="1" t="str">
        <f t="shared" si="2750"/>
        <v>202406</v>
      </c>
      <c r="B4247" s="1" t="str">
        <f t="shared" si="2751"/>
        <v>150525100</v>
      </c>
      <c r="C4247" s="1" t="str">
        <f>"1040641698"</f>
        <v>1040641698</v>
      </c>
      <c r="D4247" s="1" t="str">
        <f>"152326195503263070"</f>
        <v>152326195503263070</v>
      </c>
      <c r="E4247" s="1" t="s">
        <v>4268</v>
      </c>
      <c r="F4247" s="1" t="s">
        <v>25</v>
      </c>
      <c r="G4247" s="1" t="s">
        <v>17</v>
      </c>
      <c r="H4247" s="1" t="str">
        <f t="shared" si="2753"/>
        <v>69</v>
      </c>
      <c r="I4247" s="1" t="str">
        <f>"154.26"</f>
        <v>154.26</v>
      </c>
      <c r="J4247" s="1" t="str">
        <f t="shared" si="2748"/>
        <v>0</v>
      </c>
      <c r="K4247" s="1" t="str">
        <f t="shared" si="2742"/>
        <v>103</v>
      </c>
      <c r="L4247" s="1" t="str">
        <f t="shared" si="2743"/>
        <v>47</v>
      </c>
      <c r="M4247" s="1" t="str">
        <f t="shared" si="2744"/>
        <v>0</v>
      </c>
      <c r="N4247" s="1" t="str">
        <f t="shared" si="2747"/>
        <v>0</v>
      </c>
      <c r="O4247" s="1" t="str">
        <f>"4.26"</f>
        <v>4.26</v>
      </c>
    </row>
    <row r="4248" s="1" customFormat="1" spans="1:15">
      <c r="A4248" s="1" t="str">
        <f t="shared" si="2750"/>
        <v>202406</v>
      </c>
      <c r="B4248" s="1" t="str">
        <f t="shared" si="2751"/>
        <v>150525100</v>
      </c>
      <c r="C4248" s="1" t="str">
        <f>"1014561432"</f>
        <v>1014561432</v>
      </c>
      <c r="D4248" s="1" t="str">
        <f>"152326195209050429"</f>
        <v>152326195209050429</v>
      </c>
      <c r="E4248" s="1" t="s">
        <v>4269</v>
      </c>
      <c r="F4248" s="1" t="s">
        <v>16</v>
      </c>
      <c r="G4248" s="1" t="s">
        <v>17</v>
      </c>
      <c r="H4248" s="1" t="str">
        <f>"72"</f>
        <v>72</v>
      </c>
      <c r="I4248" s="1" t="str">
        <f>"162.15"</f>
        <v>162.15</v>
      </c>
      <c r="J4248" s="1" t="str">
        <f t="shared" si="2748"/>
        <v>0</v>
      </c>
      <c r="K4248" s="1" t="str">
        <f t="shared" si="2742"/>
        <v>103</v>
      </c>
      <c r="L4248" s="1" t="str">
        <f t="shared" si="2743"/>
        <v>47</v>
      </c>
      <c r="M4248" s="1" t="str">
        <f t="shared" si="2744"/>
        <v>0</v>
      </c>
      <c r="N4248" s="1" t="str">
        <f t="shared" si="2747"/>
        <v>0</v>
      </c>
      <c r="O4248" s="1" t="str">
        <f>"2.15"</f>
        <v>2.15</v>
      </c>
    </row>
    <row r="4249" s="1" customFormat="1" spans="1:15">
      <c r="A4249" s="1" t="str">
        <f t="shared" si="2750"/>
        <v>202406</v>
      </c>
      <c r="B4249" s="1" t="str">
        <f t="shared" si="2751"/>
        <v>150525100</v>
      </c>
      <c r="C4249" s="1" t="str">
        <f>"1014561439"</f>
        <v>1014561439</v>
      </c>
      <c r="D4249" s="1" t="str">
        <f>"152326195302280421"</f>
        <v>152326195302280421</v>
      </c>
      <c r="E4249" s="1" t="s">
        <v>4270</v>
      </c>
      <c r="F4249" s="1" t="s">
        <v>16</v>
      </c>
      <c r="G4249" s="1" t="s">
        <v>17</v>
      </c>
      <c r="H4249" s="1" t="str">
        <f>"71"</f>
        <v>71</v>
      </c>
      <c r="I4249" s="1" t="str">
        <f>"162.92"</f>
        <v>162.92</v>
      </c>
      <c r="J4249" s="1" t="str">
        <f t="shared" si="2748"/>
        <v>0</v>
      </c>
      <c r="K4249" s="1" t="str">
        <f t="shared" si="2742"/>
        <v>103</v>
      </c>
      <c r="L4249" s="1" t="str">
        <f t="shared" si="2743"/>
        <v>47</v>
      </c>
      <c r="M4249" s="1" t="str">
        <f t="shared" si="2744"/>
        <v>0</v>
      </c>
      <c r="N4249" s="1" t="str">
        <f t="shared" si="2747"/>
        <v>0</v>
      </c>
      <c r="O4249" s="1" t="str">
        <f>"2.92"</f>
        <v>2.92</v>
      </c>
    </row>
    <row r="4250" s="1" customFormat="1" spans="1:15">
      <c r="A4250" s="1" t="str">
        <f t="shared" si="2750"/>
        <v>202406</v>
      </c>
      <c r="B4250" s="1" t="str">
        <f t="shared" si="2751"/>
        <v>150525100</v>
      </c>
      <c r="C4250" s="1" t="str">
        <f>"1014583903"</f>
        <v>1014583903</v>
      </c>
      <c r="D4250" s="1" t="str">
        <f>"152326195509070413"</f>
        <v>152326195509070413</v>
      </c>
      <c r="E4250" s="1" t="s">
        <v>4271</v>
      </c>
      <c r="F4250" s="1" t="s">
        <v>25</v>
      </c>
      <c r="G4250" s="1" t="s">
        <v>17</v>
      </c>
      <c r="H4250" s="1" t="str">
        <f>"69"</f>
        <v>69</v>
      </c>
      <c r="I4250" s="1" t="str">
        <f>"155.09"</f>
        <v>155.09</v>
      </c>
      <c r="J4250" s="1" t="str">
        <f t="shared" si="2748"/>
        <v>0</v>
      </c>
      <c r="K4250" s="1" t="str">
        <f t="shared" si="2742"/>
        <v>103</v>
      </c>
      <c r="L4250" s="1" t="str">
        <f t="shared" si="2743"/>
        <v>47</v>
      </c>
      <c r="M4250" s="1" t="str">
        <f t="shared" si="2744"/>
        <v>0</v>
      </c>
      <c r="N4250" s="1" t="str">
        <f t="shared" si="2747"/>
        <v>0</v>
      </c>
      <c r="O4250" s="1" t="str">
        <f>"5.09"</f>
        <v>5.09</v>
      </c>
    </row>
    <row r="4251" s="1" customFormat="1" spans="1:15">
      <c r="A4251" s="1" t="str">
        <f t="shared" si="2750"/>
        <v>202406</v>
      </c>
      <c r="B4251" s="1" t="str">
        <f t="shared" si="2751"/>
        <v>150525100</v>
      </c>
      <c r="C4251" s="1" t="str">
        <f>"1014584193"</f>
        <v>1014584193</v>
      </c>
      <c r="D4251" s="1" t="str">
        <f>"152326195912260444"</f>
        <v>152326195912260444</v>
      </c>
      <c r="E4251" s="1" t="s">
        <v>4272</v>
      </c>
      <c r="F4251" s="1" t="s">
        <v>16</v>
      </c>
      <c r="G4251" s="1" t="s">
        <v>17</v>
      </c>
      <c r="H4251" s="1" t="str">
        <f>"65"</f>
        <v>65</v>
      </c>
      <c r="I4251" s="1" t="str">
        <f>"159.94"</f>
        <v>159.94</v>
      </c>
      <c r="J4251" s="1" t="str">
        <f t="shared" si="2748"/>
        <v>0</v>
      </c>
      <c r="K4251" s="1" t="str">
        <f t="shared" si="2742"/>
        <v>103</v>
      </c>
      <c r="L4251" s="1" t="str">
        <f t="shared" si="2743"/>
        <v>47</v>
      </c>
      <c r="M4251" s="1" t="str">
        <f t="shared" si="2744"/>
        <v>0</v>
      </c>
      <c r="N4251" s="1" t="str">
        <f t="shared" si="2747"/>
        <v>0</v>
      </c>
      <c r="O4251" s="1" t="str">
        <f>"9.94"</f>
        <v>9.94</v>
      </c>
    </row>
    <row r="4252" s="1" customFormat="1" spans="1:15">
      <c r="A4252" s="1" t="str">
        <f t="shared" si="2750"/>
        <v>202406</v>
      </c>
      <c r="B4252" s="1" t="str">
        <f t="shared" si="2751"/>
        <v>150525100</v>
      </c>
      <c r="C4252" s="1" t="str">
        <f>"1014549757"</f>
        <v>1014549757</v>
      </c>
      <c r="D4252" s="1" t="str">
        <f>"152326196002090671"</f>
        <v>152326196002090671</v>
      </c>
      <c r="E4252" s="1" t="s">
        <v>4273</v>
      </c>
      <c r="F4252" s="1" t="s">
        <v>25</v>
      </c>
      <c r="G4252" s="1" t="s">
        <v>17</v>
      </c>
      <c r="H4252" s="1" t="str">
        <f t="shared" ref="H4252:H4254" si="2754">"64"</f>
        <v>64</v>
      </c>
      <c r="I4252" s="1" t="str">
        <f>"159.18"</f>
        <v>159.18</v>
      </c>
      <c r="J4252" s="1" t="str">
        <f t="shared" si="2748"/>
        <v>0</v>
      </c>
      <c r="K4252" s="1" t="str">
        <f t="shared" si="2742"/>
        <v>103</v>
      </c>
      <c r="L4252" s="1" t="str">
        <f t="shared" si="2743"/>
        <v>47</v>
      </c>
      <c r="M4252" s="1" t="str">
        <f t="shared" si="2744"/>
        <v>0</v>
      </c>
      <c r="N4252" s="1" t="str">
        <f t="shared" si="2747"/>
        <v>0</v>
      </c>
      <c r="O4252" s="1" t="str">
        <f>"9.18"</f>
        <v>9.18</v>
      </c>
    </row>
    <row r="4253" s="1" customFormat="1" spans="1:15">
      <c r="A4253" s="1" t="str">
        <f t="shared" si="2750"/>
        <v>202406</v>
      </c>
      <c r="B4253" s="1" t="str">
        <f t="shared" si="2751"/>
        <v>150525100</v>
      </c>
      <c r="C4253" s="1" t="str">
        <f>"1014549760"</f>
        <v>1014549760</v>
      </c>
      <c r="D4253" s="1" t="str">
        <f>"152326196003020675"</f>
        <v>152326196003020675</v>
      </c>
      <c r="E4253" s="1" t="s">
        <v>4274</v>
      </c>
      <c r="F4253" s="1" t="s">
        <v>25</v>
      </c>
      <c r="G4253" s="1" t="s">
        <v>19</v>
      </c>
      <c r="H4253" s="1" t="str">
        <f t="shared" si="2754"/>
        <v>64</v>
      </c>
      <c r="I4253" s="1" t="str">
        <f>"160.73"</f>
        <v>160.73</v>
      </c>
      <c r="J4253" s="1" t="str">
        <f t="shared" si="2748"/>
        <v>0</v>
      </c>
      <c r="K4253" s="1" t="str">
        <f t="shared" si="2742"/>
        <v>103</v>
      </c>
      <c r="L4253" s="1" t="str">
        <f t="shared" si="2743"/>
        <v>47</v>
      </c>
      <c r="M4253" s="1" t="str">
        <f t="shared" si="2744"/>
        <v>0</v>
      </c>
      <c r="N4253" s="1" t="str">
        <f t="shared" si="2747"/>
        <v>0</v>
      </c>
      <c r="O4253" s="1" t="str">
        <f>"10.73"</f>
        <v>10.73</v>
      </c>
    </row>
    <row r="4254" s="1" customFormat="1" spans="1:15">
      <c r="A4254" s="1" t="str">
        <f t="shared" si="2750"/>
        <v>202406</v>
      </c>
      <c r="B4254" s="1" t="str">
        <f t="shared" si="2751"/>
        <v>150525100</v>
      </c>
      <c r="C4254" s="1" t="str">
        <f>"1014549779"</f>
        <v>1014549779</v>
      </c>
      <c r="D4254" s="1" t="str">
        <f>"152326196006283817"</f>
        <v>152326196006283817</v>
      </c>
      <c r="E4254" s="1" t="s">
        <v>4275</v>
      </c>
      <c r="F4254" s="1" t="s">
        <v>25</v>
      </c>
      <c r="G4254" s="1" t="s">
        <v>17</v>
      </c>
      <c r="H4254" s="1" t="str">
        <f t="shared" si="2754"/>
        <v>64</v>
      </c>
      <c r="I4254" s="1" t="str">
        <f>"159.22"</f>
        <v>159.22</v>
      </c>
      <c r="J4254" s="1" t="str">
        <f t="shared" si="2748"/>
        <v>0</v>
      </c>
      <c r="K4254" s="1" t="str">
        <f t="shared" si="2742"/>
        <v>103</v>
      </c>
      <c r="L4254" s="1" t="str">
        <f t="shared" si="2743"/>
        <v>47</v>
      </c>
      <c r="M4254" s="1" t="str">
        <f t="shared" si="2744"/>
        <v>0</v>
      </c>
      <c r="N4254" s="1" t="str">
        <f t="shared" si="2747"/>
        <v>0</v>
      </c>
      <c r="O4254" s="1" t="str">
        <f>"9.22"</f>
        <v>9.22</v>
      </c>
    </row>
    <row r="4255" s="1" customFormat="1" spans="1:15">
      <c r="A4255" s="1" t="str">
        <f t="shared" si="2750"/>
        <v>202406</v>
      </c>
      <c r="B4255" s="1" t="str">
        <f t="shared" si="2751"/>
        <v>150525100</v>
      </c>
      <c r="C4255" s="1" t="str">
        <f>"1014550271"</f>
        <v>1014550271</v>
      </c>
      <c r="D4255" s="1" t="str">
        <f>"152326195810120694"</f>
        <v>152326195810120694</v>
      </c>
      <c r="E4255" s="1" t="s">
        <v>839</v>
      </c>
      <c r="F4255" s="1" t="s">
        <v>25</v>
      </c>
      <c r="G4255" s="1" t="s">
        <v>19</v>
      </c>
      <c r="H4255" s="1" t="str">
        <f t="shared" ref="H4255:H4257" si="2755">"66"</f>
        <v>66</v>
      </c>
      <c r="I4255" s="1" t="str">
        <f>"158.09"</f>
        <v>158.09</v>
      </c>
      <c r="J4255" s="1" t="str">
        <f t="shared" si="2748"/>
        <v>0</v>
      </c>
      <c r="K4255" s="1" t="str">
        <f t="shared" ref="K4255:K4267" si="2756">"103"</f>
        <v>103</v>
      </c>
      <c r="L4255" s="1" t="str">
        <f t="shared" ref="L4255:L4267" si="2757">"47"</f>
        <v>47</v>
      </c>
      <c r="M4255" s="1" t="str">
        <f t="shared" si="2744"/>
        <v>0</v>
      </c>
      <c r="N4255" s="1" t="str">
        <f t="shared" si="2747"/>
        <v>0</v>
      </c>
      <c r="O4255" s="1" t="str">
        <f>"8.09"</f>
        <v>8.09</v>
      </c>
    </row>
    <row r="4256" s="1" customFormat="1" spans="1:15">
      <c r="A4256" s="1" t="str">
        <f t="shared" si="2750"/>
        <v>202406</v>
      </c>
      <c r="B4256" s="1" t="str">
        <f t="shared" si="2751"/>
        <v>150525100</v>
      </c>
      <c r="C4256" s="1" t="str">
        <f>"1014550278"</f>
        <v>1014550278</v>
      </c>
      <c r="D4256" s="1" t="str">
        <f>"152326195811183312"</f>
        <v>152326195811183312</v>
      </c>
      <c r="E4256" s="1" t="s">
        <v>4276</v>
      </c>
      <c r="F4256" s="1" t="s">
        <v>25</v>
      </c>
      <c r="G4256" s="1" t="s">
        <v>17</v>
      </c>
      <c r="H4256" s="1" t="str">
        <f t="shared" si="2755"/>
        <v>66</v>
      </c>
      <c r="I4256" s="1" t="str">
        <f>"157.15"</f>
        <v>157.15</v>
      </c>
      <c r="J4256" s="1" t="str">
        <f t="shared" si="2748"/>
        <v>0</v>
      </c>
      <c r="K4256" s="1" t="str">
        <f t="shared" si="2756"/>
        <v>103</v>
      </c>
      <c r="L4256" s="1" t="str">
        <f t="shared" si="2757"/>
        <v>47</v>
      </c>
      <c r="M4256" s="1" t="str">
        <f t="shared" ref="M4256:M4319" si="2758">"0"</f>
        <v>0</v>
      </c>
      <c r="N4256" s="1" t="str">
        <f t="shared" si="2747"/>
        <v>0</v>
      </c>
      <c r="O4256" s="1" t="str">
        <f>"7.15"</f>
        <v>7.15</v>
      </c>
    </row>
    <row r="4257" s="1" customFormat="1" spans="1:15">
      <c r="A4257" s="1" t="str">
        <f t="shared" si="2750"/>
        <v>202406</v>
      </c>
      <c r="B4257" s="1" t="str">
        <f t="shared" si="2751"/>
        <v>150525100</v>
      </c>
      <c r="C4257" s="1" t="str">
        <f>"1014550279"</f>
        <v>1014550279</v>
      </c>
      <c r="D4257" s="1" t="str">
        <f>"152326195811200661"</f>
        <v>152326195811200661</v>
      </c>
      <c r="E4257" s="1" t="s">
        <v>1300</v>
      </c>
      <c r="F4257" s="1" t="s">
        <v>16</v>
      </c>
      <c r="G4257" s="1" t="s">
        <v>17</v>
      </c>
      <c r="H4257" s="1" t="str">
        <f t="shared" si="2755"/>
        <v>66</v>
      </c>
      <c r="I4257" s="1" t="str">
        <f>"157.16"</f>
        <v>157.16</v>
      </c>
      <c r="J4257" s="1" t="str">
        <f t="shared" si="2748"/>
        <v>0</v>
      </c>
      <c r="K4257" s="1" t="str">
        <f t="shared" si="2756"/>
        <v>103</v>
      </c>
      <c r="L4257" s="1" t="str">
        <f t="shared" si="2757"/>
        <v>47</v>
      </c>
      <c r="M4257" s="1" t="str">
        <f t="shared" si="2758"/>
        <v>0</v>
      </c>
      <c r="N4257" s="1" t="str">
        <f t="shared" si="2747"/>
        <v>0</v>
      </c>
      <c r="O4257" s="1" t="str">
        <f>"7.16"</f>
        <v>7.16</v>
      </c>
    </row>
    <row r="4258" s="1" customFormat="1" spans="1:15">
      <c r="A4258" s="1" t="str">
        <f t="shared" si="2750"/>
        <v>202406</v>
      </c>
      <c r="B4258" s="1" t="str">
        <f t="shared" si="2751"/>
        <v>150525100</v>
      </c>
      <c r="C4258" s="1" t="str">
        <f>"1014550283"</f>
        <v>1014550283</v>
      </c>
      <c r="D4258" s="1" t="str">
        <f>"152326195901170670"</f>
        <v>152326195901170670</v>
      </c>
      <c r="E4258" s="1" t="s">
        <v>4277</v>
      </c>
      <c r="F4258" s="1" t="s">
        <v>25</v>
      </c>
      <c r="G4258" s="1" t="s">
        <v>17</v>
      </c>
      <c r="H4258" s="1" t="str">
        <f t="shared" ref="H4258:H4260" si="2759">"65"</f>
        <v>65</v>
      </c>
      <c r="I4258" s="1" t="str">
        <f>"158.11"</f>
        <v>158.11</v>
      </c>
      <c r="J4258" s="1" t="str">
        <f t="shared" si="2748"/>
        <v>0</v>
      </c>
      <c r="K4258" s="1" t="str">
        <f t="shared" si="2756"/>
        <v>103</v>
      </c>
      <c r="L4258" s="1" t="str">
        <f t="shared" si="2757"/>
        <v>47</v>
      </c>
      <c r="M4258" s="1" t="str">
        <f t="shared" si="2758"/>
        <v>0</v>
      </c>
      <c r="N4258" s="1" t="str">
        <f t="shared" si="2747"/>
        <v>0</v>
      </c>
      <c r="O4258" s="1" t="str">
        <f>"8.11"</f>
        <v>8.11</v>
      </c>
    </row>
    <row r="4259" s="1" customFormat="1" spans="1:15">
      <c r="A4259" s="1" t="str">
        <f t="shared" si="2750"/>
        <v>202406</v>
      </c>
      <c r="B4259" s="1" t="str">
        <f t="shared" si="2751"/>
        <v>150525100</v>
      </c>
      <c r="C4259" s="1" t="str">
        <f>"1014550284"</f>
        <v>1014550284</v>
      </c>
      <c r="D4259" s="1" t="str">
        <f>"152326195902020674"</f>
        <v>152326195902020674</v>
      </c>
      <c r="E4259" s="1" t="s">
        <v>4278</v>
      </c>
      <c r="F4259" s="1" t="s">
        <v>25</v>
      </c>
      <c r="G4259" s="1" t="s">
        <v>17</v>
      </c>
      <c r="H4259" s="1" t="str">
        <f t="shared" si="2759"/>
        <v>65</v>
      </c>
      <c r="I4259" s="1" t="str">
        <f>"158.12"</f>
        <v>158.12</v>
      </c>
      <c r="J4259" s="1" t="str">
        <f t="shared" si="2748"/>
        <v>0</v>
      </c>
      <c r="K4259" s="1" t="str">
        <f t="shared" si="2756"/>
        <v>103</v>
      </c>
      <c r="L4259" s="1" t="str">
        <f t="shared" si="2757"/>
        <v>47</v>
      </c>
      <c r="M4259" s="1" t="str">
        <f t="shared" si="2758"/>
        <v>0</v>
      </c>
      <c r="N4259" s="1" t="str">
        <f t="shared" si="2747"/>
        <v>0</v>
      </c>
      <c r="O4259" s="1" t="str">
        <f>"8.12"</f>
        <v>8.12</v>
      </c>
    </row>
    <row r="4260" s="1" customFormat="1" spans="1:15">
      <c r="A4260" s="1" t="str">
        <f t="shared" si="2750"/>
        <v>202406</v>
      </c>
      <c r="B4260" s="1" t="str">
        <f t="shared" si="2751"/>
        <v>150525100</v>
      </c>
      <c r="C4260" s="1" t="str">
        <f>"1014550290"</f>
        <v>1014550290</v>
      </c>
      <c r="D4260" s="1" t="str">
        <f>"152326195905150669"</f>
        <v>152326195905150669</v>
      </c>
      <c r="E4260" s="1" t="s">
        <v>4279</v>
      </c>
      <c r="F4260" s="1" t="s">
        <v>16</v>
      </c>
      <c r="G4260" s="1" t="s">
        <v>17</v>
      </c>
      <c r="H4260" s="1" t="str">
        <f t="shared" si="2759"/>
        <v>65</v>
      </c>
      <c r="I4260" s="1" t="str">
        <f>"158.15"</f>
        <v>158.15</v>
      </c>
      <c r="J4260" s="1" t="str">
        <f t="shared" si="2748"/>
        <v>0</v>
      </c>
      <c r="K4260" s="1" t="str">
        <f t="shared" si="2756"/>
        <v>103</v>
      </c>
      <c r="L4260" s="1" t="str">
        <f t="shared" si="2757"/>
        <v>47</v>
      </c>
      <c r="M4260" s="1" t="str">
        <f t="shared" si="2758"/>
        <v>0</v>
      </c>
      <c r="N4260" s="1" t="str">
        <f t="shared" si="2747"/>
        <v>0</v>
      </c>
      <c r="O4260" s="1" t="str">
        <f>"8.15"</f>
        <v>8.15</v>
      </c>
    </row>
    <row r="4261" s="1" customFormat="1" spans="1:15">
      <c r="A4261" s="1" t="str">
        <f t="shared" si="2750"/>
        <v>202406</v>
      </c>
      <c r="B4261" s="1" t="str">
        <f t="shared" si="2751"/>
        <v>150525100</v>
      </c>
      <c r="C4261" s="1" t="str">
        <f>"1014550779"</f>
        <v>1014550779</v>
      </c>
      <c r="D4261" s="1" t="str">
        <f>"152326195401143334"</f>
        <v>152326195401143334</v>
      </c>
      <c r="E4261" s="1" t="s">
        <v>4280</v>
      </c>
      <c r="F4261" s="1" t="s">
        <v>25</v>
      </c>
      <c r="G4261" s="1" t="s">
        <v>17</v>
      </c>
      <c r="H4261" s="1" t="str">
        <f>"70"</f>
        <v>70</v>
      </c>
      <c r="I4261" s="1" t="str">
        <f>"164.15"</f>
        <v>164.15</v>
      </c>
      <c r="J4261" s="1" t="str">
        <f t="shared" si="2748"/>
        <v>0</v>
      </c>
      <c r="K4261" s="1" t="str">
        <f t="shared" si="2756"/>
        <v>103</v>
      </c>
      <c r="L4261" s="1" t="str">
        <f t="shared" si="2757"/>
        <v>47</v>
      </c>
      <c r="M4261" s="1" t="str">
        <f t="shared" si="2758"/>
        <v>0</v>
      </c>
      <c r="N4261" s="1" t="str">
        <f t="shared" si="2747"/>
        <v>0</v>
      </c>
      <c r="O4261" s="1" t="str">
        <f>"4.15"</f>
        <v>4.15</v>
      </c>
    </row>
    <row r="4262" s="1" customFormat="1" spans="1:15">
      <c r="A4262" s="1" t="str">
        <f t="shared" si="2750"/>
        <v>202406</v>
      </c>
      <c r="B4262" s="1" t="str">
        <f t="shared" si="2751"/>
        <v>150525100</v>
      </c>
      <c r="C4262" s="1" t="str">
        <f>"1014585306"</f>
        <v>1014585306</v>
      </c>
      <c r="D4262" s="1" t="str">
        <f>"152326196401060429"</f>
        <v>152326196401060429</v>
      </c>
      <c r="E4262" s="1" t="s">
        <v>4281</v>
      </c>
      <c r="F4262" s="1" t="s">
        <v>16</v>
      </c>
      <c r="G4262" s="1" t="s">
        <v>17</v>
      </c>
      <c r="H4262" s="1" t="str">
        <f>"61"</f>
        <v>61</v>
      </c>
      <c r="I4262" s="1" t="str">
        <f>"169.2"</f>
        <v>169.2</v>
      </c>
      <c r="J4262" s="1" t="str">
        <f t="shared" si="2748"/>
        <v>0</v>
      </c>
      <c r="K4262" s="1" t="str">
        <f t="shared" si="2756"/>
        <v>103</v>
      </c>
      <c r="L4262" s="1" t="str">
        <f t="shared" si="2757"/>
        <v>47</v>
      </c>
      <c r="M4262" s="1" t="str">
        <f t="shared" si="2758"/>
        <v>0</v>
      </c>
      <c r="N4262" s="1" t="str">
        <f t="shared" si="2747"/>
        <v>0</v>
      </c>
      <c r="O4262" s="1" t="str">
        <f>"19.2"</f>
        <v>19.2</v>
      </c>
    </row>
    <row r="4263" s="1" customFormat="1" spans="1:15">
      <c r="A4263" s="1" t="str">
        <f t="shared" si="2750"/>
        <v>202406</v>
      </c>
      <c r="B4263" s="1" t="str">
        <f t="shared" si="2751"/>
        <v>150525100</v>
      </c>
      <c r="C4263" s="1" t="str">
        <f>"1014583917"</f>
        <v>1014583917</v>
      </c>
      <c r="D4263" s="1" t="str">
        <f>"152326195602130417"</f>
        <v>152326195602130417</v>
      </c>
      <c r="E4263" s="1" t="s">
        <v>4282</v>
      </c>
      <c r="F4263" s="1" t="s">
        <v>25</v>
      </c>
      <c r="G4263" s="1" t="s">
        <v>17</v>
      </c>
      <c r="H4263" s="1" t="str">
        <f>"68"</f>
        <v>68</v>
      </c>
      <c r="I4263" s="1" t="str">
        <f>"156.01"</f>
        <v>156.01</v>
      </c>
      <c r="J4263" s="1" t="str">
        <f t="shared" si="2748"/>
        <v>0</v>
      </c>
      <c r="K4263" s="1" t="str">
        <f t="shared" si="2756"/>
        <v>103</v>
      </c>
      <c r="L4263" s="1" t="str">
        <f t="shared" si="2757"/>
        <v>47</v>
      </c>
      <c r="M4263" s="1" t="str">
        <f t="shared" si="2758"/>
        <v>0</v>
      </c>
      <c r="N4263" s="1" t="str">
        <f t="shared" ref="N4263:N4326" si="2760">"0"</f>
        <v>0</v>
      </c>
      <c r="O4263" s="1" t="str">
        <f>"6.01"</f>
        <v>6.01</v>
      </c>
    </row>
    <row r="4264" s="1" customFormat="1" spans="1:15">
      <c r="A4264" s="1" t="str">
        <f t="shared" si="2750"/>
        <v>202406</v>
      </c>
      <c r="B4264" s="1" t="str">
        <f t="shared" si="2751"/>
        <v>150525100</v>
      </c>
      <c r="C4264" s="1" t="str">
        <f>"1014583919"</f>
        <v>1014583919</v>
      </c>
      <c r="D4264" s="1" t="str">
        <f>"152326195603080677"</f>
        <v>152326195603080677</v>
      </c>
      <c r="E4264" s="1" t="s">
        <v>4283</v>
      </c>
      <c r="F4264" s="1" t="s">
        <v>25</v>
      </c>
      <c r="G4264" s="1" t="s">
        <v>17</v>
      </c>
      <c r="H4264" s="1" t="str">
        <f>"68"</f>
        <v>68</v>
      </c>
      <c r="I4264" s="1" t="str">
        <f>"156.01"</f>
        <v>156.01</v>
      </c>
      <c r="J4264" s="1" t="str">
        <f t="shared" si="2748"/>
        <v>0</v>
      </c>
      <c r="K4264" s="1" t="str">
        <f t="shared" si="2756"/>
        <v>103</v>
      </c>
      <c r="L4264" s="1" t="str">
        <f t="shared" si="2757"/>
        <v>47</v>
      </c>
      <c r="M4264" s="1" t="str">
        <f t="shared" si="2758"/>
        <v>0</v>
      </c>
      <c r="N4264" s="1" t="str">
        <f t="shared" si="2760"/>
        <v>0</v>
      </c>
      <c r="O4264" s="1" t="str">
        <f>"6.01"</f>
        <v>6.01</v>
      </c>
    </row>
    <row r="4265" s="1" customFormat="1" spans="1:15">
      <c r="A4265" s="1" t="str">
        <f t="shared" si="2750"/>
        <v>202406</v>
      </c>
      <c r="B4265" s="1" t="str">
        <f t="shared" si="2751"/>
        <v>150525100</v>
      </c>
      <c r="C4265" s="1" t="str">
        <f>"1014549781"</f>
        <v>1014549781</v>
      </c>
      <c r="D4265" s="1" t="str">
        <f>"152326196008240685"</f>
        <v>152326196008240685</v>
      </c>
      <c r="E4265" s="1" t="s">
        <v>4284</v>
      </c>
      <c r="F4265" s="1" t="s">
        <v>16</v>
      </c>
      <c r="G4265" s="1" t="s">
        <v>96</v>
      </c>
      <c r="H4265" s="1" t="str">
        <f>"64"</f>
        <v>64</v>
      </c>
      <c r="I4265" s="1" t="str">
        <f>"159.25"</f>
        <v>159.25</v>
      </c>
      <c r="J4265" s="1" t="str">
        <f t="shared" si="2748"/>
        <v>0</v>
      </c>
      <c r="K4265" s="1" t="str">
        <f t="shared" si="2756"/>
        <v>103</v>
      </c>
      <c r="L4265" s="1" t="str">
        <f t="shared" si="2757"/>
        <v>47</v>
      </c>
      <c r="M4265" s="1" t="str">
        <f t="shared" si="2758"/>
        <v>0</v>
      </c>
      <c r="N4265" s="1" t="str">
        <f t="shared" si="2760"/>
        <v>0</v>
      </c>
      <c r="O4265" s="1" t="str">
        <f>"9.25"</f>
        <v>9.25</v>
      </c>
    </row>
    <row r="4266" s="1" customFormat="1" spans="1:15">
      <c r="A4266" s="1" t="str">
        <f t="shared" si="2750"/>
        <v>202406</v>
      </c>
      <c r="B4266" s="1" t="str">
        <f t="shared" si="2751"/>
        <v>150525100</v>
      </c>
      <c r="C4266" s="1" t="str">
        <f>"1014612872"</f>
        <v>1014612872</v>
      </c>
      <c r="D4266" s="1" t="str">
        <f>"152326194904060421"</f>
        <v>152326194904060421</v>
      </c>
      <c r="E4266" s="1" t="s">
        <v>4285</v>
      </c>
      <c r="F4266" s="1" t="s">
        <v>16</v>
      </c>
      <c r="G4266" s="1" t="s">
        <v>17</v>
      </c>
      <c r="H4266" s="1" t="str">
        <f>"75"</f>
        <v>75</v>
      </c>
      <c r="I4266" s="1" t="str">
        <f t="shared" ref="I4266:I4275" si="2761">"160"</f>
        <v>160</v>
      </c>
      <c r="J4266" s="1" t="str">
        <f t="shared" si="2748"/>
        <v>0</v>
      </c>
      <c r="K4266" s="1" t="str">
        <f t="shared" si="2756"/>
        <v>103</v>
      </c>
      <c r="L4266" s="1" t="str">
        <f t="shared" si="2757"/>
        <v>47</v>
      </c>
      <c r="M4266" s="1" t="str">
        <f t="shared" si="2758"/>
        <v>0</v>
      </c>
      <c r="N4266" s="1" t="str">
        <f t="shared" si="2760"/>
        <v>0</v>
      </c>
      <c r="O4266" s="1" t="str">
        <f t="shared" ref="O4266:O4291" si="2762">"0"</f>
        <v>0</v>
      </c>
    </row>
    <row r="4267" s="1" customFormat="1" spans="1:15">
      <c r="A4267" s="1" t="str">
        <f t="shared" si="2750"/>
        <v>202406</v>
      </c>
      <c r="B4267" s="1" t="str">
        <f t="shared" si="2751"/>
        <v>150525100</v>
      </c>
      <c r="C4267" s="1" t="str">
        <f>"1014622190"</f>
        <v>1014622190</v>
      </c>
      <c r="D4267" s="1" t="str">
        <f>"152326194301050670"</f>
        <v>152326194301050670</v>
      </c>
      <c r="E4267" s="1" t="s">
        <v>4286</v>
      </c>
      <c r="F4267" s="1" t="s">
        <v>25</v>
      </c>
      <c r="G4267" s="1" t="s">
        <v>17</v>
      </c>
      <c r="H4267" s="1" t="str">
        <f>"82"</f>
        <v>82</v>
      </c>
      <c r="I4267" s="1" t="str">
        <f>"170"</f>
        <v>170</v>
      </c>
      <c r="J4267" s="1" t="str">
        <f t="shared" si="2748"/>
        <v>0</v>
      </c>
      <c r="K4267" s="1" t="str">
        <f t="shared" si="2756"/>
        <v>103</v>
      </c>
      <c r="L4267" s="1" t="str">
        <f t="shared" si="2757"/>
        <v>47</v>
      </c>
      <c r="M4267" s="1" t="str">
        <f t="shared" si="2758"/>
        <v>0</v>
      </c>
      <c r="N4267" s="1" t="str">
        <f t="shared" si="2760"/>
        <v>0</v>
      </c>
      <c r="O4267" s="1" t="str">
        <f t="shared" si="2762"/>
        <v>0</v>
      </c>
    </row>
    <row r="4268" s="1" customFormat="1" spans="1:15">
      <c r="A4268" s="1" t="str">
        <f t="shared" si="2750"/>
        <v>202406</v>
      </c>
      <c r="B4268" s="1" t="str">
        <f t="shared" si="2751"/>
        <v>150525100</v>
      </c>
      <c r="C4268" s="1" t="str">
        <f>"1014622586"</f>
        <v>1014622586</v>
      </c>
      <c r="D4268" s="1" t="str">
        <f>"152326193603120414"</f>
        <v>152326193603120414</v>
      </c>
      <c r="E4268" s="1" t="s">
        <v>4287</v>
      </c>
      <c r="F4268" s="1" t="s">
        <v>25</v>
      </c>
      <c r="G4268" s="1" t="s">
        <v>17</v>
      </c>
      <c r="H4268" s="1" t="str">
        <f>"88"</f>
        <v>88</v>
      </c>
      <c r="I4268" s="1" t="str">
        <f>"1740"</f>
        <v>1740</v>
      </c>
      <c r="J4268" s="1" t="str">
        <f t="shared" si="2748"/>
        <v>0</v>
      </c>
      <c r="K4268" s="1" t="str">
        <f>"0"</f>
        <v>0</v>
      </c>
      <c r="L4268" s="1" t="str">
        <f>"0"</f>
        <v>0</v>
      </c>
      <c r="M4268" s="1" t="str">
        <f t="shared" si="2758"/>
        <v>0</v>
      </c>
      <c r="N4268" s="1" t="str">
        <f t="shared" si="2760"/>
        <v>0</v>
      </c>
      <c r="O4268" s="1" t="str">
        <f t="shared" si="2762"/>
        <v>0</v>
      </c>
    </row>
    <row r="4269" s="1" customFormat="1" spans="1:15">
      <c r="A4269" s="1" t="str">
        <f t="shared" si="2750"/>
        <v>202406</v>
      </c>
      <c r="B4269" s="1" t="str">
        <f t="shared" si="2751"/>
        <v>150525100</v>
      </c>
      <c r="C4269" s="1" t="str">
        <f>"1014622591"</f>
        <v>1014622591</v>
      </c>
      <c r="D4269" s="1" t="str">
        <f>"152326195107100675"</f>
        <v>152326195107100675</v>
      </c>
      <c r="E4269" s="1" t="s">
        <v>4288</v>
      </c>
      <c r="F4269" s="1" t="s">
        <v>25</v>
      </c>
      <c r="G4269" s="1" t="s">
        <v>17</v>
      </c>
      <c r="H4269" s="1" t="str">
        <f t="shared" ref="H4269:H4271" si="2763">"73"</f>
        <v>73</v>
      </c>
      <c r="I4269" s="1" t="str">
        <f t="shared" si="2761"/>
        <v>160</v>
      </c>
      <c r="J4269" s="1" t="str">
        <f t="shared" ref="J4269:J4332" si="2764">"0"</f>
        <v>0</v>
      </c>
      <c r="K4269" s="1" t="str">
        <f t="shared" ref="K4269:K4322" si="2765">"103"</f>
        <v>103</v>
      </c>
      <c r="L4269" s="1" t="str">
        <f t="shared" ref="L4269:L4322" si="2766">"47"</f>
        <v>47</v>
      </c>
      <c r="M4269" s="1" t="str">
        <f t="shared" si="2758"/>
        <v>0</v>
      </c>
      <c r="N4269" s="1" t="str">
        <f t="shared" si="2760"/>
        <v>0</v>
      </c>
      <c r="O4269" s="1" t="str">
        <f t="shared" si="2762"/>
        <v>0</v>
      </c>
    </row>
    <row r="4270" s="1" customFormat="1" spans="1:15">
      <c r="A4270" s="1" t="str">
        <f t="shared" si="2750"/>
        <v>202406</v>
      </c>
      <c r="B4270" s="1" t="str">
        <f t="shared" si="2751"/>
        <v>150525100</v>
      </c>
      <c r="C4270" s="1" t="str">
        <f>"1014623954"</f>
        <v>1014623954</v>
      </c>
      <c r="D4270" s="1" t="str">
        <f>"152326195107290691"</f>
        <v>152326195107290691</v>
      </c>
      <c r="E4270" s="1" t="s">
        <v>4289</v>
      </c>
      <c r="F4270" s="1" t="s">
        <v>25</v>
      </c>
      <c r="G4270" s="1" t="s">
        <v>17</v>
      </c>
      <c r="H4270" s="1" t="str">
        <f t="shared" si="2763"/>
        <v>73</v>
      </c>
      <c r="I4270" s="1" t="str">
        <f t="shared" si="2761"/>
        <v>160</v>
      </c>
      <c r="J4270" s="1" t="str">
        <f t="shared" si="2764"/>
        <v>0</v>
      </c>
      <c r="K4270" s="1" t="str">
        <f t="shared" si="2765"/>
        <v>103</v>
      </c>
      <c r="L4270" s="1" t="str">
        <f t="shared" si="2766"/>
        <v>47</v>
      </c>
      <c r="M4270" s="1" t="str">
        <f t="shared" si="2758"/>
        <v>0</v>
      </c>
      <c r="N4270" s="1" t="str">
        <f t="shared" si="2760"/>
        <v>0</v>
      </c>
      <c r="O4270" s="1" t="str">
        <f t="shared" si="2762"/>
        <v>0</v>
      </c>
    </row>
    <row r="4271" s="1" customFormat="1" spans="1:15">
      <c r="A4271" s="1" t="str">
        <f t="shared" si="2750"/>
        <v>202406</v>
      </c>
      <c r="B4271" s="1" t="str">
        <f t="shared" si="2751"/>
        <v>150525100</v>
      </c>
      <c r="C4271" s="1" t="str">
        <f>"1014623957"</f>
        <v>1014623957</v>
      </c>
      <c r="D4271" s="1" t="str">
        <f>"152326195106150662"</f>
        <v>152326195106150662</v>
      </c>
      <c r="E4271" s="1" t="s">
        <v>4290</v>
      </c>
      <c r="F4271" s="1" t="s">
        <v>16</v>
      </c>
      <c r="G4271" s="1" t="s">
        <v>17</v>
      </c>
      <c r="H4271" s="1" t="str">
        <f t="shared" si="2763"/>
        <v>73</v>
      </c>
      <c r="I4271" s="1" t="str">
        <f t="shared" si="2761"/>
        <v>160</v>
      </c>
      <c r="J4271" s="1" t="str">
        <f t="shared" si="2764"/>
        <v>0</v>
      </c>
      <c r="K4271" s="1" t="str">
        <f t="shared" si="2765"/>
        <v>103</v>
      </c>
      <c r="L4271" s="1" t="str">
        <f t="shared" si="2766"/>
        <v>47</v>
      </c>
      <c r="M4271" s="1" t="str">
        <f t="shared" si="2758"/>
        <v>0</v>
      </c>
      <c r="N4271" s="1" t="str">
        <f t="shared" si="2760"/>
        <v>0</v>
      </c>
      <c r="O4271" s="1" t="str">
        <f t="shared" si="2762"/>
        <v>0</v>
      </c>
    </row>
    <row r="4272" s="1" customFormat="1" spans="1:15">
      <c r="A4272" s="1" t="str">
        <f t="shared" si="2750"/>
        <v>202406</v>
      </c>
      <c r="B4272" s="1" t="str">
        <f t="shared" si="2751"/>
        <v>150525100</v>
      </c>
      <c r="C4272" s="1" t="str">
        <f>"1014623960"</f>
        <v>1014623960</v>
      </c>
      <c r="D4272" s="1" t="str">
        <f>"152326194806200670"</f>
        <v>152326194806200670</v>
      </c>
      <c r="E4272" s="1" t="s">
        <v>4291</v>
      </c>
      <c r="F4272" s="1" t="s">
        <v>25</v>
      </c>
      <c r="G4272" s="1" t="s">
        <v>96</v>
      </c>
      <c r="H4272" s="1" t="str">
        <f>"76"</f>
        <v>76</v>
      </c>
      <c r="I4272" s="1" t="str">
        <f t="shared" si="2761"/>
        <v>160</v>
      </c>
      <c r="J4272" s="1" t="str">
        <f t="shared" si="2764"/>
        <v>0</v>
      </c>
      <c r="K4272" s="1" t="str">
        <f t="shared" si="2765"/>
        <v>103</v>
      </c>
      <c r="L4272" s="1" t="str">
        <f t="shared" si="2766"/>
        <v>47</v>
      </c>
      <c r="M4272" s="1" t="str">
        <f t="shared" si="2758"/>
        <v>0</v>
      </c>
      <c r="N4272" s="1" t="str">
        <f t="shared" si="2760"/>
        <v>0</v>
      </c>
      <c r="O4272" s="1" t="str">
        <f t="shared" si="2762"/>
        <v>0</v>
      </c>
    </row>
    <row r="4273" s="1" customFormat="1" spans="1:15">
      <c r="A4273" s="1" t="str">
        <f t="shared" si="2750"/>
        <v>202406</v>
      </c>
      <c r="B4273" s="1" t="str">
        <f t="shared" si="2751"/>
        <v>150525100</v>
      </c>
      <c r="C4273" s="1" t="str">
        <f>"1014623968"</f>
        <v>1014623968</v>
      </c>
      <c r="D4273" s="1" t="str">
        <f>"152326195107190674"</f>
        <v>152326195107190674</v>
      </c>
      <c r="E4273" s="1" t="s">
        <v>4292</v>
      </c>
      <c r="F4273" s="1" t="s">
        <v>25</v>
      </c>
      <c r="G4273" s="1" t="s">
        <v>19</v>
      </c>
      <c r="H4273" s="1" t="str">
        <f>"73"</f>
        <v>73</v>
      </c>
      <c r="I4273" s="1" t="str">
        <f t="shared" si="2761"/>
        <v>160</v>
      </c>
      <c r="J4273" s="1" t="str">
        <f t="shared" si="2764"/>
        <v>0</v>
      </c>
      <c r="K4273" s="1" t="str">
        <f t="shared" si="2765"/>
        <v>103</v>
      </c>
      <c r="L4273" s="1" t="str">
        <f t="shared" si="2766"/>
        <v>47</v>
      </c>
      <c r="M4273" s="1" t="str">
        <f t="shared" si="2758"/>
        <v>0</v>
      </c>
      <c r="N4273" s="1" t="str">
        <f t="shared" si="2760"/>
        <v>0</v>
      </c>
      <c r="O4273" s="1" t="str">
        <f t="shared" si="2762"/>
        <v>0</v>
      </c>
    </row>
    <row r="4274" s="1" customFormat="1" spans="1:15">
      <c r="A4274" s="1" t="str">
        <f t="shared" si="2750"/>
        <v>202406</v>
      </c>
      <c r="B4274" s="1" t="str">
        <f t="shared" si="2751"/>
        <v>150525100</v>
      </c>
      <c r="C4274" s="1" t="str">
        <f>"1014623976"</f>
        <v>1014623976</v>
      </c>
      <c r="D4274" s="1" t="s">
        <v>4293</v>
      </c>
      <c r="E4274" s="1" t="s">
        <v>4294</v>
      </c>
      <c r="F4274" s="1" t="s">
        <v>25</v>
      </c>
      <c r="G4274" s="1" t="s">
        <v>19</v>
      </c>
      <c r="H4274" s="1" t="str">
        <f>"80"</f>
        <v>80</v>
      </c>
      <c r="I4274" s="1" t="str">
        <f t="shared" si="2761"/>
        <v>160</v>
      </c>
      <c r="J4274" s="1" t="str">
        <f t="shared" si="2764"/>
        <v>0</v>
      </c>
      <c r="K4274" s="1" t="str">
        <f t="shared" si="2765"/>
        <v>103</v>
      </c>
      <c r="L4274" s="1" t="str">
        <f t="shared" si="2766"/>
        <v>47</v>
      </c>
      <c r="M4274" s="1" t="str">
        <f t="shared" si="2758"/>
        <v>0</v>
      </c>
      <c r="N4274" s="1" t="str">
        <f t="shared" si="2760"/>
        <v>0</v>
      </c>
      <c r="O4274" s="1" t="str">
        <f t="shared" si="2762"/>
        <v>0</v>
      </c>
    </row>
    <row r="4275" s="1" customFormat="1" spans="1:15">
      <c r="A4275" s="1" t="str">
        <f t="shared" si="2750"/>
        <v>202406</v>
      </c>
      <c r="B4275" s="1" t="str">
        <f t="shared" si="2751"/>
        <v>150525100</v>
      </c>
      <c r="C4275" s="1" t="str">
        <f>"1014623981"</f>
        <v>1014623981</v>
      </c>
      <c r="D4275" s="1" t="str">
        <f>"152326194706220666"</f>
        <v>152326194706220666</v>
      </c>
      <c r="E4275" s="1" t="s">
        <v>4295</v>
      </c>
      <c r="F4275" s="1" t="s">
        <v>16</v>
      </c>
      <c r="G4275" s="1" t="s">
        <v>17</v>
      </c>
      <c r="H4275" s="1" t="str">
        <f>"77"</f>
        <v>77</v>
      </c>
      <c r="I4275" s="1" t="str">
        <f t="shared" si="2761"/>
        <v>160</v>
      </c>
      <c r="J4275" s="1" t="str">
        <f t="shared" si="2764"/>
        <v>0</v>
      </c>
      <c r="K4275" s="1" t="str">
        <f t="shared" si="2765"/>
        <v>103</v>
      </c>
      <c r="L4275" s="1" t="str">
        <f t="shared" si="2766"/>
        <v>47</v>
      </c>
      <c r="M4275" s="1" t="str">
        <f t="shared" si="2758"/>
        <v>0</v>
      </c>
      <c r="N4275" s="1" t="str">
        <f t="shared" si="2760"/>
        <v>0</v>
      </c>
      <c r="O4275" s="1" t="str">
        <f t="shared" si="2762"/>
        <v>0</v>
      </c>
    </row>
    <row r="4276" s="1" customFormat="1" spans="1:15">
      <c r="A4276" s="1" t="str">
        <f t="shared" si="2750"/>
        <v>202406</v>
      </c>
      <c r="B4276" s="1" t="str">
        <f t="shared" si="2751"/>
        <v>150525100</v>
      </c>
      <c r="C4276" s="1" t="str">
        <f>"1014624435"</f>
        <v>1014624435</v>
      </c>
      <c r="D4276" s="1" t="str">
        <f>"152326193305100669"</f>
        <v>152326193305100669</v>
      </c>
      <c r="E4276" s="1" t="s">
        <v>4296</v>
      </c>
      <c r="F4276" s="1" t="s">
        <v>16</v>
      </c>
      <c r="G4276" s="1" t="s">
        <v>17</v>
      </c>
      <c r="H4276" s="1" t="str">
        <f>"91"</f>
        <v>91</v>
      </c>
      <c r="I4276" s="1" t="str">
        <f>"170"</f>
        <v>170</v>
      </c>
      <c r="J4276" s="1" t="str">
        <f t="shared" si="2764"/>
        <v>0</v>
      </c>
      <c r="K4276" s="1" t="str">
        <f t="shared" si="2765"/>
        <v>103</v>
      </c>
      <c r="L4276" s="1" t="str">
        <f t="shared" si="2766"/>
        <v>47</v>
      </c>
      <c r="M4276" s="1" t="str">
        <f t="shared" si="2758"/>
        <v>0</v>
      </c>
      <c r="N4276" s="1" t="str">
        <f t="shared" si="2760"/>
        <v>0</v>
      </c>
      <c r="O4276" s="1" t="str">
        <f t="shared" si="2762"/>
        <v>0</v>
      </c>
    </row>
    <row r="4277" s="1" customFormat="1" spans="1:15">
      <c r="A4277" s="1" t="str">
        <f t="shared" si="2750"/>
        <v>202406</v>
      </c>
      <c r="B4277" s="1" t="str">
        <f t="shared" si="2751"/>
        <v>150525100</v>
      </c>
      <c r="C4277" s="1" t="str">
        <f>"1014624448"</f>
        <v>1014624448</v>
      </c>
      <c r="D4277" s="1" t="str">
        <f>"152326194906183820"</f>
        <v>152326194906183820</v>
      </c>
      <c r="E4277" s="1" t="s">
        <v>1420</v>
      </c>
      <c r="F4277" s="1" t="s">
        <v>16</v>
      </c>
      <c r="G4277" s="1" t="s">
        <v>19</v>
      </c>
      <c r="H4277" s="1" t="str">
        <f t="shared" ref="H4277:H4282" si="2767">"75"</f>
        <v>75</v>
      </c>
      <c r="I4277" s="1" t="str">
        <f t="shared" ref="I4277:I4290" si="2768">"160"</f>
        <v>160</v>
      </c>
      <c r="J4277" s="1" t="str">
        <f t="shared" si="2764"/>
        <v>0</v>
      </c>
      <c r="K4277" s="1" t="str">
        <f t="shared" si="2765"/>
        <v>103</v>
      </c>
      <c r="L4277" s="1" t="str">
        <f t="shared" si="2766"/>
        <v>47</v>
      </c>
      <c r="M4277" s="1" t="str">
        <f t="shared" si="2758"/>
        <v>0</v>
      </c>
      <c r="N4277" s="1" t="str">
        <f t="shared" si="2760"/>
        <v>0</v>
      </c>
      <c r="O4277" s="1" t="str">
        <f t="shared" si="2762"/>
        <v>0</v>
      </c>
    </row>
    <row r="4278" s="1" customFormat="1" spans="1:15">
      <c r="A4278" s="1" t="str">
        <f t="shared" si="2750"/>
        <v>202406</v>
      </c>
      <c r="B4278" s="1" t="str">
        <f t="shared" si="2751"/>
        <v>150525100</v>
      </c>
      <c r="C4278" s="1" t="str">
        <f>"1014624457"</f>
        <v>1014624457</v>
      </c>
      <c r="D4278" s="1" t="s">
        <v>4297</v>
      </c>
      <c r="E4278" s="1" t="s">
        <v>4298</v>
      </c>
      <c r="F4278" s="1" t="s">
        <v>16</v>
      </c>
      <c r="G4278" s="1" t="s">
        <v>19</v>
      </c>
      <c r="H4278" s="1" t="str">
        <f t="shared" si="2767"/>
        <v>75</v>
      </c>
      <c r="I4278" s="1" t="str">
        <f t="shared" si="2768"/>
        <v>160</v>
      </c>
      <c r="J4278" s="1" t="str">
        <f t="shared" si="2764"/>
        <v>0</v>
      </c>
      <c r="K4278" s="1" t="str">
        <f t="shared" si="2765"/>
        <v>103</v>
      </c>
      <c r="L4278" s="1" t="str">
        <f t="shared" si="2766"/>
        <v>47</v>
      </c>
      <c r="M4278" s="1" t="str">
        <f t="shared" si="2758"/>
        <v>0</v>
      </c>
      <c r="N4278" s="1" t="str">
        <f t="shared" si="2760"/>
        <v>0</v>
      </c>
      <c r="O4278" s="1" t="str">
        <f t="shared" si="2762"/>
        <v>0</v>
      </c>
    </row>
    <row r="4279" s="1" customFormat="1" spans="1:15">
      <c r="A4279" s="1" t="str">
        <f t="shared" si="2750"/>
        <v>202406</v>
      </c>
      <c r="B4279" s="1" t="str">
        <f t="shared" si="2751"/>
        <v>150525100</v>
      </c>
      <c r="C4279" s="1" t="str">
        <f>"1014629356"</f>
        <v>1014629356</v>
      </c>
      <c r="D4279" s="1" t="str">
        <f>"152326194803100017"</f>
        <v>152326194803100017</v>
      </c>
      <c r="E4279" s="1" t="s">
        <v>2834</v>
      </c>
      <c r="F4279" s="1" t="s">
        <v>25</v>
      </c>
      <c r="G4279" s="1" t="s">
        <v>17</v>
      </c>
      <c r="H4279" s="1" t="str">
        <f>"76"</f>
        <v>76</v>
      </c>
      <c r="I4279" s="1" t="str">
        <f t="shared" si="2768"/>
        <v>160</v>
      </c>
      <c r="J4279" s="1" t="str">
        <f t="shared" si="2764"/>
        <v>0</v>
      </c>
      <c r="K4279" s="1" t="str">
        <f t="shared" si="2765"/>
        <v>103</v>
      </c>
      <c r="L4279" s="1" t="str">
        <f t="shared" si="2766"/>
        <v>47</v>
      </c>
      <c r="M4279" s="1" t="str">
        <f t="shared" si="2758"/>
        <v>0</v>
      </c>
      <c r="N4279" s="1" t="str">
        <f t="shared" si="2760"/>
        <v>0</v>
      </c>
      <c r="O4279" s="1" t="str">
        <f t="shared" si="2762"/>
        <v>0</v>
      </c>
    </row>
    <row r="4280" s="1" customFormat="1" spans="1:15">
      <c r="A4280" s="1" t="str">
        <f t="shared" si="2750"/>
        <v>202406</v>
      </c>
      <c r="B4280" s="1" t="str">
        <f t="shared" si="2751"/>
        <v>150525100</v>
      </c>
      <c r="C4280" s="1" t="str">
        <f>"1014629363"</f>
        <v>1014629363</v>
      </c>
      <c r="D4280" s="1" t="str">
        <f>"152326194804030022"</f>
        <v>152326194804030022</v>
      </c>
      <c r="E4280" s="1" t="s">
        <v>4299</v>
      </c>
      <c r="F4280" s="1" t="s">
        <v>16</v>
      </c>
      <c r="G4280" s="1" t="s">
        <v>17</v>
      </c>
      <c r="H4280" s="1" t="str">
        <f>"76"</f>
        <v>76</v>
      </c>
      <c r="I4280" s="1" t="str">
        <f t="shared" si="2768"/>
        <v>160</v>
      </c>
      <c r="J4280" s="1" t="str">
        <f t="shared" si="2764"/>
        <v>0</v>
      </c>
      <c r="K4280" s="1" t="str">
        <f t="shared" si="2765"/>
        <v>103</v>
      </c>
      <c r="L4280" s="1" t="str">
        <f t="shared" si="2766"/>
        <v>47</v>
      </c>
      <c r="M4280" s="1" t="str">
        <f t="shared" si="2758"/>
        <v>0</v>
      </c>
      <c r="N4280" s="1" t="str">
        <f t="shared" si="2760"/>
        <v>0</v>
      </c>
      <c r="O4280" s="1" t="str">
        <f t="shared" si="2762"/>
        <v>0</v>
      </c>
    </row>
    <row r="4281" s="1" customFormat="1" spans="1:15">
      <c r="A4281" s="1" t="str">
        <f t="shared" si="2750"/>
        <v>202406</v>
      </c>
      <c r="B4281" s="1" t="str">
        <f t="shared" si="2751"/>
        <v>150525100</v>
      </c>
      <c r="C4281" s="1" t="str">
        <f>"1014629400"</f>
        <v>1014629400</v>
      </c>
      <c r="D4281" s="1" t="str">
        <f>"152326194906130024"</f>
        <v>152326194906130024</v>
      </c>
      <c r="E4281" s="1" t="s">
        <v>1285</v>
      </c>
      <c r="F4281" s="1" t="s">
        <v>16</v>
      </c>
      <c r="G4281" s="1" t="s">
        <v>17</v>
      </c>
      <c r="H4281" s="1" t="str">
        <f t="shared" si="2767"/>
        <v>75</v>
      </c>
      <c r="I4281" s="1" t="str">
        <f t="shared" si="2768"/>
        <v>160</v>
      </c>
      <c r="J4281" s="1" t="str">
        <f t="shared" si="2764"/>
        <v>0</v>
      </c>
      <c r="K4281" s="1" t="str">
        <f t="shared" si="2765"/>
        <v>103</v>
      </c>
      <c r="L4281" s="1" t="str">
        <f t="shared" si="2766"/>
        <v>47</v>
      </c>
      <c r="M4281" s="1" t="str">
        <f t="shared" si="2758"/>
        <v>0</v>
      </c>
      <c r="N4281" s="1" t="str">
        <f t="shared" si="2760"/>
        <v>0</v>
      </c>
      <c r="O4281" s="1" t="str">
        <f t="shared" si="2762"/>
        <v>0</v>
      </c>
    </row>
    <row r="4282" s="1" customFormat="1" spans="1:15">
      <c r="A4282" s="1" t="str">
        <f t="shared" si="2750"/>
        <v>202406</v>
      </c>
      <c r="B4282" s="1" t="str">
        <f t="shared" si="2751"/>
        <v>150525100</v>
      </c>
      <c r="C4282" s="1" t="str">
        <f>"1014629407"</f>
        <v>1014629407</v>
      </c>
      <c r="D4282" s="1" t="str">
        <f>"152326194907030025"</f>
        <v>152326194907030025</v>
      </c>
      <c r="E4282" s="1" t="s">
        <v>4300</v>
      </c>
      <c r="F4282" s="1" t="s">
        <v>16</v>
      </c>
      <c r="G4282" s="1" t="s">
        <v>17</v>
      </c>
      <c r="H4282" s="1" t="str">
        <f t="shared" si="2767"/>
        <v>75</v>
      </c>
      <c r="I4282" s="1" t="str">
        <f t="shared" si="2768"/>
        <v>160</v>
      </c>
      <c r="J4282" s="1" t="str">
        <f t="shared" si="2764"/>
        <v>0</v>
      </c>
      <c r="K4282" s="1" t="str">
        <f t="shared" si="2765"/>
        <v>103</v>
      </c>
      <c r="L4282" s="1" t="str">
        <f t="shared" si="2766"/>
        <v>47</v>
      </c>
      <c r="M4282" s="1" t="str">
        <f t="shared" si="2758"/>
        <v>0</v>
      </c>
      <c r="N4282" s="1" t="str">
        <f t="shared" si="2760"/>
        <v>0</v>
      </c>
      <c r="O4282" s="1" t="str">
        <f t="shared" si="2762"/>
        <v>0</v>
      </c>
    </row>
    <row r="4283" s="1" customFormat="1" spans="1:15">
      <c r="A4283" s="1" t="str">
        <f t="shared" si="2750"/>
        <v>202406</v>
      </c>
      <c r="B4283" s="1" t="str">
        <f t="shared" si="2751"/>
        <v>150525100</v>
      </c>
      <c r="C4283" s="1" t="str">
        <f>"1014619444"</f>
        <v>1014619444</v>
      </c>
      <c r="D4283" s="1" t="str">
        <f>"152326194412280671"</f>
        <v>152326194412280671</v>
      </c>
      <c r="E4283" s="1" t="s">
        <v>4301</v>
      </c>
      <c r="F4283" s="1" t="s">
        <v>25</v>
      </c>
      <c r="G4283" s="1" t="s">
        <v>19</v>
      </c>
      <c r="H4283" s="1" t="str">
        <f>"80"</f>
        <v>80</v>
      </c>
      <c r="I4283" s="1" t="str">
        <f t="shared" si="2768"/>
        <v>160</v>
      </c>
      <c r="J4283" s="1" t="str">
        <f t="shared" si="2764"/>
        <v>0</v>
      </c>
      <c r="K4283" s="1" t="str">
        <f t="shared" si="2765"/>
        <v>103</v>
      </c>
      <c r="L4283" s="1" t="str">
        <f t="shared" si="2766"/>
        <v>47</v>
      </c>
      <c r="M4283" s="1" t="str">
        <f t="shared" si="2758"/>
        <v>0</v>
      </c>
      <c r="N4283" s="1" t="str">
        <f t="shared" si="2760"/>
        <v>0</v>
      </c>
      <c r="O4283" s="1" t="str">
        <f t="shared" si="2762"/>
        <v>0</v>
      </c>
    </row>
    <row r="4284" s="1" customFormat="1" spans="1:15">
      <c r="A4284" s="1" t="str">
        <f t="shared" si="2750"/>
        <v>202406</v>
      </c>
      <c r="B4284" s="1" t="str">
        <f t="shared" si="2751"/>
        <v>150525100</v>
      </c>
      <c r="C4284" s="1" t="str">
        <f>"1014623468"</f>
        <v>1014623468</v>
      </c>
      <c r="D4284" s="1" t="str">
        <f>"152326195106203840"</f>
        <v>152326195106203840</v>
      </c>
      <c r="E4284" s="1" t="s">
        <v>4302</v>
      </c>
      <c r="F4284" s="1" t="s">
        <v>16</v>
      </c>
      <c r="G4284" s="1" t="s">
        <v>19</v>
      </c>
      <c r="H4284" s="1" t="str">
        <f>"73"</f>
        <v>73</v>
      </c>
      <c r="I4284" s="1" t="str">
        <f t="shared" si="2768"/>
        <v>160</v>
      </c>
      <c r="J4284" s="1" t="str">
        <f t="shared" si="2764"/>
        <v>0</v>
      </c>
      <c r="K4284" s="1" t="str">
        <f t="shared" si="2765"/>
        <v>103</v>
      </c>
      <c r="L4284" s="1" t="str">
        <f t="shared" si="2766"/>
        <v>47</v>
      </c>
      <c r="M4284" s="1" t="str">
        <f t="shared" si="2758"/>
        <v>0</v>
      </c>
      <c r="N4284" s="1" t="str">
        <f t="shared" si="2760"/>
        <v>0</v>
      </c>
      <c r="O4284" s="1" t="str">
        <f t="shared" si="2762"/>
        <v>0</v>
      </c>
    </row>
    <row r="4285" s="1" customFormat="1" spans="1:15">
      <c r="A4285" s="1" t="str">
        <f t="shared" si="2750"/>
        <v>202406</v>
      </c>
      <c r="B4285" s="1" t="str">
        <f t="shared" si="2751"/>
        <v>150525100</v>
      </c>
      <c r="C4285" s="1" t="str">
        <f>"1014623473"</f>
        <v>1014623473</v>
      </c>
      <c r="D4285" s="1" t="str">
        <f>"152326194803263828"</f>
        <v>152326194803263828</v>
      </c>
      <c r="E4285" s="1" t="s">
        <v>4303</v>
      </c>
      <c r="F4285" s="1" t="s">
        <v>16</v>
      </c>
      <c r="G4285" s="1" t="s">
        <v>19</v>
      </c>
      <c r="H4285" s="1" t="str">
        <f>"76"</f>
        <v>76</v>
      </c>
      <c r="I4285" s="1" t="str">
        <f t="shared" si="2768"/>
        <v>160</v>
      </c>
      <c r="J4285" s="1" t="str">
        <f t="shared" si="2764"/>
        <v>0</v>
      </c>
      <c r="K4285" s="1" t="str">
        <f t="shared" si="2765"/>
        <v>103</v>
      </c>
      <c r="L4285" s="1" t="str">
        <f t="shared" si="2766"/>
        <v>47</v>
      </c>
      <c r="M4285" s="1" t="str">
        <f t="shared" si="2758"/>
        <v>0</v>
      </c>
      <c r="N4285" s="1" t="str">
        <f t="shared" si="2760"/>
        <v>0</v>
      </c>
      <c r="O4285" s="1" t="str">
        <f t="shared" si="2762"/>
        <v>0</v>
      </c>
    </row>
    <row r="4286" s="1" customFormat="1" spans="1:15">
      <c r="A4286" s="1" t="str">
        <f t="shared" si="2750"/>
        <v>202406</v>
      </c>
      <c r="B4286" s="1" t="str">
        <f t="shared" si="2751"/>
        <v>150525100</v>
      </c>
      <c r="C4286" s="1" t="str">
        <f>"1014629829"</f>
        <v>1014629829</v>
      </c>
      <c r="D4286" s="1" t="str">
        <f>"152326194811023816"</f>
        <v>152326194811023816</v>
      </c>
      <c r="E4286" s="1" t="s">
        <v>4304</v>
      </c>
      <c r="F4286" s="1" t="s">
        <v>25</v>
      </c>
      <c r="G4286" s="1" t="s">
        <v>17</v>
      </c>
      <c r="H4286" s="1" t="str">
        <f>"76"</f>
        <v>76</v>
      </c>
      <c r="I4286" s="1" t="str">
        <f t="shared" si="2768"/>
        <v>160</v>
      </c>
      <c r="J4286" s="1" t="str">
        <f t="shared" si="2764"/>
        <v>0</v>
      </c>
      <c r="K4286" s="1" t="str">
        <f t="shared" si="2765"/>
        <v>103</v>
      </c>
      <c r="L4286" s="1" t="str">
        <f t="shared" si="2766"/>
        <v>47</v>
      </c>
      <c r="M4286" s="1" t="str">
        <f t="shared" si="2758"/>
        <v>0</v>
      </c>
      <c r="N4286" s="1" t="str">
        <f t="shared" si="2760"/>
        <v>0</v>
      </c>
      <c r="O4286" s="1" t="str">
        <f t="shared" si="2762"/>
        <v>0</v>
      </c>
    </row>
    <row r="4287" s="1" customFormat="1" spans="1:15">
      <c r="A4287" s="1" t="str">
        <f t="shared" si="2750"/>
        <v>202406</v>
      </c>
      <c r="B4287" s="1" t="str">
        <f t="shared" si="2751"/>
        <v>150525100</v>
      </c>
      <c r="C4287" s="1" t="str">
        <f>"1014629830"</f>
        <v>1014629830</v>
      </c>
      <c r="D4287" s="1" t="str">
        <f>"152326194710043818"</f>
        <v>152326194710043818</v>
      </c>
      <c r="E4287" s="1" t="s">
        <v>4305</v>
      </c>
      <c r="F4287" s="1" t="s">
        <v>25</v>
      </c>
      <c r="G4287" s="1" t="s">
        <v>17</v>
      </c>
      <c r="H4287" s="1" t="str">
        <f>"77"</f>
        <v>77</v>
      </c>
      <c r="I4287" s="1" t="str">
        <f t="shared" si="2768"/>
        <v>160</v>
      </c>
      <c r="J4287" s="1" t="str">
        <f t="shared" si="2764"/>
        <v>0</v>
      </c>
      <c r="K4287" s="1" t="str">
        <f t="shared" si="2765"/>
        <v>103</v>
      </c>
      <c r="L4287" s="1" t="str">
        <f t="shared" si="2766"/>
        <v>47</v>
      </c>
      <c r="M4287" s="1" t="str">
        <f t="shared" si="2758"/>
        <v>0</v>
      </c>
      <c r="N4287" s="1" t="str">
        <f t="shared" si="2760"/>
        <v>0</v>
      </c>
      <c r="O4287" s="1" t="str">
        <f t="shared" si="2762"/>
        <v>0</v>
      </c>
    </row>
    <row r="4288" s="1" customFormat="1" spans="1:15">
      <c r="A4288" s="1" t="str">
        <f t="shared" si="2750"/>
        <v>202406</v>
      </c>
      <c r="B4288" s="1" t="str">
        <f t="shared" si="2751"/>
        <v>150525100</v>
      </c>
      <c r="C4288" s="1" t="str">
        <f>"1014629921"</f>
        <v>1014629921</v>
      </c>
      <c r="D4288" s="1" t="str">
        <f>"152326194707200026"</f>
        <v>152326194707200026</v>
      </c>
      <c r="E4288" s="1" t="s">
        <v>4306</v>
      </c>
      <c r="F4288" s="1" t="s">
        <v>16</v>
      </c>
      <c r="G4288" s="1" t="s">
        <v>17</v>
      </c>
      <c r="H4288" s="1" t="str">
        <f>"77"</f>
        <v>77</v>
      </c>
      <c r="I4288" s="1" t="str">
        <f t="shared" si="2768"/>
        <v>160</v>
      </c>
      <c r="J4288" s="1" t="str">
        <f t="shared" si="2764"/>
        <v>0</v>
      </c>
      <c r="K4288" s="1" t="str">
        <f t="shared" si="2765"/>
        <v>103</v>
      </c>
      <c r="L4288" s="1" t="str">
        <f t="shared" si="2766"/>
        <v>47</v>
      </c>
      <c r="M4288" s="1" t="str">
        <f t="shared" si="2758"/>
        <v>0</v>
      </c>
      <c r="N4288" s="1" t="str">
        <f t="shared" si="2760"/>
        <v>0</v>
      </c>
      <c r="O4288" s="1" t="str">
        <f t="shared" si="2762"/>
        <v>0</v>
      </c>
    </row>
    <row r="4289" s="1" customFormat="1" spans="1:15">
      <c r="A4289" s="1" t="str">
        <f t="shared" si="2750"/>
        <v>202406</v>
      </c>
      <c r="B4289" s="1" t="str">
        <f t="shared" si="2751"/>
        <v>150525100</v>
      </c>
      <c r="C4289" s="1" t="str">
        <f>"1014629924"</f>
        <v>1014629924</v>
      </c>
      <c r="D4289" s="1" t="str">
        <f>"152326194609110027"</f>
        <v>152326194609110027</v>
      </c>
      <c r="E4289" s="1" t="s">
        <v>4307</v>
      </c>
      <c r="F4289" s="1" t="s">
        <v>16</v>
      </c>
      <c r="G4289" s="1" t="s">
        <v>17</v>
      </c>
      <c r="H4289" s="1" t="str">
        <f>"78"</f>
        <v>78</v>
      </c>
      <c r="I4289" s="1" t="str">
        <f t="shared" si="2768"/>
        <v>160</v>
      </c>
      <c r="J4289" s="1" t="str">
        <f t="shared" si="2764"/>
        <v>0</v>
      </c>
      <c r="K4289" s="1" t="str">
        <f t="shared" si="2765"/>
        <v>103</v>
      </c>
      <c r="L4289" s="1" t="str">
        <f t="shared" si="2766"/>
        <v>47</v>
      </c>
      <c r="M4289" s="1" t="str">
        <f t="shared" si="2758"/>
        <v>0</v>
      </c>
      <c r="N4289" s="1" t="str">
        <f t="shared" si="2760"/>
        <v>0</v>
      </c>
      <c r="O4289" s="1" t="str">
        <f t="shared" si="2762"/>
        <v>0</v>
      </c>
    </row>
    <row r="4290" s="1" customFormat="1" spans="1:15">
      <c r="A4290" s="1" t="str">
        <f t="shared" ref="A4290:A4353" si="2769">"202406"</f>
        <v>202406</v>
      </c>
      <c r="B4290" s="1" t="str">
        <f t="shared" ref="B4290:B4353" si="2770">"150525100"</f>
        <v>150525100</v>
      </c>
      <c r="C4290" s="1" t="str">
        <f>"1014629929"</f>
        <v>1014629929</v>
      </c>
      <c r="D4290" s="1" t="str">
        <f>"152326194604040015"</f>
        <v>152326194604040015</v>
      </c>
      <c r="E4290" s="1" t="s">
        <v>4308</v>
      </c>
      <c r="F4290" s="1" t="s">
        <v>25</v>
      </c>
      <c r="G4290" s="1" t="s">
        <v>17</v>
      </c>
      <c r="H4290" s="1" t="str">
        <f>"78"</f>
        <v>78</v>
      </c>
      <c r="I4290" s="1" t="str">
        <f t="shared" si="2768"/>
        <v>160</v>
      </c>
      <c r="J4290" s="1" t="str">
        <f t="shared" si="2764"/>
        <v>0</v>
      </c>
      <c r="K4290" s="1" t="str">
        <f t="shared" si="2765"/>
        <v>103</v>
      </c>
      <c r="L4290" s="1" t="str">
        <f t="shared" si="2766"/>
        <v>47</v>
      </c>
      <c r="M4290" s="1" t="str">
        <f t="shared" si="2758"/>
        <v>0</v>
      </c>
      <c r="N4290" s="1" t="str">
        <f t="shared" si="2760"/>
        <v>0</v>
      </c>
      <c r="O4290" s="1" t="str">
        <f t="shared" si="2762"/>
        <v>0</v>
      </c>
    </row>
    <row r="4291" s="1" customFormat="1" spans="1:15">
      <c r="A4291" s="1" t="str">
        <f t="shared" si="2769"/>
        <v>202406</v>
      </c>
      <c r="B4291" s="1" t="str">
        <f t="shared" si="2770"/>
        <v>150525100</v>
      </c>
      <c r="C4291" s="1" t="str">
        <f>"1014629932"</f>
        <v>1014629932</v>
      </c>
      <c r="D4291" s="1" t="str">
        <f>"152326193104220015"</f>
        <v>152326193104220015</v>
      </c>
      <c r="E4291" s="1" t="s">
        <v>4309</v>
      </c>
      <c r="F4291" s="1" t="s">
        <v>25</v>
      </c>
      <c r="G4291" s="1" t="s">
        <v>17</v>
      </c>
      <c r="H4291" s="1" t="str">
        <f>"93"</f>
        <v>93</v>
      </c>
      <c r="I4291" s="1" t="str">
        <f>"170"</f>
        <v>170</v>
      </c>
      <c r="J4291" s="1" t="str">
        <f t="shared" si="2764"/>
        <v>0</v>
      </c>
      <c r="K4291" s="1" t="str">
        <f t="shared" si="2765"/>
        <v>103</v>
      </c>
      <c r="L4291" s="1" t="str">
        <f t="shared" si="2766"/>
        <v>47</v>
      </c>
      <c r="M4291" s="1" t="str">
        <f t="shared" si="2758"/>
        <v>0</v>
      </c>
      <c r="N4291" s="1" t="str">
        <f t="shared" si="2760"/>
        <v>0</v>
      </c>
      <c r="O4291" s="1" t="str">
        <f t="shared" si="2762"/>
        <v>0</v>
      </c>
    </row>
    <row r="4292" s="1" customFormat="1" spans="1:15">
      <c r="A4292" s="1" t="str">
        <f t="shared" si="2769"/>
        <v>202406</v>
      </c>
      <c r="B4292" s="1" t="str">
        <f t="shared" si="2770"/>
        <v>150525100</v>
      </c>
      <c r="C4292" s="1" t="str">
        <f>"1014563118"</f>
        <v>1014563118</v>
      </c>
      <c r="D4292" s="1" t="s">
        <v>4310</v>
      </c>
      <c r="E4292" s="1" t="s">
        <v>4311</v>
      </c>
      <c r="F4292" s="1" t="s">
        <v>25</v>
      </c>
      <c r="G4292" s="1" t="s">
        <v>17</v>
      </c>
      <c r="H4292" s="1" t="str">
        <f>"67"</f>
        <v>67</v>
      </c>
      <c r="I4292" s="1" t="str">
        <f>"156.06"</f>
        <v>156.06</v>
      </c>
      <c r="J4292" s="1" t="str">
        <f t="shared" si="2764"/>
        <v>0</v>
      </c>
      <c r="K4292" s="1" t="str">
        <f t="shared" si="2765"/>
        <v>103</v>
      </c>
      <c r="L4292" s="1" t="str">
        <f t="shared" si="2766"/>
        <v>47</v>
      </c>
      <c r="M4292" s="1" t="str">
        <f t="shared" si="2758"/>
        <v>0</v>
      </c>
      <c r="N4292" s="1" t="str">
        <f t="shared" si="2760"/>
        <v>0</v>
      </c>
      <c r="O4292" s="1" t="str">
        <f>"6.06"</f>
        <v>6.06</v>
      </c>
    </row>
    <row r="4293" s="1" customFormat="1" spans="1:15">
      <c r="A4293" s="1" t="str">
        <f t="shared" si="2769"/>
        <v>202406</v>
      </c>
      <c r="B4293" s="1" t="str">
        <f t="shared" si="2770"/>
        <v>150525100</v>
      </c>
      <c r="C4293" s="1" t="str">
        <f>"1014549830"</f>
        <v>1014549830</v>
      </c>
      <c r="D4293" s="1" t="str">
        <f>"152326196011103075"</f>
        <v>152326196011103075</v>
      </c>
      <c r="E4293" s="1" t="s">
        <v>4312</v>
      </c>
      <c r="F4293" s="1" t="s">
        <v>25</v>
      </c>
      <c r="G4293" s="1" t="s">
        <v>19</v>
      </c>
      <c r="H4293" s="1" t="str">
        <f>"64"</f>
        <v>64</v>
      </c>
      <c r="I4293" s="1" t="str">
        <f>"159.73"</f>
        <v>159.73</v>
      </c>
      <c r="J4293" s="1" t="str">
        <f t="shared" si="2764"/>
        <v>0</v>
      </c>
      <c r="K4293" s="1" t="str">
        <f t="shared" si="2765"/>
        <v>103</v>
      </c>
      <c r="L4293" s="1" t="str">
        <f t="shared" si="2766"/>
        <v>47</v>
      </c>
      <c r="M4293" s="1" t="str">
        <f t="shared" si="2758"/>
        <v>0</v>
      </c>
      <c r="N4293" s="1" t="str">
        <f t="shared" si="2760"/>
        <v>0</v>
      </c>
      <c r="O4293" s="1" t="str">
        <f>"9.73"</f>
        <v>9.73</v>
      </c>
    </row>
    <row r="4294" s="1" customFormat="1" spans="1:15">
      <c r="A4294" s="1" t="str">
        <f t="shared" si="2769"/>
        <v>202406</v>
      </c>
      <c r="B4294" s="1" t="str">
        <f t="shared" si="2770"/>
        <v>150525100</v>
      </c>
      <c r="C4294" s="1" t="str">
        <f>"1014550341"</f>
        <v>1014550341</v>
      </c>
      <c r="D4294" s="1" t="str">
        <f>"152326196210073075"</f>
        <v>152326196210073075</v>
      </c>
      <c r="E4294" s="1" t="s">
        <v>4313</v>
      </c>
      <c r="F4294" s="1" t="s">
        <v>25</v>
      </c>
      <c r="G4294" s="1" t="s">
        <v>19</v>
      </c>
      <c r="H4294" s="1" t="str">
        <f>"62"</f>
        <v>62</v>
      </c>
      <c r="I4294" s="1" t="str">
        <f>"164.6"</f>
        <v>164.6</v>
      </c>
      <c r="J4294" s="1" t="str">
        <f t="shared" si="2764"/>
        <v>0</v>
      </c>
      <c r="K4294" s="1" t="str">
        <f t="shared" si="2765"/>
        <v>103</v>
      </c>
      <c r="L4294" s="1" t="str">
        <f t="shared" si="2766"/>
        <v>47</v>
      </c>
      <c r="M4294" s="1" t="str">
        <f t="shared" si="2758"/>
        <v>0</v>
      </c>
      <c r="N4294" s="1" t="str">
        <f t="shared" si="2760"/>
        <v>0</v>
      </c>
      <c r="O4294" s="1" t="str">
        <f>"14.6"</f>
        <v>14.6</v>
      </c>
    </row>
    <row r="4295" s="1" customFormat="1" spans="1:15">
      <c r="A4295" s="1" t="str">
        <f t="shared" si="2769"/>
        <v>202406</v>
      </c>
      <c r="B4295" s="1" t="str">
        <f t="shared" si="2770"/>
        <v>150525100</v>
      </c>
      <c r="C4295" s="1" t="str">
        <f>"1014550353"</f>
        <v>1014550353</v>
      </c>
      <c r="D4295" s="1" t="str">
        <f>"152326196212190689"</f>
        <v>152326196212190689</v>
      </c>
      <c r="E4295" s="1" t="s">
        <v>4314</v>
      </c>
      <c r="F4295" s="1" t="s">
        <v>16</v>
      </c>
      <c r="G4295" s="1" t="s">
        <v>17</v>
      </c>
      <c r="H4295" s="1" t="str">
        <f>"62"</f>
        <v>62</v>
      </c>
      <c r="I4295" s="1" t="str">
        <f>"163.2"</f>
        <v>163.2</v>
      </c>
      <c r="J4295" s="1" t="str">
        <f t="shared" si="2764"/>
        <v>0</v>
      </c>
      <c r="K4295" s="1" t="str">
        <f t="shared" si="2765"/>
        <v>103</v>
      </c>
      <c r="L4295" s="1" t="str">
        <f t="shared" si="2766"/>
        <v>47</v>
      </c>
      <c r="M4295" s="1" t="str">
        <f t="shared" si="2758"/>
        <v>0</v>
      </c>
      <c r="N4295" s="1" t="str">
        <f t="shared" si="2760"/>
        <v>0</v>
      </c>
      <c r="O4295" s="1" t="str">
        <f>"13.2"</f>
        <v>13.2</v>
      </c>
    </row>
    <row r="4296" s="1" customFormat="1" spans="1:15">
      <c r="A4296" s="1" t="str">
        <f t="shared" si="2769"/>
        <v>202406</v>
      </c>
      <c r="B4296" s="1" t="str">
        <f t="shared" si="2770"/>
        <v>150525100</v>
      </c>
      <c r="C4296" s="1" t="str">
        <f>"1014550359"</f>
        <v>1014550359</v>
      </c>
      <c r="D4296" s="1" t="str">
        <f>"152326196302083828"</f>
        <v>152326196302083828</v>
      </c>
      <c r="E4296" s="1" t="s">
        <v>4315</v>
      </c>
      <c r="F4296" s="1" t="s">
        <v>16</v>
      </c>
      <c r="G4296" s="1" t="s">
        <v>19</v>
      </c>
      <c r="H4296" s="1" t="str">
        <f>"61"</f>
        <v>61</v>
      </c>
      <c r="I4296" s="1" t="str">
        <f>"164.75"</f>
        <v>164.75</v>
      </c>
      <c r="J4296" s="1" t="str">
        <f t="shared" si="2764"/>
        <v>0</v>
      </c>
      <c r="K4296" s="1" t="str">
        <f t="shared" si="2765"/>
        <v>103</v>
      </c>
      <c r="L4296" s="1" t="str">
        <f t="shared" si="2766"/>
        <v>47</v>
      </c>
      <c r="M4296" s="1" t="str">
        <f t="shared" si="2758"/>
        <v>0</v>
      </c>
      <c r="N4296" s="1" t="str">
        <f t="shared" si="2760"/>
        <v>0</v>
      </c>
      <c r="O4296" s="1" t="str">
        <f>"14.75"</f>
        <v>14.75</v>
      </c>
    </row>
    <row r="4297" s="1" customFormat="1" spans="1:15">
      <c r="A4297" s="1" t="str">
        <f t="shared" si="2769"/>
        <v>202406</v>
      </c>
      <c r="B4297" s="1" t="str">
        <f t="shared" si="2770"/>
        <v>150525100</v>
      </c>
      <c r="C4297" s="1" t="str">
        <f>"1014548957"</f>
        <v>1014548957</v>
      </c>
      <c r="D4297" s="1" t="str">
        <f>"152326195810163328"</f>
        <v>152326195810163328</v>
      </c>
      <c r="E4297" s="1" t="s">
        <v>4316</v>
      </c>
      <c r="F4297" s="1" t="s">
        <v>16</v>
      </c>
      <c r="G4297" s="1" t="s">
        <v>19</v>
      </c>
      <c r="H4297" s="1" t="str">
        <f>"66"</f>
        <v>66</v>
      </c>
      <c r="I4297" s="1" t="str">
        <f>"157.14"</f>
        <v>157.14</v>
      </c>
      <c r="J4297" s="1" t="str">
        <f t="shared" si="2764"/>
        <v>0</v>
      </c>
      <c r="K4297" s="1" t="str">
        <f t="shared" si="2765"/>
        <v>103</v>
      </c>
      <c r="L4297" s="1" t="str">
        <f t="shared" si="2766"/>
        <v>47</v>
      </c>
      <c r="M4297" s="1" t="str">
        <f t="shared" si="2758"/>
        <v>0</v>
      </c>
      <c r="N4297" s="1" t="str">
        <f t="shared" si="2760"/>
        <v>0</v>
      </c>
      <c r="O4297" s="1" t="str">
        <f>"7.14"</f>
        <v>7.14</v>
      </c>
    </row>
    <row r="4298" s="1" customFormat="1" spans="1:15">
      <c r="A4298" s="1" t="str">
        <f t="shared" si="2769"/>
        <v>202406</v>
      </c>
      <c r="B4298" s="1" t="str">
        <f t="shared" si="2770"/>
        <v>150525100</v>
      </c>
      <c r="C4298" s="1" t="str">
        <f>"1014584899"</f>
        <v>1014584899</v>
      </c>
      <c r="D4298" s="1" t="s">
        <v>4317</v>
      </c>
      <c r="E4298" s="1" t="s">
        <v>4318</v>
      </c>
      <c r="F4298" s="1" t="s">
        <v>25</v>
      </c>
      <c r="G4298" s="1" t="s">
        <v>19</v>
      </c>
      <c r="H4298" s="1" t="str">
        <f>"68"</f>
        <v>68</v>
      </c>
      <c r="I4298" s="1" t="str">
        <f>"156.01"</f>
        <v>156.01</v>
      </c>
      <c r="J4298" s="1" t="str">
        <f t="shared" si="2764"/>
        <v>0</v>
      </c>
      <c r="K4298" s="1" t="str">
        <f t="shared" si="2765"/>
        <v>103</v>
      </c>
      <c r="L4298" s="1" t="str">
        <f t="shared" si="2766"/>
        <v>47</v>
      </c>
      <c r="M4298" s="1" t="str">
        <f t="shared" si="2758"/>
        <v>0</v>
      </c>
      <c r="N4298" s="1" t="str">
        <f t="shared" si="2760"/>
        <v>0</v>
      </c>
      <c r="O4298" s="1" t="str">
        <f>"6.01"</f>
        <v>6.01</v>
      </c>
    </row>
    <row r="4299" s="1" customFormat="1" spans="1:15">
      <c r="A4299" s="1" t="str">
        <f t="shared" si="2769"/>
        <v>202406</v>
      </c>
      <c r="B4299" s="1" t="str">
        <f t="shared" si="2770"/>
        <v>150525100</v>
      </c>
      <c r="C4299" s="1" t="str">
        <f>"1014562779"</f>
        <v>1014562779</v>
      </c>
      <c r="D4299" s="1" t="str">
        <f>"152326196404190464"</f>
        <v>152326196404190464</v>
      </c>
      <c r="E4299" s="1" t="s">
        <v>4319</v>
      </c>
      <c r="F4299" s="1" t="s">
        <v>16</v>
      </c>
      <c r="G4299" s="1" t="s">
        <v>17</v>
      </c>
      <c r="H4299" s="1" t="str">
        <f>"60"</f>
        <v>60</v>
      </c>
      <c r="I4299" s="1" t="str">
        <f>"166.83"</f>
        <v>166.83</v>
      </c>
      <c r="J4299" s="1" t="str">
        <f t="shared" si="2764"/>
        <v>0</v>
      </c>
      <c r="K4299" s="1" t="str">
        <f t="shared" si="2765"/>
        <v>103</v>
      </c>
      <c r="L4299" s="1" t="str">
        <f t="shared" si="2766"/>
        <v>47</v>
      </c>
      <c r="M4299" s="1" t="str">
        <f t="shared" si="2758"/>
        <v>0</v>
      </c>
      <c r="N4299" s="1" t="str">
        <f t="shared" si="2760"/>
        <v>0</v>
      </c>
      <c r="O4299" s="1" t="str">
        <f>"16.83"</f>
        <v>16.83</v>
      </c>
    </row>
    <row r="4300" s="1" customFormat="1" spans="1:15">
      <c r="A4300" s="1" t="str">
        <f t="shared" si="2769"/>
        <v>202406</v>
      </c>
      <c r="B4300" s="1" t="str">
        <f t="shared" si="2770"/>
        <v>150525100</v>
      </c>
      <c r="C4300" s="1" t="str">
        <f>"1014562782"</f>
        <v>1014562782</v>
      </c>
      <c r="D4300" s="1" t="str">
        <f>"152326195909020415"</f>
        <v>152326195909020415</v>
      </c>
      <c r="E4300" s="1" t="s">
        <v>4320</v>
      </c>
      <c r="F4300" s="1" t="s">
        <v>25</v>
      </c>
      <c r="G4300" s="1" t="s">
        <v>17</v>
      </c>
      <c r="H4300" s="1" t="str">
        <f>"65"</f>
        <v>65</v>
      </c>
      <c r="I4300" s="1" t="str">
        <f>"158.21"</f>
        <v>158.21</v>
      </c>
      <c r="J4300" s="1" t="str">
        <f t="shared" si="2764"/>
        <v>0</v>
      </c>
      <c r="K4300" s="1" t="str">
        <f t="shared" si="2765"/>
        <v>103</v>
      </c>
      <c r="L4300" s="1" t="str">
        <f t="shared" si="2766"/>
        <v>47</v>
      </c>
      <c r="M4300" s="1" t="str">
        <f t="shared" si="2758"/>
        <v>0</v>
      </c>
      <c r="N4300" s="1" t="str">
        <f t="shared" si="2760"/>
        <v>0</v>
      </c>
      <c r="O4300" s="1" t="str">
        <f>"8.21"</f>
        <v>8.21</v>
      </c>
    </row>
    <row r="4301" s="1" customFormat="1" spans="1:15">
      <c r="A4301" s="1" t="str">
        <f t="shared" si="2769"/>
        <v>202406</v>
      </c>
      <c r="B4301" s="1" t="str">
        <f t="shared" si="2770"/>
        <v>150525100</v>
      </c>
      <c r="C4301" s="1" t="str">
        <f>"1014563154"</f>
        <v>1014563154</v>
      </c>
      <c r="D4301" s="1" t="str">
        <f>"152326196110080411"</f>
        <v>152326196110080411</v>
      </c>
      <c r="E4301" s="1" t="s">
        <v>4321</v>
      </c>
      <c r="F4301" s="1" t="s">
        <v>25</v>
      </c>
      <c r="G4301" s="1" t="s">
        <v>17</v>
      </c>
      <c r="H4301" s="1" t="str">
        <f>"63"</f>
        <v>63</v>
      </c>
      <c r="I4301" s="1" t="str">
        <f>"161.14"</f>
        <v>161.14</v>
      </c>
      <c r="J4301" s="1" t="str">
        <f t="shared" si="2764"/>
        <v>0</v>
      </c>
      <c r="K4301" s="1" t="str">
        <f t="shared" si="2765"/>
        <v>103</v>
      </c>
      <c r="L4301" s="1" t="str">
        <f t="shared" si="2766"/>
        <v>47</v>
      </c>
      <c r="M4301" s="1" t="str">
        <f t="shared" si="2758"/>
        <v>0</v>
      </c>
      <c r="N4301" s="1" t="str">
        <f t="shared" si="2760"/>
        <v>0</v>
      </c>
      <c r="O4301" s="1" t="str">
        <f>"11.14"</f>
        <v>11.14</v>
      </c>
    </row>
    <row r="4302" s="1" customFormat="1" spans="1:15">
      <c r="A4302" s="1" t="str">
        <f t="shared" si="2769"/>
        <v>202406</v>
      </c>
      <c r="B4302" s="1" t="str">
        <f t="shared" si="2770"/>
        <v>150525100</v>
      </c>
      <c r="C4302" s="1" t="str">
        <f>"1014569589"</f>
        <v>1014569589</v>
      </c>
      <c r="D4302" s="1" t="str">
        <f>"152326195909070420"</f>
        <v>152326195909070420</v>
      </c>
      <c r="E4302" s="1" t="s">
        <v>2034</v>
      </c>
      <c r="F4302" s="1" t="s">
        <v>16</v>
      </c>
      <c r="G4302" s="1" t="s">
        <v>19</v>
      </c>
      <c r="H4302" s="1" t="str">
        <f>"65"</f>
        <v>65</v>
      </c>
      <c r="I4302" s="1" t="str">
        <f>"158.19"</f>
        <v>158.19</v>
      </c>
      <c r="J4302" s="1" t="str">
        <f t="shared" si="2764"/>
        <v>0</v>
      </c>
      <c r="K4302" s="1" t="str">
        <f t="shared" si="2765"/>
        <v>103</v>
      </c>
      <c r="L4302" s="1" t="str">
        <f t="shared" si="2766"/>
        <v>47</v>
      </c>
      <c r="M4302" s="1" t="str">
        <f t="shared" si="2758"/>
        <v>0</v>
      </c>
      <c r="N4302" s="1" t="str">
        <f t="shared" si="2760"/>
        <v>0</v>
      </c>
      <c r="O4302" s="1" t="str">
        <f>"8.19"</f>
        <v>8.19</v>
      </c>
    </row>
    <row r="4303" s="1" customFormat="1" spans="1:15">
      <c r="A4303" s="1" t="str">
        <f t="shared" si="2769"/>
        <v>202406</v>
      </c>
      <c r="B4303" s="1" t="str">
        <f t="shared" si="2770"/>
        <v>150525100</v>
      </c>
      <c r="C4303" s="1" t="str">
        <f>"1014569599"</f>
        <v>1014569599</v>
      </c>
      <c r="D4303" s="1" t="str">
        <f>"152326196111160448"</f>
        <v>152326196111160448</v>
      </c>
      <c r="E4303" s="1" t="s">
        <v>4322</v>
      </c>
      <c r="F4303" s="1" t="s">
        <v>16</v>
      </c>
      <c r="G4303" s="1" t="s">
        <v>19</v>
      </c>
      <c r="H4303" s="1" t="str">
        <f>"63"</f>
        <v>63</v>
      </c>
      <c r="I4303" s="1" t="str">
        <f>"161.14"</f>
        <v>161.14</v>
      </c>
      <c r="J4303" s="1" t="str">
        <f t="shared" si="2764"/>
        <v>0</v>
      </c>
      <c r="K4303" s="1" t="str">
        <f t="shared" si="2765"/>
        <v>103</v>
      </c>
      <c r="L4303" s="1" t="str">
        <f t="shared" si="2766"/>
        <v>47</v>
      </c>
      <c r="M4303" s="1" t="str">
        <f t="shared" si="2758"/>
        <v>0</v>
      </c>
      <c r="N4303" s="1" t="str">
        <f t="shared" si="2760"/>
        <v>0</v>
      </c>
      <c r="O4303" s="1" t="str">
        <f>"11.14"</f>
        <v>11.14</v>
      </c>
    </row>
    <row r="4304" s="1" customFormat="1" spans="1:15">
      <c r="A4304" s="1" t="str">
        <f t="shared" si="2769"/>
        <v>202406</v>
      </c>
      <c r="B4304" s="1" t="str">
        <f t="shared" si="2770"/>
        <v>150525100</v>
      </c>
      <c r="C4304" s="1" t="str">
        <f>"1014569601"</f>
        <v>1014569601</v>
      </c>
      <c r="D4304" s="1" t="str">
        <f>"152326196204170426"</f>
        <v>152326196204170426</v>
      </c>
      <c r="E4304" s="1" t="s">
        <v>4323</v>
      </c>
      <c r="F4304" s="1" t="s">
        <v>16</v>
      </c>
      <c r="G4304" s="1" t="s">
        <v>19</v>
      </c>
      <c r="H4304" s="1" t="str">
        <f>"62"</f>
        <v>62</v>
      </c>
      <c r="I4304" s="1" t="str">
        <f>"162.98"</f>
        <v>162.98</v>
      </c>
      <c r="J4304" s="1" t="str">
        <f t="shared" si="2764"/>
        <v>0</v>
      </c>
      <c r="K4304" s="1" t="str">
        <f t="shared" si="2765"/>
        <v>103</v>
      </c>
      <c r="L4304" s="1" t="str">
        <f t="shared" si="2766"/>
        <v>47</v>
      </c>
      <c r="M4304" s="1" t="str">
        <f t="shared" si="2758"/>
        <v>0</v>
      </c>
      <c r="N4304" s="1" t="str">
        <f t="shared" si="2760"/>
        <v>0</v>
      </c>
      <c r="O4304" s="1" t="str">
        <f>"12.98"</f>
        <v>12.98</v>
      </c>
    </row>
    <row r="4305" s="1" customFormat="1" spans="1:15">
      <c r="A4305" s="1" t="str">
        <f t="shared" si="2769"/>
        <v>202406</v>
      </c>
      <c r="B4305" s="1" t="str">
        <f t="shared" si="2770"/>
        <v>150525100</v>
      </c>
      <c r="C4305" s="1" t="str">
        <f>"1014583989"</f>
        <v>1014583989</v>
      </c>
      <c r="D4305" s="1" t="str">
        <f>"152326195608080422"</f>
        <v>152326195608080422</v>
      </c>
      <c r="E4305" s="1" t="s">
        <v>4324</v>
      </c>
      <c r="F4305" s="1" t="s">
        <v>16</v>
      </c>
      <c r="G4305" s="1" t="s">
        <v>17</v>
      </c>
      <c r="H4305" s="1" t="str">
        <f>"68"</f>
        <v>68</v>
      </c>
      <c r="I4305" s="1" t="str">
        <f>"156.01"</f>
        <v>156.01</v>
      </c>
      <c r="J4305" s="1" t="str">
        <f t="shared" si="2764"/>
        <v>0</v>
      </c>
      <c r="K4305" s="1" t="str">
        <f t="shared" si="2765"/>
        <v>103</v>
      </c>
      <c r="L4305" s="1" t="str">
        <f t="shared" si="2766"/>
        <v>47</v>
      </c>
      <c r="M4305" s="1" t="str">
        <f t="shared" si="2758"/>
        <v>0</v>
      </c>
      <c r="N4305" s="1" t="str">
        <f t="shared" si="2760"/>
        <v>0</v>
      </c>
      <c r="O4305" s="1" t="str">
        <f>"6.01"</f>
        <v>6.01</v>
      </c>
    </row>
    <row r="4306" s="1" customFormat="1" spans="1:15">
      <c r="A4306" s="1" t="str">
        <f t="shared" si="2769"/>
        <v>202406</v>
      </c>
      <c r="B4306" s="1" t="str">
        <f t="shared" si="2770"/>
        <v>150525100</v>
      </c>
      <c r="C4306" s="1" t="str">
        <f>"1014549867"</f>
        <v>1014549867</v>
      </c>
      <c r="D4306" s="1" t="str">
        <f>"152326196207200678"</f>
        <v>152326196207200678</v>
      </c>
      <c r="E4306" s="1" t="s">
        <v>4325</v>
      </c>
      <c r="F4306" s="1" t="s">
        <v>25</v>
      </c>
      <c r="G4306" s="1" t="s">
        <v>17</v>
      </c>
      <c r="H4306" s="1" t="str">
        <f>"62"</f>
        <v>62</v>
      </c>
      <c r="I4306" s="1" t="str">
        <f>"163.07"</f>
        <v>163.07</v>
      </c>
      <c r="J4306" s="1" t="str">
        <f t="shared" si="2764"/>
        <v>0</v>
      </c>
      <c r="K4306" s="1" t="str">
        <f t="shared" si="2765"/>
        <v>103</v>
      </c>
      <c r="L4306" s="1" t="str">
        <f t="shared" si="2766"/>
        <v>47</v>
      </c>
      <c r="M4306" s="1" t="str">
        <f t="shared" si="2758"/>
        <v>0</v>
      </c>
      <c r="N4306" s="1" t="str">
        <f t="shared" si="2760"/>
        <v>0</v>
      </c>
      <c r="O4306" s="1" t="str">
        <f>"13.07"</f>
        <v>13.07</v>
      </c>
    </row>
    <row r="4307" s="1" customFormat="1" spans="1:15">
      <c r="A4307" s="1" t="str">
        <f t="shared" si="2769"/>
        <v>202406</v>
      </c>
      <c r="B4307" s="1" t="str">
        <f t="shared" si="2770"/>
        <v>150525100</v>
      </c>
      <c r="C4307" s="1" t="str">
        <f>"1014584909"</f>
        <v>1014584909</v>
      </c>
      <c r="D4307" s="1" t="str">
        <f>"152326195206020427"</f>
        <v>152326195206020427</v>
      </c>
      <c r="E4307" s="1" t="s">
        <v>4326</v>
      </c>
      <c r="F4307" s="1" t="s">
        <v>16</v>
      </c>
      <c r="G4307" s="1" t="s">
        <v>17</v>
      </c>
      <c r="H4307" s="1" t="str">
        <f>"72"</f>
        <v>72</v>
      </c>
      <c r="I4307" s="1" t="str">
        <f>"162.14"</f>
        <v>162.14</v>
      </c>
      <c r="J4307" s="1" t="str">
        <f t="shared" si="2764"/>
        <v>0</v>
      </c>
      <c r="K4307" s="1" t="str">
        <f t="shared" si="2765"/>
        <v>103</v>
      </c>
      <c r="L4307" s="1" t="str">
        <f t="shared" si="2766"/>
        <v>47</v>
      </c>
      <c r="M4307" s="1" t="str">
        <f t="shared" si="2758"/>
        <v>0</v>
      </c>
      <c r="N4307" s="1" t="str">
        <f t="shared" si="2760"/>
        <v>0</v>
      </c>
      <c r="O4307" s="1" t="str">
        <f>"2.14"</f>
        <v>2.14</v>
      </c>
    </row>
    <row r="4308" s="1" customFormat="1" spans="1:15">
      <c r="A4308" s="1" t="str">
        <f t="shared" si="2769"/>
        <v>202406</v>
      </c>
      <c r="B4308" s="1" t="str">
        <f t="shared" si="2770"/>
        <v>150525100</v>
      </c>
      <c r="C4308" s="1" t="str">
        <f>"1014584914"</f>
        <v>1014584914</v>
      </c>
      <c r="D4308" s="1" t="str">
        <f>"152326195208250410"</f>
        <v>152326195208250410</v>
      </c>
      <c r="E4308" s="1" t="s">
        <v>4327</v>
      </c>
      <c r="F4308" s="1" t="s">
        <v>25</v>
      </c>
      <c r="G4308" s="1" t="s">
        <v>17</v>
      </c>
      <c r="H4308" s="1" t="str">
        <f>"72"</f>
        <v>72</v>
      </c>
      <c r="I4308" s="1" t="str">
        <f>"162.14"</f>
        <v>162.14</v>
      </c>
      <c r="J4308" s="1" t="str">
        <f t="shared" si="2764"/>
        <v>0</v>
      </c>
      <c r="K4308" s="1" t="str">
        <f t="shared" si="2765"/>
        <v>103</v>
      </c>
      <c r="L4308" s="1" t="str">
        <f t="shared" si="2766"/>
        <v>47</v>
      </c>
      <c r="M4308" s="1" t="str">
        <f t="shared" si="2758"/>
        <v>0</v>
      </c>
      <c r="N4308" s="1" t="str">
        <f t="shared" si="2760"/>
        <v>0</v>
      </c>
      <c r="O4308" s="1" t="str">
        <f>"2.14"</f>
        <v>2.14</v>
      </c>
    </row>
    <row r="4309" s="1" customFormat="1" spans="1:15">
      <c r="A4309" s="1" t="str">
        <f t="shared" si="2769"/>
        <v>202406</v>
      </c>
      <c r="B4309" s="1" t="str">
        <f t="shared" si="2770"/>
        <v>150525100</v>
      </c>
      <c r="C4309" s="1" t="str">
        <f>"1040641574"</f>
        <v>1040641574</v>
      </c>
      <c r="D4309" s="1" t="str">
        <f>"152326196303233082"</f>
        <v>152326196303233082</v>
      </c>
      <c r="E4309" s="1" t="s">
        <v>3177</v>
      </c>
      <c r="F4309" s="1" t="s">
        <v>16</v>
      </c>
      <c r="G4309" s="1" t="s">
        <v>17</v>
      </c>
      <c r="H4309" s="1" t="str">
        <f>"61"</f>
        <v>61</v>
      </c>
      <c r="I4309" s="1" t="str">
        <f>"164.29"</f>
        <v>164.29</v>
      </c>
      <c r="J4309" s="1" t="str">
        <f t="shared" si="2764"/>
        <v>0</v>
      </c>
      <c r="K4309" s="1" t="str">
        <f t="shared" si="2765"/>
        <v>103</v>
      </c>
      <c r="L4309" s="1" t="str">
        <f t="shared" si="2766"/>
        <v>47</v>
      </c>
      <c r="M4309" s="1" t="str">
        <f t="shared" si="2758"/>
        <v>0</v>
      </c>
      <c r="N4309" s="1" t="str">
        <f t="shared" si="2760"/>
        <v>0</v>
      </c>
      <c r="O4309" s="1" t="str">
        <f>"14.29"</f>
        <v>14.29</v>
      </c>
    </row>
    <row r="4310" s="1" customFormat="1" spans="1:15">
      <c r="A4310" s="1" t="str">
        <f t="shared" si="2769"/>
        <v>202406</v>
      </c>
      <c r="B4310" s="1" t="str">
        <f t="shared" si="2770"/>
        <v>150525100</v>
      </c>
      <c r="C4310" s="1" t="str">
        <f>"1040681568"</f>
        <v>1040681568</v>
      </c>
      <c r="D4310" s="1" t="str">
        <f>"152326195807300045"</f>
        <v>152326195807300045</v>
      </c>
      <c r="E4310" s="1" t="s">
        <v>4328</v>
      </c>
      <c r="F4310" s="1" t="s">
        <v>16</v>
      </c>
      <c r="G4310" s="1" t="s">
        <v>17</v>
      </c>
      <c r="H4310" s="1" t="str">
        <f t="shared" ref="H4310:H4312" si="2771">"66"</f>
        <v>66</v>
      </c>
      <c r="I4310" s="1" t="str">
        <f>"155.87"</f>
        <v>155.87</v>
      </c>
      <c r="J4310" s="1" t="str">
        <f t="shared" si="2764"/>
        <v>0</v>
      </c>
      <c r="K4310" s="1" t="str">
        <f t="shared" si="2765"/>
        <v>103</v>
      </c>
      <c r="L4310" s="1" t="str">
        <f t="shared" si="2766"/>
        <v>47</v>
      </c>
      <c r="M4310" s="1" t="str">
        <f t="shared" si="2758"/>
        <v>0</v>
      </c>
      <c r="N4310" s="1" t="str">
        <f t="shared" si="2760"/>
        <v>0</v>
      </c>
      <c r="O4310" s="1" t="str">
        <f>"5.87"</f>
        <v>5.87</v>
      </c>
    </row>
    <row r="4311" s="1" customFormat="1" spans="1:15">
      <c r="A4311" s="1" t="str">
        <f t="shared" si="2769"/>
        <v>202406</v>
      </c>
      <c r="B4311" s="1" t="str">
        <f t="shared" si="2770"/>
        <v>150525100</v>
      </c>
      <c r="C4311" s="1" t="str">
        <f>"1040681570"</f>
        <v>1040681570</v>
      </c>
      <c r="D4311" s="1" t="str">
        <f>"152326195812230029"</f>
        <v>152326195812230029</v>
      </c>
      <c r="E4311" s="1" t="s">
        <v>2079</v>
      </c>
      <c r="F4311" s="1" t="s">
        <v>16</v>
      </c>
      <c r="G4311" s="1" t="s">
        <v>17</v>
      </c>
      <c r="H4311" s="1" t="str">
        <f t="shared" si="2771"/>
        <v>66</v>
      </c>
      <c r="I4311" s="1" t="str">
        <f>"204.29"</f>
        <v>204.29</v>
      </c>
      <c r="J4311" s="1" t="str">
        <f t="shared" si="2764"/>
        <v>0</v>
      </c>
      <c r="K4311" s="1" t="str">
        <f t="shared" si="2765"/>
        <v>103</v>
      </c>
      <c r="L4311" s="1" t="str">
        <f t="shared" si="2766"/>
        <v>47</v>
      </c>
      <c r="M4311" s="1" t="str">
        <f t="shared" si="2758"/>
        <v>0</v>
      </c>
      <c r="N4311" s="1" t="str">
        <f t="shared" si="2760"/>
        <v>0</v>
      </c>
      <c r="O4311" s="1" t="str">
        <f>"54.29"</f>
        <v>54.29</v>
      </c>
    </row>
    <row r="4312" s="1" customFormat="1" spans="1:15">
      <c r="A4312" s="1" t="str">
        <f t="shared" si="2769"/>
        <v>202406</v>
      </c>
      <c r="B4312" s="1" t="str">
        <f t="shared" si="2770"/>
        <v>150525100</v>
      </c>
      <c r="C4312" s="1" t="str">
        <f>"1040681578"</f>
        <v>1040681578</v>
      </c>
      <c r="D4312" s="1" t="str">
        <f>"152326195805140033"</f>
        <v>152326195805140033</v>
      </c>
      <c r="E4312" s="1" t="s">
        <v>4329</v>
      </c>
      <c r="F4312" s="1" t="s">
        <v>25</v>
      </c>
      <c r="G4312" s="1" t="s">
        <v>17</v>
      </c>
      <c r="H4312" s="1" t="str">
        <f t="shared" si="2771"/>
        <v>66</v>
      </c>
      <c r="I4312" s="1" t="str">
        <f>"155.86"</f>
        <v>155.86</v>
      </c>
      <c r="J4312" s="1" t="str">
        <f t="shared" si="2764"/>
        <v>0</v>
      </c>
      <c r="K4312" s="1" t="str">
        <f t="shared" si="2765"/>
        <v>103</v>
      </c>
      <c r="L4312" s="1" t="str">
        <f t="shared" si="2766"/>
        <v>47</v>
      </c>
      <c r="M4312" s="1" t="str">
        <f t="shared" si="2758"/>
        <v>0</v>
      </c>
      <c r="N4312" s="1" t="str">
        <f t="shared" si="2760"/>
        <v>0</v>
      </c>
      <c r="O4312" s="1" t="str">
        <f>"5.86"</f>
        <v>5.86</v>
      </c>
    </row>
    <row r="4313" s="1" customFormat="1" spans="1:15">
      <c r="A4313" s="1" t="str">
        <f t="shared" si="2769"/>
        <v>202406</v>
      </c>
      <c r="B4313" s="1" t="str">
        <f t="shared" si="2770"/>
        <v>150525100</v>
      </c>
      <c r="C4313" s="1" t="str">
        <f>"1040681588"</f>
        <v>1040681588</v>
      </c>
      <c r="D4313" s="1" t="s">
        <v>4330</v>
      </c>
      <c r="E4313" s="1" t="s">
        <v>4331</v>
      </c>
      <c r="F4313" s="1" t="s">
        <v>25</v>
      </c>
      <c r="G4313" s="1" t="s">
        <v>17</v>
      </c>
      <c r="H4313" s="1" t="str">
        <f>"64"</f>
        <v>64</v>
      </c>
      <c r="I4313" s="1" t="str">
        <f>"237.13"</f>
        <v>237.13</v>
      </c>
      <c r="J4313" s="1" t="str">
        <f t="shared" si="2764"/>
        <v>0</v>
      </c>
      <c r="K4313" s="1" t="str">
        <f t="shared" si="2765"/>
        <v>103</v>
      </c>
      <c r="L4313" s="1" t="str">
        <f t="shared" si="2766"/>
        <v>47</v>
      </c>
      <c r="M4313" s="1" t="str">
        <f t="shared" si="2758"/>
        <v>0</v>
      </c>
      <c r="N4313" s="1" t="str">
        <f t="shared" si="2760"/>
        <v>0</v>
      </c>
      <c r="O4313" s="1" t="str">
        <f>"87.13"</f>
        <v>87.13</v>
      </c>
    </row>
    <row r="4314" s="1" customFormat="1" spans="1:15">
      <c r="A4314" s="1" t="str">
        <f t="shared" si="2769"/>
        <v>202406</v>
      </c>
      <c r="B4314" s="1" t="str">
        <f t="shared" si="2770"/>
        <v>150525100</v>
      </c>
      <c r="C4314" s="1" t="str">
        <f>"1040681590"</f>
        <v>1040681590</v>
      </c>
      <c r="D4314" s="1" t="str">
        <f>"152326195603170015"</f>
        <v>152326195603170015</v>
      </c>
      <c r="E4314" s="1" t="s">
        <v>4332</v>
      </c>
      <c r="F4314" s="1" t="s">
        <v>25</v>
      </c>
      <c r="G4314" s="1" t="s">
        <v>17</v>
      </c>
      <c r="H4314" s="1" t="str">
        <f>"68"</f>
        <v>68</v>
      </c>
      <c r="I4314" s="1" t="str">
        <f>"154.81"</f>
        <v>154.81</v>
      </c>
      <c r="J4314" s="1" t="str">
        <f t="shared" si="2764"/>
        <v>0</v>
      </c>
      <c r="K4314" s="1" t="str">
        <f t="shared" si="2765"/>
        <v>103</v>
      </c>
      <c r="L4314" s="1" t="str">
        <f t="shared" si="2766"/>
        <v>47</v>
      </c>
      <c r="M4314" s="1" t="str">
        <f t="shared" si="2758"/>
        <v>0</v>
      </c>
      <c r="N4314" s="1" t="str">
        <f t="shared" si="2760"/>
        <v>0</v>
      </c>
      <c r="O4314" s="1" t="str">
        <f>"4.81"</f>
        <v>4.81</v>
      </c>
    </row>
    <row r="4315" s="1" customFormat="1" spans="1:15">
      <c r="A4315" s="1" t="str">
        <f t="shared" si="2769"/>
        <v>202406</v>
      </c>
      <c r="B4315" s="1" t="str">
        <f t="shared" si="2770"/>
        <v>150525100</v>
      </c>
      <c r="C4315" s="1" t="str">
        <f>"1040681673"</f>
        <v>1040681673</v>
      </c>
      <c r="D4315" s="1" t="str">
        <f>"152326195912203343"</f>
        <v>152326195912203343</v>
      </c>
      <c r="E4315" s="1" t="s">
        <v>4333</v>
      </c>
      <c r="F4315" s="1" t="s">
        <v>16</v>
      </c>
      <c r="G4315" s="1" t="s">
        <v>19</v>
      </c>
      <c r="H4315" s="1" t="str">
        <f>"65"</f>
        <v>65</v>
      </c>
      <c r="I4315" s="1" t="str">
        <f>"158.67"</f>
        <v>158.67</v>
      </c>
      <c r="J4315" s="1" t="str">
        <f t="shared" si="2764"/>
        <v>0</v>
      </c>
      <c r="K4315" s="1" t="str">
        <f t="shared" si="2765"/>
        <v>103</v>
      </c>
      <c r="L4315" s="1" t="str">
        <f t="shared" si="2766"/>
        <v>47</v>
      </c>
      <c r="M4315" s="1" t="str">
        <f t="shared" si="2758"/>
        <v>0</v>
      </c>
      <c r="N4315" s="1" t="str">
        <f t="shared" si="2760"/>
        <v>0</v>
      </c>
      <c r="O4315" s="1" t="str">
        <f>"8.67"</f>
        <v>8.67</v>
      </c>
    </row>
    <row r="4316" s="1" customFormat="1" spans="1:15">
      <c r="A4316" s="1" t="str">
        <f t="shared" si="2769"/>
        <v>202406</v>
      </c>
      <c r="B4316" s="1" t="str">
        <f t="shared" si="2770"/>
        <v>150525100</v>
      </c>
      <c r="C4316" s="1" t="str">
        <f>"1040681516"</f>
        <v>1040681516</v>
      </c>
      <c r="D4316" s="1" t="str">
        <f>"152326195410203837"</f>
        <v>152326195410203837</v>
      </c>
      <c r="E4316" s="1" t="s">
        <v>4334</v>
      </c>
      <c r="F4316" s="1" t="s">
        <v>25</v>
      </c>
      <c r="G4316" s="1" t="s">
        <v>19</v>
      </c>
      <c r="H4316" s="1" t="str">
        <f>"70"</f>
        <v>70</v>
      </c>
      <c r="I4316" s="1" t="str">
        <f>"152.94"</f>
        <v>152.94</v>
      </c>
      <c r="J4316" s="1" t="str">
        <f t="shared" si="2764"/>
        <v>0</v>
      </c>
      <c r="K4316" s="1" t="str">
        <f t="shared" si="2765"/>
        <v>103</v>
      </c>
      <c r="L4316" s="1" t="str">
        <f t="shared" si="2766"/>
        <v>47</v>
      </c>
      <c r="M4316" s="1" t="str">
        <f t="shared" si="2758"/>
        <v>0</v>
      </c>
      <c r="N4316" s="1" t="str">
        <f t="shared" si="2760"/>
        <v>0</v>
      </c>
      <c r="O4316" s="1" t="str">
        <f>"2.94"</f>
        <v>2.94</v>
      </c>
    </row>
    <row r="4317" s="1" customFormat="1" spans="1:15">
      <c r="A4317" s="1" t="str">
        <f t="shared" si="2769"/>
        <v>202406</v>
      </c>
      <c r="B4317" s="1" t="str">
        <f t="shared" si="2770"/>
        <v>150525100</v>
      </c>
      <c r="C4317" s="1" t="str">
        <f>"1040681520"</f>
        <v>1040681520</v>
      </c>
      <c r="D4317" s="1" t="str">
        <f>"152326195708093810"</f>
        <v>152326195708093810</v>
      </c>
      <c r="E4317" s="1" t="s">
        <v>4335</v>
      </c>
      <c r="F4317" s="1" t="s">
        <v>25</v>
      </c>
      <c r="G4317" s="1" t="s">
        <v>19</v>
      </c>
      <c r="H4317" s="1" t="str">
        <f>"67"</f>
        <v>67</v>
      </c>
      <c r="I4317" s="1" t="str">
        <f>"154.87"</f>
        <v>154.87</v>
      </c>
      <c r="J4317" s="1" t="str">
        <f t="shared" si="2764"/>
        <v>0</v>
      </c>
      <c r="K4317" s="1" t="str">
        <f t="shared" si="2765"/>
        <v>103</v>
      </c>
      <c r="L4317" s="1" t="str">
        <f t="shared" si="2766"/>
        <v>47</v>
      </c>
      <c r="M4317" s="1" t="str">
        <f t="shared" si="2758"/>
        <v>0</v>
      </c>
      <c r="N4317" s="1" t="str">
        <f t="shared" si="2760"/>
        <v>0</v>
      </c>
      <c r="O4317" s="1" t="str">
        <f>"4.87"</f>
        <v>4.87</v>
      </c>
    </row>
    <row r="4318" s="1" customFormat="1" spans="1:15">
      <c r="A4318" s="1" t="str">
        <f t="shared" si="2769"/>
        <v>202406</v>
      </c>
      <c r="B4318" s="1" t="str">
        <f t="shared" si="2770"/>
        <v>150525100</v>
      </c>
      <c r="C4318" s="1" t="str">
        <f>"1040681521"</f>
        <v>1040681521</v>
      </c>
      <c r="D4318" s="1" t="str">
        <f>"152326195807103826"</f>
        <v>152326195807103826</v>
      </c>
      <c r="E4318" s="1" t="s">
        <v>4336</v>
      </c>
      <c r="F4318" s="1" t="s">
        <v>16</v>
      </c>
      <c r="G4318" s="1" t="s">
        <v>19</v>
      </c>
      <c r="H4318" s="1" t="str">
        <f>"66"</f>
        <v>66</v>
      </c>
      <c r="I4318" s="1" t="str">
        <f>"155.89"</f>
        <v>155.89</v>
      </c>
      <c r="J4318" s="1" t="str">
        <f t="shared" si="2764"/>
        <v>0</v>
      </c>
      <c r="K4318" s="1" t="str">
        <f t="shared" si="2765"/>
        <v>103</v>
      </c>
      <c r="L4318" s="1" t="str">
        <f t="shared" si="2766"/>
        <v>47</v>
      </c>
      <c r="M4318" s="1" t="str">
        <f t="shared" si="2758"/>
        <v>0</v>
      </c>
      <c r="N4318" s="1" t="str">
        <f t="shared" si="2760"/>
        <v>0</v>
      </c>
      <c r="O4318" s="1" t="str">
        <f>"5.89"</f>
        <v>5.89</v>
      </c>
    </row>
    <row r="4319" s="1" customFormat="1" spans="1:15">
      <c r="A4319" s="1" t="str">
        <f t="shared" si="2769"/>
        <v>202406</v>
      </c>
      <c r="B4319" s="1" t="str">
        <f t="shared" si="2770"/>
        <v>150525100</v>
      </c>
      <c r="C4319" s="1" t="str">
        <f>"1040681542"</f>
        <v>1040681542</v>
      </c>
      <c r="D4319" s="1" t="str">
        <f>"152326195901123081"</f>
        <v>152326195901123081</v>
      </c>
      <c r="E4319" s="1" t="s">
        <v>4337</v>
      </c>
      <c r="F4319" s="1" t="s">
        <v>16</v>
      </c>
      <c r="G4319" s="1" t="s">
        <v>17</v>
      </c>
      <c r="H4319" s="1" t="str">
        <f>"65"</f>
        <v>65</v>
      </c>
      <c r="I4319" s="1" t="str">
        <f>"156.87"</f>
        <v>156.87</v>
      </c>
      <c r="J4319" s="1" t="str">
        <f t="shared" si="2764"/>
        <v>0</v>
      </c>
      <c r="K4319" s="1" t="str">
        <f t="shared" si="2765"/>
        <v>103</v>
      </c>
      <c r="L4319" s="1" t="str">
        <f t="shared" si="2766"/>
        <v>47</v>
      </c>
      <c r="M4319" s="1" t="str">
        <f t="shared" si="2758"/>
        <v>0</v>
      </c>
      <c r="N4319" s="1" t="str">
        <f t="shared" si="2760"/>
        <v>0</v>
      </c>
      <c r="O4319" s="1" t="str">
        <f>"6.87"</f>
        <v>6.87</v>
      </c>
    </row>
    <row r="4320" s="1" customFormat="1" spans="1:15">
      <c r="A4320" s="1" t="str">
        <f t="shared" si="2769"/>
        <v>202406</v>
      </c>
      <c r="B4320" s="1" t="str">
        <f t="shared" si="2770"/>
        <v>150525100</v>
      </c>
      <c r="C4320" s="1" t="str">
        <f>"1040681544"</f>
        <v>1040681544</v>
      </c>
      <c r="D4320" s="1" t="str">
        <f>"152326195402153083"</f>
        <v>152326195402153083</v>
      </c>
      <c r="E4320" s="1" t="s">
        <v>4338</v>
      </c>
      <c r="F4320" s="1" t="s">
        <v>16</v>
      </c>
      <c r="G4320" s="1" t="s">
        <v>17</v>
      </c>
      <c r="H4320" s="1" t="str">
        <f>"70"</f>
        <v>70</v>
      </c>
      <c r="I4320" s="1" t="str">
        <f>"162.94"</f>
        <v>162.94</v>
      </c>
      <c r="J4320" s="1" t="str">
        <f t="shared" si="2764"/>
        <v>0</v>
      </c>
      <c r="K4320" s="1" t="str">
        <f t="shared" si="2765"/>
        <v>103</v>
      </c>
      <c r="L4320" s="1" t="str">
        <f t="shared" si="2766"/>
        <v>47</v>
      </c>
      <c r="M4320" s="1" t="str">
        <f t="shared" ref="M4320:M4383" si="2772">"0"</f>
        <v>0</v>
      </c>
      <c r="N4320" s="1" t="str">
        <f t="shared" si="2760"/>
        <v>0</v>
      </c>
      <c r="O4320" s="1" t="str">
        <f>"2.94"</f>
        <v>2.94</v>
      </c>
    </row>
    <row r="4321" s="1" customFormat="1" spans="1:15">
      <c r="A4321" s="1" t="str">
        <f t="shared" si="2769"/>
        <v>202406</v>
      </c>
      <c r="B4321" s="1" t="str">
        <f t="shared" si="2770"/>
        <v>150525100</v>
      </c>
      <c r="C4321" s="1" t="str">
        <f>"1014612789"</f>
        <v>1014612789</v>
      </c>
      <c r="D4321" s="1" t="str">
        <f>"152326194907060910"</f>
        <v>152326194907060910</v>
      </c>
      <c r="E4321" s="1" t="s">
        <v>4339</v>
      </c>
      <c r="F4321" s="1" t="s">
        <v>25</v>
      </c>
      <c r="G4321" s="1" t="s">
        <v>19</v>
      </c>
      <c r="H4321" s="1" t="str">
        <f t="shared" ref="H4321:H4324" si="2773">"75"</f>
        <v>75</v>
      </c>
      <c r="I4321" s="1" t="str">
        <f t="shared" ref="I4321:I4325" si="2774">"160"</f>
        <v>160</v>
      </c>
      <c r="J4321" s="1" t="str">
        <f t="shared" si="2764"/>
        <v>0</v>
      </c>
      <c r="K4321" s="1" t="str">
        <f t="shared" si="2765"/>
        <v>103</v>
      </c>
      <c r="L4321" s="1" t="str">
        <f t="shared" si="2766"/>
        <v>47</v>
      </c>
      <c r="M4321" s="1" t="str">
        <f t="shared" si="2772"/>
        <v>0</v>
      </c>
      <c r="N4321" s="1" t="str">
        <f t="shared" si="2760"/>
        <v>0</v>
      </c>
      <c r="O4321" s="1" t="str">
        <f t="shared" ref="O4321:O4352" si="2775">"0"</f>
        <v>0</v>
      </c>
    </row>
    <row r="4322" s="1" customFormat="1" spans="1:15">
      <c r="A4322" s="1" t="str">
        <f t="shared" si="2769"/>
        <v>202406</v>
      </c>
      <c r="B4322" s="1" t="str">
        <f t="shared" si="2770"/>
        <v>150525100</v>
      </c>
      <c r="C4322" s="1" t="str">
        <f>"1014613084"</f>
        <v>1014613084</v>
      </c>
      <c r="D4322" s="1" t="str">
        <f>"152326194603010412"</f>
        <v>152326194603010412</v>
      </c>
      <c r="E4322" s="1" t="s">
        <v>4340</v>
      </c>
      <c r="F4322" s="1" t="s">
        <v>25</v>
      </c>
      <c r="G4322" s="1" t="s">
        <v>17</v>
      </c>
      <c r="H4322" s="1" t="str">
        <f>"78"</f>
        <v>78</v>
      </c>
      <c r="I4322" s="1" t="str">
        <f t="shared" si="2774"/>
        <v>160</v>
      </c>
      <c r="J4322" s="1" t="str">
        <f t="shared" si="2764"/>
        <v>0</v>
      </c>
      <c r="K4322" s="1" t="str">
        <f t="shared" si="2765"/>
        <v>103</v>
      </c>
      <c r="L4322" s="1" t="str">
        <f t="shared" si="2766"/>
        <v>47</v>
      </c>
      <c r="M4322" s="1" t="str">
        <f t="shared" si="2772"/>
        <v>0</v>
      </c>
      <c r="N4322" s="1" t="str">
        <f t="shared" si="2760"/>
        <v>0</v>
      </c>
      <c r="O4322" s="1" t="str">
        <f t="shared" si="2775"/>
        <v>0</v>
      </c>
    </row>
    <row r="4323" s="1" customFormat="1" spans="1:15">
      <c r="A4323" s="1" t="str">
        <f t="shared" si="2769"/>
        <v>202406</v>
      </c>
      <c r="B4323" s="1" t="str">
        <f t="shared" si="2770"/>
        <v>150525100</v>
      </c>
      <c r="C4323" s="1" t="str">
        <f>"1014623908"</f>
        <v>1014623908</v>
      </c>
      <c r="D4323" s="1" t="str">
        <f>"152326194909140674"</f>
        <v>152326194909140674</v>
      </c>
      <c r="E4323" s="1" t="s">
        <v>4341</v>
      </c>
      <c r="F4323" s="1" t="s">
        <v>25</v>
      </c>
      <c r="G4323" s="1" t="s">
        <v>17</v>
      </c>
      <c r="H4323" s="1" t="str">
        <f t="shared" si="2773"/>
        <v>75</v>
      </c>
      <c r="I4323" s="1" t="str">
        <f>"1800"</f>
        <v>1800</v>
      </c>
      <c r="J4323" s="1" t="str">
        <f t="shared" si="2764"/>
        <v>0</v>
      </c>
      <c r="K4323" s="1" t="str">
        <f>"0"</f>
        <v>0</v>
      </c>
      <c r="L4323" s="1" t="str">
        <f>"0"</f>
        <v>0</v>
      </c>
      <c r="M4323" s="1" t="str">
        <f t="shared" si="2772"/>
        <v>0</v>
      </c>
      <c r="N4323" s="1" t="str">
        <f t="shared" si="2760"/>
        <v>0</v>
      </c>
      <c r="O4323" s="1" t="str">
        <f t="shared" si="2775"/>
        <v>0</v>
      </c>
    </row>
    <row r="4324" s="1" customFormat="1" spans="1:15">
      <c r="A4324" s="1" t="str">
        <f t="shared" si="2769"/>
        <v>202406</v>
      </c>
      <c r="B4324" s="1" t="str">
        <f t="shared" si="2770"/>
        <v>150525100</v>
      </c>
      <c r="C4324" s="1" t="str">
        <f>"1014623913"</f>
        <v>1014623913</v>
      </c>
      <c r="D4324" s="1" t="str">
        <f>"152326194908300664"</f>
        <v>152326194908300664</v>
      </c>
      <c r="E4324" s="1" t="s">
        <v>4342</v>
      </c>
      <c r="F4324" s="1" t="s">
        <v>16</v>
      </c>
      <c r="G4324" s="1" t="s">
        <v>17</v>
      </c>
      <c r="H4324" s="1" t="str">
        <f t="shared" si="2773"/>
        <v>75</v>
      </c>
      <c r="I4324" s="1" t="str">
        <f t="shared" si="2774"/>
        <v>160</v>
      </c>
      <c r="J4324" s="1" t="str">
        <f t="shared" si="2764"/>
        <v>0</v>
      </c>
      <c r="K4324" s="1" t="str">
        <f t="shared" ref="K4324:K4379" si="2776">"103"</f>
        <v>103</v>
      </c>
      <c r="L4324" s="1" t="str">
        <f t="shared" ref="L4324:L4379" si="2777">"47"</f>
        <v>47</v>
      </c>
      <c r="M4324" s="1" t="str">
        <f t="shared" si="2772"/>
        <v>0</v>
      </c>
      <c r="N4324" s="1" t="str">
        <f t="shared" si="2760"/>
        <v>0</v>
      </c>
      <c r="O4324" s="1" t="str">
        <f t="shared" si="2775"/>
        <v>0</v>
      </c>
    </row>
    <row r="4325" s="1" customFormat="1" spans="1:15">
      <c r="A4325" s="1" t="str">
        <f t="shared" si="2769"/>
        <v>202406</v>
      </c>
      <c r="B4325" s="1" t="str">
        <f t="shared" si="2770"/>
        <v>150525100</v>
      </c>
      <c r="C4325" s="1" t="str">
        <f>"1014623918"</f>
        <v>1014623918</v>
      </c>
      <c r="D4325" s="1" t="str">
        <f>"152326195111040660"</f>
        <v>152326195111040660</v>
      </c>
      <c r="E4325" s="1" t="s">
        <v>1147</v>
      </c>
      <c r="F4325" s="1" t="s">
        <v>16</v>
      </c>
      <c r="G4325" s="1" t="s">
        <v>17</v>
      </c>
      <c r="H4325" s="1" t="str">
        <f>"73"</f>
        <v>73</v>
      </c>
      <c r="I4325" s="1" t="str">
        <f t="shared" si="2774"/>
        <v>160</v>
      </c>
      <c r="J4325" s="1" t="str">
        <f t="shared" si="2764"/>
        <v>0</v>
      </c>
      <c r="K4325" s="1" t="str">
        <f t="shared" si="2776"/>
        <v>103</v>
      </c>
      <c r="L4325" s="1" t="str">
        <f t="shared" si="2777"/>
        <v>47</v>
      </c>
      <c r="M4325" s="1" t="str">
        <f t="shared" si="2772"/>
        <v>0</v>
      </c>
      <c r="N4325" s="1" t="str">
        <f t="shared" si="2760"/>
        <v>0</v>
      </c>
      <c r="O4325" s="1" t="str">
        <f t="shared" si="2775"/>
        <v>0</v>
      </c>
    </row>
    <row r="4326" s="1" customFormat="1" spans="1:15">
      <c r="A4326" s="1" t="str">
        <f t="shared" si="2769"/>
        <v>202406</v>
      </c>
      <c r="B4326" s="1" t="str">
        <f t="shared" si="2770"/>
        <v>150525100</v>
      </c>
      <c r="C4326" s="1" t="str">
        <f>"1014619920"</f>
        <v>1014619920</v>
      </c>
      <c r="D4326" s="1" t="str">
        <f>"152326194311060661"</f>
        <v>152326194311060661</v>
      </c>
      <c r="E4326" s="1" t="s">
        <v>1053</v>
      </c>
      <c r="F4326" s="1" t="s">
        <v>16</v>
      </c>
      <c r="G4326" s="1" t="s">
        <v>17</v>
      </c>
      <c r="H4326" s="1" t="str">
        <f>"81"</f>
        <v>81</v>
      </c>
      <c r="I4326" s="1" t="str">
        <f t="shared" ref="I4326:I4330" si="2778">"170"</f>
        <v>170</v>
      </c>
      <c r="J4326" s="1" t="str">
        <f t="shared" si="2764"/>
        <v>0</v>
      </c>
      <c r="K4326" s="1" t="str">
        <f t="shared" si="2776"/>
        <v>103</v>
      </c>
      <c r="L4326" s="1" t="str">
        <f t="shared" si="2777"/>
        <v>47</v>
      </c>
      <c r="M4326" s="1" t="str">
        <f t="shared" si="2772"/>
        <v>0</v>
      </c>
      <c r="N4326" s="1" t="str">
        <f t="shared" si="2760"/>
        <v>0</v>
      </c>
      <c r="O4326" s="1" t="str">
        <f t="shared" si="2775"/>
        <v>0</v>
      </c>
    </row>
    <row r="4327" s="1" customFormat="1" spans="1:15">
      <c r="A4327" s="1" t="str">
        <f t="shared" si="2769"/>
        <v>202406</v>
      </c>
      <c r="B4327" s="1" t="str">
        <f t="shared" si="2770"/>
        <v>150525100</v>
      </c>
      <c r="C4327" s="1" t="str">
        <f>"1014619921"</f>
        <v>1014619921</v>
      </c>
      <c r="D4327" s="1" t="str">
        <f>"152326194810140666"</f>
        <v>152326194810140666</v>
      </c>
      <c r="E4327" s="1" t="s">
        <v>4343</v>
      </c>
      <c r="F4327" s="1" t="s">
        <v>16</v>
      </c>
      <c r="G4327" s="1" t="s">
        <v>19</v>
      </c>
      <c r="H4327" s="1" t="str">
        <f>"76"</f>
        <v>76</v>
      </c>
      <c r="I4327" s="1" t="str">
        <f>"160"</f>
        <v>160</v>
      </c>
      <c r="J4327" s="1" t="str">
        <f t="shared" si="2764"/>
        <v>0</v>
      </c>
      <c r="K4327" s="1" t="str">
        <f t="shared" si="2776"/>
        <v>103</v>
      </c>
      <c r="L4327" s="1" t="str">
        <f t="shared" si="2777"/>
        <v>47</v>
      </c>
      <c r="M4327" s="1" t="str">
        <f t="shared" si="2772"/>
        <v>0</v>
      </c>
      <c r="N4327" s="1" t="str">
        <f t="shared" ref="N4327:N4390" si="2779">"0"</f>
        <v>0</v>
      </c>
      <c r="O4327" s="1" t="str">
        <f t="shared" si="2775"/>
        <v>0</v>
      </c>
    </row>
    <row r="4328" s="1" customFormat="1" spans="1:15">
      <c r="A4328" s="1" t="str">
        <f t="shared" si="2769"/>
        <v>202406</v>
      </c>
      <c r="B4328" s="1" t="str">
        <f t="shared" si="2770"/>
        <v>150525100</v>
      </c>
      <c r="C4328" s="1" t="str">
        <f>"1014619923"</f>
        <v>1014619923</v>
      </c>
      <c r="D4328" s="1" t="str">
        <f>"152326194101060663"</f>
        <v>152326194101060663</v>
      </c>
      <c r="E4328" s="1" t="s">
        <v>4344</v>
      </c>
      <c r="F4328" s="1" t="s">
        <v>16</v>
      </c>
      <c r="G4328" s="1" t="s">
        <v>19</v>
      </c>
      <c r="H4328" s="1" t="str">
        <f>"84"</f>
        <v>84</v>
      </c>
      <c r="I4328" s="1" t="str">
        <f t="shared" si="2778"/>
        <v>170</v>
      </c>
      <c r="J4328" s="1" t="str">
        <f t="shared" si="2764"/>
        <v>0</v>
      </c>
      <c r="K4328" s="1" t="str">
        <f t="shared" si="2776"/>
        <v>103</v>
      </c>
      <c r="L4328" s="1" t="str">
        <f t="shared" si="2777"/>
        <v>47</v>
      </c>
      <c r="M4328" s="1" t="str">
        <f t="shared" si="2772"/>
        <v>0</v>
      </c>
      <c r="N4328" s="1" t="str">
        <f t="shared" si="2779"/>
        <v>0</v>
      </c>
      <c r="O4328" s="1" t="str">
        <f t="shared" si="2775"/>
        <v>0</v>
      </c>
    </row>
    <row r="4329" s="1" customFormat="1" spans="1:15">
      <c r="A4329" s="1" t="str">
        <f t="shared" si="2769"/>
        <v>202406</v>
      </c>
      <c r="B4329" s="1" t="str">
        <f t="shared" si="2770"/>
        <v>150525100</v>
      </c>
      <c r="C4329" s="1" t="str">
        <f>"1014623399"</f>
        <v>1014623399</v>
      </c>
      <c r="D4329" s="1" t="str">
        <f>"152326194311273827"</f>
        <v>152326194311273827</v>
      </c>
      <c r="E4329" s="1" t="s">
        <v>4345</v>
      </c>
      <c r="F4329" s="1" t="s">
        <v>16</v>
      </c>
      <c r="G4329" s="1" t="s">
        <v>17</v>
      </c>
      <c r="H4329" s="1" t="str">
        <f>"81"</f>
        <v>81</v>
      </c>
      <c r="I4329" s="1" t="str">
        <f t="shared" si="2778"/>
        <v>170</v>
      </c>
      <c r="J4329" s="1" t="str">
        <f t="shared" si="2764"/>
        <v>0</v>
      </c>
      <c r="K4329" s="1" t="str">
        <f t="shared" si="2776"/>
        <v>103</v>
      </c>
      <c r="L4329" s="1" t="str">
        <f t="shared" si="2777"/>
        <v>47</v>
      </c>
      <c r="M4329" s="1" t="str">
        <f t="shared" si="2772"/>
        <v>0</v>
      </c>
      <c r="N4329" s="1" t="str">
        <f t="shared" si="2779"/>
        <v>0</v>
      </c>
      <c r="O4329" s="1" t="str">
        <f t="shared" si="2775"/>
        <v>0</v>
      </c>
    </row>
    <row r="4330" s="1" customFormat="1" spans="1:15">
      <c r="A4330" s="1" t="str">
        <f t="shared" si="2769"/>
        <v>202406</v>
      </c>
      <c r="B4330" s="1" t="str">
        <f t="shared" si="2770"/>
        <v>150525100</v>
      </c>
      <c r="C4330" s="1" t="str">
        <f>"1014623402"</f>
        <v>1014623402</v>
      </c>
      <c r="D4330" s="1" t="str">
        <f>"152326193604143829"</f>
        <v>152326193604143829</v>
      </c>
      <c r="E4330" s="1" t="s">
        <v>4346</v>
      </c>
      <c r="F4330" s="1" t="s">
        <v>16</v>
      </c>
      <c r="G4330" s="1" t="s">
        <v>19</v>
      </c>
      <c r="H4330" s="1" t="str">
        <f>"88"</f>
        <v>88</v>
      </c>
      <c r="I4330" s="1" t="str">
        <f t="shared" si="2778"/>
        <v>170</v>
      </c>
      <c r="J4330" s="1" t="str">
        <f t="shared" si="2764"/>
        <v>0</v>
      </c>
      <c r="K4330" s="1" t="str">
        <f t="shared" si="2776"/>
        <v>103</v>
      </c>
      <c r="L4330" s="1" t="str">
        <f t="shared" si="2777"/>
        <v>47</v>
      </c>
      <c r="M4330" s="1" t="str">
        <f t="shared" si="2772"/>
        <v>0</v>
      </c>
      <c r="N4330" s="1" t="str">
        <f t="shared" si="2779"/>
        <v>0</v>
      </c>
      <c r="O4330" s="1" t="str">
        <f t="shared" si="2775"/>
        <v>0</v>
      </c>
    </row>
    <row r="4331" s="1" customFormat="1" spans="1:15">
      <c r="A4331" s="1" t="str">
        <f t="shared" si="2769"/>
        <v>202406</v>
      </c>
      <c r="B4331" s="1" t="str">
        <f t="shared" si="2770"/>
        <v>150525100</v>
      </c>
      <c r="C4331" s="1" t="str">
        <f>"1014623414"</f>
        <v>1014623414</v>
      </c>
      <c r="D4331" s="1" t="s">
        <v>4347</v>
      </c>
      <c r="E4331" s="1" t="s">
        <v>4348</v>
      </c>
      <c r="F4331" s="1" t="s">
        <v>16</v>
      </c>
      <c r="G4331" s="1" t="s">
        <v>19</v>
      </c>
      <c r="H4331" s="1" t="str">
        <f>"77"</f>
        <v>77</v>
      </c>
      <c r="I4331" s="1" t="str">
        <f t="shared" ref="I4331:I4335" si="2780">"160"</f>
        <v>160</v>
      </c>
      <c r="J4331" s="1" t="str">
        <f t="shared" si="2764"/>
        <v>0</v>
      </c>
      <c r="K4331" s="1" t="str">
        <f t="shared" si="2776"/>
        <v>103</v>
      </c>
      <c r="L4331" s="1" t="str">
        <f t="shared" si="2777"/>
        <v>47</v>
      </c>
      <c r="M4331" s="1" t="str">
        <f t="shared" si="2772"/>
        <v>0</v>
      </c>
      <c r="N4331" s="1" t="str">
        <f t="shared" si="2779"/>
        <v>0</v>
      </c>
      <c r="O4331" s="1" t="str">
        <f t="shared" si="2775"/>
        <v>0</v>
      </c>
    </row>
    <row r="4332" s="1" customFormat="1" spans="1:15">
      <c r="A4332" s="1" t="str">
        <f t="shared" si="2769"/>
        <v>202406</v>
      </c>
      <c r="B4332" s="1" t="str">
        <f t="shared" si="2770"/>
        <v>150525100</v>
      </c>
      <c r="C4332" s="1" t="str">
        <f>"1014629306"</f>
        <v>1014629306</v>
      </c>
      <c r="D4332" s="1" t="str">
        <f>"152326193710103812"</f>
        <v>152326193710103812</v>
      </c>
      <c r="E4332" s="1" t="s">
        <v>4349</v>
      </c>
      <c r="F4332" s="1" t="s">
        <v>25</v>
      </c>
      <c r="G4332" s="1" t="s">
        <v>17</v>
      </c>
      <c r="H4332" s="1" t="str">
        <f>"87"</f>
        <v>87</v>
      </c>
      <c r="I4332" s="1" t="str">
        <f>"170"</f>
        <v>170</v>
      </c>
      <c r="J4332" s="1" t="str">
        <f t="shared" si="2764"/>
        <v>0</v>
      </c>
      <c r="K4332" s="1" t="str">
        <f t="shared" si="2776"/>
        <v>103</v>
      </c>
      <c r="L4332" s="1" t="str">
        <f t="shared" si="2777"/>
        <v>47</v>
      </c>
      <c r="M4332" s="1" t="str">
        <f t="shared" si="2772"/>
        <v>0</v>
      </c>
      <c r="N4332" s="1" t="str">
        <f t="shared" si="2779"/>
        <v>0</v>
      </c>
      <c r="O4332" s="1" t="str">
        <f t="shared" si="2775"/>
        <v>0</v>
      </c>
    </row>
    <row r="4333" s="1" customFormat="1" spans="1:15">
      <c r="A4333" s="1" t="str">
        <f t="shared" si="2769"/>
        <v>202406</v>
      </c>
      <c r="B4333" s="1" t="str">
        <f t="shared" si="2770"/>
        <v>150525100</v>
      </c>
      <c r="C4333" s="1" t="str">
        <f>"1014629308"</f>
        <v>1014629308</v>
      </c>
      <c r="D4333" s="1" t="str">
        <f>"152326195007143846"</f>
        <v>152326195007143846</v>
      </c>
      <c r="E4333" s="1" t="s">
        <v>4350</v>
      </c>
      <c r="F4333" s="1" t="s">
        <v>16</v>
      </c>
      <c r="G4333" s="1" t="s">
        <v>17</v>
      </c>
      <c r="H4333" s="1" t="str">
        <f>"74"</f>
        <v>74</v>
      </c>
      <c r="I4333" s="1" t="str">
        <f t="shared" si="2780"/>
        <v>160</v>
      </c>
      <c r="J4333" s="1" t="str">
        <f t="shared" ref="J4333:J4379" si="2781">"0"</f>
        <v>0</v>
      </c>
      <c r="K4333" s="1" t="str">
        <f t="shared" si="2776"/>
        <v>103</v>
      </c>
      <c r="L4333" s="1" t="str">
        <f t="shared" si="2777"/>
        <v>47</v>
      </c>
      <c r="M4333" s="1" t="str">
        <f t="shared" si="2772"/>
        <v>0</v>
      </c>
      <c r="N4333" s="1" t="str">
        <f t="shared" si="2779"/>
        <v>0</v>
      </c>
      <c r="O4333" s="1" t="str">
        <f t="shared" si="2775"/>
        <v>0</v>
      </c>
    </row>
    <row r="4334" s="1" customFormat="1" spans="1:15">
      <c r="A4334" s="1" t="str">
        <f t="shared" si="2769"/>
        <v>202406</v>
      </c>
      <c r="B4334" s="1" t="str">
        <f t="shared" si="2770"/>
        <v>150525100</v>
      </c>
      <c r="C4334" s="1" t="str">
        <f>"1014629319"</f>
        <v>1014629319</v>
      </c>
      <c r="D4334" s="1" t="str">
        <f>"152326195106183819"</f>
        <v>152326195106183819</v>
      </c>
      <c r="E4334" s="1" t="s">
        <v>2610</v>
      </c>
      <c r="F4334" s="1" t="s">
        <v>25</v>
      </c>
      <c r="G4334" s="1" t="s">
        <v>17</v>
      </c>
      <c r="H4334" s="1" t="str">
        <f>"73"</f>
        <v>73</v>
      </c>
      <c r="I4334" s="1" t="str">
        <f t="shared" si="2780"/>
        <v>160</v>
      </c>
      <c r="J4334" s="1" t="str">
        <f t="shared" si="2781"/>
        <v>0</v>
      </c>
      <c r="K4334" s="1" t="str">
        <f t="shared" si="2776"/>
        <v>103</v>
      </c>
      <c r="L4334" s="1" t="str">
        <f t="shared" si="2777"/>
        <v>47</v>
      </c>
      <c r="M4334" s="1" t="str">
        <f t="shared" si="2772"/>
        <v>0</v>
      </c>
      <c r="N4334" s="1" t="str">
        <f t="shared" si="2779"/>
        <v>0</v>
      </c>
      <c r="O4334" s="1" t="str">
        <f t="shared" si="2775"/>
        <v>0</v>
      </c>
    </row>
    <row r="4335" s="1" customFormat="1" spans="1:15">
      <c r="A4335" s="1" t="str">
        <f t="shared" si="2769"/>
        <v>202406</v>
      </c>
      <c r="B4335" s="1" t="str">
        <f t="shared" si="2770"/>
        <v>150525100</v>
      </c>
      <c r="C4335" s="1" t="str">
        <f>"1014629387"</f>
        <v>1014629387</v>
      </c>
      <c r="D4335" s="1" t="str">
        <f>"152326195008160015"</f>
        <v>152326195008160015</v>
      </c>
      <c r="E4335" s="1" t="s">
        <v>4351</v>
      </c>
      <c r="F4335" s="1" t="s">
        <v>25</v>
      </c>
      <c r="G4335" s="1" t="s">
        <v>17</v>
      </c>
      <c r="H4335" s="1" t="str">
        <f>"74"</f>
        <v>74</v>
      </c>
      <c r="I4335" s="1" t="str">
        <f t="shared" si="2780"/>
        <v>160</v>
      </c>
      <c r="J4335" s="1" t="str">
        <f t="shared" si="2781"/>
        <v>0</v>
      </c>
      <c r="K4335" s="1" t="str">
        <f t="shared" si="2776"/>
        <v>103</v>
      </c>
      <c r="L4335" s="1" t="str">
        <f t="shared" si="2777"/>
        <v>47</v>
      </c>
      <c r="M4335" s="1" t="str">
        <f t="shared" si="2772"/>
        <v>0</v>
      </c>
      <c r="N4335" s="1" t="str">
        <f t="shared" si="2779"/>
        <v>0</v>
      </c>
      <c r="O4335" s="1" t="str">
        <f t="shared" si="2775"/>
        <v>0</v>
      </c>
    </row>
    <row r="4336" s="1" customFormat="1" spans="1:15">
      <c r="A4336" s="1" t="str">
        <f t="shared" si="2769"/>
        <v>202406</v>
      </c>
      <c r="B4336" s="1" t="str">
        <f t="shared" si="2770"/>
        <v>150525100</v>
      </c>
      <c r="C4336" s="1" t="str">
        <f>"1014629426"</f>
        <v>1014629426</v>
      </c>
      <c r="D4336" s="1" t="str">
        <f>"152326193004193814"</f>
        <v>152326193004193814</v>
      </c>
      <c r="E4336" s="1" t="s">
        <v>4352</v>
      </c>
      <c r="F4336" s="1" t="s">
        <v>25</v>
      </c>
      <c r="G4336" s="1" t="s">
        <v>19</v>
      </c>
      <c r="H4336" s="1" t="str">
        <f>"94"</f>
        <v>94</v>
      </c>
      <c r="I4336" s="1" t="str">
        <f>"170"</f>
        <v>170</v>
      </c>
      <c r="J4336" s="1" t="str">
        <f t="shared" si="2781"/>
        <v>0</v>
      </c>
      <c r="K4336" s="1" t="str">
        <f t="shared" si="2776"/>
        <v>103</v>
      </c>
      <c r="L4336" s="1" t="str">
        <f t="shared" si="2777"/>
        <v>47</v>
      </c>
      <c r="M4336" s="1" t="str">
        <f t="shared" si="2772"/>
        <v>0</v>
      </c>
      <c r="N4336" s="1" t="str">
        <f t="shared" si="2779"/>
        <v>0</v>
      </c>
      <c r="O4336" s="1" t="str">
        <f t="shared" si="2775"/>
        <v>0</v>
      </c>
    </row>
    <row r="4337" s="1" customFormat="1" spans="1:15">
      <c r="A4337" s="1" t="str">
        <f t="shared" si="2769"/>
        <v>202406</v>
      </c>
      <c r="B4337" s="1" t="str">
        <f t="shared" si="2770"/>
        <v>150525100</v>
      </c>
      <c r="C4337" s="1" t="str">
        <f>"1014629431"</f>
        <v>1014629431</v>
      </c>
      <c r="D4337" s="1" t="str">
        <f>"152326195108080426"</f>
        <v>152326195108080426</v>
      </c>
      <c r="E4337" s="1" t="s">
        <v>1334</v>
      </c>
      <c r="F4337" s="1" t="s">
        <v>16</v>
      </c>
      <c r="G4337" s="1" t="s">
        <v>19</v>
      </c>
      <c r="H4337" s="1" t="str">
        <f>"73"</f>
        <v>73</v>
      </c>
      <c r="I4337" s="1" t="str">
        <f t="shared" ref="I4337:I4346" si="2782">"160"</f>
        <v>160</v>
      </c>
      <c r="J4337" s="1" t="str">
        <f t="shared" si="2781"/>
        <v>0</v>
      </c>
      <c r="K4337" s="1" t="str">
        <f t="shared" si="2776"/>
        <v>103</v>
      </c>
      <c r="L4337" s="1" t="str">
        <f t="shared" si="2777"/>
        <v>47</v>
      </c>
      <c r="M4337" s="1" t="str">
        <f t="shared" si="2772"/>
        <v>0</v>
      </c>
      <c r="N4337" s="1" t="str">
        <f t="shared" si="2779"/>
        <v>0</v>
      </c>
      <c r="O4337" s="1" t="str">
        <f t="shared" si="2775"/>
        <v>0</v>
      </c>
    </row>
    <row r="4338" s="1" customFormat="1" spans="1:15">
      <c r="A4338" s="1" t="str">
        <f t="shared" si="2769"/>
        <v>202406</v>
      </c>
      <c r="B4338" s="1" t="str">
        <f t="shared" si="2770"/>
        <v>150525100</v>
      </c>
      <c r="C4338" s="1" t="str">
        <f>"1014612832"</f>
        <v>1014612832</v>
      </c>
      <c r="D4338" s="1" t="str">
        <f>"152326194508070425"</f>
        <v>152326194508070425</v>
      </c>
      <c r="E4338" s="1" t="s">
        <v>187</v>
      </c>
      <c r="F4338" s="1" t="s">
        <v>16</v>
      </c>
      <c r="G4338" s="1" t="s">
        <v>17</v>
      </c>
      <c r="H4338" s="1" t="str">
        <f>"79"</f>
        <v>79</v>
      </c>
      <c r="I4338" s="1" t="str">
        <f t="shared" si="2782"/>
        <v>160</v>
      </c>
      <c r="J4338" s="1" t="str">
        <f t="shared" si="2781"/>
        <v>0</v>
      </c>
      <c r="K4338" s="1" t="str">
        <f t="shared" si="2776"/>
        <v>103</v>
      </c>
      <c r="L4338" s="1" t="str">
        <f t="shared" si="2777"/>
        <v>47</v>
      </c>
      <c r="M4338" s="1" t="str">
        <f t="shared" si="2772"/>
        <v>0</v>
      </c>
      <c r="N4338" s="1" t="str">
        <f t="shared" si="2779"/>
        <v>0</v>
      </c>
      <c r="O4338" s="1" t="str">
        <f t="shared" si="2775"/>
        <v>0</v>
      </c>
    </row>
    <row r="4339" s="1" customFormat="1" spans="1:15">
      <c r="A4339" s="1" t="str">
        <f t="shared" si="2769"/>
        <v>202406</v>
      </c>
      <c r="B4339" s="1" t="str">
        <f t="shared" si="2770"/>
        <v>150525100</v>
      </c>
      <c r="C4339" s="1" t="str">
        <f>"1014612843"</f>
        <v>1014612843</v>
      </c>
      <c r="D4339" s="1" t="s">
        <v>4353</v>
      </c>
      <c r="E4339" s="1" t="s">
        <v>820</v>
      </c>
      <c r="F4339" s="1" t="s">
        <v>16</v>
      </c>
      <c r="G4339" s="1" t="s">
        <v>17</v>
      </c>
      <c r="H4339" s="1" t="str">
        <f>"79"</f>
        <v>79</v>
      </c>
      <c r="I4339" s="1" t="str">
        <f t="shared" si="2782"/>
        <v>160</v>
      </c>
      <c r="J4339" s="1" t="str">
        <f t="shared" si="2781"/>
        <v>0</v>
      </c>
      <c r="K4339" s="1" t="str">
        <f t="shared" si="2776"/>
        <v>103</v>
      </c>
      <c r="L4339" s="1" t="str">
        <f t="shared" si="2777"/>
        <v>47</v>
      </c>
      <c r="M4339" s="1" t="str">
        <f t="shared" si="2772"/>
        <v>0</v>
      </c>
      <c r="N4339" s="1" t="str">
        <f t="shared" si="2779"/>
        <v>0</v>
      </c>
      <c r="O4339" s="1" t="str">
        <f t="shared" si="2775"/>
        <v>0</v>
      </c>
    </row>
    <row r="4340" s="1" customFormat="1" spans="1:15">
      <c r="A4340" s="1" t="str">
        <f t="shared" si="2769"/>
        <v>202406</v>
      </c>
      <c r="B4340" s="1" t="str">
        <f t="shared" si="2770"/>
        <v>150525100</v>
      </c>
      <c r="C4340" s="1" t="str">
        <f>"1014613114"</f>
        <v>1014613114</v>
      </c>
      <c r="D4340" s="1" t="str">
        <f>"152326194708210410"</f>
        <v>152326194708210410</v>
      </c>
      <c r="E4340" s="1" t="s">
        <v>4354</v>
      </c>
      <c r="F4340" s="1" t="s">
        <v>25</v>
      </c>
      <c r="G4340" s="1" t="s">
        <v>17</v>
      </c>
      <c r="H4340" s="1" t="str">
        <f>"77"</f>
        <v>77</v>
      </c>
      <c r="I4340" s="1" t="str">
        <f t="shared" si="2782"/>
        <v>160</v>
      </c>
      <c r="J4340" s="1" t="str">
        <f t="shared" si="2781"/>
        <v>0</v>
      </c>
      <c r="K4340" s="1" t="str">
        <f t="shared" si="2776"/>
        <v>103</v>
      </c>
      <c r="L4340" s="1" t="str">
        <f t="shared" si="2777"/>
        <v>47</v>
      </c>
      <c r="M4340" s="1" t="str">
        <f t="shared" si="2772"/>
        <v>0</v>
      </c>
      <c r="N4340" s="1" t="str">
        <f t="shared" si="2779"/>
        <v>0</v>
      </c>
      <c r="O4340" s="1" t="str">
        <f t="shared" si="2775"/>
        <v>0</v>
      </c>
    </row>
    <row r="4341" s="1" customFormat="1" spans="1:15">
      <c r="A4341" s="1" t="str">
        <f t="shared" si="2769"/>
        <v>202406</v>
      </c>
      <c r="B4341" s="1" t="str">
        <f t="shared" si="2770"/>
        <v>150525100</v>
      </c>
      <c r="C4341" s="1" t="str">
        <f>"1014613126"</f>
        <v>1014613126</v>
      </c>
      <c r="D4341" s="1" t="str">
        <f>"152326194904073310"</f>
        <v>152326194904073310</v>
      </c>
      <c r="E4341" s="1" t="s">
        <v>4355</v>
      </c>
      <c r="F4341" s="1" t="s">
        <v>25</v>
      </c>
      <c r="G4341" s="1" t="s">
        <v>17</v>
      </c>
      <c r="H4341" s="1" t="str">
        <f>"75"</f>
        <v>75</v>
      </c>
      <c r="I4341" s="1" t="str">
        <f t="shared" si="2782"/>
        <v>160</v>
      </c>
      <c r="J4341" s="1" t="str">
        <f t="shared" si="2781"/>
        <v>0</v>
      </c>
      <c r="K4341" s="1" t="str">
        <f t="shared" si="2776"/>
        <v>103</v>
      </c>
      <c r="L4341" s="1" t="str">
        <f t="shared" si="2777"/>
        <v>47</v>
      </c>
      <c r="M4341" s="1" t="str">
        <f t="shared" si="2772"/>
        <v>0</v>
      </c>
      <c r="N4341" s="1" t="str">
        <f t="shared" si="2779"/>
        <v>0</v>
      </c>
      <c r="O4341" s="1" t="str">
        <f t="shared" si="2775"/>
        <v>0</v>
      </c>
    </row>
    <row r="4342" s="1" customFormat="1" spans="1:15">
      <c r="A4342" s="1" t="str">
        <f t="shared" si="2769"/>
        <v>202406</v>
      </c>
      <c r="B4342" s="1" t="str">
        <f t="shared" si="2770"/>
        <v>150525100</v>
      </c>
      <c r="C4342" s="1" t="str">
        <f>"1014623924"</f>
        <v>1014623924</v>
      </c>
      <c r="D4342" s="1" t="str">
        <f>"152326195003020670"</f>
        <v>152326195003020670</v>
      </c>
      <c r="E4342" s="1" t="s">
        <v>4356</v>
      </c>
      <c r="F4342" s="1" t="s">
        <v>25</v>
      </c>
      <c r="G4342" s="1" t="s">
        <v>17</v>
      </c>
      <c r="H4342" s="1" t="str">
        <f>"74"</f>
        <v>74</v>
      </c>
      <c r="I4342" s="1" t="str">
        <f t="shared" si="2782"/>
        <v>160</v>
      </c>
      <c r="J4342" s="1" t="str">
        <f t="shared" si="2781"/>
        <v>0</v>
      </c>
      <c r="K4342" s="1" t="str">
        <f t="shared" si="2776"/>
        <v>103</v>
      </c>
      <c r="L4342" s="1" t="str">
        <f t="shared" si="2777"/>
        <v>47</v>
      </c>
      <c r="M4342" s="1" t="str">
        <f t="shared" si="2772"/>
        <v>0</v>
      </c>
      <c r="N4342" s="1" t="str">
        <f t="shared" si="2779"/>
        <v>0</v>
      </c>
      <c r="O4342" s="1" t="str">
        <f t="shared" si="2775"/>
        <v>0</v>
      </c>
    </row>
    <row r="4343" s="1" customFormat="1" spans="1:15">
      <c r="A4343" s="1" t="str">
        <f t="shared" si="2769"/>
        <v>202406</v>
      </c>
      <c r="B4343" s="1" t="str">
        <f t="shared" si="2770"/>
        <v>150525100</v>
      </c>
      <c r="C4343" s="1" t="str">
        <f>"1014623937"</f>
        <v>1014623937</v>
      </c>
      <c r="D4343" s="1" t="s">
        <v>4357</v>
      </c>
      <c r="E4343" s="1" t="s">
        <v>4358</v>
      </c>
      <c r="F4343" s="1" t="s">
        <v>16</v>
      </c>
      <c r="G4343" s="1" t="s">
        <v>17</v>
      </c>
      <c r="H4343" s="1" t="str">
        <f>"78"</f>
        <v>78</v>
      </c>
      <c r="I4343" s="1" t="str">
        <f t="shared" si="2782"/>
        <v>160</v>
      </c>
      <c r="J4343" s="1" t="str">
        <f t="shared" si="2781"/>
        <v>0</v>
      </c>
      <c r="K4343" s="1" t="str">
        <f t="shared" si="2776"/>
        <v>103</v>
      </c>
      <c r="L4343" s="1" t="str">
        <f t="shared" si="2777"/>
        <v>47</v>
      </c>
      <c r="M4343" s="1" t="str">
        <f t="shared" si="2772"/>
        <v>0</v>
      </c>
      <c r="N4343" s="1" t="str">
        <f t="shared" si="2779"/>
        <v>0</v>
      </c>
      <c r="O4343" s="1" t="str">
        <f t="shared" si="2775"/>
        <v>0</v>
      </c>
    </row>
    <row r="4344" s="1" customFormat="1" spans="1:15">
      <c r="A4344" s="1" t="str">
        <f t="shared" si="2769"/>
        <v>202406</v>
      </c>
      <c r="B4344" s="1" t="str">
        <f t="shared" si="2770"/>
        <v>150525100</v>
      </c>
      <c r="C4344" s="1" t="str">
        <f>"1014619414"</f>
        <v>1014619414</v>
      </c>
      <c r="D4344" s="1" t="str">
        <f>"152326195007083812"</f>
        <v>152326195007083812</v>
      </c>
      <c r="E4344" s="1" t="s">
        <v>4359</v>
      </c>
      <c r="F4344" s="1" t="s">
        <v>25</v>
      </c>
      <c r="G4344" s="1" t="s">
        <v>17</v>
      </c>
      <c r="H4344" s="1" t="str">
        <f>"74"</f>
        <v>74</v>
      </c>
      <c r="I4344" s="1" t="str">
        <f t="shared" si="2782"/>
        <v>160</v>
      </c>
      <c r="J4344" s="1" t="str">
        <f t="shared" si="2781"/>
        <v>0</v>
      </c>
      <c r="K4344" s="1" t="str">
        <f t="shared" si="2776"/>
        <v>103</v>
      </c>
      <c r="L4344" s="1" t="str">
        <f t="shared" si="2777"/>
        <v>47</v>
      </c>
      <c r="M4344" s="1" t="str">
        <f t="shared" si="2772"/>
        <v>0</v>
      </c>
      <c r="N4344" s="1" t="str">
        <f t="shared" si="2779"/>
        <v>0</v>
      </c>
      <c r="O4344" s="1" t="str">
        <f t="shared" si="2775"/>
        <v>0</v>
      </c>
    </row>
    <row r="4345" s="1" customFormat="1" spans="1:15">
      <c r="A4345" s="1" t="str">
        <f t="shared" si="2769"/>
        <v>202406</v>
      </c>
      <c r="B4345" s="1" t="str">
        <f t="shared" si="2770"/>
        <v>150525100</v>
      </c>
      <c r="C4345" s="1" t="str">
        <f>"1014619415"</f>
        <v>1014619415</v>
      </c>
      <c r="D4345" s="1" t="str">
        <f>"152326195111043810"</f>
        <v>152326195111043810</v>
      </c>
      <c r="E4345" s="1" t="s">
        <v>4360</v>
      </c>
      <c r="F4345" s="1" t="s">
        <v>25</v>
      </c>
      <c r="G4345" s="1" t="s">
        <v>17</v>
      </c>
      <c r="H4345" s="1" t="str">
        <f>"73"</f>
        <v>73</v>
      </c>
      <c r="I4345" s="1" t="str">
        <f t="shared" si="2782"/>
        <v>160</v>
      </c>
      <c r="J4345" s="1" t="str">
        <f t="shared" si="2781"/>
        <v>0</v>
      </c>
      <c r="K4345" s="1" t="str">
        <f t="shared" si="2776"/>
        <v>103</v>
      </c>
      <c r="L4345" s="1" t="str">
        <f t="shared" si="2777"/>
        <v>47</v>
      </c>
      <c r="M4345" s="1" t="str">
        <f t="shared" si="2772"/>
        <v>0</v>
      </c>
      <c r="N4345" s="1" t="str">
        <f t="shared" si="2779"/>
        <v>0</v>
      </c>
      <c r="O4345" s="1" t="str">
        <f t="shared" si="2775"/>
        <v>0</v>
      </c>
    </row>
    <row r="4346" s="1" customFormat="1" spans="1:15">
      <c r="A4346" s="1" t="str">
        <f t="shared" si="2769"/>
        <v>202406</v>
      </c>
      <c r="B4346" s="1" t="str">
        <f t="shared" si="2770"/>
        <v>150525100</v>
      </c>
      <c r="C4346" s="1" t="str">
        <f>"1014622925"</f>
        <v>1014622925</v>
      </c>
      <c r="D4346" s="1" t="str">
        <f>"152326194903120445"</f>
        <v>152326194903120445</v>
      </c>
      <c r="E4346" s="1" t="s">
        <v>2371</v>
      </c>
      <c r="F4346" s="1" t="s">
        <v>16</v>
      </c>
      <c r="G4346" s="1" t="s">
        <v>17</v>
      </c>
      <c r="H4346" s="1" t="str">
        <f>"75"</f>
        <v>75</v>
      </c>
      <c r="I4346" s="1" t="str">
        <f t="shared" si="2782"/>
        <v>160</v>
      </c>
      <c r="J4346" s="1" t="str">
        <f t="shared" si="2781"/>
        <v>0</v>
      </c>
      <c r="K4346" s="1" t="str">
        <f t="shared" si="2776"/>
        <v>103</v>
      </c>
      <c r="L4346" s="1" t="str">
        <f t="shared" si="2777"/>
        <v>47</v>
      </c>
      <c r="M4346" s="1" t="str">
        <f t="shared" si="2772"/>
        <v>0</v>
      </c>
      <c r="N4346" s="1" t="str">
        <f t="shared" si="2779"/>
        <v>0</v>
      </c>
      <c r="O4346" s="1" t="str">
        <f t="shared" si="2775"/>
        <v>0</v>
      </c>
    </row>
    <row r="4347" s="1" customFormat="1" spans="1:15">
      <c r="A4347" s="1" t="str">
        <f t="shared" si="2769"/>
        <v>202406</v>
      </c>
      <c r="B4347" s="1" t="str">
        <f t="shared" si="2770"/>
        <v>150525100</v>
      </c>
      <c r="C4347" s="1" t="str">
        <f>"1014622929"</f>
        <v>1014622929</v>
      </c>
      <c r="D4347" s="1" t="str">
        <f>"152326194307080416"</f>
        <v>152326194307080416</v>
      </c>
      <c r="E4347" s="1" t="s">
        <v>4361</v>
      </c>
      <c r="F4347" s="1" t="s">
        <v>25</v>
      </c>
      <c r="G4347" s="1" t="s">
        <v>17</v>
      </c>
      <c r="H4347" s="1" t="str">
        <f>"81"</f>
        <v>81</v>
      </c>
      <c r="I4347" s="1" t="str">
        <f>"170"</f>
        <v>170</v>
      </c>
      <c r="J4347" s="1" t="str">
        <f t="shared" si="2781"/>
        <v>0</v>
      </c>
      <c r="K4347" s="1" t="str">
        <f t="shared" si="2776"/>
        <v>103</v>
      </c>
      <c r="L4347" s="1" t="str">
        <f t="shared" si="2777"/>
        <v>47</v>
      </c>
      <c r="M4347" s="1" t="str">
        <f t="shared" si="2772"/>
        <v>0</v>
      </c>
      <c r="N4347" s="1" t="str">
        <f t="shared" si="2779"/>
        <v>0</v>
      </c>
      <c r="O4347" s="1" t="str">
        <f t="shared" si="2775"/>
        <v>0</v>
      </c>
    </row>
    <row r="4348" s="1" customFormat="1" spans="1:15">
      <c r="A4348" s="1" t="str">
        <f t="shared" si="2769"/>
        <v>202406</v>
      </c>
      <c r="B4348" s="1" t="str">
        <f t="shared" si="2770"/>
        <v>150525100</v>
      </c>
      <c r="C4348" s="1" t="str">
        <f>"1014630143"</f>
        <v>1014630143</v>
      </c>
      <c r="D4348" s="1" t="str">
        <f>"152326194711260427"</f>
        <v>152326194711260427</v>
      </c>
      <c r="E4348" s="1" t="s">
        <v>4362</v>
      </c>
      <c r="F4348" s="1" t="s">
        <v>16</v>
      </c>
      <c r="G4348" s="1" t="s">
        <v>17</v>
      </c>
      <c r="H4348" s="1" t="str">
        <f>"77"</f>
        <v>77</v>
      </c>
      <c r="I4348" s="1" t="str">
        <f t="shared" ref="I4348:I4352" si="2783">"160"</f>
        <v>160</v>
      </c>
      <c r="J4348" s="1" t="str">
        <f t="shared" si="2781"/>
        <v>0</v>
      </c>
      <c r="K4348" s="1" t="str">
        <f t="shared" si="2776"/>
        <v>103</v>
      </c>
      <c r="L4348" s="1" t="str">
        <f t="shared" si="2777"/>
        <v>47</v>
      </c>
      <c r="M4348" s="1" t="str">
        <f t="shared" si="2772"/>
        <v>0</v>
      </c>
      <c r="N4348" s="1" t="str">
        <f t="shared" si="2779"/>
        <v>0</v>
      </c>
      <c r="O4348" s="1" t="str">
        <f t="shared" si="2775"/>
        <v>0</v>
      </c>
    </row>
    <row r="4349" s="1" customFormat="1" spans="1:15">
      <c r="A4349" s="1" t="str">
        <f t="shared" si="2769"/>
        <v>202406</v>
      </c>
      <c r="B4349" s="1" t="str">
        <f t="shared" si="2770"/>
        <v>150525100</v>
      </c>
      <c r="C4349" s="1" t="str">
        <f>"1014630168"</f>
        <v>1014630168</v>
      </c>
      <c r="D4349" s="1" t="str">
        <f>"152326195012070426"</f>
        <v>152326195012070426</v>
      </c>
      <c r="E4349" s="1" t="s">
        <v>4363</v>
      </c>
      <c r="F4349" s="1" t="s">
        <v>16</v>
      </c>
      <c r="G4349" s="1" t="s">
        <v>17</v>
      </c>
      <c r="H4349" s="1" t="str">
        <f>"74"</f>
        <v>74</v>
      </c>
      <c r="I4349" s="1" t="str">
        <f t="shared" si="2783"/>
        <v>160</v>
      </c>
      <c r="J4349" s="1" t="str">
        <f t="shared" si="2781"/>
        <v>0</v>
      </c>
      <c r="K4349" s="1" t="str">
        <f t="shared" si="2776"/>
        <v>103</v>
      </c>
      <c r="L4349" s="1" t="str">
        <f t="shared" si="2777"/>
        <v>47</v>
      </c>
      <c r="M4349" s="1" t="str">
        <f t="shared" si="2772"/>
        <v>0</v>
      </c>
      <c r="N4349" s="1" t="str">
        <f t="shared" si="2779"/>
        <v>0</v>
      </c>
      <c r="O4349" s="1" t="str">
        <f t="shared" si="2775"/>
        <v>0</v>
      </c>
    </row>
    <row r="4350" s="1" customFormat="1" spans="1:15">
      <c r="A4350" s="1" t="str">
        <f t="shared" si="2769"/>
        <v>202406</v>
      </c>
      <c r="B4350" s="1" t="str">
        <f t="shared" si="2770"/>
        <v>150525100</v>
      </c>
      <c r="C4350" s="1" t="str">
        <f>"1014630172"</f>
        <v>1014630172</v>
      </c>
      <c r="D4350" s="1" t="str">
        <f>"152326194903080420"</f>
        <v>152326194903080420</v>
      </c>
      <c r="E4350" s="1" t="s">
        <v>4364</v>
      </c>
      <c r="F4350" s="1" t="s">
        <v>16</v>
      </c>
      <c r="G4350" s="1" t="s">
        <v>17</v>
      </c>
      <c r="H4350" s="1" t="str">
        <f>"75"</f>
        <v>75</v>
      </c>
      <c r="I4350" s="1" t="str">
        <f t="shared" si="2783"/>
        <v>160</v>
      </c>
      <c r="J4350" s="1" t="str">
        <f t="shared" si="2781"/>
        <v>0</v>
      </c>
      <c r="K4350" s="1" t="str">
        <f t="shared" si="2776"/>
        <v>103</v>
      </c>
      <c r="L4350" s="1" t="str">
        <f t="shared" si="2777"/>
        <v>47</v>
      </c>
      <c r="M4350" s="1" t="str">
        <f t="shared" si="2772"/>
        <v>0</v>
      </c>
      <c r="N4350" s="1" t="str">
        <f t="shared" si="2779"/>
        <v>0</v>
      </c>
      <c r="O4350" s="1" t="str">
        <f t="shared" si="2775"/>
        <v>0</v>
      </c>
    </row>
    <row r="4351" s="1" customFormat="1" spans="1:15">
      <c r="A4351" s="1" t="str">
        <f t="shared" si="2769"/>
        <v>202406</v>
      </c>
      <c r="B4351" s="1" t="str">
        <f t="shared" si="2770"/>
        <v>150525100</v>
      </c>
      <c r="C4351" s="1" t="str">
        <f>"1014629983"</f>
        <v>1014629983</v>
      </c>
      <c r="D4351" s="1" t="str">
        <f>"152326194407143816"</f>
        <v>152326194407143816</v>
      </c>
      <c r="E4351" s="1" t="s">
        <v>4365</v>
      </c>
      <c r="F4351" s="1" t="s">
        <v>25</v>
      </c>
      <c r="G4351" s="1" t="s">
        <v>17</v>
      </c>
      <c r="H4351" s="1" t="str">
        <f>"80"</f>
        <v>80</v>
      </c>
      <c r="I4351" s="1" t="str">
        <f t="shared" si="2783"/>
        <v>160</v>
      </c>
      <c r="J4351" s="1" t="str">
        <f t="shared" si="2781"/>
        <v>0</v>
      </c>
      <c r="K4351" s="1" t="str">
        <f t="shared" si="2776"/>
        <v>103</v>
      </c>
      <c r="L4351" s="1" t="str">
        <f t="shared" si="2777"/>
        <v>47</v>
      </c>
      <c r="M4351" s="1" t="str">
        <f t="shared" si="2772"/>
        <v>0</v>
      </c>
      <c r="N4351" s="1" t="str">
        <f t="shared" si="2779"/>
        <v>0</v>
      </c>
      <c r="O4351" s="1" t="str">
        <f t="shared" si="2775"/>
        <v>0</v>
      </c>
    </row>
    <row r="4352" s="1" customFormat="1" spans="1:15">
      <c r="A4352" s="1" t="str">
        <f t="shared" si="2769"/>
        <v>202406</v>
      </c>
      <c r="B4352" s="1" t="str">
        <f t="shared" si="2770"/>
        <v>150525100</v>
      </c>
      <c r="C4352" s="1" t="str">
        <f>"1014629999"</f>
        <v>1014629999</v>
      </c>
      <c r="D4352" s="1" t="str">
        <f>"152326195002240022"</f>
        <v>152326195002240022</v>
      </c>
      <c r="E4352" s="1" t="s">
        <v>4366</v>
      </c>
      <c r="F4352" s="1" t="s">
        <v>16</v>
      </c>
      <c r="G4352" s="1" t="s">
        <v>17</v>
      </c>
      <c r="H4352" s="1" t="str">
        <f>"74"</f>
        <v>74</v>
      </c>
      <c r="I4352" s="1" t="str">
        <f t="shared" si="2783"/>
        <v>160</v>
      </c>
      <c r="J4352" s="1" t="str">
        <f t="shared" si="2781"/>
        <v>0</v>
      </c>
      <c r="K4352" s="1" t="str">
        <f t="shared" si="2776"/>
        <v>103</v>
      </c>
      <c r="L4352" s="1" t="str">
        <f t="shared" si="2777"/>
        <v>47</v>
      </c>
      <c r="M4352" s="1" t="str">
        <f t="shared" si="2772"/>
        <v>0</v>
      </c>
      <c r="N4352" s="1" t="str">
        <f t="shared" si="2779"/>
        <v>0</v>
      </c>
      <c r="O4352" s="1" t="str">
        <f t="shared" si="2775"/>
        <v>0</v>
      </c>
    </row>
    <row r="4353" s="1" customFormat="1" spans="1:15">
      <c r="A4353" s="1" t="str">
        <f t="shared" si="2769"/>
        <v>202406</v>
      </c>
      <c r="B4353" s="1" t="str">
        <f t="shared" si="2770"/>
        <v>150525100</v>
      </c>
      <c r="C4353" s="1" t="str">
        <f>"1014589002"</f>
        <v>1014589002</v>
      </c>
      <c r="D4353" s="1" t="s">
        <v>4367</v>
      </c>
      <c r="E4353" s="1" t="s">
        <v>4368</v>
      </c>
      <c r="F4353" s="1" t="s">
        <v>16</v>
      </c>
      <c r="G4353" s="1" t="s">
        <v>17</v>
      </c>
      <c r="H4353" s="1" t="str">
        <f>"61"</f>
        <v>61</v>
      </c>
      <c r="I4353" s="1" t="str">
        <f>"164.94"</f>
        <v>164.94</v>
      </c>
      <c r="J4353" s="1" t="str">
        <f t="shared" si="2781"/>
        <v>0</v>
      </c>
      <c r="K4353" s="1" t="str">
        <f t="shared" si="2776"/>
        <v>103</v>
      </c>
      <c r="L4353" s="1" t="str">
        <f t="shared" si="2777"/>
        <v>47</v>
      </c>
      <c r="M4353" s="1" t="str">
        <f t="shared" si="2772"/>
        <v>0</v>
      </c>
      <c r="N4353" s="1" t="str">
        <f t="shared" si="2779"/>
        <v>0</v>
      </c>
      <c r="O4353" s="1" t="str">
        <f>"14.94"</f>
        <v>14.94</v>
      </c>
    </row>
    <row r="4354" s="1" customFormat="1" spans="1:15">
      <c r="A4354" s="1" t="str">
        <f t="shared" ref="A4354:A4417" si="2784">"202406"</f>
        <v>202406</v>
      </c>
      <c r="B4354" s="1" t="str">
        <f t="shared" ref="B4354:B4417" si="2785">"150525100"</f>
        <v>150525100</v>
      </c>
      <c r="C4354" s="1" t="str">
        <f>"1014589006"</f>
        <v>1014589006</v>
      </c>
      <c r="D4354" s="1" t="str">
        <f>"152326196209220410"</f>
        <v>152326196209220410</v>
      </c>
      <c r="E4354" s="1" t="s">
        <v>4369</v>
      </c>
      <c r="F4354" s="1" t="s">
        <v>25</v>
      </c>
      <c r="G4354" s="1" t="s">
        <v>17</v>
      </c>
      <c r="H4354" s="1" t="str">
        <f>"62"</f>
        <v>62</v>
      </c>
      <c r="I4354" s="1" t="str">
        <f>"163.12"</f>
        <v>163.12</v>
      </c>
      <c r="J4354" s="1" t="str">
        <f t="shared" si="2781"/>
        <v>0</v>
      </c>
      <c r="K4354" s="1" t="str">
        <f t="shared" si="2776"/>
        <v>103</v>
      </c>
      <c r="L4354" s="1" t="str">
        <f t="shared" si="2777"/>
        <v>47</v>
      </c>
      <c r="M4354" s="1" t="str">
        <f t="shared" si="2772"/>
        <v>0</v>
      </c>
      <c r="N4354" s="1" t="str">
        <f t="shared" si="2779"/>
        <v>0</v>
      </c>
      <c r="O4354" s="1" t="str">
        <f>"13.12"</f>
        <v>13.12</v>
      </c>
    </row>
    <row r="4355" s="1" customFormat="1" spans="1:15">
      <c r="A4355" s="1" t="str">
        <f t="shared" si="2784"/>
        <v>202406</v>
      </c>
      <c r="B4355" s="1" t="str">
        <f t="shared" si="2785"/>
        <v>150525100</v>
      </c>
      <c r="C4355" s="1" t="str">
        <f>"1014589027"</f>
        <v>1014589027</v>
      </c>
      <c r="D4355" s="1" t="str">
        <f>"152326195708250425"</f>
        <v>152326195708250425</v>
      </c>
      <c r="E4355" s="1" t="s">
        <v>4370</v>
      </c>
      <c r="F4355" s="1" t="s">
        <v>16</v>
      </c>
      <c r="G4355" s="1" t="s">
        <v>17</v>
      </c>
      <c r="H4355" s="1" t="str">
        <f>"67"</f>
        <v>67</v>
      </c>
      <c r="I4355" s="1" t="str">
        <f>"156.08"</f>
        <v>156.08</v>
      </c>
      <c r="J4355" s="1" t="str">
        <f t="shared" si="2781"/>
        <v>0</v>
      </c>
      <c r="K4355" s="1" t="str">
        <f t="shared" si="2776"/>
        <v>103</v>
      </c>
      <c r="L4355" s="1" t="str">
        <f t="shared" si="2777"/>
        <v>47</v>
      </c>
      <c r="M4355" s="1" t="str">
        <f t="shared" si="2772"/>
        <v>0</v>
      </c>
      <c r="N4355" s="1" t="str">
        <f t="shared" si="2779"/>
        <v>0</v>
      </c>
      <c r="O4355" s="1" t="str">
        <f>"6.08"</f>
        <v>6.08</v>
      </c>
    </row>
    <row r="4356" s="1" customFormat="1" spans="1:15">
      <c r="A4356" s="1" t="str">
        <f t="shared" si="2784"/>
        <v>202406</v>
      </c>
      <c r="B4356" s="1" t="str">
        <f t="shared" si="2785"/>
        <v>150525100</v>
      </c>
      <c r="C4356" s="1" t="str">
        <f>"1014622224"</f>
        <v>1014622224</v>
      </c>
      <c r="D4356" s="1" t="str">
        <f>"152326195001073314"</f>
        <v>152326195001073314</v>
      </c>
      <c r="E4356" s="1" t="s">
        <v>4371</v>
      </c>
      <c r="F4356" s="1" t="s">
        <v>25</v>
      </c>
      <c r="G4356" s="1" t="s">
        <v>19</v>
      </c>
      <c r="H4356" s="1" t="str">
        <f>"75"</f>
        <v>75</v>
      </c>
      <c r="I4356" s="1" t="str">
        <f t="shared" ref="I4356:I4362" si="2786">"160"</f>
        <v>160</v>
      </c>
      <c r="J4356" s="1" t="str">
        <f t="shared" si="2781"/>
        <v>0</v>
      </c>
      <c r="K4356" s="1" t="str">
        <f t="shared" si="2776"/>
        <v>103</v>
      </c>
      <c r="L4356" s="1" t="str">
        <f t="shared" si="2777"/>
        <v>47</v>
      </c>
      <c r="M4356" s="1" t="str">
        <f t="shared" si="2772"/>
        <v>0</v>
      </c>
      <c r="N4356" s="1" t="str">
        <f t="shared" si="2779"/>
        <v>0</v>
      </c>
      <c r="O4356" s="1" t="str">
        <f t="shared" ref="O4356:O4403" si="2787">"0"</f>
        <v>0</v>
      </c>
    </row>
    <row r="4357" s="1" customFormat="1" spans="1:15">
      <c r="A4357" s="1" t="str">
        <f t="shared" si="2784"/>
        <v>202406</v>
      </c>
      <c r="B4357" s="1" t="str">
        <f t="shared" si="2785"/>
        <v>150525100</v>
      </c>
      <c r="C4357" s="1" t="str">
        <f>"1014622225"</f>
        <v>1014622225</v>
      </c>
      <c r="D4357" s="1" t="str">
        <f>"152326195110163319"</f>
        <v>152326195110163319</v>
      </c>
      <c r="E4357" s="1" t="s">
        <v>4372</v>
      </c>
      <c r="F4357" s="1" t="s">
        <v>25</v>
      </c>
      <c r="G4357" s="1" t="s">
        <v>19</v>
      </c>
      <c r="H4357" s="1" t="str">
        <f>"73"</f>
        <v>73</v>
      </c>
      <c r="I4357" s="1" t="str">
        <f t="shared" si="2786"/>
        <v>160</v>
      </c>
      <c r="J4357" s="1" t="str">
        <f t="shared" si="2781"/>
        <v>0</v>
      </c>
      <c r="K4357" s="1" t="str">
        <f t="shared" si="2776"/>
        <v>103</v>
      </c>
      <c r="L4357" s="1" t="str">
        <f t="shared" si="2777"/>
        <v>47</v>
      </c>
      <c r="M4357" s="1" t="str">
        <f t="shared" si="2772"/>
        <v>0</v>
      </c>
      <c r="N4357" s="1" t="str">
        <f t="shared" si="2779"/>
        <v>0</v>
      </c>
      <c r="O4357" s="1" t="str">
        <f t="shared" si="2787"/>
        <v>0</v>
      </c>
    </row>
    <row r="4358" s="1" customFormat="1" spans="1:15">
      <c r="A4358" s="1" t="str">
        <f t="shared" si="2784"/>
        <v>202406</v>
      </c>
      <c r="B4358" s="1" t="str">
        <f t="shared" si="2785"/>
        <v>150525100</v>
      </c>
      <c r="C4358" s="1" t="str">
        <f>"1014622228"</f>
        <v>1014622228</v>
      </c>
      <c r="D4358" s="1" t="s">
        <v>4373</v>
      </c>
      <c r="E4358" s="1" t="s">
        <v>4374</v>
      </c>
      <c r="F4358" s="1" t="s">
        <v>25</v>
      </c>
      <c r="G4358" s="1" t="s">
        <v>19</v>
      </c>
      <c r="H4358" s="1" t="str">
        <f>"73"</f>
        <v>73</v>
      </c>
      <c r="I4358" s="1" t="str">
        <f t="shared" si="2786"/>
        <v>160</v>
      </c>
      <c r="J4358" s="1" t="str">
        <f t="shared" si="2781"/>
        <v>0</v>
      </c>
      <c r="K4358" s="1" t="str">
        <f t="shared" si="2776"/>
        <v>103</v>
      </c>
      <c r="L4358" s="1" t="str">
        <f t="shared" si="2777"/>
        <v>47</v>
      </c>
      <c r="M4358" s="1" t="str">
        <f t="shared" si="2772"/>
        <v>0</v>
      </c>
      <c r="N4358" s="1" t="str">
        <f t="shared" si="2779"/>
        <v>0</v>
      </c>
      <c r="O4358" s="1" t="str">
        <f t="shared" si="2787"/>
        <v>0</v>
      </c>
    </row>
    <row r="4359" s="1" customFormat="1" spans="1:15">
      <c r="A4359" s="1" t="str">
        <f t="shared" si="2784"/>
        <v>202406</v>
      </c>
      <c r="B4359" s="1" t="str">
        <f t="shared" si="2785"/>
        <v>150525100</v>
      </c>
      <c r="C4359" s="1" t="str">
        <f>"1014622229"</f>
        <v>1014622229</v>
      </c>
      <c r="D4359" s="1" t="str">
        <f>"152326194912273312"</f>
        <v>152326194912273312</v>
      </c>
      <c r="E4359" s="1" t="s">
        <v>4375</v>
      </c>
      <c r="F4359" s="1" t="s">
        <v>25</v>
      </c>
      <c r="G4359" s="1" t="s">
        <v>19</v>
      </c>
      <c r="H4359" s="1" t="str">
        <f>"75"</f>
        <v>75</v>
      </c>
      <c r="I4359" s="1" t="str">
        <f t="shared" si="2786"/>
        <v>160</v>
      </c>
      <c r="J4359" s="1" t="str">
        <f t="shared" si="2781"/>
        <v>0</v>
      </c>
      <c r="K4359" s="1" t="str">
        <f t="shared" si="2776"/>
        <v>103</v>
      </c>
      <c r="L4359" s="1" t="str">
        <f t="shared" si="2777"/>
        <v>47</v>
      </c>
      <c r="M4359" s="1" t="str">
        <f t="shared" si="2772"/>
        <v>0</v>
      </c>
      <c r="N4359" s="1" t="str">
        <f t="shared" si="2779"/>
        <v>0</v>
      </c>
      <c r="O4359" s="1" t="str">
        <f t="shared" si="2787"/>
        <v>0</v>
      </c>
    </row>
    <row r="4360" s="1" customFormat="1" spans="1:15">
      <c r="A4360" s="1" t="str">
        <f t="shared" si="2784"/>
        <v>202406</v>
      </c>
      <c r="B4360" s="1" t="str">
        <f t="shared" si="2785"/>
        <v>150525100</v>
      </c>
      <c r="C4360" s="1" t="str">
        <f>"1014622611"</f>
        <v>1014622611</v>
      </c>
      <c r="D4360" s="1" t="s">
        <v>4376</v>
      </c>
      <c r="E4360" s="1" t="s">
        <v>4377</v>
      </c>
      <c r="F4360" s="1" t="s">
        <v>25</v>
      </c>
      <c r="G4360" s="1" t="s">
        <v>17</v>
      </c>
      <c r="H4360" s="1" t="str">
        <f>"77"</f>
        <v>77</v>
      </c>
      <c r="I4360" s="1" t="str">
        <f t="shared" si="2786"/>
        <v>160</v>
      </c>
      <c r="J4360" s="1" t="str">
        <f t="shared" si="2781"/>
        <v>0</v>
      </c>
      <c r="K4360" s="1" t="str">
        <f t="shared" si="2776"/>
        <v>103</v>
      </c>
      <c r="L4360" s="1" t="str">
        <f t="shared" si="2777"/>
        <v>47</v>
      </c>
      <c r="M4360" s="1" t="str">
        <f t="shared" si="2772"/>
        <v>0</v>
      </c>
      <c r="N4360" s="1" t="str">
        <f t="shared" si="2779"/>
        <v>0</v>
      </c>
      <c r="O4360" s="1" t="str">
        <f t="shared" si="2787"/>
        <v>0</v>
      </c>
    </row>
    <row r="4361" s="1" customFormat="1" spans="1:15">
      <c r="A4361" s="1" t="str">
        <f t="shared" si="2784"/>
        <v>202406</v>
      </c>
      <c r="B4361" s="1" t="str">
        <f t="shared" si="2785"/>
        <v>150525100</v>
      </c>
      <c r="C4361" s="1" t="str">
        <f>"1014622615"</f>
        <v>1014622615</v>
      </c>
      <c r="D4361" s="1" t="str">
        <f>"152326194810290672"</f>
        <v>152326194810290672</v>
      </c>
      <c r="E4361" s="1" t="s">
        <v>4378</v>
      </c>
      <c r="F4361" s="1" t="s">
        <v>25</v>
      </c>
      <c r="G4361" s="1" t="s">
        <v>17</v>
      </c>
      <c r="H4361" s="1" t="str">
        <f>"76"</f>
        <v>76</v>
      </c>
      <c r="I4361" s="1" t="str">
        <f t="shared" si="2786"/>
        <v>160</v>
      </c>
      <c r="J4361" s="1" t="str">
        <f t="shared" si="2781"/>
        <v>0</v>
      </c>
      <c r="K4361" s="1" t="str">
        <f t="shared" si="2776"/>
        <v>103</v>
      </c>
      <c r="L4361" s="1" t="str">
        <f t="shared" si="2777"/>
        <v>47</v>
      </c>
      <c r="M4361" s="1" t="str">
        <f t="shared" si="2772"/>
        <v>0</v>
      </c>
      <c r="N4361" s="1" t="str">
        <f t="shared" si="2779"/>
        <v>0</v>
      </c>
      <c r="O4361" s="1" t="str">
        <f t="shared" si="2787"/>
        <v>0</v>
      </c>
    </row>
    <row r="4362" s="1" customFormat="1" spans="1:15">
      <c r="A4362" s="1" t="str">
        <f t="shared" si="2784"/>
        <v>202406</v>
      </c>
      <c r="B4362" s="1" t="str">
        <f t="shared" si="2785"/>
        <v>150525100</v>
      </c>
      <c r="C4362" s="1" t="str">
        <f>"1014623993"</f>
        <v>1014623993</v>
      </c>
      <c r="D4362" s="1" t="str">
        <f>"152326195001010663"</f>
        <v>152326195001010663</v>
      </c>
      <c r="E4362" s="1" t="s">
        <v>4379</v>
      </c>
      <c r="F4362" s="1" t="s">
        <v>16</v>
      </c>
      <c r="G4362" s="1" t="s">
        <v>17</v>
      </c>
      <c r="H4362" s="1" t="str">
        <f>"75"</f>
        <v>75</v>
      </c>
      <c r="I4362" s="1" t="str">
        <f t="shared" si="2786"/>
        <v>160</v>
      </c>
      <c r="J4362" s="1" t="str">
        <f t="shared" si="2781"/>
        <v>0</v>
      </c>
      <c r="K4362" s="1" t="str">
        <f t="shared" si="2776"/>
        <v>103</v>
      </c>
      <c r="L4362" s="1" t="str">
        <f t="shared" si="2777"/>
        <v>47</v>
      </c>
      <c r="M4362" s="1" t="str">
        <f t="shared" si="2772"/>
        <v>0</v>
      </c>
      <c r="N4362" s="1" t="str">
        <f t="shared" si="2779"/>
        <v>0</v>
      </c>
      <c r="O4362" s="1" t="str">
        <f t="shared" si="2787"/>
        <v>0</v>
      </c>
    </row>
    <row r="4363" s="1" customFormat="1" spans="1:15">
      <c r="A4363" s="1" t="str">
        <f t="shared" si="2784"/>
        <v>202406</v>
      </c>
      <c r="B4363" s="1" t="str">
        <f t="shared" si="2785"/>
        <v>150525100</v>
      </c>
      <c r="C4363" s="1" t="str">
        <f>"1014624480"</f>
        <v>1014624480</v>
      </c>
      <c r="D4363" s="1" t="str">
        <f>"152326193405050929"</f>
        <v>152326193405050929</v>
      </c>
      <c r="E4363" s="1" t="s">
        <v>4380</v>
      </c>
      <c r="F4363" s="1" t="s">
        <v>16</v>
      </c>
      <c r="G4363" s="1" t="s">
        <v>19</v>
      </c>
      <c r="H4363" s="1" t="str">
        <f>"90"</f>
        <v>90</v>
      </c>
      <c r="I4363" s="1" t="str">
        <f>"170"</f>
        <v>170</v>
      </c>
      <c r="J4363" s="1" t="str">
        <f t="shared" si="2781"/>
        <v>0</v>
      </c>
      <c r="K4363" s="1" t="str">
        <f t="shared" si="2776"/>
        <v>103</v>
      </c>
      <c r="L4363" s="1" t="str">
        <f t="shared" si="2777"/>
        <v>47</v>
      </c>
      <c r="M4363" s="1" t="str">
        <f t="shared" si="2772"/>
        <v>0</v>
      </c>
      <c r="N4363" s="1" t="str">
        <f t="shared" si="2779"/>
        <v>0</v>
      </c>
      <c r="O4363" s="1" t="str">
        <f t="shared" si="2787"/>
        <v>0</v>
      </c>
    </row>
    <row r="4364" s="1" customFormat="1" spans="1:15">
      <c r="A4364" s="1" t="str">
        <f t="shared" si="2784"/>
        <v>202406</v>
      </c>
      <c r="B4364" s="1" t="str">
        <f t="shared" si="2785"/>
        <v>150525100</v>
      </c>
      <c r="C4364" s="1" t="str">
        <f>"1014619478"</f>
        <v>1014619478</v>
      </c>
      <c r="D4364" s="1" t="str">
        <f>"152326195005250410"</f>
        <v>152326195005250410</v>
      </c>
      <c r="E4364" s="1" t="s">
        <v>4381</v>
      </c>
      <c r="F4364" s="1" t="s">
        <v>25</v>
      </c>
      <c r="G4364" s="1" t="s">
        <v>17</v>
      </c>
      <c r="H4364" s="1" t="str">
        <f>"74"</f>
        <v>74</v>
      </c>
      <c r="I4364" s="1" t="str">
        <f t="shared" ref="I4364:I4368" si="2788">"160"</f>
        <v>160</v>
      </c>
      <c r="J4364" s="1" t="str">
        <f t="shared" si="2781"/>
        <v>0</v>
      </c>
      <c r="K4364" s="1" t="str">
        <f t="shared" si="2776"/>
        <v>103</v>
      </c>
      <c r="L4364" s="1" t="str">
        <f t="shared" si="2777"/>
        <v>47</v>
      </c>
      <c r="M4364" s="1" t="str">
        <f t="shared" si="2772"/>
        <v>0</v>
      </c>
      <c r="N4364" s="1" t="str">
        <f t="shared" si="2779"/>
        <v>0</v>
      </c>
      <c r="O4364" s="1" t="str">
        <f t="shared" si="2787"/>
        <v>0</v>
      </c>
    </row>
    <row r="4365" s="1" customFormat="1" spans="1:15">
      <c r="A4365" s="1" t="str">
        <f t="shared" si="2784"/>
        <v>202406</v>
      </c>
      <c r="B4365" s="1" t="str">
        <f t="shared" si="2785"/>
        <v>150525100</v>
      </c>
      <c r="C4365" s="1" t="str">
        <f>"1014622984"</f>
        <v>1014622984</v>
      </c>
      <c r="D4365" s="1" t="s">
        <v>4382</v>
      </c>
      <c r="E4365" s="1" t="s">
        <v>4383</v>
      </c>
      <c r="F4365" s="1" t="s">
        <v>16</v>
      </c>
      <c r="G4365" s="1" t="s">
        <v>17</v>
      </c>
      <c r="H4365" s="1" t="str">
        <f>"85"</f>
        <v>85</v>
      </c>
      <c r="I4365" s="1" t="str">
        <f>"170"</f>
        <v>170</v>
      </c>
      <c r="J4365" s="1" t="str">
        <f t="shared" si="2781"/>
        <v>0</v>
      </c>
      <c r="K4365" s="1" t="str">
        <f t="shared" si="2776"/>
        <v>103</v>
      </c>
      <c r="L4365" s="1" t="str">
        <f t="shared" si="2777"/>
        <v>47</v>
      </c>
      <c r="M4365" s="1" t="str">
        <f t="shared" si="2772"/>
        <v>0</v>
      </c>
      <c r="N4365" s="1" t="str">
        <f t="shared" si="2779"/>
        <v>0</v>
      </c>
      <c r="O4365" s="1" t="str">
        <f t="shared" si="2787"/>
        <v>0</v>
      </c>
    </row>
    <row r="4366" s="1" customFormat="1" spans="1:15">
      <c r="A4366" s="1" t="str">
        <f t="shared" si="2784"/>
        <v>202406</v>
      </c>
      <c r="B4366" s="1" t="str">
        <f t="shared" si="2785"/>
        <v>150525100</v>
      </c>
      <c r="C4366" s="1" t="str">
        <f>"1014622992"</f>
        <v>1014622992</v>
      </c>
      <c r="D4366" s="1" t="str">
        <f>"152326195106060421"</f>
        <v>152326195106060421</v>
      </c>
      <c r="E4366" s="1" t="s">
        <v>4384</v>
      </c>
      <c r="F4366" s="1" t="s">
        <v>16</v>
      </c>
      <c r="G4366" s="1" t="s">
        <v>17</v>
      </c>
      <c r="H4366" s="1" t="str">
        <f>"73"</f>
        <v>73</v>
      </c>
      <c r="I4366" s="1" t="str">
        <f t="shared" si="2788"/>
        <v>160</v>
      </c>
      <c r="J4366" s="1" t="str">
        <f t="shared" si="2781"/>
        <v>0</v>
      </c>
      <c r="K4366" s="1" t="str">
        <f t="shared" si="2776"/>
        <v>103</v>
      </c>
      <c r="L4366" s="1" t="str">
        <f t="shared" si="2777"/>
        <v>47</v>
      </c>
      <c r="M4366" s="1" t="str">
        <f t="shared" si="2772"/>
        <v>0</v>
      </c>
      <c r="N4366" s="1" t="str">
        <f t="shared" si="2779"/>
        <v>0</v>
      </c>
      <c r="O4366" s="1" t="str">
        <f t="shared" si="2787"/>
        <v>0</v>
      </c>
    </row>
    <row r="4367" s="1" customFormat="1" spans="1:15">
      <c r="A4367" s="1" t="str">
        <f t="shared" si="2784"/>
        <v>202406</v>
      </c>
      <c r="B4367" s="1" t="str">
        <f t="shared" si="2785"/>
        <v>150525100</v>
      </c>
      <c r="C4367" s="1" t="str">
        <f>"1014622996"</f>
        <v>1014622996</v>
      </c>
      <c r="D4367" s="1" t="s">
        <v>4385</v>
      </c>
      <c r="E4367" s="1" t="s">
        <v>4386</v>
      </c>
      <c r="F4367" s="1" t="s">
        <v>16</v>
      </c>
      <c r="G4367" s="1" t="s">
        <v>17</v>
      </c>
      <c r="H4367" s="1" t="str">
        <f>"79"</f>
        <v>79</v>
      </c>
      <c r="I4367" s="1" t="str">
        <f t="shared" si="2788"/>
        <v>160</v>
      </c>
      <c r="J4367" s="1" t="str">
        <f t="shared" si="2781"/>
        <v>0</v>
      </c>
      <c r="K4367" s="1" t="str">
        <f t="shared" si="2776"/>
        <v>103</v>
      </c>
      <c r="L4367" s="1" t="str">
        <f t="shared" si="2777"/>
        <v>47</v>
      </c>
      <c r="M4367" s="1" t="str">
        <f t="shared" si="2772"/>
        <v>0</v>
      </c>
      <c r="N4367" s="1" t="str">
        <f t="shared" si="2779"/>
        <v>0</v>
      </c>
      <c r="O4367" s="1" t="str">
        <f t="shared" si="2787"/>
        <v>0</v>
      </c>
    </row>
    <row r="4368" s="1" customFormat="1" spans="1:15">
      <c r="A4368" s="1" t="str">
        <f t="shared" si="2784"/>
        <v>202406</v>
      </c>
      <c r="B4368" s="1" t="str">
        <f t="shared" si="2785"/>
        <v>150525100</v>
      </c>
      <c r="C4368" s="1" t="str">
        <f>"1014623508"</f>
        <v>1014623508</v>
      </c>
      <c r="D4368" s="1" t="str">
        <f>"152326194609150424"</f>
        <v>152326194609150424</v>
      </c>
      <c r="E4368" s="1" t="s">
        <v>4387</v>
      </c>
      <c r="F4368" s="1" t="s">
        <v>16</v>
      </c>
      <c r="G4368" s="1" t="s">
        <v>17</v>
      </c>
      <c r="H4368" s="1" t="str">
        <f>"78"</f>
        <v>78</v>
      </c>
      <c r="I4368" s="1" t="str">
        <f t="shared" si="2788"/>
        <v>160</v>
      </c>
      <c r="J4368" s="1" t="str">
        <f t="shared" si="2781"/>
        <v>0</v>
      </c>
      <c r="K4368" s="1" t="str">
        <f t="shared" si="2776"/>
        <v>103</v>
      </c>
      <c r="L4368" s="1" t="str">
        <f t="shared" si="2777"/>
        <v>47</v>
      </c>
      <c r="M4368" s="1" t="str">
        <f t="shared" si="2772"/>
        <v>0</v>
      </c>
      <c r="N4368" s="1" t="str">
        <f t="shared" si="2779"/>
        <v>0</v>
      </c>
      <c r="O4368" s="1" t="str">
        <f t="shared" si="2787"/>
        <v>0</v>
      </c>
    </row>
    <row r="4369" s="1" customFormat="1" spans="1:15">
      <c r="A4369" s="1" t="str">
        <f t="shared" si="2784"/>
        <v>202406</v>
      </c>
      <c r="B4369" s="1" t="str">
        <f t="shared" si="2785"/>
        <v>150525100</v>
      </c>
      <c r="C4369" s="1" t="str">
        <f>"1014629694"</f>
        <v>1014629694</v>
      </c>
      <c r="D4369" s="1" t="str">
        <f>"152326193703053829"</f>
        <v>152326193703053829</v>
      </c>
      <c r="E4369" s="1" t="s">
        <v>4388</v>
      </c>
      <c r="F4369" s="1" t="s">
        <v>16</v>
      </c>
      <c r="G4369" s="1" t="s">
        <v>17</v>
      </c>
      <c r="H4369" s="1" t="str">
        <f>"87"</f>
        <v>87</v>
      </c>
      <c r="I4369" s="1" t="str">
        <f t="shared" ref="I4369:I4372" si="2789">"170"</f>
        <v>170</v>
      </c>
      <c r="J4369" s="1" t="str">
        <f t="shared" si="2781"/>
        <v>0</v>
      </c>
      <c r="K4369" s="1" t="str">
        <f t="shared" si="2776"/>
        <v>103</v>
      </c>
      <c r="L4369" s="1" t="str">
        <f t="shared" si="2777"/>
        <v>47</v>
      </c>
      <c r="M4369" s="1" t="str">
        <f t="shared" si="2772"/>
        <v>0</v>
      </c>
      <c r="N4369" s="1" t="str">
        <f t="shared" si="2779"/>
        <v>0</v>
      </c>
      <c r="O4369" s="1" t="str">
        <f t="shared" si="2787"/>
        <v>0</v>
      </c>
    </row>
    <row r="4370" s="1" customFormat="1" spans="1:15">
      <c r="A4370" s="1" t="str">
        <f t="shared" si="2784"/>
        <v>202406</v>
      </c>
      <c r="B4370" s="1" t="str">
        <f t="shared" si="2785"/>
        <v>150525100</v>
      </c>
      <c r="C4370" s="1" t="str">
        <f>"1014612996"</f>
        <v>1014612996</v>
      </c>
      <c r="D4370" s="1" t="str">
        <f>"152326194809230920"</f>
        <v>152326194809230920</v>
      </c>
      <c r="E4370" s="1" t="s">
        <v>4389</v>
      </c>
      <c r="F4370" s="1" t="s">
        <v>16</v>
      </c>
      <c r="G4370" s="1" t="s">
        <v>19</v>
      </c>
      <c r="H4370" s="1" t="str">
        <f>"76"</f>
        <v>76</v>
      </c>
      <c r="I4370" s="1" t="str">
        <f t="shared" ref="I4370:I4379" si="2790">"160"</f>
        <v>160</v>
      </c>
      <c r="J4370" s="1" t="str">
        <f t="shared" si="2781"/>
        <v>0</v>
      </c>
      <c r="K4370" s="1" t="str">
        <f t="shared" si="2776"/>
        <v>103</v>
      </c>
      <c r="L4370" s="1" t="str">
        <f t="shared" si="2777"/>
        <v>47</v>
      </c>
      <c r="M4370" s="1" t="str">
        <f t="shared" si="2772"/>
        <v>0</v>
      </c>
      <c r="N4370" s="1" t="str">
        <f t="shared" si="2779"/>
        <v>0</v>
      </c>
      <c r="O4370" s="1" t="str">
        <f t="shared" si="2787"/>
        <v>0</v>
      </c>
    </row>
    <row r="4371" s="1" customFormat="1" spans="1:15">
      <c r="A4371" s="1" t="str">
        <f t="shared" si="2784"/>
        <v>202406</v>
      </c>
      <c r="B4371" s="1" t="str">
        <f t="shared" si="2785"/>
        <v>150525100</v>
      </c>
      <c r="C4371" s="1" t="str">
        <f>"1014612997"</f>
        <v>1014612997</v>
      </c>
      <c r="D4371" s="1" t="str">
        <f>"152326194007120922"</f>
        <v>152326194007120922</v>
      </c>
      <c r="E4371" s="1" t="s">
        <v>4390</v>
      </c>
      <c r="F4371" s="1" t="s">
        <v>16</v>
      </c>
      <c r="G4371" s="1" t="s">
        <v>19</v>
      </c>
      <c r="H4371" s="1" t="str">
        <f>"84"</f>
        <v>84</v>
      </c>
      <c r="I4371" s="1" t="str">
        <f t="shared" si="2789"/>
        <v>170</v>
      </c>
      <c r="J4371" s="1" t="str">
        <f t="shared" si="2781"/>
        <v>0</v>
      </c>
      <c r="K4371" s="1" t="str">
        <f t="shared" si="2776"/>
        <v>103</v>
      </c>
      <c r="L4371" s="1" t="str">
        <f t="shared" si="2777"/>
        <v>47</v>
      </c>
      <c r="M4371" s="1" t="str">
        <f t="shared" si="2772"/>
        <v>0</v>
      </c>
      <c r="N4371" s="1" t="str">
        <f t="shared" si="2779"/>
        <v>0</v>
      </c>
      <c r="O4371" s="1" t="str">
        <f t="shared" si="2787"/>
        <v>0</v>
      </c>
    </row>
    <row r="4372" s="1" customFormat="1" spans="1:15">
      <c r="A4372" s="1" t="str">
        <f t="shared" si="2784"/>
        <v>202406</v>
      </c>
      <c r="B4372" s="1" t="str">
        <f t="shared" si="2785"/>
        <v>150525100</v>
      </c>
      <c r="C4372" s="1" t="str">
        <f>"1014612998"</f>
        <v>1014612998</v>
      </c>
      <c r="D4372" s="1" t="s">
        <v>4391</v>
      </c>
      <c r="E4372" s="1" t="s">
        <v>4392</v>
      </c>
      <c r="F4372" s="1" t="s">
        <v>16</v>
      </c>
      <c r="G4372" s="1" t="s">
        <v>19</v>
      </c>
      <c r="H4372" s="1" t="str">
        <f>"90"</f>
        <v>90</v>
      </c>
      <c r="I4372" s="1" t="str">
        <f t="shared" si="2789"/>
        <v>170</v>
      </c>
      <c r="J4372" s="1" t="str">
        <f t="shared" si="2781"/>
        <v>0</v>
      </c>
      <c r="K4372" s="1" t="str">
        <f t="shared" si="2776"/>
        <v>103</v>
      </c>
      <c r="L4372" s="1" t="str">
        <f t="shared" si="2777"/>
        <v>47</v>
      </c>
      <c r="M4372" s="1" t="str">
        <f t="shared" si="2772"/>
        <v>0</v>
      </c>
      <c r="N4372" s="1" t="str">
        <f t="shared" si="2779"/>
        <v>0</v>
      </c>
      <c r="O4372" s="1" t="str">
        <f t="shared" si="2787"/>
        <v>0</v>
      </c>
    </row>
    <row r="4373" s="1" customFormat="1" spans="1:15">
      <c r="A4373" s="1" t="str">
        <f t="shared" si="2784"/>
        <v>202406</v>
      </c>
      <c r="B4373" s="1" t="str">
        <f t="shared" si="2785"/>
        <v>150525100</v>
      </c>
      <c r="C4373" s="1" t="str">
        <f>"1014622316"</f>
        <v>1014622316</v>
      </c>
      <c r="D4373" s="1" t="str">
        <f>"152326195005190665"</f>
        <v>152326195005190665</v>
      </c>
      <c r="E4373" s="1" t="s">
        <v>4393</v>
      </c>
      <c r="F4373" s="1" t="s">
        <v>16</v>
      </c>
      <c r="G4373" s="1" t="s">
        <v>17</v>
      </c>
      <c r="H4373" s="1" t="str">
        <f>"74"</f>
        <v>74</v>
      </c>
      <c r="I4373" s="1" t="str">
        <f t="shared" si="2790"/>
        <v>160</v>
      </c>
      <c r="J4373" s="1" t="str">
        <f t="shared" si="2781"/>
        <v>0</v>
      </c>
      <c r="K4373" s="1" t="str">
        <f t="shared" si="2776"/>
        <v>103</v>
      </c>
      <c r="L4373" s="1" t="str">
        <f t="shared" si="2777"/>
        <v>47</v>
      </c>
      <c r="M4373" s="1" t="str">
        <f t="shared" si="2772"/>
        <v>0</v>
      </c>
      <c r="N4373" s="1" t="str">
        <f t="shared" si="2779"/>
        <v>0</v>
      </c>
      <c r="O4373" s="1" t="str">
        <f t="shared" si="2787"/>
        <v>0</v>
      </c>
    </row>
    <row r="4374" s="1" customFormat="1" spans="1:15">
      <c r="A4374" s="1" t="str">
        <f t="shared" si="2784"/>
        <v>202406</v>
      </c>
      <c r="B4374" s="1" t="str">
        <f t="shared" si="2785"/>
        <v>150525100</v>
      </c>
      <c r="C4374" s="1" t="str">
        <f>"1014622694"</f>
        <v>1014622694</v>
      </c>
      <c r="D4374" s="1" t="s">
        <v>4394</v>
      </c>
      <c r="E4374" s="1" t="s">
        <v>4395</v>
      </c>
      <c r="F4374" s="1" t="s">
        <v>16</v>
      </c>
      <c r="G4374" s="1" t="s">
        <v>17</v>
      </c>
      <c r="H4374" s="1" t="str">
        <f>"75"</f>
        <v>75</v>
      </c>
      <c r="I4374" s="1" t="str">
        <f t="shared" si="2790"/>
        <v>160</v>
      </c>
      <c r="J4374" s="1" t="str">
        <f t="shared" si="2781"/>
        <v>0</v>
      </c>
      <c r="K4374" s="1" t="str">
        <f t="shared" si="2776"/>
        <v>103</v>
      </c>
      <c r="L4374" s="1" t="str">
        <f t="shared" si="2777"/>
        <v>47</v>
      </c>
      <c r="M4374" s="1" t="str">
        <f t="shared" si="2772"/>
        <v>0</v>
      </c>
      <c r="N4374" s="1" t="str">
        <f t="shared" si="2779"/>
        <v>0</v>
      </c>
      <c r="O4374" s="1" t="str">
        <f t="shared" si="2787"/>
        <v>0</v>
      </c>
    </row>
    <row r="4375" s="1" customFormat="1" spans="1:15">
      <c r="A4375" s="1" t="str">
        <f t="shared" si="2784"/>
        <v>202406</v>
      </c>
      <c r="B4375" s="1" t="str">
        <f t="shared" si="2785"/>
        <v>150525100</v>
      </c>
      <c r="C4375" s="1" t="str">
        <f>"1014622700"</f>
        <v>1014622700</v>
      </c>
      <c r="D4375" s="1" t="str">
        <f>"152326194410150662"</f>
        <v>152326194410150662</v>
      </c>
      <c r="E4375" s="1" t="s">
        <v>4396</v>
      </c>
      <c r="F4375" s="1" t="s">
        <v>16</v>
      </c>
      <c r="G4375" s="1" t="s">
        <v>17</v>
      </c>
      <c r="H4375" s="1" t="str">
        <f>"80"</f>
        <v>80</v>
      </c>
      <c r="I4375" s="1" t="str">
        <f t="shared" si="2790"/>
        <v>160</v>
      </c>
      <c r="J4375" s="1" t="str">
        <f t="shared" si="2781"/>
        <v>0</v>
      </c>
      <c r="K4375" s="1" t="str">
        <f t="shared" si="2776"/>
        <v>103</v>
      </c>
      <c r="L4375" s="1" t="str">
        <f t="shared" si="2777"/>
        <v>47</v>
      </c>
      <c r="M4375" s="1" t="str">
        <f t="shared" si="2772"/>
        <v>0</v>
      </c>
      <c r="N4375" s="1" t="str">
        <f t="shared" si="2779"/>
        <v>0</v>
      </c>
      <c r="O4375" s="1" t="str">
        <f t="shared" si="2787"/>
        <v>0</v>
      </c>
    </row>
    <row r="4376" s="1" customFormat="1" spans="1:15">
      <c r="A4376" s="1" t="str">
        <f t="shared" si="2784"/>
        <v>202406</v>
      </c>
      <c r="B4376" s="1" t="str">
        <f t="shared" si="2785"/>
        <v>150525100</v>
      </c>
      <c r="C4376" s="1" t="str">
        <f>"1014624067"</f>
        <v>1014624067</v>
      </c>
      <c r="D4376" s="1" t="str">
        <f>"152326194703293085"</f>
        <v>152326194703293085</v>
      </c>
      <c r="E4376" s="1" t="s">
        <v>3909</v>
      </c>
      <c r="F4376" s="1" t="s">
        <v>16</v>
      </c>
      <c r="G4376" s="1" t="s">
        <v>19</v>
      </c>
      <c r="H4376" s="1" t="str">
        <f>"77"</f>
        <v>77</v>
      </c>
      <c r="I4376" s="1" t="str">
        <f t="shared" si="2790"/>
        <v>160</v>
      </c>
      <c r="J4376" s="1" t="str">
        <f t="shared" si="2781"/>
        <v>0</v>
      </c>
      <c r="K4376" s="1" t="str">
        <f t="shared" si="2776"/>
        <v>103</v>
      </c>
      <c r="L4376" s="1" t="str">
        <f t="shared" si="2777"/>
        <v>47</v>
      </c>
      <c r="M4376" s="1" t="str">
        <f t="shared" si="2772"/>
        <v>0</v>
      </c>
      <c r="N4376" s="1" t="str">
        <f t="shared" si="2779"/>
        <v>0</v>
      </c>
      <c r="O4376" s="1" t="str">
        <f t="shared" si="2787"/>
        <v>0</v>
      </c>
    </row>
    <row r="4377" s="1" customFormat="1" spans="1:15">
      <c r="A4377" s="1" t="str">
        <f t="shared" si="2784"/>
        <v>202406</v>
      </c>
      <c r="B4377" s="1" t="str">
        <f t="shared" si="2785"/>
        <v>150525100</v>
      </c>
      <c r="C4377" s="1" t="str">
        <f>"1014624578"</f>
        <v>1014624578</v>
      </c>
      <c r="D4377" s="1" t="str">
        <f>"152326194412053081"</f>
        <v>152326194412053081</v>
      </c>
      <c r="E4377" s="1" t="s">
        <v>4397</v>
      </c>
      <c r="F4377" s="1" t="s">
        <v>16</v>
      </c>
      <c r="G4377" s="1" t="s">
        <v>19</v>
      </c>
      <c r="H4377" s="1" t="str">
        <f>"80"</f>
        <v>80</v>
      </c>
      <c r="I4377" s="1" t="str">
        <f t="shared" si="2790"/>
        <v>160</v>
      </c>
      <c r="J4377" s="1" t="str">
        <f t="shared" si="2781"/>
        <v>0</v>
      </c>
      <c r="K4377" s="1" t="str">
        <f t="shared" si="2776"/>
        <v>103</v>
      </c>
      <c r="L4377" s="1" t="str">
        <f t="shared" si="2777"/>
        <v>47</v>
      </c>
      <c r="M4377" s="1" t="str">
        <f t="shared" si="2772"/>
        <v>0</v>
      </c>
      <c r="N4377" s="1" t="str">
        <f t="shared" si="2779"/>
        <v>0</v>
      </c>
      <c r="O4377" s="1" t="str">
        <f t="shared" si="2787"/>
        <v>0</v>
      </c>
    </row>
    <row r="4378" s="1" customFormat="1" spans="1:15">
      <c r="A4378" s="1" t="str">
        <f t="shared" si="2784"/>
        <v>202406</v>
      </c>
      <c r="B4378" s="1" t="str">
        <f t="shared" si="2785"/>
        <v>150525100</v>
      </c>
      <c r="C4378" s="1" t="str">
        <f>"1014619547"</f>
        <v>1014619547</v>
      </c>
      <c r="D4378" s="1" t="str">
        <f>"152326194804090666"</f>
        <v>152326194804090666</v>
      </c>
      <c r="E4378" s="1" t="s">
        <v>4398</v>
      </c>
      <c r="F4378" s="1" t="s">
        <v>16</v>
      </c>
      <c r="G4378" s="1" t="s">
        <v>19</v>
      </c>
      <c r="H4378" s="1" t="str">
        <f>"76"</f>
        <v>76</v>
      </c>
      <c r="I4378" s="1" t="str">
        <f t="shared" si="2790"/>
        <v>160</v>
      </c>
      <c r="J4378" s="1" t="str">
        <f t="shared" si="2781"/>
        <v>0</v>
      </c>
      <c r="K4378" s="1" t="str">
        <f t="shared" si="2776"/>
        <v>103</v>
      </c>
      <c r="L4378" s="1" t="str">
        <f t="shared" si="2777"/>
        <v>47</v>
      </c>
      <c r="M4378" s="1" t="str">
        <f t="shared" si="2772"/>
        <v>0</v>
      </c>
      <c r="N4378" s="1" t="str">
        <f t="shared" si="2779"/>
        <v>0</v>
      </c>
      <c r="O4378" s="1" t="str">
        <f t="shared" si="2787"/>
        <v>0</v>
      </c>
    </row>
    <row r="4379" s="1" customFormat="1" spans="1:15">
      <c r="A4379" s="1" t="str">
        <f t="shared" si="2784"/>
        <v>202406</v>
      </c>
      <c r="B4379" s="1" t="str">
        <f t="shared" si="2785"/>
        <v>150525100</v>
      </c>
      <c r="C4379" s="1" t="str">
        <f>"1014619555"</f>
        <v>1014619555</v>
      </c>
      <c r="D4379" s="1" t="str">
        <f>"152326194811150663"</f>
        <v>152326194811150663</v>
      </c>
      <c r="E4379" s="1" t="s">
        <v>4399</v>
      </c>
      <c r="F4379" s="1" t="s">
        <v>16</v>
      </c>
      <c r="G4379" s="1" t="s">
        <v>17</v>
      </c>
      <c r="H4379" s="1" t="str">
        <f>"76"</f>
        <v>76</v>
      </c>
      <c r="I4379" s="1" t="str">
        <f t="shared" si="2790"/>
        <v>160</v>
      </c>
      <c r="J4379" s="1" t="str">
        <f t="shared" si="2781"/>
        <v>0</v>
      </c>
      <c r="K4379" s="1" t="str">
        <f t="shared" si="2776"/>
        <v>103</v>
      </c>
      <c r="L4379" s="1" t="str">
        <f t="shared" si="2777"/>
        <v>47</v>
      </c>
      <c r="M4379" s="1" t="str">
        <f t="shared" si="2772"/>
        <v>0</v>
      </c>
      <c r="N4379" s="1" t="str">
        <f t="shared" si="2779"/>
        <v>0</v>
      </c>
      <c r="O4379" s="1" t="str">
        <f t="shared" si="2787"/>
        <v>0</v>
      </c>
    </row>
    <row r="4380" s="1" customFormat="1" spans="1:15">
      <c r="A4380" s="1" t="str">
        <f t="shared" si="2784"/>
        <v>202406</v>
      </c>
      <c r="B4380" s="1" t="str">
        <f t="shared" si="2785"/>
        <v>150525100</v>
      </c>
      <c r="C4380" s="1" t="str">
        <f>"1014619713"</f>
        <v>1014619713</v>
      </c>
      <c r="D4380" s="1" t="s">
        <v>4400</v>
      </c>
      <c r="E4380" s="1" t="s">
        <v>4401</v>
      </c>
      <c r="F4380" s="1" t="s">
        <v>16</v>
      </c>
      <c r="G4380" s="1" t="s">
        <v>19</v>
      </c>
      <c r="H4380" s="1" t="str">
        <f>"73"</f>
        <v>73</v>
      </c>
      <c r="I4380" s="1" t="str">
        <f>"1600"</f>
        <v>1600</v>
      </c>
      <c r="J4380" s="1" t="str">
        <f>"1440"</f>
        <v>1440</v>
      </c>
      <c r="K4380" s="1" t="str">
        <f>"1030"</f>
        <v>1030</v>
      </c>
      <c r="L4380" s="1" t="str">
        <f>"470"</f>
        <v>470</v>
      </c>
      <c r="M4380" s="1" t="str">
        <f t="shared" si="2772"/>
        <v>0</v>
      </c>
      <c r="N4380" s="1" t="str">
        <f t="shared" si="2779"/>
        <v>0</v>
      </c>
      <c r="O4380" s="1" t="str">
        <f t="shared" si="2787"/>
        <v>0</v>
      </c>
    </row>
    <row r="4381" s="1" customFormat="1" spans="1:15">
      <c r="A4381" s="1" t="str">
        <f t="shared" si="2784"/>
        <v>202406</v>
      </c>
      <c r="B4381" s="1" t="str">
        <f t="shared" si="2785"/>
        <v>150525100</v>
      </c>
      <c r="C4381" s="1" t="str">
        <f>"1014619719"</f>
        <v>1014619719</v>
      </c>
      <c r="D4381" s="1" t="str">
        <f>"152326195011160665"</f>
        <v>152326195011160665</v>
      </c>
      <c r="E4381" s="1" t="s">
        <v>4402</v>
      </c>
      <c r="F4381" s="1" t="s">
        <v>16</v>
      </c>
      <c r="G4381" s="1" t="s">
        <v>19</v>
      </c>
      <c r="H4381" s="1" t="str">
        <f>"74"</f>
        <v>74</v>
      </c>
      <c r="I4381" s="1" t="str">
        <f>"2075"</f>
        <v>2075</v>
      </c>
      <c r="J4381" s="1" t="str">
        <f>"1915"</f>
        <v>1915</v>
      </c>
      <c r="K4381" s="1" t="str">
        <f>"1334"</f>
        <v>1334</v>
      </c>
      <c r="L4381" s="1" t="str">
        <f>"611"</f>
        <v>611</v>
      </c>
      <c r="M4381" s="1" t="str">
        <f t="shared" si="2772"/>
        <v>0</v>
      </c>
      <c r="N4381" s="1" t="str">
        <f t="shared" si="2779"/>
        <v>0</v>
      </c>
      <c r="O4381" s="1" t="str">
        <f t="shared" si="2787"/>
        <v>0</v>
      </c>
    </row>
    <row r="4382" s="1" customFormat="1" spans="1:15">
      <c r="A4382" s="1" t="str">
        <f t="shared" si="2784"/>
        <v>202406</v>
      </c>
      <c r="B4382" s="1" t="str">
        <f t="shared" si="2785"/>
        <v>150525100</v>
      </c>
      <c r="C4382" s="1" t="str">
        <f>"1014629598"</f>
        <v>1014629598</v>
      </c>
      <c r="D4382" s="1" t="str">
        <f>"152326194912250022"</f>
        <v>152326194912250022</v>
      </c>
      <c r="E4382" s="1" t="s">
        <v>4403</v>
      </c>
      <c r="F4382" s="1" t="s">
        <v>16</v>
      </c>
      <c r="G4382" s="1" t="s">
        <v>17</v>
      </c>
      <c r="H4382" s="1" t="str">
        <f>"75"</f>
        <v>75</v>
      </c>
      <c r="I4382" s="1" t="str">
        <f t="shared" ref="I4382:I4395" si="2791">"160"</f>
        <v>160</v>
      </c>
      <c r="J4382" s="1" t="str">
        <f t="shared" ref="J4382:J4398" si="2792">"0"</f>
        <v>0</v>
      </c>
      <c r="K4382" s="1" t="str">
        <f t="shared" ref="K4382:K4395" si="2793">"103"</f>
        <v>103</v>
      </c>
      <c r="L4382" s="1" t="str">
        <f t="shared" ref="L4382:L4395" si="2794">"47"</f>
        <v>47</v>
      </c>
      <c r="M4382" s="1" t="str">
        <f t="shared" si="2772"/>
        <v>0</v>
      </c>
      <c r="N4382" s="1" t="str">
        <f t="shared" si="2779"/>
        <v>0</v>
      </c>
      <c r="O4382" s="1" t="str">
        <f t="shared" si="2787"/>
        <v>0</v>
      </c>
    </row>
    <row r="4383" s="1" customFormat="1" spans="1:15">
      <c r="A4383" s="1" t="str">
        <f t="shared" si="2784"/>
        <v>202406</v>
      </c>
      <c r="B4383" s="1" t="str">
        <f t="shared" si="2785"/>
        <v>150525100</v>
      </c>
      <c r="C4383" s="1" t="str">
        <f>"1014629601"</f>
        <v>1014629601</v>
      </c>
      <c r="D4383" s="1" t="str">
        <f>"152326193907290041"</f>
        <v>152326193907290041</v>
      </c>
      <c r="E4383" s="1" t="s">
        <v>4404</v>
      </c>
      <c r="F4383" s="1" t="s">
        <v>16</v>
      </c>
      <c r="G4383" s="1" t="s">
        <v>17</v>
      </c>
      <c r="H4383" s="1" t="str">
        <f>"85"</f>
        <v>85</v>
      </c>
      <c r="I4383" s="1" t="str">
        <f>"170"</f>
        <v>170</v>
      </c>
      <c r="J4383" s="1" t="str">
        <f t="shared" si="2792"/>
        <v>0</v>
      </c>
      <c r="K4383" s="1" t="str">
        <f t="shared" si="2793"/>
        <v>103</v>
      </c>
      <c r="L4383" s="1" t="str">
        <f t="shared" si="2794"/>
        <v>47</v>
      </c>
      <c r="M4383" s="1" t="str">
        <f t="shared" si="2772"/>
        <v>0</v>
      </c>
      <c r="N4383" s="1" t="str">
        <f t="shared" si="2779"/>
        <v>0</v>
      </c>
      <c r="O4383" s="1" t="str">
        <f t="shared" si="2787"/>
        <v>0</v>
      </c>
    </row>
    <row r="4384" s="1" customFormat="1" spans="1:15">
      <c r="A4384" s="1" t="str">
        <f t="shared" si="2784"/>
        <v>202406</v>
      </c>
      <c r="B4384" s="1" t="str">
        <f t="shared" si="2785"/>
        <v>150525100</v>
      </c>
      <c r="C4384" s="1" t="str">
        <f>"1014629617"</f>
        <v>1014629617</v>
      </c>
      <c r="D4384" s="1" t="str">
        <f>"152326194901040660"</f>
        <v>152326194901040660</v>
      </c>
      <c r="E4384" s="1" t="s">
        <v>3059</v>
      </c>
      <c r="F4384" s="1" t="s">
        <v>16</v>
      </c>
      <c r="G4384" s="1" t="s">
        <v>17</v>
      </c>
      <c r="H4384" s="1" t="str">
        <f>"76"</f>
        <v>76</v>
      </c>
      <c r="I4384" s="1" t="str">
        <f t="shared" si="2791"/>
        <v>160</v>
      </c>
      <c r="J4384" s="1" t="str">
        <f t="shared" si="2792"/>
        <v>0</v>
      </c>
      <c r="K4384" s="1" t="str">
        <f t="shared" si="2793"/>
        <v>103</v>
      </c>
      <c r="L4384" s="1" t="str">
        <f t="shared" si="2794"/>
        <v>47</v>
      </c>
      <c r="M4384" s="1" t="str">
        <f t="shared" ref="M4384:M4447" si="2795">"0"</f>
        <v>0</v>
      </c>
      <c r="N4384" s="1" t="str">
        <f t="shared" si="2779"/>
        <v>0</v>
      </c>
      <c r="O4384" s="1" t="str">
        <f t="shared" si="2787"/>
        <v>0</v>
      </c>
    </row>
    <row r="4385" s="1" customFormat="1" spans="1:15">
      <c r="A4385" s="1" t="str">
        <f t="shared" si="2784"/>
        <v>202406</v>
      </c>
      <c r="B4385" s="1" t="str">
        <f t="shared" si="2785"/>
        <v>150525100</v>
      </c>
      <c r="C4385" s="1" t="str">
        <f>"1014623588"</f>
        <v>1014623588</v>
      </c>
      <c r="D4385" s="1" t="str">
        <f>"152326194702180417"</f>
        <v>152326194702180417</v>
      </c>
      <c r="E4385" s="1" t="s">
        <v>4405</v>
      </c>
      <c r="F4385" s="1" t="s">
        <v>25</v>
      </c>
      <c r="G4385" s="1" t="s">
        <v>17</v>
      </c>
      <c r="H4385" s="1" t="str">
        <f>"77"</f>
        <v>77</v>
      </c>
      <c r="I4385" s="1" t="str">
        <f t="shared" si="2791"/>
        <v>160</v>
      </c>
      <c r="J4385" s="1" t="str">
        <f t="shared" si="2792"/>
        <v>0</v>
      </c>
      <c r="K4385" s="1" t="str">
        <f t="shared" si="2793"/>
        <v>103</v>
      </c>
      <c r="L4385" s="1" t="str">
        <f t="shared" si="2794"/>
        <v>47</v>
      </c>
      <c r="M4385" s="1" t="str">
        <f t="shared" si="2795"/>
        <v>0</v>
      </c>
      <c r="N4385" s="1" t="str">
        <f t="shared" si="2779"/>
        <v>0</v>
      </c>
      <c r="O4385" s="1" t="str">
        <f t="shared" si="2787"/>
        <v>0</v>
      </c>
    </row>
    <row r="4386" s="1" customFormat="1" spans="1:15">
      <c r="A4386" s="1" t="str">
        <f t="shared" si="2784"/>
        <v>202406</v>
      </c>
      <c r="B4386" s="1" t="str">
        <f t="shared" si="2785"/>
        <v>150525100</v>
      </c>
      <c r="C4386" s="1" t="str">
        <f>"1014630035"</f>
        <v>1014630035</v>
      </c>
      <c r="D4386" s="1" t="str">
        <f>"152326195111200679"</f>
        <v>152326195111200679</v>
      </c>
      <c r="E4386" s="1" t="s">
        <v>4406</v>
      </c>
      <c r="F4386" s="1" t="s">
        <v>25</v>
      </c>
      <c r="G4386" s="1" t="s">
        <v>17</v>
      </c>
      <c r="H4386" s="1" t="str">
        <f>"73"</f>
        <v>73</v>
      </c>
      <c r="I4386" s="1" t="str">
        <f t="shared" si="2791"/>
        <v>160</v>
      </c>
      <c r="J4386" s="1" t="str">
        <f t="shared" si="2792"/>
        <v>0</v>
      </c>
      <c r="K4386" s="1" t="str">
        <f t="shared" si="2793"/>
        <v>103</v>
      </c>
      <c r="L4386" s="1" t="str">
        <f t="shared" si="2794"/>
        <v>47</v>
      </c>
      <c r="M4386" s="1" t="str">
        <f t="shared" si="2795"/>
        <v>0</v>
      </c>
      <c r="N4386" s="1" t="str">
        <f t="shared" si="2779"/>
        <v>0</v>
      </c>
      <c r="O4386" s="1" t="str">
        <f t="shared" si="2787"/>
        <v>0</v>
      </c>
    </row>
    <row r="4387" s="1" customFormat="1" spans="1:15">
      <c r="A4387" s="1" t="str">
        <f t="shared" si="2784"/>
        <v>202406</v>
      </c>
      <c r="B4387" s="1" t="str">
        <f t="shared" si="2785"/>
        <v>150525100</v>
      </c>
      <c r="C4387" s="1" t="str">
        <f>"1014630039"</f>
        <v>1014630039</v>
      </c>
      <c r="D4387" s="1" t="str">
        <f>"152326194901023086"</f>
        <v>152326194901023086</v>
      </c>
      <c r="E4387" s="1" t="s">
        <v>4407</v>
      </c>
      <c r="F4387" s="1" t="s">
        <v>16</v>
      </c>
      <c r="G4387" s="1" t="s">
        <v>17</v>
      </c>
      <c r="H4387" s="1" t="str">
        <f>"76"</f>
        <v>76</v>
      </c>
      <c r="I4387" s="1" t="str">
        <f t="shared" si="2791"/>
        <v>160</v>
      </c>
      <c r="J4387" s="1" t="str">
        <f t="shared" si="2792"/>
        <v>0</v>
      </c>
      <c r="K4387" s="1" t="str">
        <f t="shared" si="2793"/>
        <v>103</v>
      </c>
      <c r="L4387" s="1" t="str">
        <f t="shared" si="2794"/>
        <v>47</v>
      </c>
      <c r="M4387" s="1" t="str">
        <f t="shared" si="2795"/>
        <v>0</v>
      </c>
      <c r="N4387" s="1" t="str">
        <f t="shared" si="2779"/>
        <v>0</v>
      </c>
      <c r="O4387" s="1" t="str">
        <f t="shared" si="2787"/>
        <v>0</v>
      </c>
    </row>
    <row r="4388" s="1" customFormat="1" spans="1:15">
      <c r="A4388" s="1" t="str">
        <f t="shared" si="2784"/>
        <v>202406</v>
      </c>
      <c r="B4388" s="1" t="str">
        <f t="shared" si="2785"/>
        <v>150525100</v>
      </c>
      <c r="C4388" s="1" t="str">
        <f>"1014630082"</f>
        <v>1014630082</v>
      </c>
      <c r="D4388" s="1" t="str">
        <f>"152326194907230027"</f>
        <v>152326194907230027</v>
      </c>
      <c r="E4388" s="1" t="s">
        <v>4408</v>
      </c>
      <c r="F4388" s="1" t="s">
        <v>16</v>
      </c>
      <c r="G4388" s="1" t="s">
        <v>96</v>
      </c>
      <c r="H4388" s="1" t="str">
        <f>"75"</f>
        <v>75</v>
      </c>
      <c r="I4388" s="1" t="str">
        <f t="shared" si="2791"/>
        <v>160</v>
      </c>
      <c r="J4388" s="1" t="str">
        <f t="shared" si="2792"/>
        <v>0</v>
      </c>
      <c r="K4388" s="1" t="str">
        <f t="shared" si="2793"/>
        <v>103</v>
      </c>
      <c r="L4388" s="1" t="str">
        <f t="shared" si="2794"/>
        <v>47</v>
      </c>
      <c r="M4388" s="1" t="str">
        <f t="shared" si="2795"/>
        <v>0</v>
      </c>
      <c r="N4388" s="1" t="str">
        <f t="shared" si="2779"/>
        <v>0</v>
      </c>
      <c r="O4388" s="1" t="str">
        <f t="shared" si="2787"/>
        <v>0</v>
      </c>
    </row>
    <row r="4389" s="1" customFormat="1" spans="1:15">
      <c r="A4389" s="1" t="str">
        <f t="shared" si="2784"/>
        <v>202406</v>
      </c>
      <c r="B4389" s="1" t="str">
        <f t="shared" si="2785"/>
        <v>150525100</v>
      </c>
      <c r="C4389" s="1" t="str">
        <f>"1014612926"</f>
        <v>1014612926</v>
      </c>
      <c r="D4389" s="1" t="str">
        <f>"152326195009173328"</f>
        <v>152326195009173328</v>
      </c>
      <c r="E4389" s="1" t="s">
        <v>4409</v>
      </c>
      <c r="F4389" s="1" t="s">
        <v>16</v>
      </c>
      <c r="G4389" s="1" t="s">
        <v>17</v>
      </c>
      <c r="H4389" s="1" t="str">
        <f t="shared" ref="H4389:H4392" si="2796">"74"</f>
        <v>74</v>
      </c>
      <c r="I4389" s="1" t="str">
        <f t="shared" si="2791"/>
        <v>160</v>
      </c>
      <c r="J4389" s="1" t="str">
        <f t="shared" si="2792"/>
        <v>0</v>
      </c>
      <c r="K4389" s="1" t="str">
        <f t="shared" si="2793"/>
        <v>103</v>
      </c>
      <c r="L4389" s="1" t="str">
        <f t="shared" si="2794"/>
        <v>47</v>
      </c>
      <c r="M4389" s="1" t="str">
        <f t="shared" si="2795"/>
        <v>0</v>
      </c>
      <c r="N4389" s="1" t="str">
        <f t="shared" si="2779"/>
        <v>0</v>
      </c>
      <c r="O4389" s="1" t="str">
        <f t="shared" si="2787"/>
        <v>0</v>
      </c>
    </row>
    <row r="4390" s="1" customFormat="1" spans="1:15">
      <c r="A4390" s="1" t="str">
        <f t="shared" si="2784"/>
        <v>202406</v>
      </c>
      <c r="B4390" s="1" t="str">
        <f t="shared" si="2785"/>
        <v>150525100</v>
      </c>
      <c r="C4390" s="1" t="str">
        <f>"1014613208"</f>
        <v>1014613208</v>
      </c>
      <c r="D4390" s="1" t="str">
        <f>"152326195009150425"</f>
        <v>152326195009150425</v>
      </c>
      <c r="E4390" s="1" t="s">
        <v>195</v>
      </c>
      <c r="F4390" s="1" t="s">
        <v>16</v>
      </c>
      <c r="G4390" s="1" t="s">
        <v>17</v>
      </c>
      <c r="H4390" s="1" t="str">
        <f t="shared" si="2796"/>
        <v>74</v>
      </c>
      <c r="I4390" s="1" t="str">
        <f t="shared" si="2791"/>
        <v>160</v>
      </c>
      <c r="J4390" s="1" t="str">
        <f t="shared" si="2792"/>
        <v>0</v>
      </c>
      <c r="K4390" s="1" t="str">
        <f t="shared" si="2793"/>
        <v>103</v>
      </c>
      <c r="L4390" s="1" t="str">
        <f t="shared" si="2794"/>
        <v>47</v>
      </c>
      <c r="M4390" s="1" t="str">
        <f t="shared" si="2795"/>
        <v>0</v>
      </c>
      <c r="N4390" s="1" t="str">
        <f t="shared" si="2779"/>
        <v>0</v>
      </c>
      <c r="O4390" s="1" t="str">
        <f t="shared" si="2787"/>
        <v>0</v>
      </c>
    </row>
    <row r="4391" s="1" customFormat="1" spans="1:15">
      <c r="A4391" s="1" t="str">
        <f t="shared" si="2784"/>
        <v>202406</v>
      </c>
      <c r="B4391" s="1" t="str">
        <f t="shared" si="2785"/>
        <v>150525100</v>
      </c>
      <c r="C4391" s="1" t="str">
        <f>"1014622236"</f>
        <v>1014622236</v>
      </c>
      <c r="D4391" s="1" t="str">
        <f>"152326195007220426"</f>
        <v>152326195007220426</v>
      </c>
      <c r="E4391" s="1" t="s">
        <v>1876</v>
      </c>
      <c r="F4391" s="1" t="s">
        <v>16</v>
      </c>
      <c r="G4391" s="1" t="s">
        <v>17</v>
      </c>
      <c r="H4391" s="1" t="str">
        <f t="shared" si="2796"/>
        <v>74</v>
      </c>
      <c r="I4391" s="1" t="str">
        <f t="shared" si="2791"/>
        <v>160</v>
      </c>
      <c r="J4391" s="1" t="str">
        <f t="shared" si="2792"/>
        <v>0</v>
      </c>
      <c r="K4391" s="1" t="str">
        <f t="shared" si="2793"/>
        <v>103</v>
      </c>
      <c r="L4391" s="1" t="str">
        <f t="shared" si="2794"/>
        <v>47</v>
      </c>
      <c r="M4391" s="1" t="str">
        <f t="shared" si="2795"/>
        <v>0</v>
      </c>
      <c r="N4391" s="1" t="str">
        <f t="shared" ref="N4391:N4407" si="2797">"0"</f>
        <v>0</v>
      </c>
      <c r="O4391" s="1" t="str">
        <f t="shared" si="2787"/>
        <v>0</v>
      </c>
    </row>
    <row r="4392" s="1" customFormat="1" spans="1:15">
      <c r="A4392" s="1" t="str">
        <f t="shared" si="2784"/>
        <v>202406</v>
      </c>
      <c r="B4392" s="1" t="str">
        <f t="shared" si="2785"/>
        <v>150525100</v>
      </c>
      <c r="C4392" s="1" t="str">
        <f>"1014622237"</f>
        <v>1014622237</v>
      </c>
      <c r="D4392" s="1" t="str">
        <f>"152326195009190427"</f>
        <v>152326195009190427</v>
      </c>
      <c r="E4392" s="1" t="s">
        <v>2112</v>
      </c>
      <c r="F4392" s="1" t="s">
        <v>16</v>
      </c>
      <c r="G4392" s="1" t="s">
        <v>17</v>
      </c>
      <c r="H4392" s="1" t="str">
        <f t="shared" si="2796"/>
        <v>74</v>
      </c>
      <c r="I4392" s="1" t="str">
        <f t="shared" si="2791"/>
        <v>160</v>
      </c>
      <c r="J4392" s="1" t="str">
        <f t="shared" si="2792"/>
        <v>0</v>
      </c>
      <c r="K4392" s="1" t="str">
        <f t="shared" si="2793"/>
        <v>103</v>
      </c>
      <c r="L4392" s="1" t="str">
        <f t="shared" si="2794"/>
        <v>47</v>
      </c>
      <c r="M4392" s="1" t="str">
        <f t="shared" si="2795"/>
        <v>0</v>
      </c>
      <c r="N4392" s="1" t="str">
        <f t="shared" si="2797"/>
        <v>0</v>
      </c>
      <c r="O4392" s="1" t="str">
        <f t="shared" si="2787"/>
        <v>0</v>
      </c>
    </row>
    <row r="4393" s="1" customFormat="1" spans="1:15">
      <c r="A4393" s="1" t="str">
        <f t="shared" si="2784"/>
        <v>202406</v>
      </c>
      <c r="B4393" s="1" t="str">
        <f t="shared" si="2785"/>
        <v>150525100</v>
      </c>
      <c r="C4393" s="1" t="str">
        <f>"1014624497"</f>
        <v>1014624497</v>
      </c>
      <c r="D4393" s="1" t="str">
        <f>"152326194912070662"</f>
        <v>152326194912070662</v>
      </c>
      <c r="E4393" s="1" t="s">
        <v>4410</v>
      </c>
      <c r="F4393" s="1" t="s">
        <v>16</v>
      </c>
      <c r="G4393" s="1" t="s">
        <v>17</v>
      </c>
      <c r="H4393" s="1" t="str">
        <f>"75"</f>
        <v>75</v>
      </c>
      <c r="I4393" s="1" t="str">
        <f t="shared" si="2791"/>
        <v>160</v>
      </c>
      <c r="J4393" s="1" t="str">
        <f t="shared" si="2792"/>
        <v>0</v>
      </c>
      <c r="K4393" s="1" t="str">
        <f t="shared" si="2793"/>
        <v>103</v>
      </c>
      <c r="L4393" s="1" t="str">
        <f t="shared" si="2794"/>
        <v>47</v>
      </c>
      <c r="M4393" s="1" t="str">
        <f t="shared" si="2795"/>
        <v>0</v>
      </c>
      <c r="N4393" s="1" t="str">
        <f t="shared" si="2797"/>
        <v>0</v>
      </c>
      <c r="O4393" s="1" t="str">
        <f t="shared" si="2787"/>
        <v>0</v>
      </c>
    </row>
    <row r="4394" s="1" customFormat="1" spans="1:15">
      <c r="A4394" s="1" t="str">
        <f t="shared" si="2784"/>
        <v>202406</v>
      </c>
      <c r="B4394" s="1" t="str">
        <f t="shared" si="2785"/>
        <v>150525100</v>
      </c>
      <c r="C4394" s="1" t="str">
        <f>"1014624523"</f>
        <v>1014624523</v>
      </c>
      <c r="D4394" s="1" t="str">
        <f>"152326194505300678"</f>
        <v>152326194505300678</v>
      </c>
      <c r="E4394" s="1" t="s">
        <v>4411</v>
      </c>
      <c r="F4394" s="1" t="s">
        <v>25</v>
      </c>
      <c r="G4394" s="1" t="s">
        <v>17</v>
      </c>
      <c r="H4394" s="1" t="str">
        <f>"79"</f>
        <v>79</v>
      </c>
      <c r="I4394" s="1" t="str">
        <f t="shared" si="2791"/>
        <v>160</v>
      </c>
      <c r="J4394" s="1" t="str">
        <f t="shared" si="2792"/>
        <v>0</v>
      </c>
      <c r="K4394" s="1" t="str">
        <f t="shared" si="2793"/>
        <v>103</v>
      </c>
      <c r="L4394" s="1" t="str">
        <f t="shared" si="2794"/>
        <v>47</v>
      </c>
      <c r="M4394" s="1" t="str">
        <f t="shared" si="2795"/>
        <v>0</v>
      </c>
      <c r="N4394" s="1" t="str">
        <f t="shared" si="2797"/>
        <v>0</v>
      </c>
      <c r="O4394" s="1" t="str">
        <f t="shared" si="2787"/>
        <v>0</v>
      </c>
    </row>
    <row r="4395" s="1" customFormat="1" spans="1:15">
      <c r="A4395" s="1" t="str">
        <f t="shared" si="2784"/>
        <v>202406</v>
      </c>
      <c r="B4395" s="1" t="str">
        <f t="shared" si="2785"/>
        <v>150525100</v>
      </c>
      <c r="C4395" s="1" t="str">
        <f>"1014619495"</f>
        <v>1014619495</v>
      </c>
      <c r="D4395" s="1" t="str">
        <f>"152326195111130412"</f>
        <v>152326195111130412</v>
      </c>
      <c r="E4395" s="1" t="s">
        <v>4412</v>
      </c>
      <c r="F4395" s="1" t="s">
        <v>25</v>
      </c>
      <c r="G4395" s="1" t="s">
        <v>17</v>
      </c>
      <c r="H4395" s="1" t="str">
        <f>"73"</f>
        <v>73</v>
      </c>
      <c r="I4395" s="1" t="str">
        <f t="shared" si="2791"/>
        <v>160</v>
      </c>
      <c r="J4395" s="1" t="str">
        <f t="shared" si="2792"/>
        <v>0</v>
      </c>
      <c r="K4395" s="1" t="str">
        <f t="shared" si="2793"/>
        <v>103</v>
      </c>
      <c r="L4395" s="1" t="str">
        <f t="shared" si="2794"/>
        <v>47</v>
      </c>
      <c r="M4395" s="1" t="str">
        <f t="shared" si="2795"/>
        <v>0</v>
      </c>
      <c r="N4395" s="1" t="str">
        <f t="shared" si="2797"/>
        <v>0</v>
      </c>
      <c r="O4395" s="1" t="str">
        <f t="shared" si="2787"/>
        <v>0</v>
      </c>
    </row>
    <row r="4396" s="1" customFormat="1" spans="1:15">
      <c r="A4396" s="1" t="str">
        <f t="shared" si="2784"/>
        <v>202406</v>
      </c>
      <c r="B4396" s="1" t="str">
        <f t="shared" si="2785"/>
        <v>150525100</v>
      </c>
      <c r="C4396" s="1" t="str">
        <f>"1014619664"</f>
        <v>1014619664</v>
      </c>
      <c r="D4396" s="1" t="str">
        <f>"152326194812246384"</f>
        <v>152326194812246384</v>
      </c>
      <c r="E4396" s="1" t="s">
        <v>4413</v>
      </c>
      <c r="F4396" s="1" t="s">
        <v>16</v>
      </c>
      <c r="G4396" s="1" t="s">
        <v>17</v>
      </c>
      <c r="H4396" s="1" t="str">
        <f>"76"</f>
        <v>76</v>
      </c>
      <c r="I4396" s="1" t="str">
        <f>"1800"</f>
        <v>1800</v>
      </c>
      <c r="J4396" s="1" t="str">
        <f t="shared" si="2792"/>
        <v>0</v>
      </c>
      <c r="K4396" s="1" t="str">
        <f>"0"</f>
        <v>0</v>
      </c>
      <c r="L4396" s="1" t="str">
        <f>"0"</f>
        <v>0</v>
      </c>
      <c r="M4396" s="1" t="str">
        <f t="shared" si="2795"/>
        <v>0</v>
      </c>
      <c r="N4396" s="1" t="str">
        <f t="shared" si="2797"/>
        <v>0</v>
      </c>
      <c r="O4396" s="1" t="str">
        <f t="shared" si="2787"/>
        <v>0</v>
      </c>
    </row>
    <row r="4397" s="1" customFormat="1" spans="1:15">
      <c r="A4397" s="1" t="str">
        <f t="shared" si="2784"/>
        <v>202406</v>
      </c>
      <c r="B4397" s="1" t="str">
        <f t="shared" si="2785"/>
        <v>150525100</v>
      </c>
      <c r="C4397" s="1" t="str">
        <f>"1014619665"</f>
        <v>1014619665</v>
      </c>
      <c r="D4397" s="1" t="str">
        <f>"152326194007203103"</f>
        <v>152326194007203103</v>
      </c>
      <c r="E4397" s="1" t="s">
        <v>551</v>
      </c>
      <c r="F4397" s="1" t="s">
        <v>16</v>
      </c>
      <c r="G4397" s="1" t="s">
        <v>17</v>
      </c>
      <c r="H4397" s="1" t="str">
        <f>"84"</f>
        <v>84</v>
      </c>
      <c r="I4397" s="1" t="str">
        <f t="shared" ref="I4397:I4401" si="2798">"170"</f>
        <v>170</v>
      </c>
      <c r="J4397" s="1" t="str">
        <f t="shared" si="2792"/>
        <v>0</v>
      </c>
      <c r="K4397" s="1" t="str">
        <f t="shared" ref="K4397:K4433" si="2799">"103"</f>
        <v>103</v>
      </c>
      <c r="L4397" s="1" t="str">
        <f t="shared" ref="L4397:L4433" si="2800">"47"</f>
        <v>47</v>
      </c>
      <c r="M4397" s="1" t="str">
        <f t="shared" si="2795"/>
        <v>0</v>
      </c>
      <c r="N4397" s="1" t="str">
        <f t="shared" si="2797"/>
        <v>0</v>
      </c>
      <c r="O4397" s="1" t="str">
        <f t="shared" si="2787"/>
        <v>0</v>
      </c>
    </row>
    <row r="4398" s="1" customFormat="1" spans="1:15">
      <c r="A4398" s="1" t="str">
        <f t="shared" si="2784"/>
        <v>202406</v>
      </c>
      <c r="B4398" s="1" t="str">
        <f t="shared" si="2785"/>
        <v>150525100</v>
      </c>
      <c r="C4398" s="1" t="str">
        <f>"1014623018"</f>
        <v>1014623018</v>
      </c>
      <c r="D4398" s="1" t="str">
        <f>"152326194703120029"</f>
        <v>152326194703120029</v>
      </c>
      <c r="E4398" s="1" t="s">
        <v>4414</v>
      </c>
      <c r="F4398" s="1" t="s">
        <v>16</v>
      </c>
      <c r="G4398" s="1" t="s">
        <v>17</v>
      </c>
      <c r="H4398" s="1" t="str">
        <f>"77"</f>
        <v>77</v>
      </c>
      <c r="I4398" s="1" t="str">
        <f t="shared" ref="I4398:I4403" si="2801">"160"</f>
        <v>160</v>
      </c>
      <c r="J4398" s="1" t="str">
        <f t="shared" si="2792"/>
        <v>0</v>
      </c>
      <c r="K4398" s="1" t="str">
        <f t="shared" si="2799"/>
        <v>103</v>
      </c>
      <c r="L4398" s="1" t="str">
        <f t="shared" si="2800"/>
        <v>47</v>
      </c>
      <c r="M4398" s="1" t="str">
        <f t="shared" si="2795"/>
        <v>0</v>
      </c>
      <c r="N4398" s="1" t="str">
        <f t="shared" si="2797"/>
        <v>0</v>
      </c>
      <c r="O4398" s="1" t="str">
        <f t="shared" si="2787"/>
        <v>0</v>
      </c>
    </row>
    <row r="4399" s="1" customFormat="1" spans="1:15">
      <c r="A4399" s="1" t="str">
        <f t="shared" si="2784"/>
        <v>202406</v>
      </c>
      <c r="B4399" s="1" t="str">
        <f t="shared" si="2785"/>
        <v>150525100</v>
      </c>
      <c r="C4399" s="1" t="str">
        <f>"1014623031"</f>
        <v>1014623031</v>
      </c>
      <c r="D4399" s="1" t="s">
        <v>4415</v>
      </c>
      <c r="E4399" s="1" t="s">
        <v>4416</v>
      </c>
      <c r="F4399" s="1" t="s">
        <v>16</v>
      </c>
      <c r="G4399" s="1" t="s">
        <v>19</v>
      </c>
      <c r="H4399" s="1" t="str">
        <f>"76"</f>
        <v>76</v>
      </c>
      <c r="I4399" s="1" t="str">
        <f>"640"</f>
        <v>640</v>
      </c>
      <c r="J4399" s="1" t="str">
        <f>"480"</f>
        <v>480</v>
      </c>
      <c r="K4399" s="1" t="str">
        <f>"412"</f>
        <v>412</v>
      </c>
      <c r="L4399" s="1" t="str">
        <f>"188"</f>
        <v>188</v>
      </c>
      <c r="M4399" s="1" t="str">
        <f t="shared" si="2795"/>
        <v>0</v>
      </c>
      <c r="N4399" s="1" t="str">
        <f t="shared" si="2797"/>
        <v>0</v>
      </c>
      <c r="O4399" s="1" t="str">
        <f t="shared" si="2787"/>
        <v>0</v>
      </c>
    </row>
    <row r="4400" s="1" customFormat="1" spans="1:15">
      <c r="A4400" s="1" t="str">
        <f t="shared" si="2784"/>
        <v>202406</v>
      </c>
      <c r="B4400" s="1" t="str">
        <f t="shared" si="2785"/>
        <v>150525100</v>
      </c>
      <c r="C4400" s="1" t="str">
        <f>"1014623513"</f>
        <v>1014623513</v>
      </c>
      <c r="D4400" s="1" t="str">
        <f>"152326193909260428"</f>
        <v>152326193909260428</v>
      </c>
      <c r="E4400" s="1" t="s">
        <v>4396</v>
      </c>
      <c r="F4400" s="1" t="s">
        <v>16</v>
      </c>
      <c r="G4400" s="1" t="s">
        <v>17</v>
      </c>
      <c r="H4400" s="1" t="str">
        <f>"85"</f>
        <v>85</v>
      </c>
      <c r="I4400" s="1" t="str">
        <f t="shared" si="2798"/>
        <v>170</v>
      </c>
      <c r="J4400" s="1" t="str">
        <f t="shared" ref="J4400:J4433" si="2802">"0"</f>
        <v>0</v>
      </c>
      <c r="K4400" s="1" t="str">
        <f t="shared" si="2799"/>
        <v>103</v>
      </c>
      <c r="L4400" s="1" t="str">
        <f t="shared" si="2800"/>
        <v>47</v>
      </c>
      <c r="M4400" s="1" t="str">
        <f t="shared" si="2795"/>
        <v>0</v>
      </c>
      <c r="N4400" s="1" t="str">
        <f t="shared" si="2797"/>
        <v>0</v>
      </c>
      <c r="O4400" s="1" t="str">
        <f t="shared" si="2787"/>
        <v>0</v>
      </c>
    </row>
    <row r="4401" s="1" customFormat="1" spans="1:15">
      <c r="A4401" s="1" t="str">
        <f t="shared" si="2784"/>
        <v>202406</v>
      </c>
      <c r="B4401" s="1" t="str">
        <f t="shared" si="2785"/>
        <v>150525100</v>
      </c>
      <c r="C4401" s="1" t="str">
        <f>"1014623524"</f>
        <v>1014623524</v>
      </c>
      <c r="D4401" s="1" t="str">
        <f>"152326194109160423"</f>
        <v>152326194109160423</v>
      </c>
      <c r="E4401" s="1" t="s">
        <v>187</v>
      </c>
      <c r="F4401" s="1" t="s">
        <v>16</v>
      </c>
      <c r="G4401" s="1" t="s">
        <v>17</v>
      </c>
      <c r="H4401" s="1" t="str">
        <f>"83"</f>
        <v>83</v>
      </c>
      <c r="I4401" s="1" t="str">
        <f t="shared" si="2798"/>
        <v>170</v>
      </c>
      <c r="J4401" s="1" t="str">
        <f t="shared" si="2802"/>
        <v>0</v>
      </c>
      <c r="K4401" s="1" t="str">
        <f t="shared" si="2799"/>
        <v>103</v>
      </c>
      <c r="L4401" s="1" t="str">
        <f t="shared" si="2800"/>
        <v>47</v>
      </c>
      <c r="M4401" s="1" t="str">
        <f t="shared" si="2795"/>
        <v>0</v>
      </c>
      <c r="N4401" s="1" t="str">
        <f t="shared" si="2797"/>
        <v>0</v>
      </c>
      <c r="O4401" s="1" t="str">
        <f t="shared" si="2787"/>
        <v>0</v>
      </c>
    </row>
    <row r="4402" s="1" customFormat="1" spans="1:15">
      <c r="A4402" s="1" t="str">
        <f t="shared" si="2784"/>
        <v>202406</v>
      </c>
      <c r="B4402" s="1" t="str">
        <f t="shared" si="2785"/>
        <v>150525100</v>
      </c>
      <c r="C4402" s="1" t="str">
        <f>"1014629453"</f>
        <v>1014629453</v>
      </c>
      <c r="D4402" s="1" t="str">
        <f>"152326194905203842"</f>
        <v>152326194905203842</v>
      </c>
      <c r="E4402" s="1" t="s">
        <v>4417</v>
      </c>
      <c r="F4402" s="1" t="s">
        <v>16</v>
      </c>
      <c r="G4402" s="1" t="s">
        <v>19</v>
      </c>
      <c r="H4402" s="1" t="str">
        <f>"75"</f>
        <v>75</v>
      </c>
      <c r="I4402" s="1" t="str">
        <f t="shared" si="2801"/>
        <v>160</v>
      </c>
      <c r="J4402" s="1" t="str">
        <f t="shared" si="2802"/>
        <v>0</v>
      </c>
      <c r="K4402" s="1" t="str">
        <f t="shared" si="2799"/>
        <v>103</v>
      </c>
      <c r="L4402" s="1" t="str">
        <f t="shared" si="2800"/>
        <v>47</v>
      </c>
      <c r="M4402" s="1" t="str">
        <f t="shared" si="2795"/>
        <v>0</v>
      </c>
      <c r="N4402" s="1" t="str">
        <f t="shared" si="2797"/>
        <v>0</v>
      </c>
      <c r="O4402" s="1" t="str">
        <f t="shared" si="2787"/>
        <v>0</v>
      </c>
    </row>
    <row r="4403" s="1" customFormat="1" spans="1:15">
      <c r="A4403" s="1" t="str">
        <f t="shared" si="2784"/>
        <v>202406</v>
      </c>
      <c r="B4403" s="1" t="str">
        <f t="shared" si="2785"/>
        <v>150525100</v>
      </c>
      <c r="C4403" s="1" t="str">
        <f>"1014629478"</f>
        <v>1014629478</v>
      </c>
      <c r="D4403" s="1" t="str">
        <f>"152326194808123840"</f>
        <v>152326194808123840</v>
      </c>
      <c r="E4403" s="1" t="s">
        <v>4418</v>
      </c>
      <c r="F4403" s="1" t="s">
        <v>16</v>
      </c>
      <c r="G4403" s="1" t="s">
        <v>19</v>
      </c>
      <c r="H4403" s="1" t="str">
        <f>"76"</f>
        <v>76</v>
      </c>
      <c r="I4403" s="1" t="str">
        <f t="shared" si="2801"/>
        <v>160</v>
      </c>
      <c r="J4403" s="1" t="str">
        <f t="shared" si="2802"/>
        <v>0</v>
      </c>
      <c r="K4403" s="1" t="str">
        <f t="shared" si="2799"/>
        <v>103</v>
      </c>
      <c r="L4403" s="1" t="str">
        <f t="shared" si="2800"/>
        <v>47</v>
      </c>
      <c r="M4403" s="1" t="str">
        <f t="shared" si="2795"/>
        <v>0</v>
      </c>
      <c r="N4403" s="1" t="str">
        <f t="shared" si="2797"/>
        <v>0</v>
      </c>
      <c r="O4403" s="1" t="str">
        <f t="shared" si="2787"/>
        <v>0</v>
      </c>
    </row>
    <row r="4404" s="1" customFormat="1" spans="1:15">
      <c r="A4404" s="1" t="str">
        <f t="shared" si="2784"/>
        <v>202406</v>
      </c>
      <c r="B4404" s="1" t="str">
        <f t="shared" si="2785"/>
        <v>150525100</v>
      </c>
      <c r="C4404" s="1" t="str">
        <f>"1014589099"</f>
        <v>1014589099</v>
      </c>
      <c r="D4404" s="1" t="str">
        <f>"152326195206120428"</f>
        <v>152326195206120428</v>
      </c>
      <c r="E4404" s="1" t="s">
        <v>266</v>
      </c>
      <c r="F4404" s="1" t="s">
        <v>16</v>
      </c>
      <c r="G4404" s="1" t="s">
        <v>17</v>
      </c>
      <c r="H4404" s="1" t="str">
        <f>"72"</f>
        <v>72</v>
      </c>
      <c r="I4404" s="1" t="str">
        <f>"162.15"</f>
        <v>162.15</v>
      </c>
      <c r="J4404" s="1" t="str">
        <f t="shared" si="2802"/>
        <v>0</v>
      </c>
      <c r="K4404" s="1" t="str">
        <f t="shared" si="2799"/>
        <v>103</v>
      </c>
      <c r="L4404" s="1" t="str">
        <f t="shared" si="2800"/>
        <v>47</v>
      </c>
      <c r="M4404" s="1" t="str">
        <f t="shared" si="2795"/>
        <v>0</v>
      </c>
      <c r="N4404" s="1" t="str">
        <f t="shared" si="2797"/>
        <v>0</v>
      </c>
      <c r="O4404" s="1" t="str">
        <f>"2.15"</f>
        <v>2.15</v>
      </c>
    </row>
    <row r="4405" s="1" customFormat="1" spans="1:15">
      <c r="A4405" s="1" t="str">
        <f t="shared" si="2784"/>
        <v>202406</v>
      </c>
      <c r="B4405" s="1" t="str">
        <f t="shared" si="2785"/>
        <v>150525100</v>
      </c>
      <c r="C4405" s="1" t="str">
        <f>"1014612950"</f>
        <v>1014612950</v>
      </c>
      <c r="D4405" s="1" t="str">
        <f>"152326195109073324"</f>
        <v>152326195109073324</v>
      </c>
      <c r="E4405" s="1" t="s">
        <v>4419</v>
      </c>
      <c r="F4405" s="1" t="s">
        <v>16</v>
      </c>
      <c r="G4405" s="1" t="s">
        <v>17</v>
      </c>
      <c r="H4405" s="1" t="str">
        <f>"73"</f>
        <v>73</v>
      </c>
      <c r="I4405" s="1" t="str">
        <f t="shared" ref="I4405:I4407" si="2803">"160"</f>
        <v>160</v>
      </c>
      <c r="J4405" s="1" t="str">
        <f t="shared" si="2802"/>
        <v>0</v>
      </c>
      <c r="K4405" s="1" t="str">
        <f t="shared" si="2799"/>
        <v>103</v>
      </c>
      <c r="L4405" s="1" t="str">
        <f t="shared" si="2800"/>
        <v>47</v>
      </c>
      <c r="M4405" s="1" t="str">
        <f t="shared" si="2795"/>
        <v>0</v>
      </c>
      <c r="N4405" s="1" t="str">
        <f t="shared" si="2797"/>
        <v>0</v>
      </c>
      <c r="O4405" s="1" t="str">
        <f t="shared" ref="O4405:O4422" si="2804">"0"</f>
        <v>0</v>
      </c>
    </row>
    <row r="4406" s="1" customFormat="1" spans="1:15">
      <c r="A4406" s="1" t="str">
        <f t="shared" si="2784"/>
        <v>202406</v>
      </c>
      <c r="B4406" s="1" t="str">
        <f t="shared" si="2785"/>
        <v>150525100</v>
      </c>
      <c r="C4406" s="1" t="str">
        <f>"1014612971"</f>
        <v>1014612971</v>
      </c>
      <c r="D4406" s="1" t="s">
        <v>4420</v>
      </c>
      <c r="E4406" s="1" t="s">
        <v>4421</v>
      </c>
      <c r="F4406" s="1" t="s">
        <v>16</v>
      </c>
      <c r="G4406" s="1" t="s">
        <v>19</v>
      </c>
      <c r="H4406" s="1" t="str">
        <f>"78"</f>
        <v>78</v>
      </c>
      <c r="I4406" s="1" t="str">
        <f t="shared" si="2803"/>
        <v>160</v>
      </c>
      <c r="J4406" s="1" t="str">
        <f t="shared" si="2802"/>
        <v>0</v>
      </c>
      <c r="K4406" s="1" t="str">
        <f t="shared" si="2799"/>
        <v>103</v>
      </c>
      <c r="L4406" s="1" t="str">
        <f t="shared" si="2800"/>
        <v>47</v>
      </c>
      <c r="M4406" s="1" t="str">
        <f t="shared" si="2795"/>
        <v>0</v>
      </c>
      <c r="N4406" s="1" t="str">
        <f t="shared" si="2797"/>
        <v>0</v>
      </c>
      <c r="O4406" s="1" t="str">
        <f t="shared" si="2804"/>
        <v>0</v>
      </c>
    </row>
    <row r="4407" s="1" customFormat="1" spans="1:15">
      <c r="A4407" s="1" t="str">
        <f t="shared" si="2784"/>
        <v>202406</v>
      </c>
      <c r="B4407" s="1" t="str">
        <f t="shared" si="2785"/>
        <v>150525100</v>
      </c>
      <c r="C4407" s="1" t="str">
        <f>"1014612973"</f>
        <v>1014612973</v>
      </c>
      <c r="D4407" s="1" t="str">
        <f>"152326194511130927"</f>
        <v>152326194511130927</v>
      </c>
      <c r="E4407" s="1" t="s">
        <v>4422</v>
      </c>
      <c r="F4407" s="1" t="s">
        <v>16</v>
      </c>
      <c r="G4407" s="1" t="s">
        <v>19</v>
      </c>
      <c r="H4407" s="1" t="str">
        <f>"79"</f>
        <v>79</v>
      </c>
      <c r="I4407" s="1" t="str">
        <f t="shared" si="2803"/>
        <v>160</v>
      </c>
      <c r="J4407" s="1" t="str">
        <f t="shared" si="2802"/>
        <v>0</v>
      </c>
      <c r="K4407" s="1" t="str">
        <f t="shared" si="2799"/>
        <v>103</v>
      </c>
      <c r="L4407" s="1" t="str">
        <f t="shared" si="2800"/>
        <v>47</v>
      </c>
      <c r="M4407" s="1" t="str">
        <f t="shared" si="2795"/>
        <v>0</v>
      </c>
      <c r="N4407" s="1" t="str">
        <f t="shared" si="2797"/>
        <v>0</v>
      </c>
      <c r="O4407" s="1" t="str">
        <f t="shared" si="2804"/>
        <v>0</v>
      </c>
    </row>
    <row r="4408" s="1" customFormat="1" spans="1:15">
      <c r="A4408" s="1" t="str">
        <f t="shared" si="2784"/>
        <v>202406</v>
      </c>
      <c r="B4408" s="1" t="str">
        <f t="shared" si="2785"/>
        <v>150525100</v>
      </c>
      <c r="C4408" s="1" t="str">
        <f>"1014613229"</f>
        <v>1014613229</v>
      </c>
      <c r="D4408" s="1" t="str">
        <f>"152326195108160426"</f>
        <v>152326195108160426</v>
      </c>
      <c r="E4408" s="1" t="s">
        <v>4423</v>
      </c>
      <c r="F4408" s="1" t="s">
        <v>16</v>
      </c>
      <c r="G4408" s="1" t="s">
        <v>19</v>
      </c>
      <c r="H4408" s="1" t="str">
        <f>"73"</f>
        <v>73</v>
      </c>
      <c r="I4408" s="1" t="str">
        <f>"237.09"</f>
        <v>237.09</v>
      </c>
      <c r="J4408" s="1" t="str">
        <f t="shared" si="2802"/>
        <v>0</v>
      </c>
      <c r="K4408" s="1" t="str">
        <f t="shared" si="2799"/>
        <v>103</v>
      </c>
      <c r="L4408" s="1" t="str">
        <f t="shared" si="2800"/>
        <v>47</v>
      </c>
      <c r="M4408" s="1" t="str">
        <f t="shared" si="2795"/>
        <v>0</v>
      </c>
      <c r="N4408" s="1" t="str">
        <f>"77.09"</f>
        <v>77.09</v>
      </c>
      <c r="O4408" s="1" t="str">
        <f t="shared" si="2804"/>
        <v>0</v>
      </c>
    </row>
    <row r="4409" s="1" customFormat="1" spans="1:15">
      <c r="A4409" s="1" t="str">
        <f t="shared" si="2784"/>
        <v>202406</v>
      </c>
      <c r="B4409" s="1" t="str">
        <f t="shared" si="2785"/>
        <v>150525100</v>
      </c>
      <c r="C4409" s="1" t="str">
        <f>"1014613240"</f>
        <v>1014613240</v>
      </c>
      <c r="D4409" s="1" t="str">
        <f>"152326194702180441"</f>
        <v>152326194702180441</v>
      </c>
      <c r="E4409" s="1" t="s">
        <v>4424</v>
      </c>
      <c r="F4409" s="1" t="s">
        <v>16</v>
      </c>
      <c r="G4409" s="1" t="s">
        <v>96</v>
      </c>
      <c r="H4409" s="1" t="str">
        <f>"77"</f>
        <v>77</v>
      </c>
      <c r="I4409" s="1" t="str">
        <f t="shared" ref="I4409:I4414" si="2805">"160"</f>
        <v>160</v>
      </c>
      <c r="J4409" s="1" t="str">
        <f t="shared" si="2802"/>
        <v>0</v>
      </c>
      <c r="K4409" s="1" t="str">
        <f t="shared" si="2799"/>
        <v>103</v>
      </c>
      <c r="L4409" s="1" t="str">
        <f t="shared" si="2800"/>
        <v>47</v>
      </c>
      <c r="M4409" s="1" t="str">
        <f t="shared" si="2795"/>
        <v>0</v>
      </c>
      <c r="N4409" s="1" t="str">
        <f t="shared" ref="N4409:N4472" si="2806">"0"</f>
        <v>0</v>
      </c>
      <c r="O4409" s="1" t="str">
        <f t="shared" si="2804"/>
        <v>0</v>
      </c>
    </row>
    <row r="4410" s="1" customFormat="1" spans="1:15">
      <c r="A4410" s="1" t="str">
        <f t="shared" si="2784"/>
        <v>202406</v>
      </c>
      <c r="B4410" s="1" t="str">
        <f t="shared" si="2785"/>
        <v>150525100</v>
      </c>
      <c r="C4410" s="1" t="str">
        <f>"1014613251"</f>
        <v>1014613251</v>
      </c>
      <c r="D4410" s="1" t="s">
        <v>4425</v>
      </c>
      <c r="E4410" s="1" t="s">
        <v>4426</v>
      </c>
      <c r="F4410" s="1" t="s">
        <v>16</v>
      </c>
      <c r="G4410" s="1" t="s">
        <v>17</v>
      </c>
      <c r="H4410" s="1" t="str">
        <f>"81"</f>
        <v>81</v>
      </c>
      <c r="I4410" s="1" t="str">
        <f>"170"</f>
        <v>170</v>
      </c>
      <c r="J4410" s="1" t="str">
        <f t="shared" si="2802"/>
        <v>0</v>
      </c>
      <c r="K4410" s="1" t="str">
        <f t="shared" si="2799"/>
        <v>103</v>
      </c>
      <c r="L4410" s="1" t="str">
        <f t="shared" si="2800"/>
        <v>47</v>
      </c>
      <c r="M4410" s="1" t="str">
        <f t="shared" si="2795"/>
        <v>0</v>
      </c>
      <c r="N4410" s="1" t="str">
        <f t="shared" si="2806"/>
        <v>0</v>
      </c>
      <c r="O4410" s="1" t="str">
        <f t="shared" si="2804"/>
        <v>0</v>
      </c>
    </row>
    <row r="4411" s="1" customFormat="1" spans="1:15">
      <c r="A4411" s="1" t="str">
        <f t="shared" si="2784"/>
        <v>202406</v>
      </c>
      <c r="B4411" s="1" t="str">
        <f t="shared" si="2785"/>
        <v>150525100</v>
      </c>
      <c r="C4411" s="1" t="str">
        <f>"1014622268"</f>
        <v>1014622268</v>
      </c>
      <c r="D4411" s="1" t="str">
        <f>"152326194801060664"</f>
        <v>152326194801060664</v>
      </c>
      <c r="E4411" s="1" t="s">
        <v>4427</v>
      </c>
      <c r="F4411" s="1" t="s">
        <v>16</v>
      </c>
      <c r="G4411" s="1" t="s">
        <v>17</v>
      </c>
      <c r="H4411" s="1" t="str">
        <f>"77"</f>
        <v>77</v>
      </c>
      <c r="I4411" s="1" t="str">
        <f t="shared" si="2805"/>
        <v>160</v>
      </c>
      <c r="J4411" s="1" t="str">
        <f t="shared" si="2802"/>
        <v>0</v>
      </c>
      <c r="K4411" s="1" t="str">
        <f t="shared" si="2799"/>
        <v>103</v>
      </c>
      <c r="L4411" s="1" t="str">
        <f t="shared" si="2800"/>
        <v>47</v>
      </c>
      <c r="M4411" s="1" t="str">
        <f t="shared" si="2795"/>
        <v>0</v>
      </c>
      <c r="N4411" s="1" t="str">
        <f t="shared" si="2806"/>
        <v>0</v>
      </c>
      <c r="O4411" s="1" t="str">
        <f t="shared" si="2804"/>
        <v>0</v>
      </c>
    </row>
    <row r="4412" s="1" customFormat="1" spans="1:15">
      <c r="A4412" s="1" t="str">
        <f t="shared" si="2784"/>
        <v>202406</v>
      </c>
      <c r="B4412" s="1" t="str">
        <f t="shared" si="2785"/>
        <v>150525100</v>
      </c>
      <c r="C4412" s="1" t="str">
        <f>"1014622279"</f>
        <v>1014622279</v>
      </c>
      <c r="D4412" s="1" t="str">
        <f>"152326194810220420"</f>
        <v>152326194810220420</v>
      </c>
      <c r="E4412" s="1" t="s">
        <v>805</v>
      </c>
      <c r="F4412" s="1" t="s">
        <v>16</v>
      </c>
      <c r="G4412" s="1" t="s">
        <v>17</v>
      </c>
      <c r="H4412" s="1" t="str">
        <f t="shared" ref="H4412:H4416" si="2807">"76"</f>
        <v>76</v>
      </c>
      <c r="I4412" s="1" t="str">
        <f t="shared" si="2805"/>
        <v>160</v>
      </c>
      <c r="J4412" s="1" t="str">
        <f t="shared" si="2802"/>
        <v>0</v>
      </c>
      <c r="K4412" s="1" t="str">
        <f t="shared" si="2799"/>
        <v>103</v>
      </c>
      <c r="L4412" s="1" t="str">
        <f t="shared" si="2800"/>
        <v>47</v>
      </c>
      <c r="M4412" s="1" t="str">
        <f t="shared" si="2795"/>
        <v>0</v>
      </c>
      <c r="N4412" s="1" t="str">
        <f t="shared" si="2806"/>
        <v>0</v>
      </c>
      <c r="O4412" s="1" t="str">
        <f t="shared" si="2804"/>
        <v>0</v>
      </c>
    </row>
    <row r="4413" s="1" customFormat="1" spans="1:15">
      <c r="A4413" s="1" t="str">
        <f t="shared" si="2784"/>
        <v>202406</v>
      </c>
      <c r="B4413" s="1" t="str">
        <f t="shared" si="2785"/>
        <v>150525100</v>
      </c>
      <c r="C4413" s="1" t="str">
        <f>"1014622296"</f>
        <v>1014622296</v>
      </c>
      <c r="D4413" s="1" t="str">
        <f>"152326194808020673"</f>
        <v>152326194808020673</v>
      </c>
      <c r="E4413" s="1" t="s">
        <v>4428</v>
      </c>
      <c r="F4413" s="1" t="s">
        <v>25</v>
      </c>
      <c r="G4413" s="1" t="s">
        <v>17</v>
      </c>
      <c r="H4413" s="1" t="str">
        <f t="shared" si="2807"/>
        <v>76</v>
      </c>
      <c r="I4413" s="1" t="str">
        <f t="shared" si="2805"/>
        <v>160</v>
      </c>
      <c r="J4413" s="1" t="str">
        <f t="shared" si="2802"/>
        <v>0</v>
      </c>
      <c r="K4413" s="1" t="str">
        <f t="shared" si="2799"/>
        <v>103</v>
      </c>
      <c r="L4413" s="1" t="str">
        <f t="shared" si="2800"/>
        <v>47</v>
      </c>
      <c r="M4413" s="1" t="str">
        <f t="shared" si="2795"/>
        <v>0</v>
      </c>
      <c r="N4413" s="1" t="str">
        <f t="shared" si="2806"/>
        <v>0</v>
      </c>
      <c r="O4413" s="1" t="str">
        <f t="shared" si="2804"/>
        <v>0</v>
      </c>
    </row>
    <row r="4414" s="1" customFormat="1" spans="1:15">
      <c r="A4414" s="1" t="str">
        <f t="shared" si="2784"/>
        <v>202406</v>
      </c>
      <c r="B4414" s="1" t="str">
        <f t="shared" si="2785"/>
        <v>150525100</v>
      </c>
      <c r="C4414" s="1" t="str">
        <f>"1014622679"</f>
        <v>1014622679</v>
      </c>
      <c r="D4414" s="1" t="str">
        <f>"152326195106200674"</f>
        <v>152326195106200674</v>
      </c>
      <c r="E4414" s="1" t="s">
        <v>4429</v>
      </c>
      <c r="F4414" s="1" t="s">
        <v>25</v>
      </c>
      <c r="G4414" s="1" t="s">
        <v>17</v>
      </c>
      <c r="H4414" s="1" t="str">
        <f>"73"</f>
        <v>73</v>
      </c>
      <c r="I4414" s="1" t="str">
        <f t="shared" si="2805"/>
        <v>160</v>
      </c>
      <c r="J4414" s="1" t="str">
        <f t="shared" si="2802"/>
        <v>0</v>
      </c>
      <c r="K4414" s="1" t="str">
        <f t="shared" si="2799"/>
        <v>103</v>
      </c>
      <c r="L4414" s="1" t="str">
        <f t="shared" si="2800"/>
        <v>47</v>
      </c>
      <c r="M4414" s="1" t="str">
        <f t="shared" si="2795"/>
        <v>0</v>
      </c>
      <c r="N4414" s="1" t="str">
        <f t="shared" si="2806"/>
        <v>0</v>
      </c>
      <c r="O4414" s="1" t="str">
        <f t="shared" si="2804"/>
        <v>0</v>
      </c>
    </row>
    <row r="4415" s="1" customFormat="1" spans="1:15">
      <c r="A4415" s="1" t="str">
        <f t="shared" si="2784"/>
        <v>202406</v>
      </c>
      <c r="B4415" s="1" t="str">
        <f t="shared" si="2785"/>
        <v>150525100</v>
      </c>
      <c r="C4415" s="1" t="str">
        <f>"1014624047"</f>
        <v>1014624047</v>
      </c>
      <c r="D4415" s="1" t="s">
        <v>4430</v>
      </c>
      <c r="E4415" s="1" t="s">
        <v>4431</v>
      </c>
      <c r="F4415" s="1" t="s">
        <v>25</v>
      </c>
      <c r="G4415" s="1" t="s">
        <v>17</v>
      </c>
      <c r="H4415" s="1" t="str">
        <f>"91"</f>
        <v>91</v>
      </c>
      <c r="I4415" s="1" t="str">
        <f>"170"</f>
        <v>170</v>
      </c>
      <c r="J4415" s="1" t="str">
        <f t="shared" si="2802"/>
        <v>0</v>
      </c>
      <c r="K4415" s="1" t="str">
        <f t="shared" si="2799"/>
        <v>103</v>
      </c>
      <c r="L4415" s="1" t="str">
        <f t="shared" si="2800"/>
        <v>47</v>
      </c>
      <c r="M4415" s="1" t="str">
        <f t="shared" si="2795"/>
        <v>0</v>
      </c>
      <c r="N4415" s="1" t="str">
        <f t="shared" si="2806"/>
        <v>0</v>
      </c>
      <c r="O4415" s="1" t="str">
        <f t="shared" si="2804"/>
        <v>0</v>
      </c>
    </row>
    <row r="4416" s="1" customFormat="1" spans="1:15">
      <c r="A4416" s="1" t="str">
        <f t="shared" si="2784"/>
        <v>202406</v>
      </c>
      <c r="B4416" s="1" t="str">
        <f t="shared" si="2785"/>
        <v>150525100</v>
      </c>
      <c r="C4416" s="1" t="str">
        <f>"1014624540"</f>
        <v>1014624540</v>
      </c>
      <c r="D4416" s="1" t="str">
        <f>"152326194802070661"</f>
        <v>152326194802070661</v>
      </c>
      <c r="E4416" s="1" t="s">
        <v>4432</v>
      </c>
      <c r="F4416" s="1" t="s">
        <v>16</v>
      </c>
      <c r="G4416" s="1" t="s">
        <v>17</v>
      </c>
      <c r="H4416" s="1" t="str">
        <f t="shared" si="2807"/>
        <v>76</v>
      </c>
      <c r="I4416" s="1" t="str">
        <f t="shared" ref="I4416:I4419" si="2808">"160"</f>
        <v>160</v>
      </c>
      <c r="J4416" s="1" t="str">
        <f t="shared" si="2802"/>
        <v>0</v>
      </c>
      <c r="K4416" s="1" t="str">
        <f t="shared" si="2799"/>
        <v>103</v>
      </c>
      <c r="L4416" s="1" t="str">
        <f t="shared" si="2800"/>
        <v>47</v>
      </c>
      <c r="M4416" s="1" t="str">
        <f t="shared" si="2795"/>
        <v>0</v>
      </c>
      <c r="N4416" s="1" t="str">
        <f t="shared" si="2806"/>
        <v>0</v>
      </c>
      <c r="O4416" s="1" t="str">
        <f t="shared" si="2804"/>
        <v>0</v>
      </c>
    </row>
    <row r="4417" s="1" customFormat="1" spans="1:15">
      <c r="A4417" s="1" t="str">
        <f t="shared" si="2784"/>
        <v>202406</v>
      </c>
      <c r="B4417" s="1" t="str">
        <f t="shared" si="2785"/>
        <v>150525100</v>
      </c>
      <c r="C4417" s="1" t="str">
        <f>"1014619512"</f>
        <v>1014619512</v>
      </c>
      <c r="D4417" s="1" t="str">
        <f>"152326195107053071"</f>
        <v>152326195107053071</v>
      </c>
      <c r="E4417" s="1" t="s">
        <v>4433</v>
      </c>
      <c r="F4417" s="1" t="s">
        <v>25</v>
      </c>
      <c r="G4417" s="1" t="s">
        <v>17</v>
      </c>
      <c r="H4417" s="1" t="str">
        <f>"73"</f>
        <v>73</v>
      </c>
      <c r="I4417" s="1" t="str">
        <f t="shared" si="2808"/>
        <v>160</v>
      </c>
      <c r="J4417" s="1" t="str">
        <f t="shared" si="2802"/>
        <v>0</v>
      </c>
      <c r="K4417" s="1" t="str">
        <f t="shared" si="2799"/>
        <v>103</v>
      </c>
      <c r="L4417" s="1" t="str">
        <f t="shared" si="2800"/>
        <v>47</v>
      </c>
      <c r="M4417" s="1" t="str">
        <f t="shared" si="2795"/>
        <v>0</v>
      </c>
      <c r="N4417" s="1" t="str">
        <f t="shared" si="2806"/>
        <v>0</v>
      </c>
      <c r="O4417" s="1" t="str">
        <f t="shared" si="2804"/>
        <v>0</v>
      </c>
    </row>
    <row r="4418" s="1" customFormat="1" spans="1:15">
      <c r="A4418" s="1" t="str">
        <f t="shared" ref="A4418:A4481" si="2809">"202406"</f>
        <v>202406</v>
      </c>
      <c r="B4418" s="1" t="str">
        <f t="shared" ref="B4418:B4481" si="2810">"150525100"</f>
        <v>150525100</v>
      </c>
      <c r="C4418" s="1" t="str">
        <f>"1014619513"</f>
        <v>1014619513</v>
      </c>
      <c r="D4418" s="1" t="str">
        <f>"152326194707153071"</f>
        <v>152326194707153071</v>
      </c>
      <c r="E4418" s="1" t="s">
        <v>4434</v>
      </c>
      <c r="F4418" s="1" t="s">
        <v>25</v>
      </c>
      <c r="G4418" s="1" t="s">
        <v>17</v>
      </c>
      <c r="H4418" s="1" t="str">
        <f>"77"</f>
        <v>77</v>
      </c>
      <c r="I4418" s="1" t="str">
        <f t="shared" si="2808"/>
        <v>160</v>
      </c>
      <c r="J4418" s="1" t="str">
        <f t="shared" si="2802"/>
        <v>0</v>
      </c>
      <c r="K4418" s="1" t="str">
        <f t="shared" si="2799"/>
        <v>103</v>
      </c>
      <c r="L4418" s="1" t="str">
        <f t="shared" si="2800"/>
        <v>47</v>
      </c>
      <c r="M4418" s="1" t="str">
        <f t="shared" si="2795"/>
        <v>0</v>
      </c>
      <c r="N4418" s="1" t="str">
        <f t="shared" si="2806"/>
        <v>0</v>
      </c>
      <c r="O4418" s="1" t="str">
        <f t="shared" si="2804"/>
        <v>0</v>
      </c>
    </row>
    <row r="4419" s="1" customFormat="1" spans="1:15">
      <c r="A4419" s="1" t="str">
        <f t="shared" si="2809"/>
        <v>202406</v>
      </c>
      <c r="B4419" s="1" t="str">
        <f t="shared" si="2810"/>
        <v>150525100</v>
      </c>
      <c r="C4419" s="1" t="str">
        <f>"1014619520"</f>
        <v>1014619520</v>
      </c>
      <c r="D4419" s="1" t="str">
        <f>"152326194705093079"</f>
        <v>152326194705093079</v>
      </c>
      <c r="E4419" s="1" t="s">
        <v>4435</v>
      </c>
      <c r="F4419" s="1" t="s">
        <v>25</v>
      </c>
      <c r="G4419" s="1" t="s">
        <v>17</v>
      </c>
      <c r="H4419" s="1" t="str">
        <f>"77"</f>
        <v>77</v>
      </c>
      <c r="I4419" s="1" t="str">
        <f t="shared" si="2808"/>
        <v>160</v>
      </c>
      <c r="J4419" s="1" t="str">
        <f t="shared" si="2802"/>
        <v>0</v>
      </c>
      <c r="K4419" s="1" t="str">
        <f t="shared" si="2799"/>
        <v>103</v>
      </c>
      <c r="L4419" s="1" t="str">
        <f t="shared" si="2800"/>
        <v>47</v>
      </c>
      <c r="M4419" s="1" t="str">
        <f t="shared" si="2795"/>
        <v>0</v>
      </c>
      <c r="N4419" s="1" t="str">
        <f t="shared" si="2806"/>
        <v>0</v>
      </c>
      <c r="O4419" s="1" t="str">
        <f t="shared" si="2804"/>
        <v>0</v>
      </c>
    </row>
    <row r="4420" s="1" customFormat="1" spans="1:15">
      <c r="A4420" s="1" t="str">
        <f t="shared" si="2809"/>
        <v>202406</v>
      </c>
      <c r="B4420" s="1" t="str">
        <f t="shared" si="2810"/>
        <v>150525100</v>
      </c>
      <c r="C4420" s="1" t="str">
        <f>"1014623034"</f>
        <v>1014623034</v>
      </c>
      <c r="D4420" s="1" t="str">
        <f>"152326193710280042"</f>
        <v>152326193710280042</v>
      </c>
      <c r="E4420" s="1" t="s">
        <v>4436</v>
      </c>
      <c r="F4420" s="1" t="s">
        <v>16</v>
      </c>
      <c r="G4420" s="1" t="s">
        <v>19</v>
      </c>
      <c r="H4420" s="1" t="str">
        <f>"87"</f>
        <v>87</v>
      </c>
      <c r="I4420" s="1" t="str">
        <f>"170"</f>
        <v>170</v>
      </c>
      <c r="J4420" s="1" t="str">
        <f t="shared" si="2802"/>
        <v>0</v>
      </c>
      <c r="K4420" s="1" t="str">
        <f t="shared" si="2799"/>
        <v>103</v>
      </c>
      <c r="L4420" s="1" t="str">
        <f t="shared" si="2800"/>
        <v>47</v>
      </c>
      <c r="M4420" s="1" t="str">
        <f t="shared" si="2795"/>
        <v>0</v>
      </c>
      <c r="N4420" s="1" t="str">
        <f t="shared" si="2806"/>
        <v>0</v>
      </c>
      <c r="O4420" s="1" t="str">
        <f t="shared" si="2804"/>
        <v>0</v>
      </c>
    </row>
    <row r="4421" s="1" customFormat="1" spans="1:15">
      <c r="A4421" s="1" t="str">
        <f t="shared" si="2809"/>
        <v>202406</v>
      </c>
      <c r="B4421" s="1" t="str">
        <f t="shared" si="2810"/>
        <v>150525100</v>
      </c>
      <c r="C4421" s="1" t="str">
        <f>"1014623558"</f>
        <v>1014623558</v>
      </c>
      <c r="D4421" s="1" t="str">
        <f>"152326193509100425"</f>
        <v>152326193509100425</v>
      </c>
      <c r="E4421" s="1" t="s">
        <v>4437</v>
      </c>
      <c r="F4421" s="1" t="s">
        <v>16</v>
      </c>
      <c r="G4421" s="1" t="s">
        <v>19</v>
      </c>
      <c r="H4421" s="1" t="str">
        <f>"89"</f>
        <v>89</v>
      </c>
      <c r="I4421" s="1" t="str">
        <f>"170"</f>
        <v>170</v>
      </c>
      <c r="J4421" s="1" t="str">
        <f t="shared" si="2802"/>
        <v>0</v>
      </c>
      <c r="K4421" s="1" t="str">
        <f t="shared" si="2799"/>
        <v>103</v>
      </c>
      <c r="L4421" s="1" t="str">
        <f t="shared" si="2800"/>
        <v>47</v>
      </c>
      <c r="M4421" s="1" t="str">
        <f t="shared" si="2795"/>
        <v>0</v>
      </c>
      <c r="N4421" s="1" t="str">
        <f t="shared" si="2806"/>
        <v>0</v>
      </c>
      <c r="O4421" s="1" t="str">
        <f t="shared" si="2804"/>
        <v>0</v>
      </c>
    </row>
    <row r="4422" s="1" customFormat="1" spans="1:15">
      <c r="A4422" s="1" t="str">
        <f t="shared" si="2809"/>
        <v>202406</v>
      </c>
      <c r="B4422" s="1" t="str">
        <f t="shared" si="2810"/>
        <v>150525100</v>
      </c>
      <c r="C4422" s="1" t="str">
        <f>"1014629210"</f>
        <v>1014629210</v>
      </c>
      <c r="D4422" s="1" t="str">
        <f>"152326194901013080"</f>
        <v>152326194901013080</v>
      </c>
      <c r="E4422" s="1" t="s">
        <v>4438</v>
      </c>
      <c r="F4422" s="1" t="s">
        <v>16</v>
      </c>
      <c r="G4422" s="1" t="s">
        <v>17</v>
      </c>
      <c r="H4422" s="1" t="str">
        <f>"76"</f>
        <v>76</v>
      </c>
      <c r="I4422" s="1" t="str">
        <f>"160"</f>
        <v>160</v>
      </c>
      <c r="J4422" s="1" t="str">
        <f t="shared" si="2802"/>
        <v>0</v>
      </c>
      <c r="K4422" s="1" t="str">
        <f t="shared" si="2799"/>
        <v>103</v>
      </c>
      <c r="L4422" s="1" t="str">
        <f t="shared" si="2800"/>
        <v>47</v>
      </c>
      <c r="M4422" s="1" t="str">
        <f t="shared" si="2795"/>
        <v>0</v>
      </c>
      <c r="N4422" s="1" t="str">
        <f t="shared" si="2806"/>
        <v>0</v>
      </c>
      <c r="O4422" s="1" t="str">
        <f t="shared" si="2804"/>
        <v>0</v>
      </c>
    </row>
    <row r="4423" s="1" customFormat="1" spans="1:15">
      <c r="A4423" s="1" t="str">
        <f t="shared" si="2809"/>
        <v>202406</v>
      </c>
      <c r="B4423" s="1" t="str">
        <f t="shared" si="2810"/>
        <v>150525100</v>
      </c>
      <c r="C4423" s="1" t="str">
        <f>"1014589124"</f>
        <v>1014589124</v>
      </c>
      <c r="D4423" s="1" t="str">
        <f>"152326195312120456"</f>
        <v>152326195312120456</v>
      </c>
      <c r="E4423" s="1" t="s">
        <v>4439</v>
      </c>
      <c r="F4423" s="1" t="s">
        <v>25</v>
      </c>
      <c r="G4423" s="1" t="s">
        <v>17</v>
      </c>
      <c r="H4423" s="1" t="str">
        <f>"71"</f>
        <v>71</v>
      </c>
      <c r="I4423" s="1" t="str">
        <f>"161.99"</f>
        <v>161.99</v>
      </c>
      <c r="J4423" s="1" t="str">
        <f t="shared" si="2802"/>
        <v>0</v>
      </c>
      <c r="K4423" s="1" t="str">
        <f t="shared" si="2799"/>
        <v>103</v>
      </c>
      <c r="L4423" s="1" t="str">
        <f t="shared" si="2800"/>
        <v>47</v>
      </c>
      <c r="M4423" s="1" t="str">
        <f t="shared" si="2795"/>
        <v>0</v>
      </c>
      <c r="N4423" s="1" t="str">
        <f t="shared" si="2806"/>
        <v>0</v>
      </c>
      <c r="O4423" s="1" t="str">
        <f>"1.99"</f>
        <v>1.99</v>
      </c>
    </row>
    <row r="4424" s="1" customFormat="1" spans="1:15">
      <c r="A4424" s="1" t="str">
        <f t="shared" si="2809"/>
        <v>202406</v>
      </c>
      <c r="B4424" s="1" t="str">
        <f t="shared" si="2810"/>
        <v>150525100</v>
      </c>
      <c r="C4424" s="1" t="str">
        <f>"1014589150"</f>
        <v>1014589150</v>
      </c>
      <c r="D4424" s="1" t="str">
        <f>"152326195410150413"</f>
        <v>152326195410150413</v>
      </c>
      <c r="E4424" s="1" t="s">
        <v>4440</v>
      </c>
      <c r="F4424" s="1" t="s">
        <v>25</v>
      </c>
      <c r="G4424" s="1" t="s">
        <v>17</v>
      </c>
      <c r="H4424" s="1" t="str">
        <f>"70"</f>
        <v>70</v>
      </c>
      <c r="I4424" s="1" t="str">
        <f>"154.15"</f>
        <v>154.15</v>
      </c>
      <c r="J4424" s="1" t="str">
        <f t="shared" si="2802"/>
        <v>0</v>
      </c>
      <c r="K4424" s="1" t="str">
        <f t="shared" si="2799"/>
        <v>103</v>
      </c>
      <c r="L4424" s="1" t="str">
        <f t="shared" si="2800"/>
        <v>47</v>
      </c>
      <c r="M4424" s="1" t="str">
        <f t="shared" si="2795"/>
        <v>0</v>
      </c>
      <c r="N4424" s="1" t="str">
        <f t="shared" si="2806"/>
        <v>0</v>
      </c>
      <c r="O4424" s="1" t="str">
        <f>"4.15"</f>
        <v>4.15</v>
      </c>
    </row>
    <row r="4425" s="1" customFormat="1" spans="1:15">
      <c r="A4425" s="1" t="str">
        <f t="shared" si="2809"/>
        <v>202406</v>
      </c>
      <c r="B4425" s="1" t="str">
        <f t="shared" si="2810"/>
        <v>150525100</v>
      </c>
      <c r="C4425" s="1" t="str">
        <f>"1014589172"</f>
        <v>1014589172</v>
      </c>
      <c r="D4425" s="1" t="str">
        <f>"152326195407020423"</f>
        <v>152326195407020423</v>
      </c>
      <c r="E4425" s="1" t="s">
        <v>4441</v>
      </c>
      <c r="F4425" s="1" t="s">
        <v>16</v>
      </c>
      <c r="G4425" s="1" t="s">
        <v>17</v>
      </c>
      <c r="H4425" s="1" t="str">
        <f>"70"</f>
        <v>70</v>
      </c>
      <c r="I4425" s="1" t="str">
        <f>"154.15"</f>
        <v>154.15</v>
      </c>
      <c r="J4425" s="1" t="str">
        <f t="shared" si="2802"/>
        <v>0</v>
      </c>
      <c r="K4425" s="1" t="str">
        <f t="shared" si="2799"/>
        <v>103</v>
      </c>
      <c r="L4425" s="1" t="str">
        <f t="shared" si="2800"/>
        <v>47</v>
      </c>
      <c r="M4425" s="1" t="str">
        <f t="shared" si="2795"/>
        <v>0</v>
      </c>
      <c r="N4425" s="1" t="str">
        <f t="shared" si="2806"/>
        <v>0</v>
      </c>
      <c r="O4425" s="1" t="str">
        <f>"4.15"</f>
        <v>4.15</v>
      </c>
    </row>
    <row r="4426" s="1" customFormat="1" spans="1:15">
      <c r="A4426" s="1" t="str">
        <f t="shared" si="2809"/>
        <v>202406</v>
      </c>
      <c r="B4426" s="1" t="str">
        <f t="shared" si="2810"/>
        <v>150525100</v>
      </c>
      <c r="C4426" s="1" t="str">
        <f>"1014589180"</f>
        <v>1014589180</v>
      </c>
      <c r="D4426" s="1" t="str">
        <f>"152326195508070446"</f>
        <v>152326195508070446</v>
      </c>
      <c r="E4426" s="1" t="s">
        <v>4442</v>
      </c>
      <c r="F4426" s="1" t="s">
        <v>16</v>
      </c>
      <c r="G4426" s="1" t="s">
        <v>17</v>
      </c>
      <c r="H4426" s="1" t="str">
        <f>"69"</f>
        <v>69</v>
      </c>
      <c r="I4426" s="1" t="str">
        <f>"155.1"</f>
        <v>155.1</v>
      </c>
      <c r="J4426" s="1" t="str">
        <f t="shared" si="2802"/>
        <v>0</v>
      </c>
      <c r="K4426" s="1" t="str">
        <f t="shared" si="2799"/>
        <v>103</v>
      </c>
      <c r="L4426" s="1" t="str">
        <f t="shared" si="2800"/>
        <v>47</v>
      </c>
      <c r="M4426" s="1" t="str">
        <f t="shared" si="2795"/>
        <v>0</v>
      </c>
      <c r="N4426" s="1" t="str">
        <f t="shared" si="2806"/>
        <v>0</v>
      </c>
      <c r="O4426" s="1" t="str">
        <f>"5.1"</f>
        <v>5.1</v>
      </c>
    </row>
    <row r="4427" s="1" customFormat="1" spans="1:15">
      <c r="A4427" s="1" t="str">
        <f t="shared" si="2809"/>
        <v>202406</v>
      </c>
      <c r="B4427" s="1" t="str">
        <f t="shared" si="2810"/>
        <v>150525100</v>
      </c>
      <c r="C4427" s="1" t="str">
        <f>"1014613293"</f>
        <v>1014613293</v>
      </c>
      <c r="D4427" s="1" t="str">
        <f>"152326194409063828"</f>
        <v>152326194409063828</v>
      </c>
      <c r="E4427" s="1" t="s">
        <v>2464</v>
      </c>
      <c r="F4427" s="1" t="s">
        <v>16</v>
      </c>
      <c r="G4427" s="1" t="s">
        <v>17</v>
      </c>
      <c r="H4427" s="1" t="str">
        <f>"80"</f>
        <v>80</v>
      </c>
      <c r="I4427" s="1" t="str">
        <f t="shared" ref="I4427:I4432" si="2811">"160"</f>
        <v>160</v>
      </c>
      <c r="J4427" s="1" t="str">
        <f t="shared" si="2802"/>
        <v>0</v>
      </c>
      <c r="K4427" s="1" t="str">
        <f t="shared" si="2799"/>
        <v>103</v>
      </c>
      <c r="L4427" s="1" t="str">
        <f t="shared" si="2800"/>
        <v>47</v>
      </c>
      <c r="M4427" s="1" t="str">
        <f t="shared" si="2795"/>
        <v>0</v>
      </c>
      <c r="N4427" s="1" t="str">
        <f t="shared" si="2806"/>
        <v>0</v>
      </c>
      <c r="O4427" s="1" t="str">
        <f t="shared" ref="O4427:O4439" si="2812">"0"</f>
        <v>0</v>
      </c>
    </row>
    <row r="4428" s="1" customFormat="1" spans="1:15">
      <c r="A4428" s="1" t="str">
        <f t="shared" si="2809"/>
        <v>202406</v>
      </c>
      <c r="B4428" s="1" t="str">
        <f t="shared" si="2810"/>
        <v>150525100</v>
      </c>
      <c r="C4428" s="1" t="str">
        <f>"1014621943"</f>
        <v>1014621943</v>
      </c>
      <c r="D4428" s="1" t="s">
        <v>4443</v>
      </c>
      <c r="E4428" s="1" t="s">
        <v>4444</v>
      </c>
      <c r="F4428" s="1" t="s">
        <v>25</v>
      </c>
      <c r="G4428" s="1" t="s">
        <v>19</v>
      </c>
      <c r="H4428" s="1" t="str">
        <f>"76"</f>
        <v>76</v>
      </c>
      <c r="I4428" s="1" t="str">
        <f t="shared" si="2811"/>
        <v>160</v>
      </c>
      <c r="J4428" s="1" t="str">
        <f t="shared" si="2802"/>
        <v>0</v>
      </c>
      <c r="K4428" s="1" t="str">
        <f t="shared" si="2799"/>
        <v>103</v>
      </c>
      <c r="L4428" s="1" t="str">
        <f t="shared" si="2800"/>
        <v>47</v>
      </c>
      <c r="M4428" s="1" t="str">
        <f t="shared" si="2795"/>
        <v>0</v>
      </c>
      <c r="N4428" s="1" t="str">
        <f t="shared" si="2806"/>
        <v>0</v>
      </c>
      <c r="O4428" s="1" t="str">
        <f t="shared" si="2812"/>
        <v>0</v>
      </c>
    </row>
    <row r="4429" s="1" customFormat="1" spans="1:15">
      <c r="A4429" s="1" t="str">
        <f t="shared" si="2809"/>
        <v>202406</v>
      </c>
      <c r="B4429" s="1" t="str">
        <f t="shared" si="2810"/>
        <v>150525100</v>
      </c>
      <c r="C4429" s="1" t="str">
        <f>"1014622337"</f>
        <v>1014622337</v>
      </c>
      <c r="D4429" s="1" t="str">
        <f>"152326195011080665"</f>
        <v>152326195011080665</v>
      </c>
      <c r="E4429" s="1" t="s">
        <v>4445</v>
      </c>
      <c r="F4429" s="1" t="s">
        <v>16</v>
      </c>
      <c r="G4429" s="1" t="s">
        <v>17</v>
      </c>
      <c r="H4429" s="1" t="str">
        <f>"74"</f>
        <v>74</v>
      </c>
      <c r="I4429" s="1" t="str">
        <f t="shared" si="2811"/>
        <v>160</v>
      </c>
      <c r="J4429" s="1" t="str">
        <f t="shared" si="2802"/>
        <v>0</v>
      </c>
      <c r="K4429" s="1" t="str">
        <f t="shared" si="2799"/>
        <v>103</v>
      </c>
      <c r="L4429" s="1" t="str">
        <f t="shared" si="2800"/>
        <v>47</v>
      </c>
      <c r="M4429" s="1" t="str">
        <f t="shared" si="2795"/>
        <v>0</v>
      </c>
      <c r="N4429" s="1" t="str">
        <f t="shared" si="2806"/>
        <v>0</v>
      </c>
      <c r="O4429" s="1" t="str">
        <f t="shared" si="2812"/>
        <v>0</v>
      </c>
    </row>
    <row r="4430" s="1" customFormat="1" spans="1:15">
      <c r="A4430" s="1" t="str">
        <f t="shared" si="2809"/>
        <v>202406</v>
      </c>
      <c r="B4430" s="1" t="str">
        <f t="shared" si="2810"/>
        <v>150525100</v>
      </c>
      <c r="C4430" s="1" t="str">
        <f>"1014622340"</f>
        <v>1014622340</v>
      </c>
      <c r="D4430" s="1" t="str">
        <f>"152326194907010665"</f>
        <v>152326194907010665</v>
      </c>
      <c r="E4430" s="1" t="s">
        <v>4446</v>
      </c>
      <c r="F4430" s="1" t="s">
        <v>16</v>
      </c>
      <c r="G4430" s="1" t="s">
        <v>17</v>
      </c>
      <c r="H4430" s="1" t="str">
        <f>"75"</f>
        <v>75</v>
      </c>
      <c r="I4430" s="1" t="str">
        <f t="shared" si="2811"/>
        <v>160</v>
      </c>
      <c r="J4430" s="1" t="str">
        <f t="shared" si="2802"/>
        <v>0</v>
      </c>
      <c r="K4430" s="1" t="str">
        <f t="shared" si="2799"/>
        <v>103</v>
      </c>
      <c r="L4430" s="1" t="str">
        <f t="shared" si="2800"/>
        <v>47</v>
      </c>
      <c r="M4430" s="1" t="str">
        <f t="shared" si="2795"/>
        <v>0</v>
      </c>
      <c r="N4430" s="1" t="str">
        <f t="shared" si="2806"/>
        <v>0</v>
      </c>
      <c r="O4430" s="1" t="str">
        <f t="shared" si="2812"/>
        <v>0</v>
      </c>
    </row>
    <row r="4431" s="1" customFormat="1" spans="1:15">
      <c r="A4431" s="1" t="str">
        <f t="shared" si="2809"/>
        <v>202406</v>
      </c>
      <c r="B4431" s="1" t="str">
        <f t="shared" si="2810"/>
        <v>150525100</v>
      </c>
      <c r="C4431" s="1" t="str">
        <f>"1014622342"</f>
        <v>1014622342</v>
      </c>
      <c r="D4431" s="1" t="str">
        <f>"152326194507010666"</f>
        <v>152326194507010666</v>
      </c>
      <c r="E4431" s="1" t="s">
        <v>4447</v>
      </c>
      <c r="F4431" s="1" t="s">
        <v>16</v>
      </c>
      <c r="G4431" s="1" t="s">
        <v>17</v>
      </c>
      <c r="H4431" s="1" t="str">
        <f>"79"</f>
        <v>79</v>
      </c>
      <c r="I4431" s="1" t="str">
        <f t="shared" si="2811"/>
        <v>160</v>
      </c>
      <c r="J4431" s="1" t="str">
        <f t="shared" si="2802"/>
        <v>0</v>
      </c>
      <c r="K4431" s="1" t="str">
        <f t="shared" si="2799"/>
        <v>103</v>
      </c>
      <c r="L4431" s="1" t="str">
        <f t="shared" si="2800"/>
        <v>47</v>
      </c>
      <c r="M4431" s="1" t="str">
        <f t="shared" si="2795"/>
        <v>0</v>
      </c>
      <c r="N4431" s="1" t="str">
        <f t="shared" si="2806"/>
        <v>0</v>
      </c>
      <c r="O4431" s="1" t="str">
        <f t="shared" si="2812"/>
        <v>0</v>
      </c>
    </row>
    <row r="4432" s="1" customFormat="1" spans="1:15">
      <c r="A4432" s="1" t="str">
        <f t="shared" si="2809"/>
        <v>202406</v>
      </c>
      <c r="B4432" s="1" t="str">
        <f t="shared" si="2810"/>
        <v>150525100</v>
      </c>
      <c r="C4432" s="1" t="str">
        <f>"1014622729"</f>
        <v>1014622729</v>
      </c>
      <c r="D4432" s="1" t="str">
        <f>"152326194808293321"</f>
        <v>152326194808293321</v>
      </c>
      <c r="E4432" s="1" t="s">
        <v>4448</v>
      </c>
      <c r="F4432" s="1" t="s">
        <v>16</v>
      </c>
      <c r="G4432" s="1" t="s">
        <v>17</v>
      </c>
      <c r="H4432" s="1" t="str">
        <f>"76"</f>
        <v>76</v>
      </c>
      <c r="I4432" s="1" t="str">
        <f t="shared" si="2811"/>
        <v>160</v>
      </c>
      <c r="J4432" s="1" t="str">
        <f t="shared" si="2802"/>
        <v>0</v>
      </c>
      <c r="K4432" s="1" t="str">
        <f t="shared" si="2799"/>
        <v>103</v>
      </c>
      <c r="L4432" s="1" t="str">
        <f t="shared" si="2800"/>
        <v>47</v>
      </c>
      <c r="M4432" s="1" t="str">
        <f t="shared" si="2795"/>
        <v>0</v>
      </c>
      <c r="N4432" s="1" t="str">
        <f t="shared" si="2806"/>
        <v>0</v>
      </c>
      <c r="O4432" s="1" t="str">
        <f t="shared" si="2812"/>
        <v>0</v>
      </c>
    </row>
    <row r="4433" s="1" customFormat="1" spans="1:15">
      <c r="A4433" s="1" t="str">
        <f t="shared" si="2809"/>
        <v>202406</v>
      </c>
      <c r="B4433" s="1" t="str">
        <f t="shared" si="2810"/>
        <v>150525100</v>
      </c>
      <c r="C4433" s="1" t="str">
        <f>"1014624605"</f>
        <v>1014624605</v>
      </c>
      <c r="D4433" s="1" t="s">
        <v>4449</v>
      </c>
      <c r="E4433" s="1" t="s">
        <v>4450</v>
      </c>
      <c r="F4433" s="1" t="s">
        <v>16</v>
      </c>
      <c r="G4433" s="1" t="s">
        <v>19</v>
      </c>
      <c r="H4433" s="1" t="str">
        <f>"85"</f>
        <v>85</v>
      </c>
      <c r="I4433" s="1" t="str">
        <f>"170"</f>
        <v>170</v>
      </c>
      <c r="J4433" s="1" t="str">
        <f t="shared" si="2802"/>
        <v>0</v>
      </c>
      <c r="K4433" s="1" t="str">
        <f t="shared" si="2799"/>
        <v>103</v>
      </c>
      <c r="L4433" s="1" t="str">
        <f t="shared" si="2800"/>
        <v>47</v>
      </c>
      <c r="M4433" s="1" t="str">
        <f t="shared" si="2795"/>
        <v>0</v>
      </c>
      <c r="N4433" s="1" t="str">
        <f t="shared" si="2806"/>
        <v>0</v>
      </c>
      <c r="O4433" s="1" t="str">
        <f t="shared" si="2812"/>
        <v>0</v>
      </c>
    </row>
    <row r="4434" s="1" customFormat="1" spans="1:15">
      <c r="A4434" s="1" t="str">
        <f t="shared" si="2809"/>
        <v>202406</v>
      </c>
      <c r="B4434" s="1" t="str">
        <f t="shared" si="2810"/>
        <v>150525100</v>
      </c>
      <c r="C4434" s="1" t="str">
        <f>"1014624609"</f>
        <v>1014624609</v>
      </c>
      <c r="D4434" s="1" t="str">
        <f>"152326194609250927"</f>
        <v>152326194609250927</v>
      </c>
      <c r="E4434" s="1" t="s">
        <v>4451</v>
      </c>
      <c r="F4434" s="1" t="s">
        <v>16</v>
      </c>
      <c r="G4434" s="1" t="s">
        <v>19</v>
      </c>
      <c r="H4434" s="1" t="str">
        <f>"78"</f>
        <v>78</v>
      </c>
      <c r="I4434" s="1" t="str">
        <f>"1600"</f>
        <v>1600</v>
      </c>
      <c r="J4434" s="1" t="str">
        <f>"1440"</f>
        <v>1440</v>
      </c>
      <c r="K4434" s="1" t="str">
        <f>"1030"</f>
        <v>1030</v>
      </c>
      <c r="L4434" s="1" t="str">
        <f>"470"</f>
        <v>470</v>
      </c>
      <c r="M4434" s="1" t="str">
        <f t="shared" si="2795"/>
        <v>0</v>
      </c>
      <c r="N4434" s="1" t="str">
        <f t="shared" si="2806"/>
        <v>0</v>
      </c>
      <c r="O4434" s="1" t="str">
        <f t="shared" si="2812"/>
        <v>0</v>
      </c>
    </row>
    <row r="4435" s="1" customFormat="1" spans="1:15">
      <c r="A4435" s="1" t="str">
        <f t="shared" si="2809"/>
        <v>202406</v>
      </c>
      <c r="B4435" s="1" t="str">
        <f t="shared" si="2810"/>
        <v>150525100</v>
      </c>
      <c r="C4435" s="1" t="str">
        <f>"1014629258"</f>
        <v>1014629258</v>
      </c>
      <c r="D4435" s="1" t="str">
        <f>"152326194902077617"</f>
        <v>152326194902077617</v>
      </c>
      <c r="E4435" s="1" t="s">
        <v>4452</v>
      </c>
      <c r="F4435" s="1" t="s">
        <v>25</v>
      </c>
      <c r="G4435" s="1" t="s">
        <v>19</v>
      </c>
      <c r="H4435" s="1" t="str">
        <f>"75"</f>
        <v>75</v>
      </c>
      <c r="I4435" s="1" t="str">
        <f t="shared" ref="I4435:I4439" si="2813">"160"</f>
        <v>160</v>
      </c>
      <c r="J4435" s="1" t="str">
        <f t="shared" ref="J4435:J4499" si="2814">"0"</f>
        <v>0</v>
      </c>
      <c r="K4435" s="1" t="str">
        <f t="shared" ref="K4435:K4499" si="2815">"103"</f>
        <v>103</v>
      </c>
      <c r="L4435" s="1" t="str">
        <f t="shared" ref="L4435:L4499" si="2816">"47"</f>
        <v>47</v>
      </c>
      <c r="M4435" s="1" t="str">
        <f t="shared" si="2795"/>
        <v>0</v>
      </c>
      <c r="N4435" s="1" t="str">
        <f t="shared" si="2806"/>
        <v>0</v>
      </c>
      <c r="O4435" s="1" t="str">
        <f t="shared" si="2812"/>
        <v>0</v>
      </c>
    </row>
    <row r="4436" s="1" customFormat="1" spans="1:15">
      <c r="A4436" s="1" t="str">
        <f t="shared" si="2809"/>
        <v>202406</v>
      </c>
      <c r="B4436" s="1" t="str">
        <f t="shared" si="2810"/>
        <v>150525100</v>
      </c>
      <c r="C4436" s="1" t="str">
        <f>"1014619575"</f>
        <v>1014619575</v>
      </c>
      <c r="D4436" s="1" t="str">
        <f>"152326193509136129"</f>
        <v>152326193509136129</v>
      </c>
      <c r="E4436" s="1" t="s">
        <v>777</v>
      </c>
      <c r="F4436" s="1" t="s">
        <v>16</v>
      </c>
      <c r="G4436" s="1" t="s">
        <v>17</v>
      </c>
      <c r="H4436" s="1" t="str">
        <f>"89"</f>
        <v>89</v>
      </c>
      <c r="I4436" s="1" t="str">
        <f>"170"</f>
        <v>170</v>
      </c>
      <c r="J4436" s="1" t="str">
        <f t="shared" si="2814"/>
        <v>0</v>
      </c>
      <c r="K4436" s="1" t="str">
        <f t="shared" si="2815"/>
        <v>103</v>
      </c>
      <c r="L4436" s="1" t="str">
        <f t="shared" si="2816"/>
        <v>47</v>
      </c>
      <c r="M4436" s="1" t="str">
        <f t="shared" si="2795"/>
        <v>0</v>
      </c>
      <c r="N4436" s="1" t="str">
        <f t="shared" si="2806"/>
        <v>0</v>
      </c>
      <c r="O4436" s="1" t="str">
        <f t="shared" si="2812"/>
        <v>0</v>
      </c>
    </row>
    <row r="4437" s="1" customFormat="1" spans="1:15">
      <c r="A4437" s="1" t="str">
        <f t="shared" si="2809"/>
        <v>202406</v>
      </c>
      <c r="B4437" s="1" t="str">
        <f t="shared" si="2810"/>
        <v>150525100</v>
      </c>
      <c r="C4437" s="1" t="str">
        <f>"1014623627"</f>
        <v>1014623627</v>
      </c>
      <c r="D4437" s="1" t="str">
        <f>"152326193909240419"</f>
        <v>152326193909240419</v>
      </c>
      <c r="E4437" s="1" t="s">
        <v>4453</v>
      </c>
      <c r="F4437" s="1" t="s">
        <v>25</v>
      </c>
      <c r="G4437" s="1" t="s">
        <v>17</v>
      </c>
      <c r="H4437" s="1" t="str">
        <f>"85"</f>
        <v>85</v>
      </c>
      <c r="I4437" s="1" t="str">
        <f>"1700"</f>
        <v>1700</v>
      </c>
      <c r="J4437" s="1" t="str">
        <f>"1530"</f>
        <v>1530</v>
      </c>
      <c r="K4437" s="1" t="str">
        <f>"1030"</f>
        <v>1030</v>
      </c>
      <c r="L4437" s="1" t="str">
        <f>"470"</f>
        <v>470</v>
      </c>
      <c r="M4437" s="1" t="str">
        <f t="shared" si="2795"/>
        <v>0</v>
      </c>
      <c r="N4437" s="1" t="str">
        <f t="shared" si="2806"/>
        <v>0</v>
      </c>
      <c r="O4437" s="1" t="str">
        <f t="shared" si="2812"/>
        <v>0</v>
      </c>
    </row>
    <row r="4438" s="1" customFormat="1" spans="1:15">
      <c r="A4438" s="1" t="str">
        <f t="shared" si="2809"/>
        <v>202406</v>
      </c>
      <c r="B4438" s="1" t="str">
        <f t="shared" si="2810"/>
        <v>150525100</v>
      </c>
      <c r="C4438" s="1" t="str">
        <f>"1014629741"</f>
        <v>1014629741</v>
      </c>
      <c r="D4438" s="1" t="str">
        <f>"152326194712033816"</f>
        <v>152326194712033816</v>
      </c>
      <c r="E4438" s="1" t="s">
        <v>4454</v>
      </c>
      <c r="F4438" s="1" t="s">
        <v>25</v>
      </c>
      <c r="G4438" s="1" t="s">
        <v>17</v>
      </c>
      <c r="H4438" s="1" t="str">
        <f>"77"</f>
        <v>77</v>
      </c>
      <c r="I4438" s="1" t="str">
        <f t="shared" si="2813"/>
        <v>160</v>
      </c>
      <c r="J4438" s="1" t="str">
        <f t="shared" si="2814"/>
        <v>0</v>
      </c>
      <c r="K4438" s="1" t="str">
        <f t="shared" si="2815"/>
        <v>103</v>
      </c>
      <c r="L4438" s="1" t="str">
        <f t="shared" si="2816"/>
        <v>47</v>
      </c>
      <c r="M4438" s="1" t="str">
        <f t="shared" si="2795"/>
        <v>0</v>
      </c>
      <c r="N4438" s="1" t="str">
        <f t="shared" si="2806"/>
        <v>0</v>
      </c>
      <c r="O4438" s="1" t="str">
        <f t="shared" si="2812"/>
        <v>0</v>
      </c>
    </row>
    <row r="4439" s="1" customFormat="1" spans="1:15">
      <c r="A4439" s="1" t="str">
        <f t="shared" si="2809"/>
        <v>202406</v>
      </c>
      <c r="B4439" s="1" t="str">
        <f t="shared" si="2810"/>
        <v>150525100</v>
      </c>
      <c r="C4439" s="1" t="str">
        <f>"1014629877"</f>
        <v>1014629877</v>
      </c>
      <c r="D4439" s="1" t="str">
        <f>"152326194709200660"</f>
        <v>152326194709200660</v>
      </c>
      <c r="E4439" s="1" t="s">
        <v>4455</v>
      </c>
      <c r="F4439" s="1" t="s">
        <v>16</v>
      </c>
      <c r="G4439" s="1" t="s">
        <v>17</v>
      </c>
      <c r="H4439" s="1" t="str">
        <f>"77"</f>
        <v>77</v>
      </c>
      <c r="I4439" s="1" t="str">
        <f t="shared" si="2813"/>
        <v>160</v>
      </c>
      <c r="J4439" s="1" t="str">
        <f t="shared" si="2814"/>
        <v>0</v>
      </c>
      <c r="K4439" s="1" t="str">
        <f t="shared" si="2815"/>
        <v>103</v>
      </c>
      <c r="L4439" s="1" t="str">
        <f t="shared" si="2816"/>
        <v>47</v>
      </c>
      <c r="M4439" s="1" t="str">
        <f t="shared" si="2795"/>
        <v>0</v>
      </c>
      <c r="N4439" s="1" t="str">
        <f t="shared" si="2806"/>
        <v>0</v>
      </c>
      <c r="O4439" s="1" t="str">
        <f t="shared" si="2812"/>
        <v>0</v>
      </c>
    </row>
    <row r="4440" s="1" customFormat="1" spans="1:15">
      <c r="A4440" s="1" t="str">
        <f t="shared" si="2809"/>
        <v>202406</v>
      </c>
      <c r="B4440" s="1" t="str">
        <f t="shared" si="2810"/>
        <v>150525100</v>
      </c>
      <c r="C4440" s="1" t="str">
        <f>"1014589194"</f>
        <v>1014589194</v>
      </c>
      <c r="D4440" s="1" t="str">
        <f>"152326195405020411"</f>
        <v>152326195405020411</v>
      </c>
      <c r="E4440" s="1" t="s">
        <v>2637</v>
      </c>
      <c r="F4440" s="1" t="s">
        <v>25</v>
      </c>
      <c r="G4440" s="1" t="s">
        <v>17</v>
      </c>
      <c r="H4440" s="1" t="str">
        <f>"70"</f>
        <v>70</v>
      </c>
      <c r="I4440" s="1" t="str">
        <f>"164.15"</f>
        <v>164.15</v>
      </c>
      <c r="J4440" s="1" t="str">
        <f t="shared" si="2814"/>
        <v>0</v>
      </c>
      <c r="K4440" s="1" t="str">
        <f t="shared" si="2815"/>
        <v>103</v>
      </c>
      <c r="L4440" s="1" t="str">
        <f t="shared" si="2816"/>
        <v>47</v>
      </c>
      <c r="M4440" s="1" t="str">
        <f t="shared" si="2795"/>
        <v>0</v>
      </c>
      <c r="N4440" s="1" t="str">
        <f t="shared" si="2806"/>
        <v>0</v>
      </c>
      <c r="O4440" s="1" t="str">
        <f>"4.15"</f>
        <v>4.15</v>
      </c>
    </row>
    <row r="4441" s="1" customFormat="1" spans="1:15">
      <c r="A4441" s="1" t="str">
        <f t="shared" si="2809"/>
        <v>202406</v>
      </c>
      <c r="B4441" s="1" t="str">
        <f t="shared" si="2810"/>
        <v>150525100</v>
      </c>
      <c r="C4441" s="1" t="str">
        <f>"1014589201"</f>
        <v>1014589201</v>
      </c>
      <c r="D4441" s="1" t="str">
        <f>"152326195508180418"</f>
        <v>152326195508180418</v>
      </c>
      <c r="E4441" s="1" t="s">
        <v>4456</v>
      </c>
      <c r="F4441" s="1" t="s">
        <v>25</v>
      </c>
      <c r="G4441" s="1" t="s">
        <v>17</v>
      </c>
      <c r="H4441" s="1" t="str">
        <f>"69"</f>
        <v>69</v>
      </c>
      <c r="I4441" s="1" t="str">
        <f>"155.1"</f>
        <v>155.1</v>
      </c>
      <c r="J4441" s="1" t="str">
        <f t="shared" si="2814"/>
        <v>0</v>
      </c>
      <c r="K4441" s="1" t="str">
        <f t="shared" si="2815"/>
        <v>103</v>
      </c>
      <c r="L4441" s="1" t="str">
        <f t="shared" si="2816"/>
        <v>47</v>
      </c>
      <c r="M4441" s="1" t="str">
        <f t="shared" si="2795"/>
        <v>0</v>
      </c>
      <c r="N4441" s="1" t="str">
        <f t="shared" si="2806"/>
        <v>0</v>
      </c>
      <c r="O4441" s="1" t="str">
        <f>"5.1"</f>
        <v>5.1</v>
      </c>
    </row>
    <row r="4442" s="1" customFormat="1" spans="1:15">
      <c r="A4442" s="1" t="str">
        <f t="shared" si="2809"/>
        <v>202406</v>
      </c>
      <c r="B4442" s="1" t="str">
        <f t="shared" si="2810"/>
        <v>150525100</v>
      </c>
      <c r="C4442" s="1" t="str">
        <f>"1014589206"</f>
        <v>1014589206</v>
      </c>
      <c r="D4442" s="1" t="str">
        <f>"152326195509170414"</f>
        <v>152326195509170414</v>
      </c>
      <c r="E4442" s="1" t="s">
        <v>4457</v>
      </c>
      <c r="F4442" s="1" t="s">
        <v>25</v>
      </c>
      <c r="G4442" s="1" t="s">
        <v>17</v>
      </c>
      <c r="H4442" s="1" t="str">
        <f>"69"</f>
        <v>69</v>
      </c>
      <c r="I4442" s="1" t="str">
        <f>"172.01"</f>
        <v>172.01</v>
      </c>
      <c r="J4442" s="1" t="str">
        <f t="shared" si="2814"/>
        <v>0</v>
      </c>
      <c r="K4442" s="1" t="str">
        <f t="shared" si="2815"/>
        <v>103</v>
      </c>
      <c r="L4442" s="1" t="str">
        <f t="shared" si="2816"/>
        <v>47</v>
      </c>
      <c r="M4442" s="1" t="str">
        <f t="shared" si="2795"/>
        <v>0</v>
      </c>
      <c r="N4442" s="1" t="str">
        <f t="shared" si="2806"/>
        <v>0</v>
      </c>
      <c r="O4442" s="1" t="str">
        <f>"22.01"</f>
        <v>22.01</v>
      </c>
    </row>
    <row r="4443" s="1" customFormat="1" spans="1:15">
      <c r="A4443" s="1" t="str">
        <f t="shared" si="2809"/>
        <v>202406</v>
      </c>
      <c r="B4443" s="1" t="str">
        <f t="shared" si="2810"/>
        <v>150525100</v>
      </c>
      <c r="C4443" s="1" t="str">
        <f>"1014624860"</f>
        <v>1014624860</v>
      </c>
      <c r="D4443" s="1" t="str">
        <f>"152326194611170686"</f>
        <v>152326194611170686</v>
      </c>
      <c r="E4443" s="1" t="s">
        <v>4458</v>
      </c>
      <c r="F4443" s="1" t="s">
        <v>16</v>
      </c>
      <c r="G4443" s="1" t="s">
        <v>19</v>
      </c>
      <c r="H4443" s="1" t="str">
        <f>"78"</f>
        <v>78</v>
      </c>
      <c r="I4443" s="1" t="str">
        <f t="shared" ref="I4443:I4447" si="2817">"160"</f>
        <v>160</v>
      </c>
      <c r="J4443" s="1" t="str">
        <f t="shared" si="2814"/>
        <v>0</v>
      </c>
      <c r="K4443" s="1" t="str">
        <f t="shared" si="2815"/>
        <v>103</v>
      </c>
      <c r="L4443" s="1" t="str">
        <f t="shared" si="2816"/>
        <v>47</v>
      </c>
      <c r="M4443" s="1" t="str">
        <f t="shared" si="2795"/>
        <v>0</v>
      </c>
      <c r="N4443" s="1" t="str">
        <f t="shared" si="2806"/>
        <v>0</v>
      </c>
      <c r="O4443" s="1" t="str">
        <f t="shared" ref="O4443:O4447" si="2818">"0"</f>
        <v>0</v>
      </c>
    </row>
    <row r="4444" s="1" customFormat="1" spans="1:15">
      <c r="A4444" s="1" t="str">
        <f t="shared" si="2809"/>
        <v>202406</v>
      </c>
      <c r="B4444" s="1" t="str">
        <f t="shared" si="2810"/>
        <v>150525100</v>
      </c>
      <c r="C4444" s="1" t="str">
        <f>"1014624867"</f>
        <v>1014624867</v>
      </c>
      <c r="D4444" s="1" t="str">
        <f>"152326195101053812"</f>
        <v>152326195101053812</v>
      </c>
      <c r="E4444" s="1" t="s">
        <v>4459</v>
      </c>
      <c r="F4444" s="1" t="s">
        <v>25</v>
      </c>
      <c r="G4444" s="1" t="s">
        <v>17</v>
      </c>
      <c r="H4444" s="1" t="str">
        <f>"74"</f>
        <v>74</v>
      </c>
      <c r="I4444" s="1" t="str">
        <f t="shared" si="2817"/>
        <v>160</v>
      </c>
      <c r="J4444" s="1" t="str">
        <f t="shared" si="2814"/>
        <v>0</v>
      </c>
      <c r="K4444" s="1" t="str">
        <f t="shared" si="2815"/>
        <v>103</v>
      </c>
      <c r="L4444" s="1" t="str">
        <f t="shared" si="2816"/>
        <v>47</v>
      </c>
      <c r="M4444" s="1" t="str">
        <f t="shared" si="2795"/>
        <v>0</v>
      </c>
      <c r="N4444" s="1" t="str">
        <f t="shared" si="2806"/>
        <v>0</v>
      </c>
      <c r="O4444" s="1" t="str">
        <f t="shared" si="2818"/>
        <v>0</v>
      </c>
    </row>
    <row r="4445" s="1" customFormat="1" spans="1:15">
      <c r="A4445" s="1" t="str">
        <f t="shared" si="2809"/>
        <v>202406</v>
      </c>
      <c r="B4445" s="1" t="str">
        <f t="shared" si="2810"/>
        <v>150525100</v>
      </c>
      <c r="C4445" s="1" t="str">
        <f>"1014624871"</f>
        <v>1014624871</v>
      </c>
      <c r="D4445" s="1" t="str">
        <f>"152326195105200410"</f>
        <v>152326195105200410</v>
      </c>
      <c r="E4445" s="1" t="s">
        <v>4460</v>
      </c>
      <c r="F4445" s="1" t="s">
        <v>25</v>
      </c>
      <c r="G4445" s="1" t="s">
        <v>17</v>
      </c>
      <c r="H4445" s="1" t="str">
        <f t="shared" ref="H4445:H4450" si="2819">"73"</f>
        <v>73</v>
      </c>
      <c r="I4445" s="1" t="str">
        <f t="shared" si="2817"/>
        <v>160</v>
      </c>
      <c r="J4445" s="1" t="str">
        <f t="shared" si="2814"/>
        <v>0</v>
      </c>
      <c r="K4445" s="1" t="str">
        <f t="shared" si="2815"/>
        <v>103</v>
      </c>
      <c r="L4445" s="1" t="str">
        <f t="shared" si="2816"/>
        <v>47</v>
      </c>
      <c r="M4445" s="1" t="str">
        <f t="shared" si="2795"/>
        <v>0</v>
      </c>
      <c r="N4445" s="1" t="str">
        <f t="shared" si="2806"/>
        <v>0</v>
      </c>
      <c r="O4445" s="1" t="str">
        <f t="shared" si="2818"/>
        <v>0</v>
      </c>
    </row>
    <row r="4446" s="1" customFormat="1" spans="1:15">
      <c r="A4446" s="1" t="str">
        <f t="shared" si="2809"/>
        <v>202406</v>
      </c>
      <c r="B4446" s="1" t="str">
        <f t="shared" si="2810"/>
        <v>150525100</v>
      </c>
      <c r="C4446" s="1" t="str">
        <f>"1014625312"</f>
        <v>1014625312</v>
      </c>
      <c r="D4446" s="1" t="str">
        <f>"152326195111153323"</f>
        <v>152326195111153323</v>
      </c>
      <c r="E4446" s="1" t="s">
        <v>4461</v>
      </c>
      <c r="F4446" s="1" t="s">
        <v>16</v>
      </c>
      <c r="G4446" s="1" t="s">
        <v>17</v>
      </c>
      <c r="H4446" s="1" t="str">
        <f t="shared" si="2819"/>
        <v>73</v>
      </c>
      <c r="I4446" s="1" t="str">
        <f t="shared" si="2817"/>
        <v>160</v>
      </c>
      <c r="J4446" s="1" t="str">
        <f t="shared" si="2814"/>
        <v>0</v>
      </c>
      <c r="K4446" s="1" t="str">
        <f t="shared" si="2815"/>
        <v>103</v>
      </c>
      <c r="L4446" s="1" t="str">
        <f t="shared" si="2816"/>
        <v>47</v>
      </c>
      <c r="M4446" s="1" t="str">
        <f t="shared" si="2795"/>
        <v>0</v>
      </c>
      <c r="N4446" s="1" t="str">
        <f t="shared" si="2806"/>
        <v>0</v>
      </c>
      <c r="O4446" s="1" t="str">
        <f t="shared" si="2818"/>
        <v>0</v>
      </c>
    </row>
    <row r="4447" s="1" customFormat="1" spans="1:15">
      <c r="A4447" s="1" t="str">
        <f t="shared" si="2809"/>
        <v>202406</v>
      </c>
      <c r="B4447" s="1" t="str">
        <f t="shared" si="2810"/>
        <v>150525100</v>
      </c>
      <c r="C4447" s="1" t="str">
        <f>"1014625316"</f>
        <v>1014625316</v>
      </c>
      <c r="D4447" s="1" t="str">
        <f>"152326194911053326"</f>
        <v>152326194911053326</v>
      </c>
      <c r="E4447" s="1" t="s">
        <v>4462</v>
      </c>
      <c r="F4447" s="1" t="s">
        <v>16</v>
      </c>
      <c r="G4447" s="1" t="s">
        <v>17</v>
      </c>
      <c r="H4447" s="1" t="str">
        <f>"75"</f>
        <v>75</v>
      </c>
      <c r="I4447" s="1" t="str">
        <f t="shared" si="2817"/>
        <v>160</v>
      </c>
      <c r="J4447" s="1" t="str">
        <f t="shared" si="2814"/>
        <v>0</v>
      </c>
      <c r="K4447" s="1" t="str">
        <f t="shared" si="2815"/>
        <v>103</v>
      </c>
      <c r="L4447" s="1" t="str">
        <f t="shared" si="2816"/>
        <v>47</v>
      </c>
      <c r="M4447" s="1" t="str">
        <f t="shared" si="2795"/>
        <v>0</v>
      </c>
      <c r="N4447" s="1" t="str">
        <f t="shared" si="2806"/>
        <v>0</v>
      </c>
      <c r="O4447" s="1" t="str">
        <f t="shared" si="2818"/>
        <v>0</v>
      </c>
    </row>
    <row r="4448" s="1" customFormat="1" spans="1:15">
      <c r="A4448" s="1" t="str">
        <f t="shared" si="2809"/>
        <v>202406</v>
      </c>
      <c r="B4448" s="1" t="str">
        <f t="shared" si="2810"/>
        <v>150525100</v>
      </c>
      <c r="C4448" s="1" t="str">
        <f>"1014640981"</f>
        <v>1014640981</v>
      </c>
      <c r="D4448" s="1" t="str">
        <f>"152326196111263826"</f>
        <v>152326196111263826</v>
      </c>
      <c r="E4448" s="1" t="s">
        <v>4463</v>
      </c>
      <c r="F4448" s="1" t="s">
        <v>16</v>
      </c>
      <c r="G4448" s="1" t="s">
        <v>17</v>
      </c>
      <c r="H4448" s="1" t="str">
        <f>"63"</f>
        <v>63</v>
      </c>
      <c r="I4448" s="1" t="str">
        <f>"160.62"</f>
        <v>160.62</v>
      </c>
      <c r="J4448" s="1" t="str">
        <f t="shared" si="2814"/>
        <v>0</v>
      </c>
      <c r="K4448" s="1" t="str">
        <f t="shared" si="2815"/>
        <v>103</v>
      </c>
      <c r="L4448" s="1" t="str">
        <f t="shared" si="2816"/>
        <v>47</v>
      </c>
      <c r="M4448" s="1" t="str">
        <f t="shared" ref="M4448:M4511" si="2820">"0"</f>
        <v>0</v>
      </c>
      <c r="N4448" s="1" t="str">
        <f t="shared" si="2806"/>
        <v>0</v>
      </c>
      <c r="O4448" s="1" t="str">
        <f>"10.62"</f>
        <v>10.62</v>
      </c>
    </row>
    <row r="4449" s="1" customFormat="1" spans="1:15">
      <c r="A4449" s="1" t="str">
        <f t="shared" si="2809"/>
        <v>202406</v>
      </c>
      <c r="B4449" s="1" t="str">
        <f t="shared" si="2810"/>
        <v>150525100</v>
      </c>
      <c r="C4449" s="1" t="str">
        <f>"1014625264"</f>
        <v>1014625264</v>
      </c>
      <c r="D4449" s="1" t="str">
        <f>"152326195103063328"</f>
        <v>152326195103063328</v>
      </c>
      <c r="E4449" s="1" t="s">
        <v>3514</v>
      </c>
      <c r="F4449" s="1" t="s">
        <v>16</v>
      </c>
      <c r="G4449" s="1" t="s">
        <v>19</v>
      </c>
      <c r="H4449" s="1" t="str">
        <f t="shared" si="2819"/>
        <v>73</v>
      </c>
      <c r="I4449" s="1" t="str">
        <f t="shared" ref="I4449:I4452" si="2821">"160"</f>
        <v>160</v>
      </c>
      <c r="J4449" s="1" t="str">
        <f t="shared" si="2814"/>
        <v>0</v>
      </c>
      <c r="K4449" s="1" t="str">
        <f t="shared" si="2815"/>
        <v>103</v>
      </c>
      <c r="L4449" s="1" t="str">
        <f t="shared" si="2816"/>
        <v>47</v>
      </c>
      <c r="M4449" s="1" t="str">
        <f t="shared" si="2820"/>
        <v>0</v>
      </c>
      <c r="N4449" s="1" t="str">
        <f t="shared" si="2806"/>
        <v>0</v>
      </c>
      <c r="O4449" s="1" t="str">
        <f t="shared" ref="O4449:O4460" si="2822">"0"</f>
        <v>0</v>
      </c>
    </row>
    <row r="4450" s="1" customFormat="1" spans="1:15">
      <c r="A4450" s="1" t="str">
        <f t="shared" si="2809"/>
        <v>202406</v>
      </c>
      <c r="B4450" s="1" t="str">
        <f t="shared" si="2810"/>
        <v>150525100</v>
      </c>
      <c r="C4450" s="1" t="str">
        <f>"1014625307"</f>
        <v>1014625307</v>
      </c>
      <c r="D4450" s="1" t="str">
        <f>"152326195101193321"</f>
        <v>152326195101193321</v>
      </c>
      <c r="E4450" s="1" t="s">
        <v>4402</v>
      </c>
      <c r="F4450" s="1" t="s">
        <v>16</v>
      </c>
      <c r="G4450" s="1" t="s">
        <v>19</v>
      </c>
      <c r="H4450" s="1" t="str">
        <f t="shared" si="2819"/>
        <v>73</v>
      </c>
      <c r="I4450" s="1" t="str">
        <f t="shared" si="2821"/>
        <v>160</v>
      </c>
      <c r="J4450" s="1" t="str">
        <f t="shared" si="2814"/>
        <v>0</v>
      </c>
      <c r="K4450" s="1" t="str">
        <f t="shared" si="2815"/>
        <v>103</v>
      </c>
      <c r="L4450" s="1" t="str">
        <f t="shared" si="2816"/>
        <v>47</v>
      </c>
      <c r="M4450" s="1" t="str">
        <f t="shared" si="2820"/>
        <v>0</v>
      </c>
      <c r="N4450" s="1" t="str">
        <f t="shared" si="2806"/>
        <v>0</v>
      </c>
      <c r="O4450" s="1" t="str">
        <f t="shared" si="2822"/>
        <v>0</v>
      </c>
    </row>
    <row r="4451" s="1" customFormat="1" spans="1:15">
      <c r="A4451" s="1" t="str">
        <f t="shared" si="2809"/>
        <v>202406</v>
      </c>
      <c r="B4451" s="1" t="str">
        <f t="shared" si="2810"/>
        <v>150525100</v>
      </c>
      <c r="C4451" s="1" t="str">
        <f>"1014624666"</f>
        <v>1014624666</v>
      </c>
      <c r="D4451" s="1" t="str">
        <f>"152326194508260421"</f>
        <v>152326194508260421</v>
      </c>
      <c r="E4451" s="1" t="s">
        <v>4464</v>
      </c>
      <c r="F4451" s="1" t="s">
        <v>16</v>
      </c>
      <c r="G4451" s="1" t="s">
        <v>17</v>
      </c>
      <c r="H4451" s="1" t="str">
        <f>"79"</f>
        <v>79</v>
      </c>
      <c r="I4451" s="1" t="str">
        <f t="shared" si="2821"/>
        <v>160</v>
      </c>
      <c r="J4451" s="1" t="str">
        <f t="shared" si="2814"/>
        <v>0</v>
      </c>
      <c r="K4451" s="1" t="str">
        <f t="shared" si="2815"/>
        <v>103</v>
      </c>
      <c r="L4451" s="1" t="str">
        <f t="shared" si="2816"/>
        <v>47</v>
      </c>
      <c r="M4451" s="1" t="str">
        <f t="shared" si="2820"/>
        <v>0</v>
      </c>
      <c r="N4451" s="1" t="str">
        <f t="shared" si="2806"/>
        <v>0</v>
      </c>
      <c r="O4451" s="1" t="str">
        <f t="shared" si="2822"/>
        <v>0</v>
      </c>
    </row>
    <row r="4452" s="1" customFormat="1" spans="1:15">
      <c r="A4452" s="1" t="str">
        <f t="shared" si="2809"/>
        <v>202406</v>
      </c>
      <c r="B4452" s="1" t="str">
        <f t="shared" si="2810"/>
        <v>150525100</v>
      </c>
      <c r="C4452" s="1" t="str">
        <f>"1014624670"</f>
        <v>1014624670</v>
      </c>
      <c r="D4452" s="1" t="str">
        <f>"152326195103230421"</f>
        <v>152326195103230421</v>
      </c>
      <c r="E4452" s="1" t="s">
        <v>4465</v>
      </c>
      <c r="F4452" s="1" t="s">
        <v>16</v>
      </c>
      <c r="G4452" s="1" t="s">
        <v>17</v>
      </c>
      <c r="H4452" s="1" t="str">
        <f>"73"</f>
        <v>73</v>
      </c>
      <c r="I4452" s="1" t="str">
        <f t="shared" si="2821"/>
        <v>160</v>
      </c>
      <c r="J4452" s="1" t="str">
        <f t="shared" si="2814"/>
        <v>0</v>
      </c>
      <c r="K4452" s="1" t="str">
        <f t="shared" si="2815"/>
        <v>103</v>
      </c>
      <c r="L4452" s="1" t="str">
        <f t="shared" si="2816"/>
        <v>47</v>
      </c>
      <c r="M4452" s="1" t="str">
        <f t="shared" si="2820"/>
        <v>0</v>
      </c>
      <c r="N4452" s="1" t="str">
        <f t="shared" si="2806"/>
        <v>0</v>
      </c>
      <c r="O4452" s="1" t="str">
        <f t="shared" si="2822"/>
        <v>0</v>
      </c>
    </row>
    <row r="4453" s="1" customFormat="1" spans="1:15">
      <c r="A4453" s="1" t="str">
        <f t="shared" si="2809"/>
        <v>202406</v>
      </c>
      <c r="B4453" s="1" t="str">
        <f t="shared" si="2810"/>
        <v>150525100</v>
      </c>
      <c r="C4453" s="1" t="str">
        <f>"1014624672"</f>
        <v>1014624672</v>
      </c>
      <c r="D4453" s="1" t="str">
        <f>"152326193603050428"</f>
        <v>152326193603050428</v>
      </c>
      <c r="E4453" s="1" t="s">
        <v>4466</v>
      </c>
      <c r="F4453" s="1" t="s">
        <v>16</v>
      </c>
      <c r="G4453" s="1" t="s">
        <v>17</v>
      </c>
      <c r="H4453" s="1" t="str">
        <f>"88"</f>
        <v>88</v>
      </c>
      <c r="I4453" s="1" t="str">
        <f>"170"</f>
        <v>170</v>
      </c>
      <c r="J4453" s="1" t="str">
        <f t="shared" si="2814"/>
        <v>0</v>
      </c>
      <c r="K4453" s="1" t="str">
        <f t="shared" si="2815"/>
        <v>103</v>
      </c>
      <c r="L4453" s="1" t="str">
        <f t="shared" si="2816"/>
        <v>47</v>
      </c>
      <c r="M4453" s="1" t="str">
        <f t="shared" si="2820"/>
        <v>0</v>
      </c>
      <c r="N4453" s="1" t="str">
        <f t="shared" si="2806"/>
        <v>0</v>
      </c>
      <c r="O4453" s="1" t="str">
        <f t="shared" si="2822"/>
        <v>0</v>
      </c>
    </row>
    <row r="4454" s="1" customFormat="1" spans="1:15">
      <c r="A4454" s="1" t="str">
        <f t="shared" si="2809"/>
        <v>202406</v>
      </c>
      <c r="B4454" s="1" t="str">
        <f t="shared" si="2810"/>
        <v>150525100</v>
      </c>
      <c r="C4454" s="1" t="str">
        <f>"1014624899"</f>
        <v>1014624899</v>
      </c>
      <c r="D4454" s="1" t="str">
        <f>"152326194611110413"</f>
        <v>152326194611110413</v>
      </c>
      <c r="E4454" s="1" t="s">
        <v>218</v>
      </c>
      <c r="F4454" s="1" t="s">
        <v>25</v>
      </c>
      <c r="G4454" s="1" t="s">
        <v>17</v>
      </c>
      <c r="H4454" s="1" t="str">
        <f>"78"</f>
        <v>78</v>
      </c>
      <c r="I4454" s="1" t="str">
        <f t="shared" ref="I4454:I4456" si="2823">"160"</f>
        <v>160</v>
      </c>
      <c r="J4454" s="1" t="str">
        <f t="shared" si="2814"/>
        <v>0</v>
      </c>
      <c r="K4454" s="1" t="str">
        <f t="shared" si="2815"/>
        <v>103</v>
      </c>
      <c r="L4454" s="1" t="str">
        <f t="shared" si="2816"/>
        <v>47</v>
      </c>
      <c r="M4454" s="1" t="str">
        <f t="shared" si="2820"/>
        <v>0</v>
      </c>
      <c r="N4454" s="1" t="str">
        <f t="shared" si="2806"/>
        <v>0</v>
      </c>
      <c r="O4454" s="1" t="str">
        <f t="shared" si="2822"/>
        <v>0</v>
      </c>
    </row>
    <row r="4455" s="1" customFormat="1" spans="1:15">
      <c r="A4455" s="1" t="str">
        <f t="shared" si="2809"/>
        <v>202406</v>
      </c>
      <c r="B4455" s="1" t="str">
        <f t="shared" si="2810"/>
        <v>150525100</v>
      </c>
      <c r="C4455" s="1" t="str">
        <f>"1014624904"</f>
        <v>1014624904</v>
      </c>
      <c r="D4455" s="1" t="str">
        <f>"152326194702220415"</f>
        <v>152326194702220415</v>
      </c>
      <c r="E4455" s="1" t="s">
        <v>71</v>
      </c>
      <c r="F4455" s="1" t="s">
        <v>25</v>
      </c>
      <c r="G4455" s="1" t="s">
        <v>17</v>
      </c>
      <c r="H4455" s="1" t="str">
        <f>"77"</f>
        <v>77</v>
      </c>
      <c r="I4455" s="1" t="str">
        <f t="shared" si="2823"/>
        <v>160</v>
      </c>
      <c r="J4455" s="1" t="str">
        <f t="shared" si="2814"/>
        <v>0</v>
      </c>
      <c r="K4455" s="1" t="str">
        <f t="shared" si="2815"/>
        <v>103</v>
      </c>
      <c r="L4455" s="1" t="str">
        <f t="shared" si="2816"/>
        <v>47</v>
      </c>
      <c r="M4455" s="1" t="str">
        <f t="shared" si="2820"/>
        <v>0</v>
      </c>
      <c r="N4455" s="1" t="str">
        <f t="shared" si="2806"/>
        <v>0</v>
      </c>
      <c r="O4455" s="1" t="str">
        <f t="shared" si="2822"/>
        <v>0</v>
      </c>
    </row>
    <row r="4456" s="1" customFormat="1" spans="1:15">
      <c r="A4456" s="1" t="str">
        <f t="shared" si="2809"/>
        <v>202406</v>
      </c>
      <c r="B4456" s="1" t="str">
        <f t="shared" si="2810"/>
        <v>150525100</v>
      </c>
      <c r="C4456" s="1" t="str">
        <f>"1014624909"</f>
        <v>1014624909</v>
      </c>
      <c r="D4456" s="1" t="str">
        <f>"152326194801060410"</f>
        <v>152326194801060410</v>
      </c>
      <c r="E4456" s="1" t="s">
        <v>4467</v>
      </c>
      <c r="F4456" s="1" t="s">
        <v>25</v>
      </c>
      <c r="G4456" s="1" t="s">
        <v>17</v>
      </c>
      <c r="H4456" s="1" t="str">
        <f>"77"</f>
        <v>77</v>
      </c>
      <c r="I4456" s="1" t="str">
        <f t="shared" si="2823"/>
        <v>160</v>
      </c>
      <c r="J4456" s="1" t="str">
        <f t="shared" si="2814"/>
        <v>0</v>
      </c>
      <c r="K4456" s="1" t="str">
        <f t="shared" si="2815"/>
        <v>103</v>
      </c>
      <c r="L4456" s="1" t="str">
        <f t="shared" si="2816"/>
        <v>47</v>
      </c>
      <c r="M4456" s="1" t="str">
        <f t="shared" si="2820"/>
        <v>0</v>
      </c>
      <c r="N4456" s="1" t="str">
        <f t="shared" si="2806"/>
        <v>0</v>
      </c>
      <c r="O4456" s="1" t="str">
        <f t="shared" si="2822"/>
        <v>0</v>
      </c>
    </row>
    <row r="4457" s="1" customFormat="1" spans="1:15">
      <c r="A4457" s="1" t="str">
        <f t="shared" si="2809"/>
        <v>202406</v>
      </c>
      <c r="B4457" s="1" t="str">
        <f t="shared" si="2810"/>
        <v>150525100</v>
      </c>
      <c r="C4457" s="1" t="str">
        <f>"1014625343"</f>
        <v>1014625343</v>
      </c>
      <c r="D4457" s="1" t="str">
        <f>"152326193910133813"</f>
        <v>152326193910133813</v>
      </c>
      <c r="E4457" s="1" t="s">
        <v>4468</v>
      </c>
      <c r="F4457" s="1" t="s">
        <v>25</v>
      </c>
      <c r="G4457" s="1" t="s">
        <v>17</v>
      </c>
      <c r="H4457" s="1" t="str">
        <f>"85"</f>
        <v>85</v>
      </c>
      <c r="I4457" s="1" t="str">
        <f>"170"</f>
        <v>170</v>
      </c>
      <c r="J4457" s="1" t="str">
        <f t="shared" si="2814"/>
        <v>0</v>
      </c>
      <c r="K4457" s="1" t="str">
        <f t="shared" si="2815"/>
        <v>103</v>
      </c>
      <c r="L4457" s="1" t="str">
        <f t="shared" si="2816"/>
        <v>47</v>
      </c>
      <c r="M4457" s="1" t="str">
        <f t="shared" si="2820"/>
        <v>0</v>
      </c>
      <c r="N4457" s="1" t="str">
        <f t="shared" si="2806"/>
        <v>0</v>
      </c>
      <c r="O4457" s="1" t="str">
        <f t="shared" si="2822"/>
        <v>0</v>
      </c>
    </row>
    <row r="4458" s="1" customFormat="1" spans="1:15">
      <c r="A4458" s="1" t="str">
        <f t="shared" si="2809"/>
        <v>202406</v>
      </c>
      <c r="B4458" s="1" t="str">
        <f t="shared" si="2810"/>
        <v>150525100</v>
      </c>
      <c r="C4458" s="1" t="str">
        <f>"1014625366"</f>
        <v>1014625366</v>
      </c>
      <c r="D4458" s="1" t="str">
        <f>"152326194607073314"</f>
        <v>152326194607073314</v>
      </c>
      <c r="E4458" s="1" t="s">
        <v>4469</v>
      </c>
      <c r="F4458" s="1" t="s">
        <v>25</v>
      </c>
      <c r="G4458" s="1" t="s">
        <v>19</v>
      </c>
      <c r="H4458" s="1" t="str">
        <f>"78"</f>
        <v>78</v>
      </c>
      <c r="I4458" s="1" t="str">
        <f t="shared" ref="I4458:I4460" si="2824">"160"</f>
        <v>160</v>
      </c>
      <c r="J4458" s="1" t="str">
        <f t="shared" si="2814"/>
        <v>0</v>
      </c>
      <c r="K4458" s="1" t="str">
        <f t="shared" si="2815"/>
        <v>103</v>
      </c>
      <c r="L4458" s="1" t="str">
        <f t="shared" si="2816"/>
        <v>47</v>
      </c>
      <c r="M4458" s="1" t="str">
        <f t="shared" si="2820"/>
        <v>0</v>
      </c>
      <c r="N4458" s="1" t="str">
        <f t="shared" si="2806"/>
        <v>0</v>
      </c>
      <c r="O4458" s="1" t="str">
        <f t="shared" si="2822"/>
        <v>0</v>
      </c>
    </row>
    <row r="4459" s="1" customFormat="1" spans="1:15">
      <c r="A4459" s="1" t="str">
        <f t="shared" si="2809"/>
        <v>202406</v>
      </c>
      <c r="B4459" s="1" t="str">
        <f t="shared" si="2810"/>
        <v>150525100</v>
      </c>
      <c r="C4459" s="1" t="str">
        <f>"1014625368"</f>
        <v>1014625368</v>
      </c>
      <c r="D4459" s="1" t="str">
        <f>"152326194904203314"</f>
        <v>152326194904203314</v>
      </c>
      <c r="E4459" s="1" t="s">
        <v>4470</v>
      </c>
      <c r="F4459" s="1" t="s">
        <v>25</v>
      </c>
      <c r="G4459" s="1" t="s">
        <v>19</v>
      </c>
      <c r="H4459" s="1" t="str">
        <f>"75"</f>
        <v>75</v>
      </c>
      <c r="I4459" s="1" t="str">
        <f t="shared" si="2824"/>
        <v>160</v>
      </c>
      <c r="J4459" s="1" t="str">
        <f t="shared" si="2814"/>
        <v>0</v>
      </c>
      <c r="K4459" s="1" t="str">
        <f t="shared" si="2815"/>
        <v>103</v>
      </c>
      <c r="L4459" s="1" t="str">
        <f t="shared" si="2816"/>
        <v>47</v>
      </c>
      <c r="M4459" s="1" t="str">
        <f t="shared" si="2820"/>
        <v>0</v>
      </c>
      <c r="N4459" s="1" t="str">
        <f t="shared" si="2806"/>
        <v>0</v>
      </c>
      <c r="O4459" s="1" t="str">
        <f t="shared" si="2822"/>
        <v>0</v>
      </c>
    </row>
    <row r="4460" s="1" customFormat="1" spans="1:15">
      <c r="A4460" s="1" t="str">
        <f t="shared" si="2809"/>
        <v>202406</v>
      </c>
      <c r="B4460" s="1" t="str">
        <f t="shared" si="2810"/>
        <v>150525100</v>
      </c>
      <c r="C4460" s="1" t="str">
        <f>"1014619047"</f>
        <v>1014619047</v>
      </c>
      <c r="D4460" s="1" t="str">
        <f>"152326194407210919"</f>
        <v>152326194407210919</v>
      </c>
      <c r="E4460" s="1" t="s">
        <v>4471</v>
      </c>
      <c r="F4460" s="1" t="s">
        <v>25</v>
      </c>
      <c r="G4460" s="1" t="s">
        <v>19</v>
      </c>
      <c r="H4460" s="1" t="str">
        <f>"80"</f>
        <v>80</v>
      </c>
      <c r="I4460" s="1" t="str">
        <f t="shared" si="2824"/>
        <v>160</v>
      </c>
      <c r="J4460" s="1" t="str">
        <f t="shared" si="2814"/>
        <v>0</v>
      </c>
      <c r="K4460" s="1" t="str">
        <f t="shared" si="2815"/>
        <v>103</v>
      </c>
      <c r="L4460" s="1" t="str">
        <f t="shared" si="2816"/>
        <v>47</v>
      </c>
      <c r="M4460" s="1" t="str">
        <f t="shared" si="2820"/>
        <v>0</v>
      </c>
      <c r="N4460" s="1" t="str">
        <f t="shared" si="2806"/>
        <v>0</v>
      </c>
      <c r="O4460" s="1" t="str">
        <f t="shared" si="2822"/>
        <v>0</v>
      </c>
    </row>
    <row r="4461" s="1" customFormat="1" spans="1:15">
      <c r="A4461" s="1" t="str">
        <f t="shared" si="2809"/>
        <v>202406</v>
      </c>
      <c r="B4461" s="1" t="str">
        <f t="shared" si="2810"/>
        <v>150525100</v>
      </c>
      <c r="C4461" s="1" t="str">
        <f>"1014641065"</f>
        <v>1014641065</v>
      </c>
      <c r="D4461" s="1" t="str">
        <f>"152326195811263830"</f>
        <v>152326195811263830</v>
      </c>
      <c r="E4461" s="1" t="s">
        <v>4472</v>
      </c>
      <c r="F4461" s="1" t="s">
        <v>25</v>
      </c>
      <c r="G4461" s="1" t="s">
        <v>17</v>
      </c>
      <c r="H4461" s="1" t="str">
        <f>"66"</f>
        <v>66</v>
      </c>
      <c r="I4461" s="1" t="str">
        <f>"156.9"</f>
        <v>156.9</v>
      </c>
      <c r="J4461" s="1" t="str">
        <f t="shared" si="2814"/>
        <v>0</v>
      </c>
      <c r="K4461" s="1" t="str">
        <f t="shared" si="2815"/>
        <v>103</v>
      </c>
      <c r="L4461" s="1" t="str">
        <f t="shared" si="2816"/>
        <v>47</v>
      </c>
      <c r="M4461" s="1" t="str">
        <f t="shared" si="2820"/>
        <v>0</v>
      </c>
      <c r="N4461" s="1" t="str">
        <f t="shared" si="2806"/>
        <v>0</v>
      </c>
      <c r="O4461" s="1" t="str">
        <f>"6.9"</f>
        <v>6.9</v>
      </c>
    </row>
    <row r="4462" s="1" customFormat="1" spans="1:15">
      <c r="A4462" s="1" t="str">
        <f t="shared" si="2809"/>
        <v>202406</v>
      </c>
      <c r="B4462" s="1" t="str">
        <f t="shared" si="2810"/>
        <v>150525100</v>
      </c>
      <c r="C4462" s="1" t="str">
        <f>"1014619071"</f>
        <v>1014619071</v>
      </c>
      <c r="D4462" s="1" t="str">
        <f>"152326194305200429"</f>
        <v>152326194305200429</v>
      </c>
      <c r="E4462" s="1" t="s">
        <v>4473</v>
      </c>
      <c r="F4462" s="1" t="s">
        <v>16</v>
      </c>
      <c r="G4462" s="1" t="s">
        <v>17</v>
      </c>
      <c r="H4462" s="1" t="str">
        <f>"81"</f>
        <v>81</v>
      </c>
      <c r="I4462" s="1" t="str">
        <f>"170"</f>
        <v>170</v>
      </c>
      <c r="J4462" s="1" t="str">
        <f t="shared" si="2814"/>
        <v>0</v>
      </c>
      <c r="K4462" s="1" t="str">
        <f t="shared" si="2815"/>
        <v>103</v>
      </c>
      <c r="L4462" s="1" t="str">
        <f t="shared" si="2816"/>
        <v>47</v>
      </c>
      <c r="M4462" s="1" t="str">
        <f t="shared" si="2820"/>
        <v>0</v>
      </c>
      <c r="N4462" s="1" t="str">
        <f t="shared" si="2806"/>
        <v>0</v>
      </c>
      <c r="O4462" s="1" t="str">
        <f t="shared" ref="O4462:O4470" si="2825">"0"</f>
        <v>0</v>
      </c>
    </row>
    <row r="4463" s="1" customFormat="1" spans="1:15">
      <c r="A4463" s="1" t="str">
        <f t="shared" si="2809"/>
        <v>202406</v>
      </c>
      <c r="B4463" s="1" t="str">
        <f t="shared" si="2810"/>
        <v>150525100</v>
      </c>
      <c r="C4463" s="1" t="str">
        <f>"1014619075"</f>
        <v>1014619075</v>
      </c>
      <c r="D4463" s="1" t="s">
        <v>4474</v>
      </c>
      <c r="E4463" s="1" t="s">
        <v>4475</v>
      </c>
      <c r="F4463" s="1" t="s">
        <v>16</v>
      </c>
      <c r="G4463" s="1" t="s">
        <v>17</v>
      </c>
      <c r="H4463" s="1" t="str">
        <f>"77"</f>
        <v>77</v>
      </c>
      <c r="I4463" s="1" t="str">
        <f t="shared" ref="I4463:I4469" si="2826">"160"</f>
        <v>160</v>
      </c>
      <c r="J4463" s="1" t="str">
        <f t="shared" si="2814"/>
        <v>0</v>
      </c>
      <c r="K4463" s="1" t="str">
        <f t="shared" si="2815"/>
        <v>103</v>
      </c>
      <c r="L4463" s="1" t="str">
        <f t="shared" si="2816"/>
        <v>47</v>
      </c>
      <c r="M4463" s="1" t="str">
        <f t="shared" si="2820"/>
        <v>0</v>
      </c>
      <c r="N4463" s="1" t="str">
        <f t="shared" si="2806"/>
        <v>0</v>
      </c>
      <c r="O4463" s="1" t="str">
        <f t="shared" si="2825"/>
        <v>0</v>
      </c>
    </row>
    <row r="4464" s="1" customFormat="1" spans="1:15">
      <c r="A4464" s="1" t="str">
        <f t="shared" si="2809"/>
        <v>202406</v>
      </c>
      <c r="B4464" s="1" t="str">
        <f t="shared" si="2810"/>
        <v>150525100</v>
      </c>
      <c r="C4464" s="1" t="str">
        <f>"1014619081"</f>
        <v>1014619081</v>
      </c>
      <c r="D4464" s="1" t="s">
        <v>4476</v>
      </c>
      <c r="E4464" s="1" t="s">
        <v>4477</v>
      </c>
      <c r="F4464" s="1" t="s">
        <v>16</v>
      </c>
      <c r="G4464" s="1" t="s">
        <v>19</v>
      </c>
      <c r="H4464" s="1" t="str">
        <f>"88"</f>
        <v>88</v>
      </c>
      <c r="I4464" s="1" t="str">
        <f>"170"</f>
        <v>170</v>
      </c>
      <c r="J4464" s="1" t="str">
        <f t="shared" si="2814"/>
        <v>0</v>
      </c>
      <c r="K4464" s="1" t="str">
        <f t="shared" si="2815"/>
        <v>103</v>
      </c>
      <c r="L4464" s="1" t="str">
        <f t="shared" si="2816"/>
        <v>47</v>
      </c>
      <c r="M4464" s="1" t="str">
        <f t="shared" si="2820"/>
        <v>0</v>
      </c>
      <c r="N4464" s="1" t="str">
        <f t="shared" si="2806"/>
        <v>0</v>
      </c>
      <c r="O4464" s="1" t="str">
        <f t="shared" si="2825"/>
        <v>0</v>
      </c>
    </row>
    <row r="4465" s="1" customFormat="1" spans="1:15">
      <c r="A4465" s="1" t="str">
        <f t="shared" si="2809"/>
        <v>202406</v>
      </c>
      <c r="B4465" s="1" t="str">
        <f t="shared" si="2810"/>
        <v>150525100</v>
      </c>
      <c r="C4465" s="1" t="str">
        <f>"1014624928"</f>
        <v>1014624928</v>
      </c>
      <c r="D4465" s="1" t="str">
        <f>"152326194501180410"</f>
        <v>152326194501180410</v>
      </c>
      <c r="E4465" s="1" t="s">
        <v>4478</v>
      </c>
      <c r="F4465" s="1" t="s">
        <v>25</v>
      </c>
      <c r="G4465" s="1" t="s">
        <v>19</v>
      </c>
      <c r="H4465" s="1" t="str">
        <f>"79"</f>
        <v>79</v>
      </c>
      <c r="I4465" s="1" t="str">
        <f t="shared" si="2826"/>
        <v>160</v>
      </c>
      <c r="J4465" s="1" t="str">
        <f t="shared" si="2814"/>
        <v>0</v>
      </c>
      <c r="K4465" s="1" t="str">
        <f t="shared" si="2815"/>
        <v>103</v>
      </c>
      <c r="L4465" s="1" t="str">
        <f t="shared" si="2816"/>
        <v>47</v>
      </c>
      <c r="M4465" s="1" t="str">
        <f t="shared" si="2820"/>
        <v>0</v>
      </c>
      <c r="N4465" s="1" t="str">
        <f t="shared" si="2806"/>
        <v>0</v>
      </c>
      <c r="O4465" s="1" t="str">
        <f t="shared" si="2825"/>
        <v>0</v>
      </c>
    </row>
    <row r="4466" s="1" customFormat="1" spans="1:15">
      <c r="A4466" s="1" t="str">
        <f t="shared" si="2809"/>
        <v>202406</v>
      </c>
      <c r="B4466" s="1" t="str">
        <f t="shared" si="2810"/>
        <v>150525100</v>
      </c>
      <c r="C4466" s="1" t="str">
        <f>"1014624939"</f>
        <v>1014624939</v>
      </c>
      <c r="D4466" s="1" t="s">
        <v>4479</v>
      </c>
      <c r="E4466" s="1" t="s">
        <v>4480</v>
      </c>
      <c r="F4466" s="1" t="s">
        <v>25</v>
      </c>
      <c r="G4466" s="1" t="s">
        <v>96</v>
      </c>
      <c r="H4466" s="1" t="str">
        <f>"79"</f>
        <v>79</v>
      </c>
      <c r="I4466" s="1" t="str">
        <f t="shared" si="2826"/>
        <v>160</v>
      </c>
      <c r="J4466" s="1" t="str">
        <f t="shared" si="2814"/>
        <v>0</v>
      </c>
      <c r="K4466" s="1" t="str">
        <f t="shared" si="2815"/>
        <v>103</v>
      </c>
      <c r="L4466" s="1" t="str">
        <f t="shared" si="2816"/>
        <v>47</v>
      </c>
      <c r="M4466" s="1" t="str">
        <f t="shared" si="2820"/>
        <v>0</v>
      </c>
      <c r="N4466" s="1" t="str">
        <f t="shared" si="2806"/>
        <v>0</v>
      </c>
      <c r="O4466" s="1" t="str">
        <f t="shared" si="2825"/>
        <v>0</v>
      </c>
    </row>
    <row r="4467" s="1" customFormat="1" spans="1:15">
      <c r="A4467" s="1" t="str">
        <f t="shared" si="2809"/>
        <v>202406</v>
      </c>
      <c r="B4467" s="1" t="str">
        <f t="shared" si="2810"/>
        <v>150525100</v>
      </c>
      <c r="C4467" s="1" t="str">
        <f>"1014625432"</f>
        <v>1014625432</v>
      </c>
      <c r="D4467" s="1" t="str">
        <f>"152326194701153329"</f>
        <v>152326194701153329</v>
      </c>
      <c r="E4467" s="1" t="s">
        <v>4481</v>
      </c>
      <c r="F4467" s="1" t="s">
        <v>16</v>
      </c>
      <c r="G4467" s="1" t="s">
        <v>19</v>
      </c>
      <c r="H4467" s="1" t="str">
        <f>"77"</f>
        <v>77</v>
      </c>
      <c r="I4467" s="1" t="str">
        <f t="shared" si="2826"/>
        <v>160</v>
      </c>
      <c r="J4467" s="1" t="str">
        <f t="shared" si="2814"/>
        <v>0</v>
      </c>
      <c r="K4467" s="1" t="str">
        <f t="shared" si="2815"/>
        <v>103</v>
      </c>
      <c r="L4467" s="1" t="str">
        <f t="shared" si="2816"/>
        <v>47</v>
      </c>
      <c r="M4467" s="1" t="str">
        <f t="shared" si="2820"/>
        <v>0</v>
      </c>
      <c r="N4467" s="1" t="str">
        <f t="shared" si="2806"/>
        <v>0</v>
      </c>
      <c r="O4467" s="1" t="str">
        <f t="shared" si="2825"/>
        <v>0</v>
      </c>
    </row>
    <row r="4468" s="1" customFormat="1" spans="1:15">
      <c r="A4468" s="1" t="str">
        <f t="shared" si="2809"/>
        <v>202406</v>
      </c>
      <c r="B4468" s="1" t="str">
        <f t="shared" si="2810"/>
        <v>150525100</v>
      </c>
      <c r="C4468" s="1" t="str">
        <f>"1014624974"</f>
        <v>1014624974</v>
      </c>
      <c r="D4468" s="1" t="str">
        <f>"152326195107290675"</f>
        <v>152326195107290675</v>
      </c>
      <c r="E4468" s="1" t="s">
        <v>4482</v>
      </c>
      <c r="F4468" s="1" t="s">
        <v>25</v>
      </c>
      <c r="G4468" s="1" t="s">
        <v>17</v>
      </c>
      <c r="H4468" s="1" t="str">
        <f>"73"</f>
        <v>73</v>
      </c>
      <c r="I4468" s="1" t="str">
        <f t="shared" si="2826"/>
        <v>160</v>
      </c>
      <c r="J4468" s="1" t="str">
        <f t="shared" si="2814"/>
        <v>0</v>
      </c>
      <c r="K4468" s="1" t="str">
        <f t="shared" si="2815"/>
        <v>103</v>
      </c>
      <c r="L4468" s="1" t="str">
        <f t="shared" si="2816"/>
        <v>47</v>
      </c>
      <c r="M4468" s="1" t="str">
        <f t="shared" si="2820"/>
        <v>0</v>
      </c>
      <c r="N4468" s="1" t="str">
        <f t="shared" si="2806"/>
        <v>0</v>
      </c>
      <c r="O4468" s="1" t="str">
        <f t="shared" si="2825"/>
        <v>0</v>
      </c>
    </row>
    <row r="4469" s="1" customFormat="1" spans="1:15">
      <c r="A4469" s="1" t="str">
        <f t="shared" si="2809"/>
        <v>202406</v>
      </c>
      <c r="B4469" s="1" t="str">
        <f t="shared" si="2810"/>
        <v>150525100</v>
      </c>
      <c r="C4469" s="1" t="str">
        <f>"1014625485"</f>
        <v>1014625485</v>
      </c>
      <c r="D4469" s="1" t="str">
        <f>"152326194812293316"</f>
        <v>152326194812293316</v>
      </c>
      <c r="E4469" s="1" t="s">
        <v>4483</v>
      </c>
      <c r="F4469" s="1" t="s">
        <v>25</v>
      </c>
      <c r="G4469" s="1" t="s">
        <v>19</v>
      </c>
      <c r="H4469" s="1" t="str">
        <f>"76"</f>
        <v>76</v>
      </c>
      <c r="I4469" s="1" t="str">
        <f t="shared" si="2826"/>
        <v>160</v>
      </c>
      <c r="J4469" s="1" t="str">
        <f t="shared" si="2814"/>
        <v>0</v>
      </c>
      <c r="K4469" s="1" t="str">
        <f t="shared" si="2815"/>
        <v>103</v>
      </c>
      <c r="L4469" s="1" t="str">
        <f t="shared" si="2816"/>
        <v>47</v>
      </c>
      <c r="M4469" s="1" t="str">
        <f t="shared" si="2820"/>
        <v>0</v>
      </c>
      <c r="N4469" s="1" t="str">
        <f t="shared" si="2806"/>
        <v>0</v>
      </c>
      <c r="O4469" s="1" t="str">
        <f t="shared" si="2825"/>
        <v>0</v>
      </c>
    </row>
    <row r="4470" s="1" customFormat="1" spans="1:15">
      <c r="A4470" s="1" t="str">
        <f t="shared" si="2809"/>
        <v>202406</v>
      </c>
      <c r="B4470" s="1" t="str">
        <f t="shared" si="2810"/>
        <v>150525100</v>
      </c>
      <c r="C4470" s="1" t="str">
        <f>"1014625489"</f>
        <v>1014625489</v>
      </c>
      <c r="D4470" s="1" t="str">
        <f>"152326194301233311"</f>
        <v>152326194301233311</v>
      </c>
      <c r="E4470" s="1" t="s">
        <v>4484</v>
      </c>
      <c r="F4470" s="1" t="s">
        <v>25</v>
      </c>
      <c r="G4470" s="1" t="s">
        <v>19</v>
      </c>
      <c r="H4470" s="1" t="str">
        <f>"81"</f>
        <v>81</v>
      </c>
      <c r="I4470" s="1" t="str">
        <f>"170"</f>
        <v>170</v>
      </c>
      <c r="J4470" s="1" t="str">
        <f t="shared" si="2814"/>
        <v>0</v>
      </c>
      <c r="K4470" s="1" t="str">
        <f t="shared" si="2815"/>
        <v>103</v>
      </c>
      <c r="L4470" s="1" t="str">
        <f t="shared" si="2816"/>
        <v>47</v>
      </c>
      <c r="M4470" s="1" t="str">
        <f t="shared" si="2820"/>
        <v>0</v>
      </c>
      <c r="N4470" s="1" t="str">
        <f t="shared" si="2806"/>
        <v>0</v>
      </c>
      <c r="O4470" s="1" t="str">
        <f t="shared" si="2825"/>
        <v>0</v>
      </c>
    </row>
    <row r="4471" s="1" customFormat="1" spans="1:15">
      <c r="A4471" s="1" t="str">
        <f t="shared" si="2809"/>
        <v>202406</v>
      </c>
      <c r="B4471" s="1" t="str">
        <f t="shared" si="2810"/>
        <v>150525100</v>
      </c>
      <c r="C4471" s="1" t="str">
        <f>"1014660507"</f>
        <v>1014660507</v>
      </c>
      <c r="D4471" s="1" t="s">
        <v>4485</v>
      </c>
      <c r="E4471" s="1" t="s">
        <v>4486</v>
      </c>
      <c r="F4471" s="1" t="s">
        <v>16</v>
      </c>
      <c r="G4471" s="1" t="s">
        <v>17</v>
      </c>
      <c r="H4471" s="1" t="str">
        <f>"69"</f>
        <v>69</v>
      </c>
      <c r="I4471" s="1" t="str">
        <f>"154.84"</f>
        <v>154.84</v>
      </c>
      <c r="J4471" s="1" t="str">
        <f t="shared" si="2814"/>
        <v>0</v>
      </c>
      <c r="K4471" s="1" t="str">
        <f t="shared" si="2815"/>
        <v>103</v>
      </c>
      <c r="L4471" s="1" t="str">
        <f t="shared" si="2816"/>
        <v>47</v>
      </c>
      <c r="M4471" s="1" t="str">
        <f t="shared" si="2820"/>
        <v>0</v>
      </c>
      <c r="N4471" s="1" t="str">
        <f t="shared" si="2806"/>
        <v>0</v>
      </c>
      <c r="O4471" s="1" t="str">
        <f>"4.84"</f>
        <v>4.84</v>
      </c>
    </row>
    <row r="4472" s="1" customFormat="1" spans="1:15">
      <c r="A4472" s="1" t="str">
        <f t="shared" si="2809"/>
        <v>202406</v>
      </c>
      <c r="B4472" s="1" t="str">
        <f t="shared" si="2810"/>
        <v>150525100</v>
      </c>
      <c r="C4472" s="1" t="str">
        <f>"1014641927"</f>
        <v>1014641927</v>
      </c>
      <c r="D4472" s="1" t="str">
        <f>"152326195211273824"</f>
        <v>152326195211273824</v>
      </c>
      <c r="E4472" s="1" t="s">
        <v>4487</v>
      </c>
      <c r="F4472" s="1" t="s">
        <v>16</v>
      </c>
      <c r="G4472" s="1" t="s">
        <v>17</v>
      </c>
      <c r="H4472" s="1" t="str">
        <f>"72"</f>
        <v>72</v>
      </c>
      <c r="I4472" s="1" t="str">
        <f>"162.11"</f>
        <v>162.11</v>
      </c>
      <c r="J4472" s="1" t="str">
        <f t="shared" si="2814"/>
        <v>0</v>
      </c>
      <c r="K4472" s="1" t="str">
        <f t="shared" si="2815"/>
        <v>103</v>
      </c>
      <c r="L4472" s="1" t="str">
        <f t="shared" si="2816"/>
        <v>47</v>
      </c>
      <c r="M4472" s="1" t="str">
        <f t="shared" si="2820"/>
        <v>0</v>
      </c>
      <c r="N4472" s="1" t="str">
        <f t="shared" si="2806"/>
        <v>0</v>
      </c>
      <c r="O4472" s="1" t="str">
        <f>"2.11"</f>
        <v>2.11</v>
      </c>
    </row>
    <row r="4473" s="1" customFormat="1" spans="1:15">
      <c r="A4473" s="1" t="str">
        <f t="shared" si="2809"/>
        <v>202406</v>
      </c>
      <c r="B4473" s="1" t="str">
        <f t="shared" si="2810"/>
        <v>150525100</v>
      </c>
      <c r="C4473" s="1" t="str">
        <f>"1014641934"</f>
        <v>1014641934</v>
      </c>
      <c r="D4473" s="1" t="str">
        <f>"152326196009010419"</f>
        <v>152326196009010419</v>
      </c>
      <c r="E4473" s="1" t="s">
        <v>4488</v>
      </c>
      <c r="F4473" s="1" t="s">
        <v>25</v>
      </c>
      <c r="G4473" s="1" t="s">
        <v>17</v>
      </c>
      <c r="H4473" s="1" t="str">
        <f>"64"</f>
        <v>64</v>
      </c>
      <c r="I4473" s="1" t="str">
        <f>"158.99"</f>
        <v>158.99</v>
      </c>
      <c r="J4473" s="1" t="str">
        <f t="shared" si="2814"/>
        <v>0</v>
      </c>
      <c r="K4473" s="1" t="str">
        <f t="shared" si="2815"/>
        <v>103</v>
      </c>
      <c r="L4473" s="1" t="str">
        <f t="shared" si="2816"/>
        <v>47</v>
      </c>
      <c r="M4473" s="1" t="str">
        <f t="shared" si="2820"/>
        <v>0</v>
      </c>
      <c r="N4473" s="1" t="str">
        <f t="shared" ref="N4473:N4536" si="2827">"0"</f>
        <v>0</v>
      </c>
      <c r="O4473" s="1" t="str">
        <f>"8.99"</f>
        <v>8.99</v>
      </c>
    </row>
    <row r="4474" s="1" customFormat="1" spans="1:15">
      <c r="A4474" s="1" t="str">
        <f t="shared" si="2809"/>
        <v>202406</v>
      </c>
      <c r="B4474" s="1" t="str">
        <f t="shared" si="2810"/>
        <v>150525100</v>
      </c>
      <c r="C4474" s="1" t="str">
        <f>"1014642605"</f>
        <v>1014642605</v>
      </c>
      <c r="D4474" s="1" t="s">
        <v>4489</v>
      </c>
      <c r="E4474" s="1" t="s">
        <v>4490</v>
      </c>
      <c r="F4474" s="1" t="s">
        <v>16</v>
      </c>
      <c r="G4474" s="1" t="s">
        <v>17</v>
      </c>
      <c r="H4474" s="1" t="str">
        <f>"67"</f>
        <v>67</v>
      </c>
      <c r="I4474" s="1" t="str">
        <f>"155.59"</f>
        <v>155.59</v>
      </c>
      <c r="J4474" s="1" t="str">
        <f t="shared" si="2814"/>
        <v>0</v>
      </c>
      <c r="K4474" s="1" t="str">
        <f t="shared" si="2815"/>
        <v>103</v>
      </c>
      <c r="L4474" s="1" t="str">
        <f t="shared" si="2816"/>
        <v>47</v>
      </c>
      <c r="M4474" s="1" t="str">
        <f t="shared" si="2820"/>
        <v>0</v>
      </c>
      <c r="N4474" s="1" t="str">
        <f t="shared" si="2827"/>
        <v>0</v>
      </c>
      <c r="O4474" s="1" t="str">
        <f>"5.59"</f>
        <v>5.59</v>
      </c>
    </row>
    <row r="4475" s="1" customFormat="1" spans="1:15">
      <c r="A4475" s="1" t="str">
        <f t="shared" si="2809"/>
        <v>202406</v>
      </c>
      <c r="B4475" s="1" t="str">
        <f t="shared" si="2810"/>
        <v>150525100</v>
      </c>
      <c r="C4475" s="1" t="str">
        <f>"1040681729"</f>
        <v>1040681729</v>
      </c>
      <c r="D4475" s="1" t="s">
        <v>4491</v>
      </c>
      <c r="E4475" s="1" t="s">
        <v>4492</v>
      </c>
      <c r="F4475" s="1" t="s">
        <v>25</v>
      </c>
      <c r="G4475" s="1" t="s">
        <v>17</v>
      </c>
      <c r="H4475" s="1" t="str">
        <f>"65"</f>
        <v>65</v>
      </c>
      <c r="I4475" s="1" t="str">
        <f>"156.86"</f>
        <v>156.86</v>
      </c>
      <c r="J4475" s="1" t="str">
        <f t="shared" si="2814"/>
        <v>0</v>
      </c>
      <c r="K4475" s="1" t="str">
        <f t="shared" si="2815"/>
        <v>103</v>
      </c>
      <c r="L4475" s="1" t="str">
        <f t="shared" si="2816"/>
        <v>47</v>
      </c>
      <c r="M4475" s="1" t="str">
        <f t="shared" si="2820"/>
        <v>0</v>
      </c>
      <c r="N4475" s="1" t="str">
        <f t="shared" si="2827"/>
        <v>0</v>
      </c>
      <c r="O4475" s="1" t="str">
        <f>"6.86"</f>
        <v>6.86</v>
      </c>
    </row>
    <row r="4476" s="1" customFormat="1" spans="1:15">
      <c r="A4476" s="1" t="str">
        <f t="shared" si="2809"/>
        <v>202406</v>
      </c>
      <c r="B4476" s="1" t="str">
        <f t="shared" si="2810"/>
        <v>150525100</v>
      </c>
      <c r="C4476" s="1" t="str">
        <f>"1040681739"</f>
        <v>1040681739</v>
      </c>
      <c r="D4476" s="1" t="str">
        <f>"152326195802190414"</f>
        <v>152326195802190414</v>
      </c>
      <c r="E4476" s="1" t="s">
        <v>4493</v>
      </c>
      <c r="F4476" s="1" t="s">
        <v>25</v>
      </c>
      <c r="G4476" s="1" t="s">
        <v>17</v>
      </c>
      <c r="H4476" s="1" t="str">
        <f>"66"</f>
        <v>66</v>
      </c>
      <c r="I4476" s="1" t="str">
        <f>"161.13"</f>
        <v>161.13</v>
      </c>
      <c r="J4476" s="1" t="str">
        <f t="shared" si="2814"/>
        <v>0</v>
      </c>
      <c r="K4476" s="1" t="str">
        <f t="shared" si="2815"/>
        <v>103</v>
      </c>
      <c r="L4476" s="1" t="str">
        <f t="shared" si="2816"/>
        <v>47</v>
      </c>
      <c r="M4476" s="1" t="str">
        <f t="shared" si="2820"/>
        <v>0</v>
      </c>
      <c r="N4476" s="1" t="str">
        <f t="shared" si="2827"/>
        <v>0</v>
      </c>
      <c r="O4476" s="1" t="str">
        <f>"11.13"</f>
        <v>11.13</v>
      </c>
    </row>
    <row r="4477" s="1" customFormat="1" spans="1:15">
      <c r="A4477" s="1" t="str">
        <f t="shared" si="2809"/>
        <v>202406</v>
      </c>
      <c r="B4477" s="1" t="str">
        <f t="shared" si="2810"/>
        <v>150525100</v>
      </c>
      <c r="C4477" s="1" t="str">
        <f>"1040681699"</f>
        <v>1040681699</v>
      </c>
      <c r="D4477" s="1" t="str">
        <f>"152326195503103317"</f>
        <v>152326195503103317</v>
      </c>
      <c r="E4477" s="1" t="s">
        <v>4494</v>
      </c>
      <c r="F4477" s="1" t="s">
        <v>25</v>
      </c>
      <c r="G4477" s="1" t="s">
        <v>19</v>
      </c>
      <c r="H4477" s="1" t="str">
        <f>"69"</f>
        <v>69</v>
      </c>
      <c r="I4477" s="1" t="str">
        <f>"153.89"</f>
        <v>153.89</v>
      </c>
      <c r="J4477" s="1" t="str">
        <f t="shared" si="2814"/>
        <v>0</v>
      </c>
      <c r="K4477" s="1" t="str">
        <f t="shared" si="2815"/>
        <v>103</v>
      </c>
      <c r="L4477" s="1" t="str">
        <f t="shared" si="2816"/>
        <v>47</v>
      </c>
      <c r="M4477" s="1" t="str">
        <f t="shared" si="2820"/>
        <v>0</v>
      </c>
      <c r="N4477" s="1" t="str">
        <f t="shared" si="2827"/>
        <v>0</v>
      </c>
      <c r="O4477" s="1" t="str">
        <f>"3.89"</f>
        <v>3.89</v>
      </c>
    </row>
    <row r="4478" s="1" customFormat="1" spans="1:15">
      <c r="A4478" s="1" t="str">
        <f t="shared" si="2809"/>
        <v>202406</v>
      </c>
      <c r="B4478" s="1" t="str">
        <f t="shared" si="2810"/>
        <v>150525100</v>
      </c>
      <c r="C4478" s="1" t="str">
        <f>"1040681776"</f>
        <v>1040681776</v>
      </c>
      <c r="D4478" s="1" t="str">
        <f>"152326195702120662"</f>
        <v>152326195702120662</v>
      </c>
      <c r="E4478" s="1" t="s">
        <v>4495</v>
      </c>
      <c r="F4478" s="1" t="s">
        <v>16</v>
      </c>
      <c r="G4478" s="1" t="s">
        <v>19</v>
      </c>
      <c r="H4478" s="1" t="str">
        <f>"67"</f>
        <v>67</v>
      </c>
      <c r="I4478" s="1" t="str">
        <f>"154.82"</f>
        <v>154.82</v>
      </c>
      <c r="J4478" s="1" t="str">
        <f t="shared" si="2814"/>
        <v>0</v>
      </c>
      <c r="K4478" s="1" t="str">
        <f t="shared" si="2815"/>
        <v>103</v>
      </c>
      <c r="L4478" s="1" t="str">
        <f t="shared" si="2816"/>
        <v>47</v>
      </c>
      <c r="M4478" s="1" t="str">
        <f t="shared" si="2820"/>
        <v>0</v>
      </c>
      <c r="N4478" s="1" t="str">
        <f t="shared" si="2827"/>
        <v>0</v>
      </c>
      <c r="O4478" s="1" t="str">
        <f>"4.82"</f>
        <v>4.82</v>
      </c>
    </row>
    <row r="4479" s="1" customFormat="1" spans="1:15">
      <c r="A4479" s="1" t="str">
        <f t="shared" si="2809"/>
        <v>202406</v>
      </c>
      <c r="B4479" s="1" t="str">
        <f t="shared" si="2810"/>
        <v>150525100</v>
      </c>
      <c r="C4479" s="1" t="str">
        <f>"1040681777"</f>
        <v>1040681777</v>
      </c>
      <c r="D4479" s="1" t="str">
        <f>"152326196212120699"</f>
        <v>152326196212120699</v>
      </c>
      <c r="E4479" s="1" t="s">
        <v>4496</v>
      </c>
      <c r="F4479" s="1" t="s">
        <v>25</v>
      </c>
      <c r="G4479" s="1" t="s">
        <v>17</v>
      </c>
      <c r="H4479" s="1" t="str">
        <f>"62"</f>
        <v>62</v>
      </c>
      <c r="I4479" s="1" t="str">
        <f>"161.09"</f>
        <v>161.09</v>
      </c>
      <c r="J4479" s="1" t="str">
        <f t="shared" si="2814"/>
        <v>0</v>
      </c>
      <c r="K4479" s="1" t="str">
        <f t="shared" si="2815"/>
        <v>103</v>
      </c>
      <c r="L4479" s="1" t="str">
        <f t="shared" si="2816"/>
        <v>47</v>
      </c>
      <c r="M4479" s="1" t="str">
        <f t="shared" si="2820"/>
        <v>0</v>
      </c>
      <c r="N4479" s="1" t="str">
        <f t="shared" si="2827"/>
        <v>0</v>
      </c>
      <c r="O4479" s="1" t="str">
        <f>"11.09"</f>
        <v>11.09</v>
      </c>
    </row>
    <row r="4480" s="1" customFormat="1" spans="1:15">
      <c r="A4480" s="1" t="str">
        <f t="shared" si="2809"/>
        <v>202406</v>
      </c>
      <c r="B4480" s="1" t="str">
        <f t="shared" si="2810"/>
        <v>150525100</v>
      </c>
      <c r="C4480" s="1" t="str">
        <f>"1040681839"</f>
        <v>1040681839</v>
      </c>
      <c r="D4480" s="1" t="str">
        <f>"152326196212010449"</f>
        <v>152326196212010449</v>
      </c>
      <c r="E4480" s="1" t="s">
        <v>4497</v>
      </c>
      <c r="F4480" s="1" t="s">
        <v>16</v>
      </c>
      <c r="G4480" s="1" t="s">
        <v>19</v>
      </c>
      <c r="H4480" s="1" t="str">
        <f>"62"</f>
        <v>62</v>
      </c>
      <c r="I4480" s="1" t="str">
        <f>"161.89"</f>
        <v>161.89</v>
      </c>
      <c r="J4480" s="1" t="str">
        <f t="shared" si="2814"/>
        <v>0</v>
      </c>
      <c r="K4480" s="1" t="str">
        <f t="shared" si="2815"/>
        <v>103</v>
      </c>
      <c r="L4480" s="1" t="str">
        <f t="shared" si="2816"/>
        <v>47</v>
      </c>
      <c r="M4480" s="1" t="str">
        <f t="shared" si="2820"/>
        <v>0</v>
      </c>
      <c r="N4480" s="1" t="str">
        <f t="shared" si="2827"/>
        <v>0</v>
      </c>
      <c r="O4480" s="1" t="str">
        <f>"11.89"</f>
        <v>11.89</v>
      </c>
    </row>
    <row r="4481" s="1" customFormat="1" spans="1:15">
      <c r="A4481" s="1" t="str">
        <f t="shared" si="2809"/>
        <v>202406</v>
      </c>
      <c r="B4481" s="1" t="str">
        <f t="shared" si="2810"/>
        <v>150525100</v>
      </c>
      <c r="C4481" s="1" t="str">
        <f>"1040682143"</f>
        <v>1040682143</v>
      </c>
      <c r="D4481" s="1" t="str">
        <f>"152326195709180668"</f>
        <v>152326195709180668</v>
      </c>
      <c r="E4481" s="1" t="s">
        <v>4498</v>
      </c>
      <c r="F4481" s="1" t="s">
        <v>16</v>
      </c>
      <c r="G4481" s="1" t="s">
        <v>19</v>
      </c>
      <c r="H4481" s="1" t="str">
        <f>"67"</f>
        <v>67</v>
      </c>
      <c r="I4481" s="1" t="str">
        <f>"154.9"</f>
        <v>154.9</v>
      </c>
      <c r="J4481" s="1" t="str">
        <f t="shared" si="2814"/>
        <v>0</v>
      </c>
      <c r="K4481" s="1" t="str">
        <f t="shared" si="2815"/>
        <v>103</v>
      </c>
      <c r="L4481" s="1" t="str">
        <f t="shared" si="2816"/>
        <v>47</v>
      </c>
      <c r="M4481" s="1" t="str">
        <f t="shared" si="2820"/>
        <v>0</v>
      </c>
      <c r="N4481" s="1" t="str">
        <f t="shared" si="2827"/>
        <v>0</v>
      </c>
      <c r="O4481" s="1" t="str">
        <f>"4.9"</f>
        <v>4.9</v>
      </c>
    </row>
    <row r="4482" s="1" customFormat="1" spans="1:15">
      <c r="A4482" s="1" t="str">
        <f t="shared" ref="A4482:A4545" si="2828">"202406"</f>
        <v>202406</v>
      </c>
      <c r="B4482" s="1" t="str">
        <f t="shared" ref="B4482:B4545" si="2829">"150525100"</f>
        <v>150525100</v>
      </c>
      <c r="C4482" s="1" t="str">
        <f>"1040682172"</f>
        <v>1040682172</v>
      </c>
      <c r="D4482" s="1" t="str">
        <f>"152326195512120426"</f>
        <v>152326195512120426</v>
      </c>
      <c r="E4482" s="1" t="s">
        <v>4499</v>
      </c>
      <c r="F4482" s="1" t="s">
        <v>16</v>
      </c>
      <c r="G4482" s="1" t="s">
        <v>17</v>
      </c>
      <c r="H4482" s="1" t="str">
        <f>"69"</f>
        <v>69</v>
      </c>
      <c r="I4482" s="1" t="str">
        <f>"153.89"</f>
        <v>153.89</v>
      </c>
      <c r="J4482" s="1" t="str">
        <f t="shared" si="2814"/>
        <v>0</v>
      </c>
      <c r="K4482" s="1" t="str">
        <f t="shared" si="2815"/>
        <v>103</v>
      </c>
      <c r="L4482" s="1" t="str">
        <f t="shared" si="2816"/>
        <v>47</v>
      </c>
      <c r="M4482" s="1" t="str">
        <f t="shared" si="2820"/>
        <v>0</v>
      </c>
      <c r="N4482" s="1" t="str">
        <f t="shared" si="2827"/>
        <v>0</v>
      </c>
      <c r="O4482" s="1" t="str">
        <f>"3.89"</f>
        <v>3.89</v>
      </c>
    </row>
    <row r="4483" s="1" customFormat="1" spans="1:15">
      <c r="A4483" s="1" t="str">
        <f t="shared" si="2828"/>
        <v>202406</v>
      </c>
      <c r="B4483" s="1" t="str">
        <f t="shared" si="2829"/>
        <v>150525100</v>
      </c>
      <c r="C4483" s="1" t="str">
        <f>"1040681926"</f>
        <v>1040681926</v>
      </c>
      <c r="D4483" s="1" t="str">
        <f>"152326195904080662"</f>
        <v>152326195904080662</v>
      </c>
      <c r="E4483" s="1" t="s">
        <v>4500</v>
      </c>
      <c r="F4483" s="1" t="s">
        <v>16</v>
      </c>
      <c r="G4483" s="1" t="s">
        <v>17</v>
      </c>
      <c r="H4483" s="1" t="str">
        <f>"65"</f>
        <v>65</v>
      </c>
      <c r="I4483" s="1" t="str">
        <f>"156.88"</f>
        <v>156.88</v>
      </c>
      <c r="J4483" s="1" t="str">
        <f t="shared" si="2814"/>
        <v>0</v>
      </c>
      <c r="K4483" s="1" t="str">
        <f t="shared" si="2815"/>
        <v>103</v>
      </c>
      <c r="L4483" s="1" t="str">
        <f t="shared" si="2816"/>
        <v>47</v>
      </c>
      <c r="M4483" s="1" t="str">
        <f t="shared" si="2820"/>
        <v>0</v>
      </c>
      <c r="N4483" s="1" t="str">
        <f t="shared" si="2827"/>
        <v>0</v>
      </c>
      <c r="O4483" s="1" t="str">
        <f>"6.88"</f>
        <v>6.88</v>
      </c>
    </row>
    <row r="4484" s="1" customFormat="1" spans="1:15">
      <c r="A4484" s="1" t="str">
        <f t="shared" si="2828"/>
        <v>202406</v>
      </c>
      <c r="B4484" s="1" t="str">
        <f t="shared" si="2829"/>
        <v>150525100</v>
      </c>
      <c r="C4484" s="1" t="str">
        <f>"1040682043"</f>
        <v>1040682043</v>
      </c>
      <c r="D4484" s="1" t="str">
        <f>"152326195511290925"</f>
        <v>152326195511290925</v>
      </c>
      <c r="E4484" s="1" t="s">
        <v>4501</v>
      </c>
      <c r="F4484" s="1" t="s">
        <v>16</v>
      </c>
      <c r="G4484" s="1" t="s">
        <v>19</v>
      </c>
      <c r="H4484" s="1" t="str">
        <f>"69"</f>
        <v>69</v>
      </c>
      <c r="I4484" s="1" t="str">
        <f>"153.88"</f>
        <v>153.88</v>
      </c>
      <c r="J4484" s="1" t="str">
        <f t="shared" si="2814"/>
        <v>0</v>
      </c>
      <c r="K4484" s="1" t="str">
        <f t="shared" si="2815"/>
        <v>103</v>
      </c>
      <c r="L4484" s="1" t="str">
        <f t="shared" si="2816"/>
        <v>47</v>
      </c>
      <c r="M4484" s="1" t="str">
        <f t="shared" si="2820"/>
        <v>0</v>
      </c>
      <c r="N4484" s="1" t="str">
        <f t="shared" si="2827"/>
        <v>0</v>
      </c>
      <c r="O4484" s="1" t="str">
        <f>"3.88"</f>
        <v>3.88</v>
      </c>
    </row>
    <row r="4485" s="1" customFormat="1" spans="1:15">
      <c r="A4485" s="1" t="str">
        <f t="shared" si="2828"/>
        <v>202406</v>
      </c>
      <c r="B4485" s="1" t="str">
        <f t="shared" si="2829"/>
        <v>150525100</v>
      </c>
      <c r="C4485" s="1" t="str">
        <f>"1040681885"</f>
        <v>1040681885</v>
      </c>
      <c r="D4485" s="1" t="str">
        <f>"152326196009143078"</f>
        <v>152326196009143078</v>
      </c>
      <c r="E4485" s="1" t="s">
        <v>4502</v>
      </c>
      <c r="F4485" s="1" t="s">
        <v>25</v>
      </c>
      <c r="G4485" s="1" t="s">
        <v>17</v>
      </c>
      <c r="H4485" s="1" t="str">
        <f t="shared" ref="H4485:H4487" si="2830">"64"</f>
        <v>64</v>
      </c>
      <c r="I4485" s="1" t="str">
        <f>"157.99"</f>
        <v>157.99</v>
      </c>
      <c r="J4485" s="1" t="str">
        <f t="shared" si="2814"/>
        <v>0</v>
      </c>
      <c r="K4485" s="1" t="str">
        <f t="shared" si="2815"/>
        <v>103</v>
      </c>
      <c r="L4485" s="1" t="str">
        <f t="shared" si="2816"/>
        <v>47</v>
      </c>
      <c r="M4485" s="1" t="str">
        <f t="shared" si="2820"/>
        <v>0</v>
      </c>
      <c r="N4485" s="1" t="str">
        <f t="shared" si="2827"/>
        <v>0</v>
      </c>
      <c r="O4485" s="1" t="str">
        <f>"7.99"</f>
        <v>7.99</v>
      </c>
    </row>
    <row r="4486" s="1" customFormat="1" spans="1:15">
      <c r="A4486" s="1" t="str">
        <f t="shared" si="2828"/>
        <v>202406</v>
      </c>
      <c r="B4486" s="1" t="str">
        <f t="shared" si="2829"/>
        <v>150525100</v>
      </c>
      <c r="C4486" s="1" t="str">
        <f>"1040682125"</f>
        <v>1040682125</v>
      </c>
      <c r="D4486" s="1" t="str">
        <f>"152326196001100671"</f>
        <v>152326196001100671</v>
      </c>
      <c r="E4486" s="1" t="s">
        <v>4503</v>
      </c>
      <c r="F4486" s="1" t="s">
        <v>25</v>
      </c>
      <c r="G4486" s="1" t="s">
        <v>17</v>
      </c>
      <c r="H4486" s="1" t="str">
        <f t="shared" si="2830"/>
        <v>64</v>
      </c>
      <c r="I4486" s="1" t="str">
        <f>"157.93"</f>
        <v>157.93</v>
      </c>
      <c r="J4486" s="1" t="str">
        <f t="shared" si="2814"/>
        <v>0</v>
      </c>
      <c r="K4486" s="1" t="str">
        <f t="shared" si="2815"/>
        <v>103</v>
      </c>
      <c r="L4486" s="1" t="str">
        <f t="shared" si="2816"/>
        <v>47</v>
      </c>
      <c r="M4486" s="1" t="str">
        <f t="shared" si="2820"/>
        <v>0</v>
      </c>
      <c r="N4486" s="1" t="str">
        <f t="shared" si="2827"/>
        <v>0</v>
      </c>
      <c r="O4486" s="1" t="str">
        <f>"7.93"</f>
        <v>7.93</v>
      </c>
    </row>
    <row r="4487" s="1" customFormat="1" spans="1:15">
      <c r="A4487" s="1" t="str">
        <f t="shared" si="2828"/>
        <v>202406</v>
      </c>
      <c r="B4487" s="1" t="str">
        <f t="shared" si="2829"/>
        <v>150525100</v>
      </c>
      <c r="C4487" s="1" t="str">
        <f>"1040682131"</f>
        <v>1040682131</v>
      </c>
      <c r="D4487" s="1" t="str">
        <f>"152326196003180716"</f>
        <v>152326196003180716</v>
      </c>
      <c r="E4487" s="1" t="s">
        <v>4504</v>
      </c>
      <c r="F4487" s="1" t="s">
        <v>25</v>
      </c>
      <c r="G4487" s="1" t="s">
        <v>19</v>
      </c>
      <c r="H4487" s="1" t="str">
        <f t="shared" si="2830"/>
        <v>64</v>
      </c>
      <c r="I4487" s="1" t="str">
        <f>"157.95"</f>
        <v>157.95</v>
      </c>
      <c r="J4487" s="1" t="str">
        <f t="shared" si="2814"/>
        <v>0</v>
      </c>
      <c r="K4487" s="1" t="str">
        <f t="shared" si="2815"/>
        <v>103</v>
      </c>
      <c r="L4487" s="1" t="str">
        <f t="shared" si="2816"/>
        <v>47</v>
      </c>
      <c r="M4487" s="1" t="str">
        <f t="shared" si="2820"/>
        <v>0</v>
      </c>
      <c r="N4487" s="1" t="str">
        <f t="shared" si="2827"/>
        <v>0</v>
      </c>
      <c r="O4487" s="1" t="str">
        <f>"7.95"</f>
        <v>7.95</v>
      </c>
    </row>
    <row r="4488" s="1" customFormat="1" spans="1:15">
      <c r="A4488" s="1" t="str">
        <f t="shared" si="2828"/>
        <v>202406</v>
      </c>
      <c r="B4488" s="1" t="str">
        <f t="shared" si="2829"/>
        <v>150525100</v>
      </c>
      <c r="C4488" s="1" t="str">
        <f>"1040682134"</f>
        <v>1040682134</v>
      </c>
      <c r="D4488" s="1" t="str">
        <f>"152326195704220667"</f>
        <v>152326195704220667</v>
      </c>
      <c r="E4488" s="1" t="s">
        <v>4505</v>
      </c>
      <c r="F4488" s="1" t="s">
        <v>16</v>
      </c>
      <c r="G4488" s="1" t="s">
        <v>17</v>
      </c>
      <c r="H4488" s="1" t="str">
        <f>"67"</f>
        <v>67</v>
      </c>
      <c r="I4488" s="1" t="str">
        <f>"154.87"</f>
        <v>154.87</v>
      </c>
      <c r="J4488" s="1" t="str">
        <f t="shared" si="2814"/>
        <v>0</v>
      </c>
      <c r="K4488" s="1" t="str">
        <f t="shared" si="2815"/>
        <v>103</v>
      </c>
      <c r="L4488" s="1" t="str">
        <f t="shared" si="2816"/>
        <v>47</v>
      </c>
      <c r="M4488" s="1" t="str">
        <f t="shared" si="2820"/>
        <v>0</v>
      </c>
      <c r="N4488" s="1" t="str">
        <f t="shared" si="2827"/>
        <v>0</v>
      </c>
      <c r="O4488" s="1" t="str">
        <f>"4.87"</f>
        <v>4.87</v>
      </c>
    </row>
    <row r="4489" s="1" customFormat="1" spans="1:15">
      <c r="A4489" s="1" t="str">
        <f t="shared" si="2828"/>
        <v>202406</v>
      </c>
      <c r="B4489" s="1" t="str">
        <f t="shared" si="2829"/>
        <v>150525100</v>
      </c>
      <c r="C4489" s="1" t="str">
        <f>"1040681899"</f>
        <v>1040681899</v>
      </c>
      <c r="D4489" s="1" t="str">
        <f>"152326195505103070"</f>
        <v>152326195505103070</v>
      </c>
      <c r="E4489" s="1" t="s">
        <v>4506</v>
      </c>
      <c r="F4489" s="1" t="s">
        <v>25</v>
      </c>
      <c r="G4489" s="1" t="s">
        <v>17</v>
      </c>
      <c r="H4489" s="1" t="str">
        <f>"69"</f>
        <v>69</v>
      </c>
      <c r="I4489" s="1" t="str">
        <f>"153.89"</f>
        <v>153.89</v>
      </c>
      <c r="J4489" s="1" t="str">
        <f t="shared" si="2814"/>
        <v>0</v>
      </c>
      <c r="K4489" s="1" t="str">
        <f t="shared" si="2815"/>
        <v>103</v>
      </c>
      <c r="L4489" s="1" t="str">
        <f t="shared" si="2816"/>
        <v>47</v>
      </c>
      <c r="M4489" s="1" t="str">
        <f t="shared" si="2820"/>
        <v>0</v>
      </c>
      <c r="N4489" s="1" t="str">
        <f t="shared" si="2827"/>
        <v>0</v>
      </c>
      <c r="O4489" s="1" t="str">
        <f>"3.89"</f>
        <v>3.89</v>
      </c>
    </row>
    <row r="4490" s="1" customFormat="1" spans="1:15">
      <c r="A4490" s="1" t="str">
        <f t="shared" si="2828"/>
        <v>202406</v>
      </c>
      <c r="B4490" s="1" t="str">
        <f t="shared" si="2829"/>
        <v>150525100</v>
      </c>
      <c r="C4490" s="1" t="str">
        <f>"1040681964"</f>
        <v>1040681964</v>
      </c>
      <c r="D4490" s="1" t="s">
        <v>4507</v>
      </c>
      <c r="E4490" s="1" t="s">
        <v>2150</v>
      </c>
      <c r="F4490" s="1" t="s">
        <v>16</v>
      </c>
      <c r="G4490" s="1" t="s">
        <v>19</v>
      </c>
      <c r="H4490" s="1" t="str">
        <f>"70"</f>
        <v>70</v>
      </c>
      <c r="I4490" s="1" t="str">
        <f>"152.93"</f>
        <v>152.93</v>
      </c>
      <c r="J4490" s="1" t="str">
        <f t="shared" si="2814"/>
        <v>0</v>
      </c>
      <c r="K4490" s="1" t="str">
        <f t="shared" si="2815"/>
        <v>103</v>
      </c>
      <c r="L4490" s="1" t="str">
        <f t="shared" si="2816"/>
        <v>47</v>
      </c>
      <c r="M4490" s="1" t="str">
        <f t="shared" si="2820"/>
        <v>0</v>
      </c>
      <c r="N4490" s="1" t="str">
        <f t="shared" si="2827"/>
        <v>0</v>
      </c>
      <c r="O4490" s="1" t="str">
        <f>"2.93"</f>
        <v>2.93</v>
      </c>
    </row>
    <row r="4491" s="1" customFormat="1" spans="1:15">
      <c r="A4491" s="1" t="str">
        <f t="shared" si="2828"/>
        <v>202406</v>
      </c>
      <c r="B4491" s="1" t="str">
        <f t="shared" si="2829"/>
        <v>150525100</v>
      </c>
      <c r="C4491" s="1" t="str">
        <f>"1040681987"</f>
        <v>1040681987</v>
      </c>
      <c r="D4491" s="1" t="str">
        <f>"152326195702243822"</f>
        <v>152326195702243822</v>
      </c>
      <c r="E4491" s="1" t="s">
        <v>4508</v>
      </c>
      <c r="F4491" s="1" t="s">
        <v>16</v>
      </c>
      <c r="G4491" s="1" t="s">
        <v>17</v>
      </c>
      <c r="H4491" s="1" t="str">
        <f t="shared" ref="H4491:H4496" si="2831">"67"</f>
        <v>67</v>
      </c>
      <c r="I4491" s="1" t="str">
        <f>"154.83"</f>
        <v>154.83</v>
      </c>
      <c r="J4491" s="1" t="str">
        <f t="shared" si="2814"/>
        <v>0</v>
      </c>
      <c r="K4491" s="1" t="str">
        <f t="shared" si="2815"/>
        <v>103</v>
      </c>
      <c r="L4491" s="1" t="str">
        <f t="shared" si="2816"/>
        <v>47</v>
      </c>
      <c r="M4491" s="1" t="str">
        <f t="shared" si="2820"/>
        <v>0</v>
      </c>
      <c r="N4491" s="1" t="str">
        <f t="shared" si="2827"/>
        <v>0</v>
      </c>
      <c r="O4491" s="1" t="str">
        <f>"4.83"</f>
        <v>4.83</v>
      </c>
    </row>
    <row r="4492" s="1" customFormat="1" spans="1:15">
      <c r="A4492" s="1" t="str">
        <f t="shared" si="2828"/>
        <v>202406</v>
      </c>
      <c r="B4492" s="1" t="str">
        <f t="shared" si="2829"/>
        <v>150525100</v>
      </c>
      <c r="C4492" s="1" t="str">
        <f>"1040682046"</f>
        <v>1040682046</v>
      </c>
      <c r="D4492" s="1" t="str">
        <f>"152326195611060924"</f>
        <v>152326195611060924</v>
      </c>
      <c r="E4492" s="1" t="s">
        <v>4509</v>
      </c>
      <c r="F4492" s="1" t="s">
        <v>16</v>
      </c>
      <c r="G4492" s="1" t="s">
        <v>19</v>
      </c>
      <c r="H4492" s="1" t="str">
        <f>"68"</f>
        <v>68</v>
      </c>
      <c r="I4492" s="1" t="str">
        <f>"154.81"</f>
        <v>154.81</v>
      </c>
      <c r="J4492" s="1" t="str">
        <f t="shared" si="2814"/>
        <v>0</v>
      </c>
      <c r="K4492" s="1" t="str">
        <f t="shared" si="2815"/>
        <v>103</v>
      </c>
      <c r="L4492" s="1" t="str">
        <f t="shared" si="2816"/>
        <v>47</v>
      </c>
      <c r="M4492" s="1" t="str">
        <f t="shared" si="2820"/>
        <v>0</v>
      </c>
      <c r="N4492" s="1" t="str">
        <f t="shared" si="2827"/>
        <v>0</v>
      </c>
      <c r="O4492" s="1" t="str">
        <f>"4.81"</f>
        <v>4.81</v>
      </c>
    </row>
    <row r="4493" s="1" customFormat="1" spans="1:15">
      <c r="A4493" s="1" t="str">
        <f t="shared" si="2828"/>
        <v>202406</v>
      </c>
      <c r="B4493" s="1" t="str">
        <f t="shared" si="2829"/>
        <v>150525100</v>
      </c>
      <c r="C4493" s="1" t="str">
        <f>"1040682053"</f>
        <v>1040682053</v>
      </c>
      <c r="D4493" s="1" t="str">
        <f>"152326195312300967"</f>
        <v>152326195312300967</v>
      </c>
      <c r="E4493" s="1" t="s">
        <v>4510</v>
      </c>
      <c r="F4493" s="1" t="s">
        <v>16</v>
      </c>
      <c r="G4493" s="1" t="s">
        <v>19</v>
      </c>
      <c r="H4493" s="1" t="str">
        <f>"71"</f>
        <v>71</v>
      </c>
      <c r="I4493" s="1" t="str">
        <f>"162.2"</f>
        <v>162.2</v>
      </c>
      <c r="J4493" s="1" t="str">
        <f t="shared" si="2814"/>
        <v>0</v>
      </c>
      <c r="K4493" s="1" t="str">
        <f t="shared" si="2815"/>
        <v>103</v>
      </c>
      <c r="L4493" s="1" t="str">
        <f t="shared" si="2816"/>
        <v>47</v>
      </c>
      <c r="M4493" s="1" t="str">
        <f t="shared" si="2820"/>
        <v>0</v>
      </c>
      <c r="N4493" s="1" t="str">
        <f t="shared" si="2827"/>
        <v>0</v>
      </c>
      <c r="O4493" s="1" t="str">
        <f>"2.2"</f>
        <v>2.2</v>
      </c>
    </row>
    <row r="4494" s="1" customFormat="1" spans="1:15">
      <c r="A4494" s="1" t="str">
        <f t="shared" si="2828"/>
        <v>202406</v>
      </c>
      <c r="B4494" s="1" t="str">
        <f t="shared" si="2829"/>
        <v>150525100</v>
      </c>
      <c r="C4494" s="1" t="str">
        <f>"1040682065"</f>
        <v>1040682065</v>
      </c>
      <c r="D4494" s="1" t="str">
        <f>"152326196012090923"</f>
        <v>152326196012090923</v>
      </c>
      <c r="E4494" s="1" t="s">
        <v>4511</v>
      </c>
      <c r="F4494" s="1" t="s">
        <v>16</v>
      </c>
      <c r="G4494" s="1" t="s">
        <v>19</v>
      </c>
      <c r="H4494" s="1" t="str">
        <f>"64"</f>
        <v>64</v>
      </c>
      <c r="I4494" s="1" t="str">
        <f>"153.97"</f>
        <v>153.97</v>
      </c>
      <c r="J4494" s="1" t="str">
        <f t="shared" si="2814"/>
        <v>0</v>
      </c>
      <c r="K4494" s="1" t="str">
        <f t="shared" si="2815"/>
        <v>103</v>
      </c>
      <c r="L4494" s="1" t="str">
        <f t="shared" si="2816"/>
        <v>47</v>
      </c>
      <c r="M4494" s="1" t="str">
        <f t="shared" si="2820"/>
        <v>0</v>
      </c>
      <c r="N4494" s="1" t="str">
        <f t="shared" si="2827"/>
        <v>0</v>
      </c>
      <c r="O4494" s="1" t="str">
        <f>"3.97"</f>
        <v>3.97</v>
      </c>
    </row>
    <row r="4495" s="1" customFormat="1" spans="1:15">
      <c r="A4495" s="1" t="str">
        <f t="shared" si="2828"/>
        <v>202406</v>
      </c>
      <c r="B4495" s="1" t="str">
        <f t="shared" si="2829"/>
        <v>150525100</v>
      </c>
      <c r="C4495" s="1" t="str">
        <f>"1040682077"</f>
        <v>1040682077</v>
      </c>
      <c r="D4495" s="1" t="str">
        <f>"152326195702110923"</f>
        <v>152326195702110923</v>
      </c>
      <c r="E4495" s="1" t="s">
        <v>4512</v>
      </c>
      <c r="F4495" s="1" t="s">
        <v>16</v>
      </c>
      <c r="G4495" s="1" t="s">
        <v>19</v>
      </c>
      <c r="H4495" s="1" t="str">
        <f t="shared" si="2831"/>
        <v>67</v>
      </c>
      <c r="I4495" s="1" t="str">
        <f>"154.72"</f>
        <v>154.72</v>
      </c>
      <c r="J4495" s="1" t="str">
        <f t="shared" si="2814"/>
        <v>0</v>
      </c>
      <c r="K4495" s="1" t="str">
        <f t="shared" si="2815"/>
        <v>103</v>
      </c>
      <c r="L4495" s="1" t="str">
        <f t="shared" si="2816"/>
        <v>47</v>
      </c>
      <c r="M4495" s="1" t="str">
        <f t="shared" si="2820"/>
        <v>0</v>
      </c>
      <c r="N4495" s="1" t="str">
        <f t="shared" si="2827"/>
        <v>0</v>
      </c>
      <c r="O4495" s="1" t="str">
        <f>"4.72"</f>
        <v>4.72</v>
      </c>
    </row>
    <row r="4496" s="1" customFormat="1" spans="1:15">
      <c r="A4496" s="1" t="str">
        <f t="shared" si="2828"/>
        <v>202406</v>
      </c>
      <c r="B4496" s="1" t="str">
        <f t="shared" si="2829"/>
        <v>150525100</v>
      </c>
      <c r="C4496" s="1" t="str">
        <f>"1040682213"</f>
        <v>1040682213</v>
      </c>
      <c r="D4496" s="1" t="str">
        <f>"152326195708100427"</f>
        <v>152326195708100427</v>
      </c>
      <c r="E4496" s="1" t="s">
        <v>4513</v>
      </c>
      <c r="F4496" s="1" t="s">
        <v>16</v>
      </c>
      <c r="G4496" s="1" t="s">
        <v>17</v>
      </c>
      <c r="H4496" s="1" t="str">
        <f t="shared" si="2831"/>
        <v>67</v>
      </c>
      <c r="I4496" s="1" t="str">
        <f>"154.9"</f>
        <v>154.9</v>
      </c>
      <c r="J4496" s="1" t="str">
        <f t="shared" si="2814"/>
        <v>0</v>
      </c>
      <c r="K4496" s="1" t="str">
        <f t="shared" si="2815"/>
        <v>103</v>
      </c>
      <c r="L4496" s="1" t="str">
        <f t="shared" si="2816"/>
        <v>47</v>
      </c>
      <c r="M4496" s="1" t="str">
        <f t="shared" si="2820"/>
        <v>0</v>
      </c>
      <c r="N4496" s="1" t="str">
        <f t="shared" si="2827"/>
        <v>0</v>
      </c>
      <c r="O4496" s="1" t="str">
        <f>"4.9"</f>
        <v>4.9</v>
      </c>
    </row>
    <row r="4497" s="1" customFormat="1" spans="1:15">
      <c r="A4497" s="1" t="str">
        <f t="shared" si="2828"/>
        <v>202406</v>
      </c>
      <c r="B4497" s="1" t="str">
        <f t="shared" si="2829"/>
        <v>150525100</v>
      </c>
      <c r="C4497" s="1" t="str">
        <f>"1040682227"</f>
        <v>1040682227</v>
      </c>
      <c r="D4497" s="1" t="str">
        <f>"152326195910050427"</f>
        <v>152326195910050427</v>
      </c>
      <c r="E4497" s="1" t="s">
        <v>1273</v>
      </c>
      <c r="F4497" s="1" t="s">
        <v>16</v>
      </c>
      <c r="G4497" s="1" t="s">
        <v>17</v>
      </c>
      <c r="H4497" s="1" t="str">
        <f>"65"</f>
        <v>65</v>
      </c>
      <c r="I4497" s="1" t="str">
        <f>"156.98"</f>
        <v>156.98</v>
      </c>
      <c r="J4497" s="1" t="str">
        <f t="shared" si="2814"/>
        <v>0</v>
      </c>
      <c r="K4497" s="1" t="str">
        <f t="shared" si="2815"/>
        <v>103</v>
      </c>
      <c r="L4497" s="1" t="str">
        <f t="shared" si="2816"/>
        <v>47</v>
      </c>
      <c r="M4497" s="1" t="str">
        <f t="shared" si="2820"/>
        <v>0</v>
      </c>
      <c r="N4497" s="1" t="str">
        <f t="shared" si="2827"/>
        <v>0</v>
      </c>
      <c r="O4497" s="1" t="str">
        <f>"6.98"</f>
        <v>6.98</v>
      </c>
    </row>
    <row r="4498" s="1" customFormat="1" spans="1:15">
      <c r="A4498" s="1" t="str">
        <f t="shared" si="2828"/>
        <v>202406</v>
      </c>
      <c r="B4498" s="1" t="str">
        <f t="shared" si="2829"/>
        <v>150525100</v>
      </c>
      <c r="C4498" s="1" t="str">
        <f>"1040682241"</f>
        <v>1040682241</v>
      </c>
      <c r="D4498" s="1" t="str">
        <f>"152326195503030410"</f>
        <v>152326195503030410</v>
      </c>
      <c r="E4498" s="1" t="s">
        <v>4514</v>
      </c>
      <c r="F4498" s="1" t="s">
        <v>25</v>
      </c>
      <c r="G4498" s="1" t="s">
        <v>17</v>
      </c>
      <c r="H4498" s="1" t="str">
        <f t="shared" ref="H4498:H4501" si="2832">"69"</f>
        <v>69</v>
      </c>
      <c r="I4498" s="1" t="str">
        <f>"153.92"</f>
        <v>153.92</v>
      </c>
      <c r="J4498" s="1" t="str">
        <f t="shared" si="2814"/>
        <v>0</v>
      </c>
      <c r="K4498" s="1" t="str">
        <f t="shared" si="2815"/>
        <v>103</v>
      </c>
      <c r="L4498" s="1" t="str">
        <f t="shared" si="2816"/>
        <v>47</v>
      </c>
      <c r="M4498" s="1" t="str">
        <f t="shared" si="2820"/>
        <v>0</v>
      </c>
      <c r="N4498" s="1" t="str">
        <f t="shared" si="2827"/>
        <v>0</v>
      </c>
      <c r="O4498" s="1" t="str">
        <f>"3.92"</f>
        <v>3.92</v>
      </c>
    </row>
    <row r="4499" s="1" customFormat="1" spans="1:15">
      <c r="A4499" s="1" t="str">
        <f t="shared" si="2828"/>
        <v>202406</v>
      </c>
      <c r="B4499" s="1" t="str">
        <f t="shared" si="2829"/>
        <v>150525100</v>
      </c>
      <c r="C4499" s="1" t="str">
        <f>"1040682255"</f>
        <v>1040682255</v>
      </c>
      <c r="D4499" s="1" t="str">
        <f>"152326195507030426"</f>
        <v>152326195507030426</v>
      </c>
      <c r="E4499" s="1" t="s">
        <v>739</v>
      </c>
      <c r="F4499" s="1" t="s">
        <v>16</v>
      </c>
      <c r="G4499" s="1" t="s">
        <v>17</v>
      </c>
      <c r="H4499" s="1" t="str">
        <f t="shared" si="2832"/>
        <v>69</v>
      </c>
      <c r="I4499" s="1" t="str">
        <f>"153.92"</f>
        <v>153.92</v>
      </c>
      <c r="J4499" s="1" t="str">
        <f t="shared" si="2814"/>
        <v>0</v>
      </c>
      <c r="K4499" s="1" t="str">
        <f t="shared" si="2815"/>
        <v>103</v>
      </c>
      <c r="L4499" s="1" t="str">
        <f t="shared" si="2816"/>
        <v>47</v>
      </c>
      <c r="M4499" s="1" t="str">
        <f t="shared" si="2820"/>
        <v>0</v>
      </c>
      <c r="N4499" s="1" t="str">
        <f t="shared" si="2827"/>
        <v>0</v>
      </c>
      <c r="O4499" s="1" t="str">
        <f>"3.92"</f>
        <v>3.92</v>
      </c>
    </row>
    <row r="4500" s="1" customFormat="1" spans="1:15">
      <c r="A4500" s="1" t="str">
        <f t="shared" si="2828"/>
        <v>202406</v>
      </c>
      <c r="B4500" s="1" t="str">
        <f t="shared" si="2829"/>
        <v>150525100</v>
      </c>
      <c r="C4500" s="1" t="str">
        <f>"1040682274"</f>
        <v>1040682274</v>
      </c>
      <c r="D4500" s="1" t="str">
        <f>"152326195901060447"</f>
        <v>152326195901060447</v>
      </c>
      <c r="E4500" s="1" t="s">
        <v>1107</v>
      </c>
      <c r="F4500" s="1" t="s">
        <v>16</v>
      </c>
      <c r="G4500" s="1" t="s">
        <v>17</v>
      </c>
      <c r="H4500" s="1" t="str">
        <f>"66"</f>
        <v>66</v>
      </c>
      <c r="I4500" s="1" t="str">
        <f>"157.84"</f>
        <v>157.84</v>
      </c>
      <c r="J4500" s="1" t="str">
        <f t="shared" ref="J4500:J4514" si="2833">"0"</f>
        <v>0</v>
      </c>
      <c r="K4500" s="1" t="str">
        <f t="shared" ref="K4500:K4514" si="2834">"103"</f>
        <v>103</v>
      </c>
      <c r="L4500" s="1" t="str">
        <f t="shared" ref="L4500:L4514" si="2835">"47"</f>
        <v>47</v>
      </c>
      <c r="M4500" s="1" t="str">
        <f t="shared" si="2820"/>
        <v>0</v>
      </c>
      <c r="N4500" s="1" t="str">
        <f t="shared" si="2827"/>
        <v>0</v>
      </c>
      <c r="O4500" s="1" t="str">
        <f>"7.84"</f>
        <v>7.84</v>
      </c>
    </row>
    <row r="4501" s="1" customFormat="1" spans="1:15">
      <c r="A4501" s="1" t="str">
        <f t="shared" si="2828"/>
        <v>202406</v>
      </c>
      <c r="B4501" s="1" t="str">
        <f t="shared" si="2829"/>
        <v>150525100</v>
      </c>
      <c r="C4501" s="1" t="str">
        <f>"1040682279"</f>
        <v>1040682279</v>
      </c>
      <c r="D4501" s="1" t="str">
        <f>"152326195501080422"</f>
        <v>152326195501080422</v>
      </c>
      <c r="E4501" s="1" t="s">
        <v>4515</v>
      </c>
      <c r="F4501" s="1" t="s">
        <v>16</v>
      </c>
      <c r="G4501" s="1" t="s">
        <v>17</v>
      </c>
      <c r="H4501" s="1" t="str">
        <f t="shared" si="2832"/>
        <v>69</v>
      </c>
      <c r="I4501" s="1" t="str">
        <f>"153.89"</f>
        <v>153.89</v>
      </c>
      <c r="J4501" s="1" t="str">
        <f t="shared" si="2833"/>
        <v>0</v>
      </c>
      <c r="K4501" s="1" t="str">
        <f t="shared" si="2834"/>
        <v>103</v>
      </c>
      <c r="L4501" s="1" t="str">
        <f t="shared" si="2835"/>
        <v>47</v>
      </c>
      <c r="M4501" s="1" t="str">
        <f t="shared" si="2820"/>
        <v>0</v>
      </c>
      <c r="N4501" s="1" t="str">
        <f t="shared" si="2827"/>
        <v>0</v>
      </c>
      <c r="O4501" s="1" t="str">
        <f>"3.89"</f>
        <v>3.89</v>
      </c>
    </row>
    <row r="4502" s="1" customFormat="1" spans="1:15">
      <c r="A4502" s="1" t="str">
        <f t="shared" si="2828"/>
        <v>202406</v>
      </c>
      <c r="B4502" s="1" t="str">
        <f t="shared" si="2829"/>
        <v>150525100</v>
      </c>
      <c r="C4502" s="1" t="str">
        <f>"1040682326"</f>
        <v>1040682326</v>
      </c>
      <c r="D4502" s="1" t="str">
        <f>"152326195812126117"</f>
        <v>152326195812126117</v>
      </c>
      <c r="E4502" s="1" t="s">
        <v>4516</v>
      </c>
      <c r="F4502" s="1" t="s">
        <v>25</v>
      </c>
      <c r="G4502" s="1" t="s">
        <v>17</v>
      </c>
      <c r="H4502" s="1" t="str">
        <f>"66"</f>
        <v>66</v>
      </c>
      <c r="I4502" s="1" t="str">
        <f>"155.91"</f>
        <v>155.91</v>
      </c>
      <c r="J4502" s="1" t="str">
        <f t="shared" si="2833"/>
        <v>0</v>
      </c>
      <c r="K4502" s="1" t="str">
        <f t="shared" si="2834"/>
        <v>103</v>
      </c>
      <c r="L4502" s="1" t="str">
        <f t="shared" si="2835"/>
        <v>47</v>
      </c>
      <c r="M4502" s="1" t="str">
        <f t="shared" si="2820"/>
        <v>0</v>
      </c>
      <c r="N4502" s="1" t="str">
        <f t="shared" si="2827"/>
        <v>0</v>
      </c>
      <c r="O4502" s="1" t="str">
        <f>"5.91"</f>
        <v>5.91</v>
      </c>
    </row>
    <row r="4503" s="1" customFormat="1" spans="1:15">
      <c r="A4503" s="1" t="str">
        <f t="shared" si="2828"/>
        <v>202406</v>
      </c>
      <c r="B4503" s="1" t="str">
        <f t="shared" si="2829"/>
        <v>150525100</v>
      </c>
      <c r="C4503" s="1" t="str">
        <f>"1040682327"</f>
        <v>1040682327</v>
      </c>
      <c r="D4503" s="1" t="str">
        <f>"152326195610176124"</f>
        <v>152326195610176124</v>
      </c>
      <c r="E4503" s="1" t="s">
        <v>4517</v>
      </c>
      <c r="F4503" s="1" t="s">
        <v>16</v>
      </c>
      <c r="G4503" s="1" t="s">
        <v>17</v>
      </c>
      <c r="H4503" s="1" t="str">
        <f>"68"</f>
        <v>68</v>
      </c>
      <c r="I4503" s="1" t="str">
        <f>"154.81"</f>
        <v>154.81</v>
      </c>
      <c r="J4503" s="1" t="str">
        <f t="shared" si="2833"/>
        <v>0</v>
      </c>
      <c r="K4503" s="1" t="str">
        <f t="shared" si="2834"/>
        <v>103</v>
      </c>
      <c r="L4503" s="1" t="str">
        <f t="shared" si="2835"/>
        <v>47</v>
      </c>
      <c r="M4503" s="1" t="str">
        <f t="shared" si="2820"/>
        <v>0</v>
      </c>
      <c r="N4503" s="1" t="str">
        <f t="shared" si="2827"/>
        <v>0</v>
      </c>
      <c r="O4503" s="1" t="str">
        <f>"4.81"</f>
        <v>4.81</v>
      </c>
    </row>
    <row r="4504" s="1" customFormat="1" spans="1:15">
      <c r="A4504" s="1" t="str">
        <f t="shared" si="2828"/>
        <v>202406</v>
      </c>
      <c r="B4504" s="1" t="str">
        <f t="shared" si="2829"/>
        <v>150525100</v>
      </c>
      <c r="C4504" s="1" t="str">
        <f>"1040682354"</f>
        <v>1040682354</v>
      </c>
      <c r="D4504" s="1" t="str">
        <f>"152326195505056374"</f>
        <v>152326195505056374</v>
      </c>
      <c r="E4504" s="1" t="s">
        <v>4518</v>
      </c>
      <c r="F4504" s="1" t="s">
        <v>25</v>
      </c>
      <c r="G4504" s="1" t="s">
        <v>17</v>
      </c>
      <c r="H4504" s="1" t="str">
        <f t="shared" ref="H4504:H4507" si="2836">"69"</f>
        <v>69</v>
      </c>
      <c r="I4504" s="1" t="str">
        <f>"153.88"</f>
        <v>153.88</v>
      </c>
      <c r="J4504" s="1" t="str">
        <f t="shared" si="2833"/>
        <v>0</v>
      </c>
      <c r="K4504" s="1" t="str">
        <f t="shared" si="2834"/>
        <v>103</v>
      </c>
      <c r="L4504" s="1" t="str">
        <f t="shared" si="2835"/>
        <v>47</v>
      </c>
      <c r="M4504" s="1" t="str">
        <f t="shared" si="2820"/>
        <v>0</v>
      </c>
      <c r="N4504" s="1" t="str">
        <f t="shared" si="2827"/>
        <v>0</v>
      </c>
      <c r="O4504" s="1" t="str">
        <f>"3.88"</f>
        <v>3.88</v>
      </c>
    </row>
    <row r="4505" s="1" customFormat="1" spans="1:15">
      <c r="A4505" s="1" t="str">
        <f t="shared" si="2828"/>
        <v>202406</v>
      </c>
      <c r="B4505" s="1" t="str">
        <f t="shared" si="2829"/>
        <v>150525100</v>
      </c>
      <c r="C4505" s="1" t="str">
        <f>"1040682423"</f>
        <v>1040682423</v>
      </c>
      <c r="D4505" s="1" t="str">
        <f>"152326195604180426"</f>
        <v>152326195604180426</v>
      </c>
      <c r="E4505" s="1" t="s">
        <v>4519</v>
      </c>
      <c r="F4505" s="1" t="s">
        <v>16</v>
      </c>
      <c r="G4505" s="1" t="s">
        <v>17</v>
      </c>
      <c r="H4505" s="1" t="str">
        <f>"68"</f>
        <v>68</v>
      </c>
      <c r="I4505" s="1" t="str">
        <f>"154.81"</f>
        <v>154.81</v>
      </c>
      <c r="J4505" s="1" t="str">
        <f t="shared" si="2833"/>
        <v>0</v>
      </c>
      <c r="K4505" s="1" t="str">
        <f t="shared" si="2834"/>
        <v>103</v>
      </c>
      <c r="L4505" s="1" t="str">
        <f t="shared" si="2835"/>
        <v>47</v>
      </c>
      <c r="M4505" s="1" t="str">
        <f t="shared" si="2820"/>
        <v>0</v>
      </c>
      <c r="N4505" s="1" t="str">
        <f t="shared" si="2827"/>
        <v>0</v>
      </c>
      <c r="O4505" s="1" t="str">
        <f>"4.81"</f>
        <v>4.81</v>
      </c>
    </row>
    <row r="4506" s="1" customFormat="1" spans="1:15">
      <c r="A4506" s="1" t="str">
        <f t="shared" si="2828"/>
        <v>202406</v>
      </c>
      <c r="B4506" s="1" t="str">
        <f t="shared" si="2829"/>
        <v>150525100</v>
      </c>
      <c r="C4506" s="1" t="str">
        <f>"1040682396"</f>
        <v>1040682396</v>
      </c>
      <c r="D4506" s="1" t="str">
        <f>"152326195510150429"</f>
        <v>152326195510150429</v>
      </c>
      <c r="E4506" s="1" t="s">
        <v>4520</v>
      </c>
      <c r="F4506" s="1" t="s">
        <v>16</v>
      </c>
      <c r="G4506" s="1" t="s">
        <v>17</v>
      </c>
      <c r="H4506" s="1" t="str">
        <f t="shared" si="2836"/>
        <v>69</v>
      </c>
      <c r="I4506" s="1" t="str">
        <f>"153.81"</f>
        <v>153.81</v>
      </c>
      <c r="J4506" s="1" t="str">
        <f t="shared" si="2833"/>
        <v>0</v>
      </c>
      <c r="K4506" s="1" t="str">
        <f t="shared" si="2834"/>
        <v>103</v>
      </c>
      <c r="L4506" s="1" t="str">
        <f t="shared" si="2835"/>
        <v>47</v>
      </c>
      <c r="M4506" s="1" t="str">
        <f t="shared" si="2820"/>
        <v>0</v>
      </c>
      <c r="N4506" s="1" t="str">
        <f t="shared" si="2827"/>
        <v>0</v>
      </c>
      <c r="O4506" s="1" t="str">
        <f>"3.81"</f>
        <v>3.81</v>
      </c>
    </row>
    <row r="4507" s="1" customFormat="1" spans="1:15">
      <c r="A4507" s="1" t="str">
        <f t="shared" si="2828"/>
        <v>202406</v>
      </c>
      <c r="B4507" s="1" t="str">
        <f t="shared" si="2829"/>
        <v>150525100</v>
      </c>
      <c r="C4507" s="1" t="str">
        <f>"1040689768"</f>
        <v>1040689768</v>
      </c>
      <c r="D4507" s="1" t="str">
        <f>"152326195501183085"</f>
        <v>152326195501183085</v>
      </c>
      <c r="E4507" s="1" t="s">
        <v>4521</v>
      </c>
      <c r="F4507" s="1" t="s">
        <v>16</v>
      </c>
      <c r="G4507" s="1" t="s">
        <v>17</v>
      </c>
      <c r="H4507" s="1" t="str">
        <f t="shared" si="2836"/>
        <v>69</v>
      </c>
      <c r="I4507" s="1" t="str">
        <f>"188.74"</f>
        <v>188.74</v>
      </c>
      <c r="J4507" s="1" t="str">
        <f t="shared" si="2833"/>
        <v>0</v>
      </c>
      <c r="K4507" s="1" t="str">
        <f t="shared" si="2834"/>
        <v>103</v>
      </c>
      <c r="L4507" s="1" t="str">
        <f t="shared" si="2835"/>
        <v>47</v>
      </c>
      <c r="M4507" s="1" t="str">
        <f t="shared" si="2820"/>
        <v>0</v>
      </c>
      <c r="N4507" s="1" t="str">
        <f t="shared" si="2827"/>
        <v>0</v>
      </c>
      <c r="O4507" s="1" t="str">
        <f>"38.74"</f>
        <v>38.74</v>
      </c>
    </row>
    <row r="4508" s="1" customFormat="1" spans="1:15">
      <c r="A4508" s="1" t="str">
        <f t="shared" si="2828"/>
        <v>202406</v>
      </c>
      <c r="B4508" s="1" t="str">
        <f t="shared" si="2829"/>
        <v>150525100</v>
      </c>
      <c r="C4508" s="1" t="str">
        <f>"1015647102"</f>
        <v>1015647102</v>
      </c>
      <c r="D4508" s="1" t="str">
        <f>"152326195408093827"</f>
        <v>152326195408093827</v>
      </c>
      <c r="E4508" s="1" t="s">
        <v>4522</v>
      </c>
      <c r="F4508" s="1" t="s">
        <v>16</v>
      </c>
      <c r="G4508" s="1" t="s">
        <v>17</v>
      </c>
      <c r="H4508" s="1" t="str">
        <f>"70"</f>
        <v>70</v>
      </c>
      <c r="I4508" s="1" t="str">
        <f>"163.38"</f>
        <v>163.38</v>
      </c>
      <c r="J4508" s="1" t="str">
        <f t="shared" si="2833"/>
        <v>0</v>
      </c>
      <c r="K4508" s="1" t="str">
        <f t="shared" si="2834"/>
        <v>103</v>
      </c>
      <c r="L4508" s="1" t="str">
        <f t="shared" si="2835"/>
        <v>47</v>
      </c>
      <c r="M4508" s="1" t="str">
        <f t="shared" si="2820"/>
        <v>0</v>
      </c>
      <c r="N4508" s="1" t="str">
        <f t="shared" si="2827"/>
        <v>0</v>
      </c>
      <c r="O4508" s="1" t="str">
        <f>"13.38"</f>
        <v>13.38</v>
      </c>
    </row>
    <row r="4509" s="1" customFormat="1" spans="1:15">
      <c r="A4509" s="1" t="str">
        <f t="shared" si="2828"/>
        <v>202406</v>
      </c>
      <c r="B4509" s="1" t="str">
        <f t="shared" si="2829"/>
        <v>150525100</v>
      </c>
      <c r="C4509" s="1" t="str">
        <f>"1040681232"</f>
        <v>1040681232</v>
      </c>
      <c r="D4509" s="1" t="str">
        <f>"152326195911230075"</f>
        <v>152326195911230075</v>
      </c>
      <c r="E4509" s="1" t="s">
        <v>4523</v>
      </c>
      <c r="F4509" s="1" t="s">
        <v>25</v>
      </c>
      <c r="G4509" s="1" t="s">
        <v>17</v>
      </c>
      <c r="H4509" s="1" t="str">
        <f>"65"</f>
        <v>65</v>
      </c>
      <c r="I4509" s="1" t="str">
        <f>"157.88"</f>
        <v>157.88</v>
      </c>
      <c r="J4509" s="1" t="str">
        <f t="shared" si="2833"/>
        <v>0</v>
      </c>
      <c r="K4509" s="1" t="str">
        <f t="shared" si="2834"/>
        <v>103</v>
      </c>
      <c r="L4509" s="1" t="str">
        <f t="shared" si="2835"/>
        <v>47</v>
      </c>
      <c r="M4509" s="1" t="str">
        <f t="shared" si="2820"/>
        <v>0</v>
      </c>
      <c r="N4509" s="1" t="str">
        <f t="shared" si="2827"/>
        <v>0</v>
      </c>
      <c r="O4509" s="1" t="str">
        <f>"7.88"</f>
        <v>7.88</v>
      </c>
    </row>
    <row r="4510" s="1" customFormat="1" spans="1:15">
      <c r="A4510" s="1" t="str">
        <f t="shared" si="2828"/>
        <v>202406</v>
      </c>
      <c r="B4510" s="1" t="str">
        <f t="shared" si="2829"/>
        <v>150525100</v>
      </c>
      <c r="C4510" s="1" t="str">
        <f>"1040681435"</f>
        <v>1040681435</v>
      </c>
      <c r="D4510" s="1" t="str">
        <f>"152326195802203828"</f>
        <v>152326195802203828</v>
      </c>
      <c r="E4510" s="1" t="s">
        <v>4524</v>
      </c>
      <c r="F4510" s="1" t="s">
        <v>16</v>
      </c>
      <c r="G4510" s="1" t="s">
        <v>19</v>
      </c>
      <c r="H4510" s="1" t="str">
        <f>"66"</f>
        <v>66</v>
      </c>
      <c r="I4510" s="1" t="str">
        <f>"155.84"</f>
        <v>155.84</v>
      </c>
      <c r="J4510" s="1" t="str">
        <f t="shared" si="2833"/>
        <v>0</v>
      </c>
      <c r="K4510" s="1" t="str">
        <f t="shared" si="2834"/>
        <v>103</v>
      </c>
      <c r="L4510" s="1" t="str">
        <f t="shared" si="2835"/>
        <v>47</v>
      </c>
      <c r="M4510" s="1" t="str">
        <f t="shared" si="2820"/>
        <v>0</v>
      </c>
      <c r="N4510" s="1" t="str">
        <f t="shared" si="2827"/>
        <v>0</v>
      </c>
      <c r="O4510" s="1" t="str">
        <f>"5.84"</f>
        <v>5.84</v>
      </c>
    </row>
    <row r="4511" s="1" customFormat="1" spans="1:15">
      <c r="A4511" s="1" t="str">
        <f t="shared" si="2828"/>
        <v>202406</v>
      </c>
      <c r="B4511" s="1" t="str">
        <f t="shared" si="2829"/>
        <v>150525100</v>
      </c>
      <c r="C4511" s="1" t="str">
        <f>"1040681331"</f>
        <v>1040681331</v>
      </c>
      <c r="D4511" s="1" t="str">
        <f>"152326196107210668"</f>
        <v>152326196107210668</v>
      </c>
      <c r="E4511" s="1" t="s">
        <v>4525</v>
      </c>
      <c r="F4511" s="1" t="s">
        <v>16</v>
      </c>
      <c r="G4511" s="1" t="s">
        <v>17</v>
      </c>
      <c r="H4511" s="1" t="str">
        <f>"63"</f>
        <v>63</v>
      </c>
      <c r="I4511" s="1" t="str">
        <f>"159.82"</f>
        <v>159.82</v>
      </c>
      <c r="J4511" s="1" t="str">
        <f t="shared" si="2833"/>
        <v>0</v>
      </c>
      <c r="K4511" s="1" t="str">
        <f t="shared" si="2834"/>
        <v>103</v>
      </c>
      <c r="L4511" s="1" t="str">
        <f t="shared" si="2835"/>
        <v>47</v>
      </c>
      <c r="M4511" s="1" t="str">
        <f t="shared" si="2820"/>
        <v>0</v>
      </c>
      <c r="N4511" s="1" t="str">
        <f t="shared" si="2827"/>
        <v>0</v>
      </c>
      <c r="O4511" s="1" t="str">
        <f>"9.82"</f>
        <v>9.82</v>
      </c>
    </row>
    <row r="4512" s="1" customFormat="1" spans="1:15">
      <c r="A4512" s="1" t="str">
        <f t="shared" si="2828"/>
        <v>202406</v>
      </c>
      <c r="B4512" s="1" t="str">
        <f t="shared" si="2829"/>
        <v>150525100</v>
      </c>
      <c r="C4512" s="1" t="str">
        <f>"1040681366"</f>
        <v>1040681366</v>
      </c>
      <c r="D4512" s="1" t="str">
        <f>"152326195908210663"</f>
        <v>152326195908210663</v>
      </c>
      <c r="E4512" s="1" t="s">
        <v>4526</v>
      </c>
      <c r="F4512" s="1" t="s">
        <v>16</v>
      </c>
      <c r="G4512" s="1" t="s">
        <v>17</v>
      </c>
      <c r="H4512" s="1" t="str">
        <f>"65"</f>
        <v>65</v>
      </c>
      <c r="I4512" s="1" t="str">
        <f>"156.91"</f>
        <v>156.91</v>
      </c>
      <c r="J4512" s="1" t="str">
        <f t="shared" si="2833"/>
        <v>0</v>
      </c>
      <c r="K4512" s="1" t="str">
        <f t="shared" si="2834"/>
        <v>103</v>
      </c>
      <c r="L4512" s="1" t="str">
        <f t="shared" si="2835"/>
        <v>47</v>
      </c>
      <c r="M4512" s="1" t="str">
        <f t="shared" ref="M4512:M4575" si="2837">"0"</f>
        <v>0</v>
      </c>
      <c r="N4512" s="1" t="str">
        <f t="shared" si="2827"/>
        <v>0</v>
      </c>
      <c r="O4512" s="1" t="str">
        <f>"6.91"</f>
        <v>6.91</v>
      </c>
    </row>
    <row r="4513" s="1" customFormat="1" spans="1:15">
      <c r="A4513" s="1" t="str">
        <f t="shared" si="2828"/>
        <v>202406</v>
      </c>
      <c r="B4513" s="1" t="str">
        <f t="shared" si="2829"/>
        <v>150525100</v>
      </c>
      <c r="C4513" s="1" t="str">
        <f>"1040681369"</f>
        <v>1040681369</v>
      </c>
      <c r="D4513" s="1" t="s">
        <v>4527</v>
      </c>
      <c r="E4513" s="1" t="s">
        <v>4528</v>
      </c>
      <c r="F4513" s="1" t="s">
        <v>25</v>
      </c>
      <c r="G4513" s="1" t="s">
        <v>17</v>
      </c>
      <c r="H4513" s="1" t="str">
        <f>"62"</f>
        <v>62</v>
      </c>
      <c r="I4513" s="1" t="str">
        <f>"163.57"</f>
        <v>163.57</v>
      </c>
      <c r="J4513" s="1" t="str">
        <f t="shared" si="2833"/>
        <v>0</v>
      </c>
      <c r="K4513" s="1" t="str">
        <f t="shared" si="2834"/>
        <v>103</v>
      </c>
      <c r="L4513" s="1" t="str">
        <f t="shared" si="2835"/>
        <v>47</v>
      </c>
      <c r="M4513" s="1" t="str">
        <f t="shared" si="2837"/>
        <v>0</v>
      </c>
      <c r="N4513" s="1" t="str">
        <f t="shared" si="2827"/>
        <v>0</v>
      </c>
      <c r="O4513" s="1" t="str">
        <f>"13.57"</f>
        <v>13.57</v>
      </c>
    </row>
    <row r="4514" s="1" customFormat="1" spans="1:15">
      <c r="A4514" s="1" t="str">
        <f t="shared" si="2828"/>
        <v>202406</v>
      </c>
      <c r="B4514" s="1" t="str">
        <f t="shared" si="2829"/>
        <v>150525100</v>
      </c>
      <c r="C4514" s="1" t="str">
        <f>"1040681385"</f>
        <v>1040681385</v>
      </c>
      <c r="D4514" s="1" t="str">
        <f>"152326195609240694"</f>
        <v>152326195609240694</v>
      </c>
      <c r="E4514" s="1" t="s">
        <v>4529</v>
      </c>
      <c r="F4514" s="1" t="s">
        <v>25</v>
      </c>
      <c r="G4514" s="1" t="s">
        <v>17</v>
      </c>
      <c r="H4514" s="1" t="str">
        <f t="shared" ref="H4514:H4519" si="2838">"68"</f>
        <v>68</v>
      </c>
      <c r="I4514" s="1" t="str">
        <f>"154.81"</f>
        <v>154.81</v>
      </c>
      <c r="J4514" s="1" t="str">
        <f t="shared" si="2833"/>
        <v>0</v>
      </c>
      <c r="K4514" s="1" t="str">
        <f t="shared" si="2834"/>
        <v>103</v>
      </c>
      <c r="L4514" s="1" t="str">
        <f t="shared" si="2835"/>
        <v>47</v>
      </c>
      <c r="M4514" s="1" t="str">
        <f t="shared" si="2837"/>
        <v>0</v>
      </c>
      <c r="N4514" s="1" t="str">
        <f t="shared" si="2827"/>
        <v>0</v>
      </c>
      <c r="O4514" s="1" t="str">
        <f>"4.81"</f>
        <v>4.81</v>
      </c>
    </row>
    <row r="4515" s="1" customFormat="1" spans="1:15">
      <c r="A4515" s="1" t="str">
        <f t="shared" si="2828"/>
        <v>202406</v>
      </c>
      <c r="B4515" s="1" t="str">
        <f t="shared" si="2829"/>
        <v>150525100</v>
      </c>
      <c r="C4515" s="1" t="str">
        <f>"1040682457"</f>
        <v>1040682457</v>
      </c>
      <c r="D4515" s="1" t="str">
        <f>"152326195912010429"</f>
        <v>152326195912010429</v>
      </c>
      <c r="E4515" s="1" t="s">
        <v>3765</v>
      </c>
      <c r="F4515" s="1" t="s">
        <v>16</v>
      </c>
      <c r="G4515" s="1" t="s">
        <v>19</v>
      </c>
      <c r="H4515" s="1" t="str">
        <f>"65"</f>
        <v>65</v>
      </c>
      <c r="I4515" s="1" t="str">
        <f>"1820.5"</f>
        <v>1820.5</v>
      </c>
      <c r="J4515" s="1" t="str">
        <f>"1638.45"</f>
        <v>1638.45</v>
      </c>
      <c r="K4515" s="1" t="str">
        <f>"1030"</f>
        <v>1030</v>
      </c>
      <c r="L4515" s="1" t="str">
        <f>"470"</f>
        <v>470</v>
      </c>
      <c r="M4515" s="1" t="str">
        <f t="shared" si="2837"/>
        <v>0</v>
      </c>
      <c r="N4515" s="1" t="str">
        <f t="shared" si="2827"/>
        <v>0</v>
      </c>
      <c r="O4515" s="1" t="str">
        <f>"320.5"</f>
        <v>320.5</v>
      </c>
    </row>
    <row r="4516" s="1" customFormat="1" spans="1:15">
      <c r="A4516" s="1" t="str">
        <f t="shared" si="2828"/>
        <v>202406</v>
      </c>
      <c r="B4516" s="1" t="str">
        <f t="shared" si="2829"/>
        <v>150525100</v>
      </c>
      <c r="C4516" s="1" t="str">
        <f>"1040690086"</f>
        <v>1040690086</v>
      </c>
      <c r="D4516" s="1" t="str">
        <f>"152326195601180674"</f>
        <v>152326195601180674</v>
      </c>
      <c r="E4516" s="1" t="s">
        <v>623</v>
      </c>
      <c r="F4516" s="1" t="s">
        <v>25</v>
      </c>
      <c r="G4516" s="1" t="s">
        <v>17</v>
      </c>
      <c r="H4516" s="1" t="str">
        <f t="shared" si="2838"/>
        <v>68</v>
      </c>
      <c r="I4516" s="1" t="str">
        <f>"155.11"</f>
        <v>155.11</v>
      </c>
      <c r="J4516" s="1" t="str">
        <f t="shared" ref="J4516:J4528" si="2839">"0"</f>
        <v>0</v>
      </c>
      <c r="K4516" s="1" t="str">
        <f t="shared" ref="K4516:K4520" si="2840">"103"</f>
        <v>103</v>
      </c>
      <c r="L4516" s="1" t="str">
        <f t="shared" ref="L4516:L4520" si="2841">"47"</f>
        <v>47</v>
      </c>
      <c r="M4516" s="1" t="str">
        <f t="shared" si="2837"/>
        <v>0</v>
      </c>
      <c r="N4516" s="1" t="str">
        <f t="shared" si="2827"/>
        <v>0</v>
      </c>
      <c r="O4516" s="1" t="str">
        <f>"5.11"</f>
        <v>5.11</v>
      </c>
    </row>
    <row r="4517" s="1" customFormat="1" spans="1:15">
      <c r="A4517" s="1" t="str">
        <f t="shared" si="2828"/>
        <v>202406</v>
      </c>
      <c r="B4517" s="1" t="str">
        <f t="shared" si="2829"/>
        <v>150525100</v>
      </c>
      <c r="C4517" s="1" t="str">
        <f>"1040689976"</f>
        <v>1040689976</v>
      </c>
      <c r="D4517" s="1" t="str">
        <f>"152326195411150415"</f>
        <v>152326195411150415</v>
      </c>
      <c r="E4517" s="1" t="s">
        <v>2287</v>
      </c>
      <c r="F4517" s="1" t="s">
        <v>25</v>
      </c>
      <c r="G4517" s="1" t="s">
        <v>17</v>
      </c>
      <c r="H4517" s="1" t="str">
        <f>"70"</f>
        <v>70</v>
      </c>
      <c r="I4517" s="1" t="str">
        <f>"153.25"</f>
        <v>153.25</v>
      </c>
      <c r="J4517" s="1" t="str">
        <f t="shared" si="2839"/>
        <v>0</v>
      </c>
      <c r="K4517" s="1" t="str">
        <f t="shared" si="2840"/>
        <v>103</v>
      </c>
      <c r="L4517" s="1" t="str">
        <f t="shared" si="2841"/>
        <v>47</v>
      </c>
      <c r="M4517" s="1" t="str">
        <f t="shared" si="2837"/>
        <v>0</v>
      </c>
      <c r="N4517" s="1" t="str">
        <f t="shared" si="2827"/>
        <v>0</v>
      </c>
      <c r="O4517" s="1" t="str">
        <f>"3.25"</f>
        <v>3.25</v>
      </c>
    </row>
    <row r="4518" s="1" customFormat="1" spans="1:15">
      <c r="A4518" s="1" t="str">
        <f t="shared" si="2828"/>
        <v>202406</v>
      </c>
      <c r="B4518" s="1" t="str">
        <f t="shared" si="2829"/>
        <v>150525100</v>
      </c>
      <c r="C4518" s="1" t="str">
        <f>"1040690051"</f>
        <v>1040690051</v>
      </c>
      <c r="D4518" s="1" t="str">
        <f>"152326196108070433"</f>
        <v>152326196108070433</v>
      </c>
      <c r="E4518" s="1" t="s">
        <v>4530</v>
      </c>
      <c r="F4518" s="1" t="s">
        <v>25</v>
      </c>
      <c r="G4518" s="1" t="s">
        <v>19</v>
      </c>
      <c r="H4518" s="1" t="str">
        <f>"63"</f>
        <v>63</v>
      </c>
      <c r="I4518" s="1" t="str">
        <f>"160.14"</f>
        <v>160.14</v>
      </c>
      <c r="J4518" s="1" t="str">
        <f t="shared" si="2839"/>
        <v>0</v>
      </c>
      <c r="K4518" s="1" t="str">
        <f t="shared" si="2840"/>
        <v>103</v>
      </c>
      <c r="L4518" s="1" t="str">
        <f t="shared" si="2841"/>
        <v>47</v>
      </c>
      <c r="M4518" s="1" t="str">
        <f t="shared" si="2837"/>
        <v>0</v>
      </c>
      <c r="N4518" s="1" t="str">
        <f t="shared" si="2827"/>
        <v>0</v>
      </c>
      <c r="O4518" s="1" t="str">
        <f>"10.14"</f>
        <v>10.14</v>
      </c>
    </row>
    <row r="4519" s="1" customFormat="1" spans="1:15">
      <c r="A4519" s="1" t="str">
        <f t="shared" si="2828"/>
        <v>202406</v>
      </c>
      <c r="B4519" s="1" t="str">
        <f t="shared" si="2829"/>
        <v>150525100</v>
      </c>
      <c r="C4519" s="1" t="str">
        <f>"1040690382"</f>
        <v>1040690382</v>
      </c>
      <c r="D4519" s="1" t="s">
        <v>4531</v>
      </c>
      <c r="E4519" s="1" t="s">
        <v>3821</v>
      </c>
      <c r="F4519" s="1" t="s">
        <v>25</v>
      </c>
      <c r="G4519" s="1" t="s">
        <v>19</v>
      </c>
      <c r="H4519" s="1" t="str">
        <f t="shared" si="2838"/>
        <v>68</v>
      </c>
      <c r="I4519" s="1" t="str">
        <f>"154.88"</f>
        <v>154.88</v>
      </c>
      <c r="J4519" s="1" t="str">
        <f t="shared" si="2839"/>
        <v>0</v>
      </c>
      <c r="K4519" s="1" t="str">
        <f t="shared" si="2840"/>
        <v>103</v>
      </c>
      <c r="L4519" s="1" t="str">
        <f t="shared" si="2841"/>
        <v>47</v>
      </c>
      <c r="M4519" s="1" t="str">
        <f t="shared" si="2837"/>
        <v>0</v>
      </c>
      <c r="N4519" s="1" t="str">
        <f t="shared" si="2827"/>
        <v>0</v>
      </c>
      <c r="O4519" s="1" t="str">
        <f>"4.88"</f>
        <v>4.88</v>
      </c>
    </row>
    <row r="4520" s="1" customFormat="1" spans="1:15">
      <c r="A4520" s="1" t="str">
        <f t="shared" si="2828"/>
        <v>202406</v>
      </c>
      <c r="B4520" s="1" t="str">
        <f t="shared" si="2829"/>
        <v>150525100</v>
      </c>
      <c r="C4520" s="1" t="str">
        <f>"1040690439"</f>
        <v>1040690439</v>
      </c>
      <c r="D4520" s="1" t="str">
        <f>"152326196112120464"</f>
        <v>152326196112120464</v>
      </c>
      <c r="E4520" s="1" t="s">
        <v>4532</v>
      </c>
      <c r="F4520" s="1" t="s">
        <v>16</v>
      </c>
      <c r="G4520" s="1" t="s">
        <v>17</v>
      </c>
      <c r="H4520" s="1" t="str">
        <f>"63"</f>
        <v>63</v>
      </c>
      <c r="I4520" s="1" t="str">
        <f>"195.42"</f>
        <v>195.42</v>
      </c>
      <c r="J4520" s="1" t="str">
        <f t="shared" si="2839"/>
        <v>0</v>
      </c>
      <c r="K4520" s="1" t="str">
        <f t="shared" si="2840"/>
        <v>103</v>
      </c>
      <c r="L4520" s="1" t="str">
        <f t="shared" si="2841"/>
        <v>47</v>
      </c>
      <c r="M4520" s="1" t="str">
        <f t="shared" si="2837"/>
        <v>0</v>
      </c>
      <c r="N4520" s="1" t="str">
        <f t="shared" si="2827"/>
        <v>0</v>
      </c>
      <c r="O4520" s="1" t="str">
        <f>"45.42"</f>
        <v>45.42</v>
      </c>
    </row>
    <row r="4521" s="1" customFormat="1" spans="1:15">
      <c r="A4521" s="1" t="str">
        <f t="shared" si="2828"/>
        <v>202406</v>
      </c>
      <c r="B4521" s="1" t="str">
        <f t="shared" si="2829"/>
        <v>150525100</v>
      </c>
      <c r="C4521" s="1" t="str">
        <f>"1040690460"</f>
        <v>1040690460</v>
      </c>
      <c r="D4521" s="1" t="str">
        <f>"152326195807110444"</f>
        <v>152326195807110444</v>
      </c>
      <c r="E4521" s="1" t="s">
        <v>4533</v>
      </c>
      <c r="F4521" s="1" t="s">
        <v>16</v>
      </c>
      <c r="G4521" s="1" t="s">
        <v>17</v>
      </c>
      <c r="H4521" s="1" t="str">
        <f>"66"</f>
        <v>66</v>
      </c>
      <c r="I4521" s="1" t="str">
        <f>"2263.77"</f>
        <v>2263.77</v>
      </c>
      <c r="J4521" s="1" t="str">
        <f t="shared" si="2839"/>
        <v>0</v>
      </c>
      <c r="K4521" s="1" t="str">
        <f t="shared" ref="K4521:O4521" si="2842">"0"</f>
        <v>0</v>
      </c>
      <c r="L4521" s="1" t="str">
        <f t="shared" si="2842"/>
        <v>0</v>
      </c>
      <c r="M4521" s="1" t="str">
        <f t="shared" si="2837"/>
        <v>0</v>
      </c>
      <c r="N4521" s="1" t="str">
        <f t="shared" si="2827"/>
        <v>0</v>
      </c>
      <c r="O4521" s="1" t="str">
        <f t="shared" si="2842"/>
        <v>0</v>
      </c>
    </row>
    <row r="4522" s="1" customFormat="1" spans="1:15">
      <c r="A4522" s="1" t="str">
        <f t="shared" si="2828"/>
        <v>202406</v>
      </c>
      <c r="B4522" s="1" t="str">
        <f t="shared" si="2829"/>
        <v>150525100</v>
      </c>
      <c r="C4522" s="1" t="str">
        <f>"1040690485"</f>
        <v>1040690485</v>
      </c>
      <c r="D4522" s="1" t="str">
        <f>"152326195506043081"</f>
        <v>152326195506043081</v>
      </c>
      <c r="E4522" s="1" t="s">
        <v>4534</v>
      </c>
      <c r="F4522" s="1" t="s">
        <v>16</v>
      </c>
      <c r="G4522" s="1" t="s">
        <v>19</v>
      </c>
      <c r="H4522" s="1" t="str">
        <f>"69"</f>
        <v>69</v>
      </c>
      <c r="I4522" s="1" t="str">
        <f>"153.96"</f>
        <v>153.96</v>
      </c>
      <c r="J4522" s="1" t="str">
        <f t="shared" si="2839"/>
        <v>0</v>
      </c>
      <c r="K4522" s="1" t="str">
        <f t="shared" ref="K4522:K4528" si="2843">"103"</f>
        <v>103</v>
      </c>
      <c r="L4522" s="1" t="str">
        <f t="shared" ref="L4522:L4528" si="2844">"47"</f>
        <v>47</v>
      </c>
      <c r="M4522" s="1" t="str">
        <f t="shared" si="2837"/>
        <v>0</v>
      </c>
      <c r="N4522" s="1" t="str">
        <f t="shared" si="2827"/>
        <v>0</v>
      </c>
      <c r="O4522" s="1" t="str">
        <f>"3.96"</f>
        <v>3.96</v>
      </c>
    </row>
    <row r="4523" s="1" customFormat="1" spans="1:15">
      <c r="A4523" s="1" t="str">
        <f t="shared" si="2828"/>
        <v>202406</v>
      </c>
      <c r="B4523" s="1" t="str">
        <f t="shared" si="2829"/>
        <v>150525100</v>
      </c>
      <c r="C4523" s="1" t="str">
        <f>"1040690496"</f>
        <v>1040690496</v>
      </c>
      <c r="D4523" s="1" t="str">
        <f>"152326195910123120"</f>
        <v>152326195910123120</v>
      </c>
      <c r="E4523" s="1" t="s">
        <v>4535</v>
      </c>
      <c r="F4523" s="1" t="s">
        <v>16</v>
      </c>
      <c r="G4523" s="1" t="s">
        <v>19</v>
      </c>
      <c r="H4523" s="1" t="str">
        <f>"65"</f>
        <v>65</v>
      </c>
      <c r="I4523" s="1" t="str">
        <f>"156.8"</f>
        <v>156.8</v>
      </c>
      <c r="J4523" s="1" t="str">
        <f t="shared" si="2839"/>
        <v>0</v>
      </c>
      <c r="K4523" s="1" t="str">
        <f t="shared" si="2843"/>
        <v>103</v>
      </c>
      <c r="L4523" s="1" t="str">
        <f t="shared" si="2844"/>
        <v>47</v>
      </c>
      <c r="M4523" s="1" t="str">
        <f t="shared" si="2837"/>
        <v>0</v>
      </c>
      <c r="N4523" s="1" t="str">
        <f t="shared" si="2827"/>
        <v>0</v>
      </c>
      <c r="O4523" s="1" t="str">
        <f>"6.8"</f>
        <v>6.8</v>
      </c>
    </row>
    <row r="4524" s="1" customFormat="1" spans="1:15">
      <c r="A4524" s="1" t="str">
        <f t="shared" si="2828"/>
        <v>202406</v>
      </c>
      <c r="B4524" s="1" t="str">
        <f t="shared" si="2829"/>
        <v>150525100</v>
      </c>
      <c r="C4524" s="1" t="str">
        <f>"1040690502"</f>
        <v>1040690502</v>
      </c>
      <c r="D4524" s="1" t="str">
        <f>"152326195911103076"</f>
        <v>152326195911103076</v>
      </c>
      <c r="E4524" s="1" t="s">
        <v>4536</v>
      </c>
      <c r="F4524" s="1" t="s">
        <v>25</v>
      </c>
      <c r="G4524" s="1" t="s">
        <v>19</v>
      </c>
      <c r="H4524" s="1" t="str">
        <f>"65"</f>
        <v>65</v>
      </c>
      <c r="I4524" s="1" t="str">
        <f>"156.8"</f>
        <v>156.8</v>
      </c>
      <c r="J4524" s="1" t="str">
        <f t="shared" si="2839"/>
        <v>0</v>
      </c>
      <c r="K4524" s="1" t="str">
        <f t="shared" si="2843"/>
        <v>103</v>
      </c>
      <c r="L4524" s="1" t="str">
        <f t="shared" si="2844"/>
        <v>47</v>
      </c>
      <c r="M4524" s="1" t="str">
        <f t="shared" si="2837"/>
        <v>0</v>
      </c>
      <c r="N4524" s="1" t="str">
        <f t="shared" si="2827"/>
        <v>0</v>
      </c>
      <c r="O4524" s="1" t="str">
        <f>"6.8"</f>
        <v>6.8</v>
      </c>
    </row>
    <row r="4525" s="1" customFormat="1" spans="1:15">
      <c r="A4525" s="1" t="str">
        <f t="shared" si="2828"/>
        <v>202406</v>
      </c>
      <c r="B4525" s="1" t="str">
        <f t="shared" si="2829"/>
        <v>150525100</v>
      </c>
      <c r="C4525" s="1" t="str">
        <f>"1014572712"</f>
        <v>1014572712</v>
      </c>
      <c r="D4525" s="1" t="str">
        <f>"152326195812050028"</f>
        <v>152326195812050028</v>
      </c>
      <c r="E4525" s="1" t="s">
        <v>4537</v>
      </c>
      <c r="F4525" s="1" t="s">
        <v>16</v>
      </c>
      <c r="G4525" s="1" t="s">
        <v>19</v>
      </c>
      <c r="H4525" s="1" t="str">
        <f>"66"</f>
        <v>66</v>
      </c>
      <c r="I4525" s="1" t="str">
        <f>"158.86"</f>
        <v>158.86</v>
      </c>
      <c r="J4525" s="1" t="str">
        <f t="shared" si="2839"/>
        <v>0</v>
      </c>
      <c r="K4525" s="1" t="str">
        <f t="shared" si="2843"/>
        <v>103</v>
      </c>
      <c r="L4525" s="1" t="str">
        <f t="shared" si="2844"/>
        <v>47</v>
      </c>
      <c r="M4525" s="1" t="str">
        <f t="shared" si="2837"/>
        <v>0</v>
      </c>
      <c r="N4525" s="1" t="str">
        <f t="shared" si="2827"/>
        <v>0</v>
      </c>
      <c r="O4525" s="1" t="str">
        <f>"8.86"</f>
        <v>8.86</v>
      </c>
    </row>
    <row r="4526" s="1" customFormat="1" spans="1:15">
      <c r="A4526" s="1" t="str">
        <f t="shared" si="2828"/>
        <v>202406</v>
      </c>
      <c r="B4526" s="1" t="str">
        <f t="shared" si="2829"/>
        <v>150525100</v>
      </c>
      <c r="C4526" s="1" t="str">
        <f>"1014572730"</f>
        <v>1014572730</v>
      </c>
      <c r="D4526" s="1" t="str">
        <f>"152326196103100023"</f>
        <v>152326196103100023</v>
      </c>
      <c r="E4526" s="1" t="s">
        <v>4538</v>
      </c>
      <c r="F4526" s="1" t="s">
        <v>16</v>
      </c>
      <c r="G4526" s="1" t="s">
        <v>19</v>
      </c>
      <c r="H4526" s="1" t="str">
        <f>"63"</f>
        <v>63</v>
      </c>
      <c r="I4526" s="1" t="str">
        <f>"160.25"</f>
        <v>160.25</v>
      </c>
      <c r="J4526" s="1" t="str">
        <f t="shared" si="2839"/>
        <v>0</v>
      </c>
      <c r="K4526" s="1" t="str">
        <f t="shared" si="2843"/>
        <v>103</v>
      </c>
      <c r="L4526" s="1" t="str">
        <f t="shared" si="2844"/>
        <v>47</v>
      </c>
      <c r="M4526" s="1" t="str">
        <f t="shared" si="2837"/>
        <v>0</v>
      </c>
      <c r="N4526" s="1" t="str">
        <f t="shared" si="2827"/>
        <v>0</v>
      </c>
      <c r="O4526" s="1" t="str">
        <f>"10.25"</f>
        <v>10.25</v>
      </c>
    </row>
    <row r="4527" s="1" customFormat="1" spans="1:15">
      <c r="A4527" s="1" t="str">
        <f t="shared" si="2828"/>
        <v>202406</v>
      </c>
      <c r="B4527" s="1" t="str">
        <f t="shared" si="2829"/>
        <v>150525100</v>
      </c>
      <c r="C4527" s="1" t="str">
        <f>"1014573434"</f>
        <v>1014573434</v>
      </c>
      <c r="D4527" s="1" t="s">
        <v>4539</v>
      </c>
      <c r="E4527" s="1" t="s">
        <v>4540</v>
      </c>
      <c r="F4527" s="1" t="s">
        <v>16</v>
      </c>
      <c r="G4527" s="1" t="s">
        <v>19</v>
      </c>
      <c r="H4527" s="1" t="str">
        <f>"72"</f>
        <v>72</v>
      </c>
      <c r="I4527" s="1" t="str">
        <f>"162.14"</f>
        <v>162.14</v>
      </c>
      <c r="J4527" s="1" t="str">
        <f t="shared" si="2839"/>
        <v>0</v>
      </c>
      <c r="K4527" s="1" t="str">
        <f t="shared" si="2843"/>
        <v>103</v>
      </c>
      <c r="L4527" s="1" t="str">
        <f t="shared" si="2844"/>
        <v>47</v>
      </c>
      <c r="M4527" s="1" t="str">
        <f t="shared" si="2837"/>
        <v>0</v>
      </c>
      <c r="N4527" s="1" t="str">
        <f t="shared" si="2827"/>
        <v>0</v>
      </c>
      <c r="O4527" s="1" t="str">
        <f>"2.14"</f>
        <v>2.14</v>
      </c>
    </row>
    <row r="4528" s="1" customFormat="1" spans="1:15">
      <c r="A4528" s="1" t="str">
        <f t="shared" si="2828"/>
        <v>202406</v>
      </c>
      <c r="B4528" s="1" t="str">
        <f t="shared" si="2829"/>
        <v>150525100</v>
      </c>
      <c r="C4528" s="1" t="str">
        <f>"1014575577"</f>
        <v>1014575577</v>
      </c>
      <c r="D4528" s="1" t="str">
        <f>"152326196205060691"</f>
        <v>152326196205060691</v>
      </c>
      <c r="E4528" s="1" t="s">
        <v>4541</v>
      </c>
      <c r="F4528" s="1" t="s">
        <v>25</v>
      </c>
      <c r="G4528" s="1" t="s">
        <v>17</v>
      </c>
      <c r="H4528" s="1" t="str">
        <f t="shared" ref="H4528:H4530" si="2845">"62"</f>
        <v>62</v>
      </c>
      <c r="I4528" s="1" t="str">
        <f>"163.01"</f>
        <v>163.01</v>
      </c>
      <c r="J4528" s="1" t="str">
        <f t="shared" si="2839"/>
        <v>0</v>
      </c>
      <c r="K4528" s="1" t="str">
        <f t="shared" si="2843"/>
        <v>103</v>
      </c>
      <c r="L4528" s="1" t="str">
        <f t="shared" si="2844"/>
        <v>47</v>
      </c>
      <c r="M4528" s="1" t="str">
        <f t="shared" si="2837"/>
        <v>0</v>
      </c>
      <c r="N4528" s="1" t="str">
        <f t="shared" si="2827"/>
        <v>0</v>
      </c>
      <c r="O4528" s="1" t="str">
        <f>"13.01"</f>
        <v>13.01</v>
      </c>
    </row>
    <row r="4529" s="1" customFormat="1" spans="1:15">
      <c r="A4529" s="1" t="str">
        <f t="shared" si="2828"/>
        <v>202406</v>
      </c>
      <c r="B4529" s="1" t="str">
        <f t="shared" si="2829"/>
        <v>150525100</v>
      </c>
      <c r="C4529" s="1" t="str">
        <f>"1014575579"</f>
        <v>1014575579</v>
      </c>
      <c r="D4529" s="1" t="str">
        <f>"152326196206060677"</f>
        <v>152326196206060677</v>
      </c>
      <c r="E4529" s="1" t="s">
        <v>4542</v>
      </c>
      <c r="F4529" s="1" t="s">
        <v>25</v>
      </c>
      <c r="G4529" s="1" t="s">
        <v>17</v>
      </c>
      <c r="H4529" s="1" t="str">
        <f t="shared" si="2845"/>
        <v>62</v>
      </c>
      <c r="I4529" s="1" t="str">
        <f>"978.24"</f>
        <v>978.24</v>
      </c>
      <c r="J4529" s="1" t="str">
        <f>"815.2"</f>
        <v>815.2</v>
      </c>
      <c r="K4529" s="1" t="str">
        <f>"618"</f>
        <v>618</v>
      </c>
      <c r="L4529" s="1" t="str">
        <f>"282"</f>
        <v>282</v>
      </c>
      <c r="M4529" s="1" t="str">
        <f t="shared" si="2837"/>
        <v>0</v>
      </c>
      <c r="N4529" s="1" t="str">
        <f t="shared" si="2827"/>
        <v>0</v>
      </c>
      <c r="O4529" s="1" t="str">
        <f>"78.24"</f>
        <v>78.24</v>
      </c>
    </row>
    <row r="4530" s="1" customFormat="1" spans="1:15">
      <c r="A4530" s="1" t="str">
        <f t="shared" si="2828"/>
        <v>202406</v>
      </c>
      <c r="B4530" s="1" t="str">
        <f t="shared" si="2829"/>
        <v>150525100</v>
      </c>
      <c r="C4530" s="1" t="str">
        <f>"1014575584"</f>
        <v>1014575584</v>
      </c>
      <c r="D4530" s="1" t="str">
        <f>"152326196210150683"</f>
        <v>152326196210150683</v>
      </c>
      <c r="E4530" s="1" t="s">
        <v>4098</v>
      </c>
      <c r="F4530" s="1" t="s">
        <v>16</v>
      </c>
      <c r="G4530" s="1" t="s">
        <v>17</v>
      </c>
      <c r="H4530" s="1" t="str">
        <f t="shared" si="2845"/>
        <v>62</v>
      </c>
      <c r="I4530" s="1" t="str">
        <f>"163.19"</f>
        <v>163.19</v>
      </c>
      <c r="J4530" s="1" t="str">
        <f t="shared" ref="J4530:J4593" si="2846">"0"</f>
        <v>0</v>
      </c>
      <c r="K4530" s="1" t="str">
        <f t="shared" ref="K4530:K4593" si="2847">"103"</f>
        <v>103</v>
      </c>
      <c r="L4530" s="1" t="str">
        <f t="shared" ref="L4530:L4593" si="2848">"47"</f>
        <v>47</v>
      </c>
      <c r="M4530" s="1" t="str">
        <f t="shared" si="2837"/>
        <v>0</v>
      </c>
      <c r="N4530" s="1" t="str">
        <f t="shared" si="2827"/>
        <v>0</v>
      </c>
      <c r="O4530" s="1" t="str">
        <f>"13.19"</f>
        <v>13.19</v>
      </c>
    </row>
    <row r="4531" s="1" customFormat="1" spans="1:15">
      <c r="A4531" s="1" t="str">
        <f t="shared" si="2828"/>
        <v>202406</v>
      </c>
      <c r="B4531" s="1" t="str">
        <f t="shared" si="2829"/>
        <v>150525100</v>
      </c>
      <c r="C4531" s="1" t="str">
        <f>"1014575781"</f>
        <v>1014575781</v>
      </c>
      <c r="D4531" s="1" t="str">
        <f>"152326195709100672"</f>
        <v>152326195709100672</v>
      </c>
      <c r="E4531" s="1" t="s">
        <v>4543</v>
      </c>
      <c r="F4531" s="1" t="s">
        <v>25</v>
      </c>
      <c r="G4531" s="1" t="s">
        <v>17</v>
      </c>
      <c r="H4531" s="1" t="str">
        <f>"67"</f>
        <v>67</v>
      </c>
      <c r="I4531" s="1" t="str">
        <f>"156.08"</f>
        <v>156.08</v>
      </c>
      <c r="J4531" s="1" t="str">
        <f t="shared" si="2846"/>
        <v>0</v>
      </c>
      <c r="K4531" s="1" t="str">
        <f t="shared" si="2847"/>
        <v>103</v>
      </c>
      <c r="L4531" s="1" t="str">
        <f t="shared" si="2848"/>
        <v>47</v>
      </c>
      <c r="M4531" s="1" t="str">
        <f t="shared" si="2837"/>
        <v>0</v>
      </c>
      <c r="N4531" s="1" t="str">
        <f t="shared" si="2827"/>
        <v>0</v>
      </c>
      <c r="O4531" s="1" t="str">
        <f>"6.08"</f>
        <v>6.08</v>
      </c>
    </row>
    <row r="4532" s="1" customFormat="1" spans="1:15">
      <c r="A4532" s="1" t="str">
        <f t="shared" si="2828"/>
        <v>202406</v>
      </c>
      <c r="B4532" s="1" t="str">
        <f t="shared" si="2829"/>
        <v>150525100</v>
      </c>
      <c r="C4532" s="1" t="str">
        <f>"1014575796"</f>
        <v>1014575796</v>
      </c>
      <c r="D4532" s="1" t="str">
        <f>"152326196008250752"</f>
        <v>152326196008250752</v>
      </c>
      <c r="E4532" s="1" t="s">
        <v>4544</v>
      </c>
      <c r="F4532" s="1" t="s">
        <v>25</v>
      </c>
      <c r="G4532" s="1" t="s">
        <v>17</v>
      </c>
      <c r="H4532" s="1" t="str">
        <f>"64"</f>
        <v>64</v>
      </c>
      <c r="I4532" s="1" t="str">
        <f>"159.24"</f>
        <v>159.24</v>
      </c>
      <c r="J4532" s="1" t="str">
        <f t="shared" si="2846"/>
        <v>0</v>
      </c>
      <c r="K4532" s="1" t="str">
        <f t="shared" si="2847"/>
        <v>103</v>
      </c>
      <c r="L4532" s="1" t="str">
        <f t="shared" si="2848"/>
        <v>47</v>
      </c>
      <c r="M4532" s="1" t="str">
        <f t="shared" si="2837"/>
        <v>0</v>
      </c>
      <c r="N4532" s="1" t="str">
        <f t="shared" si="2827"/>
        <v>0</v>
      </c>
      <c r="O4532" s="1" t="str">
        <f>"9.24"</f>
        <v>9.24</v>
      </c>
    </row>
    <row r="4533" s="1" customFormat="1" spans="1:15">
      <c r="A4533" s="1" t="str">
        <f t="shared" si="2828"/>
        <v>202406</v>
      </c>
      <c r="B4533" s="1" t="str">
        <f t="shared" si="2829"/>
        <v>150525100</v>
      </c>
      <c r="C4533" s="1" t="str">
        <f>"1014576798"</f>
        <v>1014576798</v>
      </c>
      <c r="D4533" s="1" t="str">
        <f>"152326196009263838"</f>
        <v>152326196009263838</v>
      </c>
      <c r="E4533" s="1" t="s">
        <v>4545</v>
      </c>
      <c r="F4533" s="1" t="s">
        <v>25</v>
      </c>
      <c r="G4533" s="1" t="s">
        <v>17</v>
      </c>
      <c r="H4533" s="1" t="str">
        <f>"64"</f>
        <v>64</v>
      </c>
      <c r="I4533" s="1" t="str">
        <f>"159.25"</f>
        <v>159.25</v>
      </c>
      <c r="J4533" s="1" t="str">
        <f t="shared" si="2846"/>
        <v>0</v>
      </c>
      <c r="K4533" s="1" t="str">
        <f t="shared" si="2847"/>
        <v>103</v>
      </c>
      <c r="L4533" s="1" t="str">
        <f t="shared" si="2848"/>
        <v>47</v>
      </c>
      <c r="M4533" s="1" t="str">
        <f t="shared" si="2837"/>
        <v>0</v>
      </c>
      <c r="N4533" s="1" t="str">
        <f t="shared" si="2827"/>
        <v>0</v>
      </c>
      <c r="O4533" s="1" t="str">
        <f>"9.25"</f>
        <v>9.25</v>
      </c>
    </row>
    <row r="4534" s="1" customFormat="1" spans="1:15">
      <c r="A4534" s="1" t="str">
        <f t="shared" si="2828"/>
        <v>202406</v>
      </c>
      <c r="B4534" s="1" t="str">
        <f t="shared" si="2829"/>
        <v>150525100</v>
      </c>
      <c r="C4534" s="1" t="str">
        <f>"1014548349"</f>
        <v>1014548349</v>
      </c>
      <c r="D4534" s="1" t="str">
        <f>"152326195302210677"</f>
        <v>152326195302210677</v>
      </c>
      <c r="E4534" s="1" t="s">
        <v>2582</v>
      </c>
      <c r="F4534" s="1" t="s">
        <v>25</v>
      </c>
      <c r="G4534" s="1" t="s">
        <v>17</v>
      </c>
      <c r="H4534" s="1" t="str">
        <f>"71"</f>
        <v>71</v>
      </c>
      <c r="I4534" s="1" t="str">
        <f>"163.16"</f>
        <v>163.16</v>
      </c>
      <c r="J4534" s="1" t="str">
        <f t="shared" si="2846"/>
        <v>0</v>
      </c>
      <c r="K4534" s="1" t="str">
        <f t="shared" si="2847"/>
        <v>103</v>
      </c>
      <c r="L4534" s="1" t="str">
        <f t="shared" si="2848"/>
        <v>47</v>
      </c>
      <c r="M4534" s="1" t="str">
        <f t="shared" si="2837"/>
        <v>0</v>
      </c>
      <c r="N4534" s="1" t="str">
        <f t="shared" si="2827"/>
        <v>0</v>
      </c>
      <c r="O4534" s="1" t="str">
        <f>"3.16"</f>
        <v>3.16</v>
      </c>
    </row>
    <row r="4535" s="1" customFormat="1" spans="1:15">
      <c r="A4535" s="1" t="str">
        <f t="shared" si="2828"/>
        <v>202406</v>
      </c>
      <c r="B4535" s="1" t="str">
        <f t="shared" si="2829"/>
        <v>150525100</v>
      </c>
      <c r="C4535" s="1" t="str">
        <f>"1014572748"</f>
        <v>1014572748</v>
      </c>
      <c r="D4535" s="1" t="str">
        <f>"152326196307103074"</f>
        <v>152326196307103074</v>
      </c>
      <c r="E4535" s="1" t="s">
        <v>4546</v>
      </c>
      <c r="F4535" s="1" t="s">
        <v>25</v>
      </c>
      <c r="G4535" s="1" t="s">
        <v>19</v>
      </c>
      <c r="H4535" s="1" t="str">
        <f>"61"</f>
        <v>61</v>
      </c>
      <c r="I4535" s="1" t="str">
        <f>"164.47"</f>
        <v>164.47</v>
      </c>
      <c r="J4535" s="1" t="str">
        <f t="shared" si="2846"/>
        <v>0</v>
      </c>
      <c r="K4535" s="1" t="str">
        <f t="shared" si="2847"/>
        <v>103</v>
      </c>
      <c r="L4535" s="1" t="str">
        <f t="shared" si="2848"/>
        <v>47</v>
      </c>
      <c r="M4535" s="1" t="str">
        <f t="shared" si="2837"/>
        <v>0</v>
      </c>
      <c r="N4535" s="1" t="str">
        <f t="shared" si="2827"/>
        <v>0</v>
      </c>
      <c r="O4535" s="1" t="str">
        <f>"14.47"</f>
        <v>14.47</v>
      </c>
    </row>
    <row r="4536" s="1" customFormat="1" spans="1:15">
      <c r="A4536" s="1" t="str">
        <f t="shared" si="2828"/>
        <v>202406</v>
      </c>
      <c r="B4536" s="1" t="str">
        <f t="shared" si="2829"/>
        <v>150525100</v>
      </c>
      <c r="C4536" s="1" t="str">
        <f>"1014572772"</f>
        <v>1014572772</v>
      </c>
      <c r="D4536" s="1" t="str">
        <f>"152326195408280059"</f>
        <v>152326195408280059</v>
      </c>
      <c r="E4536" s="1" t="s">
        <v>4547</v>
      </c>
      <c r="F4536" s="1" t="s">
        <v>25</v>
      </c>
      <c r="G4536" s="1" t="s">
        <v>17</v>
      </c>
      <c r="H4536" s="1" t="str">
        <f>"70"</f>
        <v>70</v>
      </c>
      <c r="I4536" s="1" t="str">
        <f>"154.14"</f>
        <v>154.14</v>
      </c>
      <c r="J4536" s="1" t="str">
        <f t="shared" si="2846"/>
        <v>0</v>
      </c>
      <c r="K4536" s="1" t="str">
        <f t="shared" si="2847"/>
        <v>103</v>
      </c>
      <c r="L4536" s="1" t="str">
        <f t="shared" si="2848"/>
        <v>47</v>
      </c>
      <c r="M4536" s="1" t="str">
        <f t="shared" si="2837"/>
        <v>0</v>
      </c>
      <c r="N4536" s="1" t="str">
        <f t="shared" si="2827"/>
        <v>0</v>
      </c>
      <c r="O4536" s="1" t="str">
        <f>"4.14"</f>
        <v>4.14</v>
      </c>
    </row>
    <row r="4537" s="1" customFormat="1" spans="1:15">
      <c r="A4537" s="1" t="str">
        <f t="shared" si="2828"/>
        <v>202406</v>
      </c>
      <c r="B4537" s="1" t="str">
        <f t="shared" si="2829"/>
        <v>150525100</v>
      </c>
      <c r="C4537" s="1" t="str">
        <f>"1014572779"</f>
        <v>1014572779</v>
      </c>
      <c r="D4537" s="1" t="str">
        <f>"152326195410010023"</f>
        <v>152326195410010023</v>
      </c>
      <c r="E4537" s="1" t="s">
        <v>4548</v>
      </c>
      <c r="F4537" s="1" t="s">
        <v>16</v>
      </c>
      <c r="G4537" s="1" t="s">
        <v>17</v>
      </c>
      <c r="H4537" s="1" t="str">
        <f>"70"</f>
        <v>70</v>
      </c>
      <c r="I4537" s="1" t="str">
        <f>"154.14"</f>
        <v>154.14</v>
      </c>
      <c r="J4537" s="1" t="str">
        <f t="shared" si="2846"/>
        <v>0</v>
      </c>
      <c r="K4537" s="1" t="str">
        <f t="shared" si="2847"/>
        <v>103</v>
      </c>
      <c r="L4537" s="1" t="str">
        <f t="shared" si="2848"/>
        <v>47</v>
      </c>
      <c r="M4537" s="1" t="str">
        <f t="shared" si="2837"/>
        <v>0</v>
      </c>
      <c r="N4537" s="1" t="str">
        <f t="shared" ref="N4537:N4600" si="2849">"0"</f>
        <v>0</v>
      </c>
      <c r="O4537" s="1" t="str">
        <f>"4.14"</f>
        <v>4.14</v>
      </c>
    </row>
    <row r="4538" s="1" customFormat="1" spans="1:15">
      <c r="A4538" s="1" t="str">
        <f t="shared" si="2828"/>
        <v>202406</v>
      </c>
      <c r="B4538" s="1" t="str">
        <f t="shared" si="2829"/>
        <v>150525100</v>
      </c>
      <c r="C4538" s="1" t="str">
        <f>"1014573289"</f>
        <v>1014573289</v>
      </c>
      <c r="D4538" s="1" t="str">
        <f>"152326195711093088"</f>
        <v>152326195711093088</v>
      </c>
      <c r="E4538" s="1" t="s">
        <v>3247</v>
      </c>
      <c r="F4538" s="1" t="s">
        <v>16</v>
      </c>
      <c r="G4538" s="1" t="s">
        <v>17</v>
      </c>
      <c r="H4538" s="1" t="str">
        <f>"67"</f>
        <v>67</v>
      </c>
      <c r="I4538" s="1" t="str">
        <f>"156.1"</f>
        <v>156.1</v>
      </c>
      <c r="J4538" s="1" t="str">
        <f t="shared" si="2846"/>
        <v>0</v>
      </c>
      <c r="K4538" s="1" t="str">
        <f t="shared" si="2847"/>
        <v>103</v>
      </c>
      <c r="L4538" s="1" t="str">
        <f t="shared" si="2848"/>
        <v>47</v>
      </c>
      <c r="M4538" s="1" t="str">
        <f t="shared" si="2837"/>
        <v>0</v>
      </c>
      <c r="N4538" s="1" t="str">
        <f t="shared" si="2849"/>
        <v>0</v>
      </c>
      <c r="O4538" s="1" t="str">
        <f>"6.1"</f>
        <v>6.1</v>
      </c>
    </row>
    <row r="4539" s="1" customFormat="1" spans="1:15">
      <c r="A4539" s="1" t="str">
        <f t="shared" si="2828"/>
        <v>202406</v>
      </c>
      <c r="B4539" s="1" t="str">
        <f t="shared" si="2829"/>
        <v>150525100</v>
      </c>
      <c r="C4539" s="1" t="str">
        <f>"1014573294"</f>
        <v>1014573294</v>
      </c>
      <c r="D4539" s="1" t="str">
        <f>"152326195712140421"</f>
        <v>152326195712140421</v>
      </c>
      <c r="E4539" s="1" t="s">
        <v>4549</v>
      </c>
      <c r="F4539" s="1" t="s">
        <v>16</v>
      </c>
      <c r="G4539" s="1" t="s">
        <v>17</v>
      </c>
      <c r="H4539" s="1" t="str">
        <f>"67"</f>
        <v>67</v>
      </c>
      <c r="I4539" s="1" t="str">
        <f>"157.06"</f>
        <v>157.06</v>
      </c>
      <c r="J4539" s="1" t="str">
        <f t="shared" si="2846"/>
        <v>0</v>
      </c>
      <c r="K4539" s="1" t="str">
        <f t="shared" si="2847"/>
        <v>103</v>
      </c>
      <c r="L4539" s="1" t="str">
        <f t="shared" si="2848"/>
        <v>47</v>
      </c>
      <c r="M4539" s="1" t="str">
        <f t="shared" si="2837"/>
        <v>0</v>
      </c>
      <c r="N4539" s="1" t="str">
        <f t="shared" si="2849"/>
        <v>0</v>
      </c>
      <c r="O4539" s="1" t="str">
        <f>"7.06"</f>
        <v>7.06</v>
      </c>
    </row>
    <row r="4540" s="1" customFormat="1" spans="1:15">
      <c r="A4540" s="1" t="str">
        <f t="shared" si="2828"/>
        <v>202406</v>
      </c>
      <c r="B4540" s="1" t="str">
        <f t="shared" si="2829"/>
        <v>150525100</v>
      </c>
      <c r="C4540" s="1" t="str">
        <f>"1014575595"</f>
        <v>1014575595</v>
      </c>
      <c r="D4540" s="1" t="str">
        <f>"152326196309010664"</f>
        <v>152326196309010664</v>
      </c>
      <c r="E4540" s="1" t="s">
        <v>4550</v>
      </c>
      <c r="F4540" s="1" t="s">
        <v>16</v>
      </c>
      <c r="G4540" s="1" t="s">
        <v>17</v>
      </c>
      <c r="H4540" s="1" t="str">
        <f>"61"</f>
        <v>61</v>
      </c>
      <c r="I4540" s="1" t="str">
        <f>"165.1"</f>
        <v>165.1</v>
      </c>
      <c r="J4540" s="1" t="str">
        <f t="shared" si="2846"/>
        <v>0</v>
      </c>
      <c r="K4540" s="1" t="str">
        <f t="shared" si="2847"/>
        <v>103</v>
      </c>
      <c r="L4540" s="1" t="str">
        <f t="shared" si="2848"/>
        <v>47</v>
      </c>
      <c r="M4540" s="1" t="str">
        <f t="shared" si="2837"/>
        <v>0</v>
      </c>
      <c r="N4540" s="1" t="str">
        <f t="shared" si="2849"/>
        <v>0</v>
      </c>
      <c r="O4540" s="1" t="str">
        <f>"15.1"</f>
        <v>15.1</v>
      </c>
    </row>
    <row r="4541" s="1" customFormat="1" spans="1:15">
      <c r="A4541" s="1" t="str">
        <f t="shared" si="2828"/>
        <v>202406</v>
      </c>
      <c r="B4541" s="1" t="str">
        <f t="shared" si="2829"/>
        <v>150525100</v>
      </c>
      <c r="C4541" s="1" t="str">
        <f>"1014575600"</f>
        <v>1014575600</v>
      </c>
      <c r="D4541" s="1" t="str">
        <f>"152326195511173075"</f>
        <v>152326195511173075</v>
      </c>
      <c r="E4541" s="1" t="s">
        <v>4551</v>
      </c>
      <c r="F4541" s="1" t="s">
        <v>25</v>
      </c>
      <c r="G4541" s="1" t="s">
        <v>17</v>
      </c>
      <c r="H4541" s="1" t="str">
        <f>"69"</f>
        <v>69</v>
      </c>
      <c r="I4541" s="1" t="str">
        <f>"171.62"</f>
        <v>171.62</v>
      </c>
      <c r="J4541" s="1" t="str">
        <f t="shared" si="2846"/>
        <v>0</v>
      </c>
      <c r="K4541" s="1" t="str">
        <f t="shared" si="2847"/>
        <v>103</v>
      </c>
      <c r="L4541" s="1" t="str">
        <f t="shared" si="2848"/>
        <v>47</v>
      </c>
      <c r="M4541" s="1" t="str">
        <f t="shared" si="2837"/>
        <v>0</v>
      </c>
      <c r="N4541" s="1" t="str">
        <f t="shared" si="2849"/>
        <v>0</v>
      </c>
      <c r="O4541" s="1" t="str">
        <f>"21.62"</f>
        <v>21.62</v>
      </c>
    </row>
    <row r="4542" s="1" customFormat="1" spans="1:15">
      <c r="A4542" s="1" t="str">
        <f t="shared" si="2828"/>
        <v>202406</v>
      </c>
      <c r="B4542" s="1" t="str">
        <f t="shared" si="2829"/>
        <v>150525100</v>
      </c>
      <c r="C4542" s="1" t="str">
        <f>"1014575602"</f>
        <v>1014575602</v>
      </c>
      <c r="D4542" s="1" t="str">
        <f>"152326195802236128"</f>
        <v>152326195802236128</v>
      </c>
      <c r="E4542" s="1" t="s">
        <v>4552</v>
      </c>
      <c r="F4542" s="1" t="s">
        <v>16</v>
      </c>
      <c r="G4542" s="1" t="s">
        <v>17</v>
      </c>
      <c r="H4542" s="1" t="str">
        <f>"66"</f>
        <v>66</v>
      </c>
      <c r="I4542" s="1" t="str">
        <f>"180.39"</f>
        <v>180.39</v>
      </c>
      <c r="J4542" s="1" t="str">
        <f t="shared" si="2846"/>
        <v>0</v>
      </c>
      <c r="K4542" s="1" t="str">
        <f t="shared" si="2847"/>
        <v>103</v>
      </c>
      <c r="L4542" s="1" t="str">
        <f t="shared" si="2848"/>
        <v>47</v>
      </c>
      <c r="M4542" s="1" t="str">
        <f t="shared" si="2837"/>
        <v>0</v>
      </c>
      <c r="N4542" s="1" t="str">
        <f t="shared" si="2849"/>
        <v>0</v>
      </c>
      <c r="O4542" s="1" t="str">
        <f>"30.39"</f>
        <v>30.39</v>
      </c>
    </row>
    <row r="4543" s="1" customFormat="1" spans="1:15">
      <c r="A4543" s="1" t="str">
        <f t="shared" si="2828"/>
        <v>202406</v>
      </c>
      <c r="B4543" s="1" t="str">
        <f t="shared" si="2829"/>
        <v>150525100</v>
      </c>
      <c r="C4543" s="1" t="str">
        <f>"1014576851"</f>
        <v>1014576851</v>
      </c>
      <c r="D4543" s="1" t="str">
        <f>"152326195801290667"</f>
        <v>152326195801290667</v>
      </c>
      <c r="E4543" s="1" t="s">
        <v>4553</v>
      </c>
      <c r="F4543" s="1" t="s">
        <v>16</v>
      </c>
      <c r="G4543" s="1" t="s">
        <v>17</v>
      </c>
      <c r="H4543" s="1" t="str">
        <f>"66"</f>
        <v>66</v>
      </c>
      <c r="I4543" s="1" t="str">
        <f>"157.06"</f>
        <v>157.06</v>
      </c>
      <c r="J4543" s="1" t="str">
        <f t="shared" si="2846"/>
        <v>0</v>
      </c>
      <c r="K4543" s="1" t="str">
        <f t="shared" si="2847"/>
        <v>103</v>
      </c>
      <c r="L4543" s="1" t="str">
        <f t="shared" si="2848"/>
        <v>47</v>
      </c>
      <c r="M4543" s="1" t="str">
        <f t="shared" si="2837"/>
        <v>0</v>
      </c>
      <c r="N4543" s="1" t="str">
        <f t="shared" si="2849"/>
        <v>0</v>
      </c>
      <c r="O4543" s="1" t="str">
        <f>"7.06"</f>
        <v>7.06</v>
      </c>
    </row>
    <row r="4544" s="1" customFormat="1" spans="1:15">
      <c r="A4544" s="1" t="str">
        <f t="shared" si="2828"/>
        <v>202406</v>
      </c>
      <c r="B4544" s="1" t="str">
        <f t="shared" si="2829"/>
        <v>150525100</v>
      </c>
      <c r="C4544" s="1" t="str">
        <f>"1014552200"</f>
        <v>1014552200</v>
      </c>
      <c r="D4544" s="1" t="str">
        <f>"152326195603233821"</f>
        <v>152326195603233821</v>
      </c>
      <c r="E4544" s="1" t="s">
        <v>4554</v>
      </c>
      <c r="F4544" s="1" t="s">
        <v>16</v>
      </c>
      <c r="G4544" s="1" t="s">
        <v>17</v>
      </c>
      <c r="H4544" s="1" t="str">
        <f>"68"</f>
        <v>68</v>
      </c>
      <c r="I4544" s="1" t="str">
        <f>"155.73"</f>
        <v>155.73</v>
      </c>
      <c r="J4544" s="1" t="str">
        <f t="shared" si="2846"/>
        <v>0</v>
      </c>
      <c r="K4544" s="1" t="str">
        <f t="shared" si="2847"/>
        <v>103</v>
      </c>
      <c r="L4544" s="1" t="str">
        <f t="shared" si="2848"/>
        <v>47</v>
      </c>
      <c r="M4544" s="1" t="str">
        <f t="shared" si="2837"/>
        <v>0</v>
      </c>
      <c r="N4544" s="1" t="str">
        <f t="shared" si="2849"/>
        <v>0</v>
      </c>
      <c r="O4544" s="1" t="str">
        <f>"5.73"</f>
        <v>5.73</v>
      </c>
    </row>
    <row r="4545" s="1" customFormat="1" spans="1:15">
      <c r="A4545" s="1" t="str">
        <f t="shared" si="2828"/>
        <v>202406</v>
      </c>
      <c r="B4545" s="1" t="str">
        <f t="shared" si="2829"/>
        <v>150525100</v>
      </c>
      <c r="C4545" s="1" t="str">
        <f>"1014573023"</f>
        <v>1014573023</v>
      </c>
      <c r="D4545" s="1" t="str">
        <f>"152326196309190036"</f>
        <v>152326196309190036</v>
      </c>
      <c r="E4545" s="1" t="s">
        <v>4555</v>
      </c>
      <c r="F4545" s="1" t="s">
        <v>25</v>
      </c>
      <c r="G4545" s="1" t="s">
        <v>17</v>
      </c>
      <c r="H4545" s="1" t="str">
        <f t="shared" ref="H4545:H4547" si="2850">"61"</f>
        <v>61</v>
      </c>
      <c r="I4545" s="1" t="str">
        <f>"166.78"</f>
        <v>166.78</v>
      </c>
      <c r="J4545" s="1" t="str">
        <f t="shared" si="2846"/>
        <v>0</v>
      </c>
      <c r="K4545" s="1" t="str">
        <f t="shared" si="2847"/>
        <v>103</v>
      </c>
      <c r="L4545" s="1" t="str">
        <f t="shared" si="2848"/>
        <v>47</v>
      </c>
      <c r="M4545" s="1" t="str">
        <f t="shared" si="2837"/>
        <v>0</v>
      </c>
      <c r="N4545" s="1" t="str">
        <f t="shared" si="2849"/>
        <v>0</v>
      </c>
      <c r="O4545" s="1" t="str">
        <f>"16.78"</f>
        <v>16.78</v>
      </c>
    </row>
    <row r="4546" s="1" customFormat="1" spans="1:15">
      <c r="A4546" s="1" t="str">
        <f t="shared" ref="A4546:A4609" si="2851">"202406"</f>
        <v>202406</v>
      </c>
      <c r="B4546" s="1" t="str">
        <f t="shared" ref="B4546:B4609" si="2852">"150525100"</f>
        <v>150525100</v>
      </c>
      <c r="C4546" s="1" t="str">
        <f>"1014573026"</f>
        <v>1014573026</v>
      </c>
      <c r="D4546" s="1" t="str">
        <f>"152326196310133071"</f>
        <v>152326196310133071</v>
      </c>
      <c r="E4546" s="1" t="s">
        <v>4556</v>
      </c>
      <c r="F4546" s="1" t="s">
        <v>25</v>
      </c>
      <c r="G4546" s="1" t="s">
        <v>17</v>
      </c>
      <c r="H4546" s="1" t="str">
        <f t="shared" si="2850"/>
        <v>61</v>
      </c>
      <c r="I4546" s="1" t="str">
        <f>"167.5"</f>
        <v>167.5</v>
      </c>
      <c r="J4546" s="1" t="str">
        <f t="shared" si="2846"/>
        <v>0</v>
      </c>
      <c r="K4546" s="1" t="str">
        <f t="shared" si="2847"/>
        <v>103</v>
      </c>
      <c r="L4546" s="1" t="str">
        <f t="shared" si="2848"/>
        <v>47</v>
      </c>
      <c r="M4546" s="1" t="str">
        <f t="shared" si="2837"/>
        <v>0</v>
      </c>
      <c r="N4546" s="1" t="str">
        <f t="shared" si="2849"/>
        <v>0</v>
      </c>
      <c r="O4546" s="1" t="str">
        <f>"17.5"</f>
        <v>17.5</v>
      </c>
    </row>
    <row r="4547" s="1" customFormat="1" spans="1:15">
      <c r="A4547" s="1" t="str">
        <f t="shared" si="2851"/>
        <v>202406</v>
      </c>
      <c r="B4547" s="1" t="str">
        <f t="shared" si="2852"/>
        <v>150525100</v>
      </c>
      <c r="C4547" s="1" t="str">
        <f>"1014573030"</f>
        <v>1014573030</v>
      </c>
      <c r="D4547" s="1" t="str">
        <f>"152326196312090028"</f>
        <v>152326196312090028</v>
      </c>
      <c r="E4547" s="1" t="s">
        <v>4557</v>
      </c>
      <c r="F4547" s="1" t="s">
        <v>16</v>
      </c>
      <c r="G4547" s="1" t="s">
        <v>17</v>
      </c>
      <c r="H4547" s="1" t="str">
        <f t="shared" si="2850"/>
        <v>61</v>
      </c>
      <c r="I4547" s="1" t="str">
        <f>"185.98"</f>
        <v>185.98</v>
      </c>
      <c r="J4547" s="1" t="str">
        <f t="shared" si="2846"/>
        <v>0</v>
      </c>
      <c r="K4547" s="1" t="str">
        <f t="shared" si="2847"/>
        <v>103</v>
      </c>
      <c r="L4547" s="1" t="str">
        <f t="shared" si="2848"/>
        <v>47</v>
      </c>
      <c r="M4547" s="1" t="str">
        <f t="shared" si="2837"/>
        <v>0</v>
      </c>
      <c r="N4547" s="1" t="str">
        <f t="shared" si="2849"/>
        <v>0</v>
      </c>
      <c r="O4547" s="1" t="str">
        <f>"35.98"</f>
        <v>35.98</v>
      </c>
    </row>
    <row r="4548" s="1" customFormat="1" spans="1:15">
      <c r="A4548" s="1" t="str">
        <f t="shared" si="2851"/>
        <v>202406</v>
      </c>
      <c r="B4548" s="1" t="str">
        <f t="shared" si="2852"/>
        <v>150525100</v>
      </c>
      <c r="C4548" s="1" t="str">
        <f>"1014573039"</f>
        <v>1014573039</v>
      </c>
      <c r="D4548" s="1" t="str">
        <f>"152326196402060420"</f>
        <v>152326196402060420</v>
      </c>
      <c r="E4548" s="1" t="s">
        <v>4558</v>
      </c>
      <c r="F4548" s="1" t="s">
        <v>16</v>
      </c>
      <c r="G4548" s="1" t="s">
        <v>17</v>
      </c>
      <c r="H4548" s="1" t="str">
        <f>"60"</f>
        <v>60</v>
      </c>
      <c r="I4548" s="1" t="str">
        <f>"166.8"</f>
        <v>166.8</v>
      </c>
      <c r="J4548" s="1" t="str">
        <f t="shared" si="2846"/>
        <v>0</v>
      </c>
      <c r="K4548" s="1" t="str">
        <f t="shared" si="2847"/>
        <v>103</v>
      </c>
      <c r="L4548" s="1" t="str">
        <f t="shared" si="2848"/>
        <v>47</v>
      </c>
      <c r="M4548" s="1" t="str">
        <f t="shared" si="2837"/>
        <v>0</v>
      </c>
      <c r="N4548" s="1" t="str">
        <f t="shared" si="2849"/>
        <v>0</v>
      </c>
      <c r="O4548" s="1" t="str">
        <f>"16.8"</f>
        <v>16.8</v>
      </c>
    </row>
    <row r="4549" s="1" customFormat="1" spans="1:15">
      <c r="A4549" s="1" t="str">
        <f t="shared" si="2851"/>
        <v>202406</v>
      </c>
      <c r="B4549" s="1" t="str">
        <f t="shared" si="2852"/>
        <v>150525100</v>
      </c>
      <c r="C4549" s="1" t="str">
        <f>"1014573311"</f>
        <v>1014573311</v>
      </c>
      <c r="D4549" s="1" t="str">
        <f>"152326195807153081"</f>
        <v>152326195807153081</v>
      </c>
      <c r="E4549" s="1" t="s">
        <v>4559</v>
      </c>
      <c r="F4549" s="1" t="s">
        <v>16</v>
      </c>
      <c r="G4549" s="1" t="s">
        <v>17</v>
      </c>
      <c r="H4549" s="1" t="str">
        <f>"66"</f>
        <v>66</v>
      </c>
      <c r="I4549" s="1" t="str">
        <f>"157.11"</f>
        <v>157.11</v>
      </c>
      <c r="J4549" s="1" t="str">
        <f t="shared" si="2846"/>
        <v>0</v>
      </c>
      <c r="K4549" s="1" t="str">
        <f t="shared" si="2847"/>
        <v>103</v>
      </c>
      <c r="L4549" s="1" t="str">
        <f t="shared" si="2848"/>
        <v>47</v>
      </c>
      <c r="M4549" s="1" t="str">
        <f t="shared" si="2837"/>
        <v>0</v>
      </c>
      <c r="N4549" s="1" t="str">
        <f t="shared" si="2849"/>
        <v>0</v>
      </c>
      <c r="O4549" s="1" t="str">
        <f>"7.11"</f>
        <v>7.11</v>
      </c>
    </row>
    <row r="4550" s="1" customFormat="1" spans="1:15">
      <c r="A4550" s="1" t="str">
        <f t="shared" si="2851"/>
        <v>202406</v>
      </c>
      <c r="B4550" s="1" t="str">
        <f t="shared" si="2852"/>
        <v>150525100</v>
      </c>
      <c r="C4550" s="1" t="str">
        <f>"1014573470"</f>
        <v>1014573470</v>
      </c>
      <c r="D4550" s="1" t="str">
        <f>"152326196203063100"</f>
        <v>152326196203063100</v>
      </c>
      <c r="E4550" s="1" t="s">
        <v>4560</v>
      </c>
      <c r="F4550" s="1" t="s">
        <v>16</v>
      </c>
      <c r="G4550" s="1" t="s">
        <v>17</v>
      </c>
      <c r="H4550" s="1" t="str">
        <f t="shared" ref="H4550:H4554" si="2853">"62"</f>
        <v>62</v>
      </c>
      <c r="I4550" s="1" t="str">
        <f>"162.17"</f>
        <v>162.17</v>
      </c>
      <c r="J4550" s="1" t="str">
        <f t="shared" si="2846"/>
        <v>0</v>
      </c>
      <c r="K4550" s="1" t="str">
        <f t="shared" si="2847"/>
        <v>103</v>
      </c>
      <c r="L4550" s="1" t="str">
        <f t="shared" si="2848"/>
        <v>47</v>
      </c>
      <c r="M4550" s="1" t="str">
        <f t="shared" si="2837"/>
        <v>0</v>
      </c>
      <c r="N4550" s="1" t="str">
        <f t="shared" si="2849"/>
        <v>0</v>
      </c>
      <c r="O4550" s="1" t="str">
        <f>"12.17"</f>
        <v>12.17</v>
      </c>
    </row>
    <row r="4551" s="1" customFormat="1" spans="1:15">
      <c r="A4551" s="1" t="str">
        <f t="shared" si="2851"/>
        <v>202406</v>
      </c>
      <c r="B4551" s="1" t="str">
        <f t="shared" si="2852"/>
        <v>150525100</v>
      </c>
      <c r="C4551" s="1" t="str">
        <f>"1014573474"</f>
        <v>1014573474</v>
      </c>
      <c r="D4551" s="1" t="str">
        <f>"152326196204133078"</f>
        <v>152326196204133078</v>
      </c>
      <c r="E4551" s="1" t="s">
        <v>4561</v>
      </c>
      <c r="F4551" s="1" t="s">
        <v>25</v>
      </c>
      <c r="G4551" s="1" t="s">
        <v>17</v>
      </c>
      <c r="H4551" s="1" t="str">
        <f t="shared" si="2853"/>
        <v>62</v>
      </c>
      <c r="I4551" s="1" t="str">
        <f>"162.2"</f>
        <v>162.2</v>
      </c>
      <c r="J4551" s="1" t="str">
        <f t="shared" si="2846"/>
        <v>0</v>
      </c>
      <c r="K4551" s="1" t="str">
        <f t="shared" si="2847"/>
        <v>103</v>
      </c>
      <c r="L4551" s="1" t="str">
        <f t="shared" si="2848"/>
        <v>47</v>
      </c>
      <c r="M4551" s="1" t="str">
        <f t="shared" si="2837"/>
        <v>0</v>
      </c>
      <c r="N4551" s="1" t="str">
        <f t="shared" si="2849"/>
        <v>0</v>
      </c>
      <c r="O4551" s="1" t="str">
        <f>"12.2"</f>
        <v>12.2</v>
      </c>
    </row>
    <row r="4552" s="1" customFormat="1" spans="1:15">
      <c r="A4552" s="1" t="str">
        <f t="shared" si="2851"/>
        <v>202406</v>
      </c>
      <c r="B4552" s="1" t="str">
        <f t="shared" si="2852"/>
        <v>150525100</v>
      </c>
      <c r="C4552" s="1" t="str">
        <f>"1014573484"</f>
        <v>1014573484</v>
      </c>
      <c r="D4552" s="1" t="str">
        <f>"152326196209120428"</f>
        <v>152326196209120428</v>
      </c>
      <c r="E4552" s="1" t="s">
        <v>1977</v>
      </c>
      <c r="F4552" s="1" t="s">
        <v>16</v>
      </c>
      <c r="G4552" s="1" t="s">
        <v>17</v>
      </c>
      <c r="H4552" s="1" t="str">
        <f t="shared" si="2853"/>
        <v>62</v>
      </c>
      <c r="I4552" s="1" t="str">
        <f>"163.13"</f>
        <v>163.13</v>
      </c>
      <c r="J4552" s="1" t="str">
        <f t="shared" si="2846"/>
        <v>0</v>
      </c>
      <c r="K4552" s="1" t="str">
        <f t="shared" si="2847"/>
        <v>103</v>
      </c>
      <c r="L4552" s="1" t="str">
        <f t="shared" si="2848"/>
        <v>47</v>
      </c>
      <c r="M4552" s="1" t="str">
        <f t="shared" si="2837"/>
        <v>0</v>
      </c>
      <c r="N4552" s="1" t="str">
        <f t="shared" si="2849"/>
        <v>0</v>
      </c>
      <c r="O4552" s="1" t="str">
        <f>"13.13"</f>
        <v>13.13</v>
      </c>
    </row>
    <row r="4553" s="1" customFormat="1" spans="1:15">
      <c r="A4553" s="1" t="str">
        <f t="shared" si="2851"/>
        <v>202406</v>
      </c>
      <c r="B4553" s="1" t="str">
        <f t="shared" si="2852"/>
        <v>150525100</v>
      </c>
      <c r="C4553" s="1" t="str">
        <f>"1014573488"</f>
        <v>1014573488</v>
      </c>
      <c r="D4553" s="1" t="str">
        <f>"152326196210090027"</f>
        <v>152326196210090027</v>
      </c>
      <c r="E4553" s="1" t="s">
        <v>4562</v>
      </c>
      <c r="F4553" s="1" t="s">
        <v>16</v>
      </c>
      <c r="G4553" s="1" t="s">
        <v>17</v>
      </c>
      <c r="H4553" s="1" t="str">
        <f t="shared" si="2853"/>
        <v>62</v>
      </c>
      <c r="I4553" s="1" t="str">
        <f>"162.37"</f>
        <v>162.37</v>
      </c>
      <c r="J4553" s="1" t="str">
        <f t="shared" si="2846"/>
        <v>0</v>
      </c>
      <c r="K4553" s="1" t="str">
        <f t="shared" si="2847"/>
        <v>103</v>
      </c>
      <c r="L4553" s="1" t="str">
        <f t="shared" si="2848"/>
        <v>47</v>
      </c>
      <c r="M4553" s="1" t="str">
        <f t="shared" si="2837"/>
        <v>0</v>
      </c>
      <c r="N4553" s="1" t="str">
        <f t="shared" si="2849"/>
        <v>0</v>
      </c>
      <c r="O4553" s="1" t="str">
        <f>"12.37"</f>
        <v>12.37</v>
      </c>
    </row>
    <row r="4554" s="1" customFormat="1" spans="1:15">
      <c r="A4554" s="1" t="str">
        <f t="shared" si="2851"/>
        <v>202406</v>
      </c>
      <c r="B4554" s="1" t="str">
        <f t="shared" si="2852"/>
        <v>150525100</v>
      </c>
      <c r="C4554" s="1" t="str">
        <f>"1014575853"</f>
        <v>1014575853</v>
      </c>
      <c r="D4554" s="1" t="str">
        <f>"152326196207170683"</f>
        <v>152326196207170683</v>
      </c>
      <c r="E4554" s="1" t="s">
        <v>501</v>
      </c>
      <c r="F4554" s="1" t="s">
        <v>16</v>
      </c>
      <c r="G4554" s="1" t="s">
        <v>17</v>
      </c>
      <c r="H4554" s="1" t="str">
        <f t="shared" si="2853"/>
        <v>62</v>
      </c>
      <c r="I4554" s="1" t="str">
        <f>"163.07"</f>
        <v>163.07</v>
      </c>
      <c r="J4554" s="1" t="str">
        <f t="shared" si="2846"/>
        <v>0</v>
      </c>
      <c r="K4554" s="1" t="str">
        <f t="shared" si="2847"/>
        <v>103</v>
      </c>
      <c r="L4554" s="1" t="str">
        <f t="shared" si="2848"/>
        <v>47</v>
      </c>
      <c r="M4554" s="1" t="str">
        <f t="shared" si="2837"/>
        <v>0</v>
      </c>
      <c r="N4554" s="1" t="str">
        <f t="shared" si="2849"/>
        <v>0</v>
      </c>
      <c r="O4554" s="1" t="str">
        <f>"13.07"</f>
        <v>13.07</v>
      </c>
    </row>
    <row r="4555" s="1" customFormat="1" spans="1:15">
      <c r="A4555" s="1" t="str">
        <f t="shared" si="2851"/>
        <v>202406</v>
      </c>
      <c r="B4555" s="1" t="str">
        <f t="shared" si="2852"/>
        <v>150525100</v>
      </c>
      <c r="C4555" s="1" t="str">
        <f>"1014575862"</f>
        <v>1014575862</v>
      </c>
      <c r="D4555" s="1" t="str">
        <f>"152326196302280661"</f>
        <v>152326196302280661</v>
      </c>
      <c r="E4555" s="1" t="s">
        <v>4563</v>
      </c>
      <c r="F4555" s="1" t="s">
        <v>16</v>
      </c>
      <c r="G4555" s="1" t="s">
        <v>17</v>
      </c>
      <c r="H4555" s="1" t="str">
        <f t="shared" ref="H4555:H4557" si="2854">"61"</f>
        <v>61</v>
      </c>
      <c r="I4555" s="1" t="str">
        <f>"164.94"</f>
        <v>164.94</v>
      </c>
      <c r="J4555" s="1" t="str">
        <f t="shared" si="2846"/>
        <v>0</v>
      </c>
      <c r="K4555" s="1" t="str">
        <f t="shared" si="2847"/>
        <v>103</v>
      </c>
      <c r="L4555" s="1" t="str">
        <f t="shared" si="2848"/>
        <v>47</v>
      </c>
      <c r="M4555" s="1" t="str">
        <f t="shared" si="2837"/>
        <v>0</v>
      </c>
      <c r="N4555" s="1" t="str">
        <f t="shared" si="2849"/>
        <v>0</v>
      </c>
      <c r="O4555" s="1" t="str">
        <f>"14.94"</f>
        <v>14.94</v>
      </c>
    </row>
    <row r="4556" s="1" customFormat="1" spans="1:15">
      <c r="A4556" s="1" t="str">
        <f t="shared" si="2851"/>
        <v>202406</v>
      </c>
      <c r="B4556" s="1" t="str">
        <f t="shared" si="2852"/>
        <v>150525100</v>
      </c>
      <c r="C4556" s="1" t="str">
        <f>"1014575865"</f>
        <v>1014575865</v>
      </c>
      <c r="D4556" s="1" t="s">
        <v>4564</v>
      </c>
      <c r="E4556" s="1" t="s">
        <v>4565</v>
      </c>
      <c r="F4556" s="1" t="s">
        <v>25</v>
      </c>
      <c r="G4556" s="1" t="s">
        <v>17</v>
      </c>
      <c r="H4556" s="1" t="str">
        <f t="shared" si="2854"/>
        <v>61</v>
      </c>
      <c r="I4556" s="1" t="str">
        <f>"165.03"</f>
        <v>165.03</v>
      </c>
      <c r="J4556" s="1" t="str">
        <f t="shared" si="2846"/>
        <v>0</v>
      </c>
      <c r="K4556" s="1" t="str">
        <f t="shared" si="2847"/>
        <v>103</v>
      </c>
      <c r="L4556" s="1" t="str">
        <f t="shared" si="2848"/>
        <v>47</v>
      </c>
      <c r="M4556" s="1" t="str">
        <f t="shared" si="2837"/>
        <v>0</v>
      </c>
      <c r="N4556" s="1" t="str">
        <f t="shared" si="2849"/>
        <v>0</v>
      </c>
      <c r="O4556" s="1" t="str">
        <f>"15.03"</f>
        <v>15.03</v>
      </c>
    </row>
    <row r="4557" s="1" customFormat="1" spans="1:15">
      <c r="A4557" s="1" t="str">
        <f t="shared" si="2851"/>
        <v>202406</v>
      </c>
      <c r="B4557" s="1" t="str">
        <f t="shared" si="2852"/>
        <v>150525100</v>
      </c>
      <c r="C4557" s="1" t="str">
        <f>"1014575866"</f>
        <v>1014575866</v>
      </c>
      <c r="D4557" s="1" t="str">
        <f>"152326196307107278"</f>
        <v>152326196307107278</v>
      </c>
      <c r="E4557" s="1" t="s">
        <v>4566</v>
      </c>
      <c r="F4557" s="1" t="s">
        <v>25</v>
      </c>
      <c r="G4557" s="1" t="s">
        <v>17</v>
      </c>
      <c r="H4557" s="1" t="str">
        <f t="shared" si="2854"/>
        <v>61</v>
      </c>
      <c r="I4557" s="1" t="str">
        <f>"165.04"</f>
        <v>165.04</v>
      </c>
      <c r="J4557" s="1" t="str">
        <f t="shared" si="2846"/>
        <v>0</v>
      </c>
      <c r="K4557" s="1" t="str">
        <f t="shared" si="2847"/>
        <v>103</v>
      </c>
      <c r="L4557" s="1" t="str">
        <f t="shared" si="2848"/>
        <v>47</v>
      </c>
      <c r="M4557" s="1" t="str">
        <f t="shared" si="2837"/>
        <v>0</v>
      </c>
      <c r="N4557" s="1" t="str">
        <f t="shared" si="2849"/>
        <v>0</v>
      </c>
      <c r="O4557" s="1" t="str">
        <f>"15.04"</f>
        <v>15.04</v>
      </c>
    </row>
    <row r="4558" s="1" customFormat="1" spans="1:15">
      <c r="A4558" s="1" t="str">
        <f t="shared" si="2851"/>
        <v>202406</v>
      </c>
      <c r="B4558" s="1" t="str">
        <f t="shared" si="2852"/>
        <v>150525100</v>
      </c>
      <c r="C4558" s="1" t="str">
        <f>"1014548412"</f>
        <v>1014548412</v>
      </c>
      <c r="D4558" s="1" t="str">
        <f>"152326195412080674"</f>
        <v>152326195412080674</v>
      </c>
      <c r="E4558" s="1" t="s">
        <v>4567</v>
      </c>
      <c r="F4558" s="1" t="s">
        <v>25</v>
      </c>
      <c r="G4558" s="1" t="s">
        <v>17</v>
      </c>
      <c r="H4558" s="1" t="str">
        <f>"70"</f>
        <v>70</v>
      </c>
      <c r="I4558" s="1" t="str">
        <f>"154.14"</f>
        <v>154.14</v>
      </c>
      <c r="J4558" s="1" t="str">
        <f t="shared" si="2846"/>
        <v>0</v>
      </c>
      <c r="K4558" s="1" t="str">
        <f t="shared" si="2847"/>
        <v>103</v>
      </c>
      <c r="L4558" s="1" t="str">
        <f t="shared" si="2848"/>
        <v>47</v>
      </c>
      <c r="M4558" s="1" t="str">
        <f t="shared" si="2837"/>
        <v>0</v>
      </c>
      <c r="N4558" s="1" t="str">
        <f t="shared" si="2849"/>
        <v>0</v>
      </c>
      <c r="O4558" s="1" t="str">
        <f>"4.14"</f>
        <v>4.14</v>
      </c>
    </row>
    <row r="4559" s="1" customFormat="1" spans="1:15">
      <c r="A4559" s="1" t="str">
        <f t="shared" si="2851"/>
        <v>202406</v>
      </c>
      <c r="B4559" s="1" t="str">
        <f t="shared" si="2852"/>
        <v>150525100</v>
      </c>
      <c r="C4559" s="1" t="str">
        <f>"1014548424"</f>
        <v>1014548424</v>
      </c>
      <c r="D4559" s="1" t="str">
        <f>"152326195510080686"</f>
        <v>152326195510080686</v>
      </c>
      <c r="E4559" s="1" t="s">
        <v>4568</v>
      </c>
      <c r="F4559" s="1" t="s">
        <v>16</v>
      </c>
      <c r="G4559" s="1" t="s">
        <v>17</v>
      </c>
      <c r="H4559" s="1" t="str">
        <f>"69"</f>
        <v>69</v>
      </c>
      <c r="I4559" s="1" t="str">
        <f>"155.1"</f>
        <v>155.1</v>
      </c>
      <c r="J4559" s="1" t="str">
        <f t="shared" si="2846"/>
        <v>0</v>
      </c>
      <c r="K4559" s="1" t="str">
        <f t="shared" si="2847"/>
        <v>103</v>
      </c>
      <c r="L4559" s="1" t="str">
        <f t="shared" si="2848"/>
        <v>47</v>
      </c>
      <c r="M4559" s="1" t="str">
        <f t="shared" si="2837"/>
        <v>0</v>
      </c>
      <c r="N4559" s="1" t="str">
        <f t="shared" si="2849"/>
        <v>0</v>
      </c>
      <c r="O4559" s="1" t="str">
        <f>"5.1"</f>
        <v>5.1</v>
      </c>
    </row>
    <row r="4560" s="1" customFormat="1" spans="1:15">
      <c r="A4560" s="1" t="str">
        <f t="shared" si="2851"/>
        <v>202406</v>
      </c>
      <c r="B4560" s="1" t="str">
        <f t="shared" si="2852"/>
        <v>150525100</v>
      </c>
      <c r="C4560" s="1" t="str">
        <f>"1014572913"</f>
        <v>1014572913</v>
      </c>
      <c r="D4560" s="1" t="str">
        <f>"152326195510050022"</f>
        <v>152326195510050022</v>
      </c>
      <c r="E4560" s="1" t="s">
        <v>4569</v>
      </c>
      <c r="F4560" s="1" t="s">
        <v>16</v>
      </c>
      <c r="G4560" s="1" t="s">
        <v>17</v>
      </c>
      <c r="H4560" s="1" t="str">
        <f>"69"</f>
        <v>69</v>
      </c>
      <c r="I4560" s="1" t="str">
        <f>"155.09"</f>
        <v>155.09</v>
      </c>
      <c r="J4560" s="1" t="str">
        <f t="shared" si="2846"/>
        <v>0</v>
      </c>
      <c r="K4560" s="1" t="str">
        <f t="shared" si="2847"/>
        <v>103</v>
      </c>
      <c r="L4560" s="1" t="str">
        <f t="shared" si="2848"/>
        <v>47</v>
      </c>
      <c r="M4560" s="1" t="str">
        <f t="shared" si="2837"/>
        <v>0</v>
      </c>
      <c r="N4560" s="1" t="str">
        <f t="shared" si="2849"/>
        <v>0</v>
      </c>
      <c r="O4560" s="1" t="str">
        <f>"5.09"</f>
        <v>5.09</v>
      </c>
    </row>
    <row r="4561" s="1" customFormat="1" spans="1:15">
      <c r="A4561" s="1" t="str">
        <f t="shared" si="2851"/>
        <v>202406</v>
      </c>
      <c r="B4561" s="1" t="str">
        <f t="shared" si="2852"/>
        <v>150525100</v>
      </c>
      <c r="C4561" s="1" t="str">
        <f>"1014572922"</f>
        <v>1014572922</v>
      </c>
      <c r="D4561" s="1" t="str">
        <f>"152326195602043081"</f>
        <v>152326195602043081</v>
      </c>
      <c r="E4561" s="1" t="s">
        <v>4570</v>
      </c>
      <c r="F4561" s="1" t="s">
        <v>16</v>
      </c>
      <c r="G4561" s="1" t="s">
        <v>17</v>
      </c>
      <c r="H4561" s="1" t="str">
        <f>"68"</f>
        <v>68</v>
      </c>
      <c r="I4561" s="1" t="str">
        <f>"164.66"</f>
        <v>164.66</v>
      </c>
      <c r="J4561" s="1" t="str">
        <f t="shared" si="2846"/>
        <v>0</v>
      </c>
      <c r="K4561" s="1" t="str">
        <f t="shared" si="2847"/>
        <v>103</v>
      </c>
      <c r="L4561" s="1" t="str">
        <f t="shared" si="2848"/>
        <v>47</v>
      </c>
      <c r="M4561" s="1" t="str">
        <f t="shared" si="2837"/>
        <v>0</v>
      </c>
      <c r="N4561" s="1" t="str">
        <f t="shared" si="2849"/>
        <v>0</v>
      </c>
      <c r="O4561" s="1" t="str">
        <f>"14.66"</f>
        <v>14.66</v>
      </c>
    </row>
    <row r="4562" s="1" customFormat="1" spans="1:15">
      <c r="A4562" s="1" t="str">
        <f t="shared" si="2851"/>
        <v>202406</v>
      </c>
      <c r="B4562" s="1" t="str">
        <f t="shared" si="2852"/>
        <v>150525100</v>
      </c>
      <c r="C4562" s="1" t="str">
        <f>"1014572930"</f>
        <v>1014572930</v>
      </c>
      <c r="D4562" s="1" t="str">
        <f>"152326195605180428"</f>
        <v>152326195605180428</v>
      </c>
      <c r="E4562" s="1" t="s">
        <v>4426</v>
      </c>
      <c r="F4562" s="1" t="s">
        <v>16</v>
      </c>
      <c r="G4562" s="1" t="s">
        <v>17</v>
      </c>
      <c r="H4562" s="1" t="str">
        <f>"68"</f>
        <v>68</v>
      </c>
      <c r="I4562" s="1" t="str">
        <f>"155.76"</f>
        <v>155.76</v>
      </c>
      <c r="J4562" s="1" t="str">
        <f t="shared" si="2846"/>
        <v>0</v>
      </c>
      <c r="K4562" s="1" t="str">
        <f t="shared" si="2847"/>
        <v>103</v>
      </c>
      <c r="L4562" s="1" t="str">
        <f t="shared" si="2848"/>
        <v>47</v>
      </c>
      <c r="M4562" s="1" t="str">
        <f t="shared" si="2837"/>
        <v>0</v>
      </c>
      <c r="N4562" s="1" t="str">
        <f t="shared" si="2849"/>
        <v>0</v>
      </c>
      <c r="O4562" s="1" t="str">
        <f>"5.76"</f>
        <v>5.76</v>
      </c>
    </row>
    <row r="4563" s="1" customFormat="1" spans="1:15">
      <c r="A4563" s="1" t="str">
        <f t="shared" si="2851"/>
        <v>202406</v>
      </c>
      <c r="B4563" s="1" t="str">
        <f t="shared" si="2852"/>
        <v>150525100</v>
      </c>
      <c r="C4563" s="1" t="str">
        <f>"1014573043"</f>
        <v>1014573043</v>
      </c>
      <c r="D4563" s="1" t="str">
        <f>"152326196403110426"</f>
        <v>152326196403110426</v>
      </c>
      <c r="E4563" s="1" t="s">
        <v>4571</v>
      </c>
      <c r="F4563" s="1" t="s">
        <v>16</v>
      </c>
      <c r="G4563" s="1" t="s">
        <v>17</v>
      </c>
      <c r="H4563" s="1" t="str">
        <f>"60"</f>
        <v>60</v>
      </c>
      <c r="I4563" s="1" t="str">
        <f>"166.81"</f>
        <v>166.81</v>
      </c>
      <c r="J4563" s="1" t="str">
        <f t="shared" si="2846"/>
        <v>0</v>
      </c>
      <c r="K4563" s="1" t="str">
        <f t="shared" si="2847"/>
        <v>103</v>
      </c>
      <c r="L4563" s="1" t="str">
        <f t="shared" si="2848"/>
        <v>47</v>
      </c>
      <c r="M4563" s="1" t="str">
        <f t="shared" si="2837"/>
        <v>0</v>
      </c>
      <c r="N4563" s="1" t="str">
        <f t="shared" si="2849"/>
        <v>0</v>
      </c>
      <c r="O4563" s="1" t="str">
        <f>"16.81"</f>
        <v>16.81</v>
      </c>
    </row>
    <row r="4564" s="1" customFormat="1" spans="1:15">
      <c r="A4564" s="1" t="str">
        <f t="shared" si="2851"/>
        <v>202406</v>
      </c>
      <c r="B4564" s="1" t="str">
        <f t="shared" si="2852"/>
        <v>150525100</v>
      </c>
      <c r="C4564" s="1" t="str">
        <f>"1014573233"</f>
        <v>1014573233</v>
      </c>
      <c r="D4564" s="1" t="str">
        <f>"152326195706010049"</f>
        <v>152326195706010049</v>
      </c>
      <c r="E4564" s="1" t="s">
        <v>2237</v>
      </c>
      <c r="F4564" s="1" t="s">
        <v>16</v>
      </c>
      <c r="G4564" s="1" t="s">
        <v>17</v>
      </c>
      <c r="H4564" s="1" t="str">
        <f>"67"</f>
        <v>67</v>
      </c>
      <c r="I4564" s="1" t="str">
        <f>"155.81"</f>
        <v>155.81</v>
      </c>
      <c r="J4564" s="1" t="str">
        <f t="shared" si="2846"/>
        <v>0</v>
      </c>
      <c r="K4564" s="1" t="str">
        <f t="shared" si="2847"/>
        <v>103</v>
      </c>
      <c r="L4564" s="1" t="str">
        <f t="shared" si="2848"/>
        <v>47</v>
      </c>
      <c r="M4564" s="1" t="str">
        <f t="shared" si="2837"/>
        <v>0</v>
      </c>
      <c r="N4564" s="1" t="str">
        <f t="shared" si="2849"/>
        <v>0</v>
      </c>
      <c r="O4564" s="1" t="str">
        <f>"5.81"</f>
        <v>5.81</v>
      </c>
    </row>
    <row r="4565" s="1" customFormat="1" spans="1:15">
      <c r="A4565" s="1" t="str">
        <f t="shared" si="2851"/>
        <v>202406</v>
      </c>
      <c r="B4565" s="1" t="str">
        <f t="shared" si="2852"/>
        <v>150525100</v>
      </c>
      <c r="C4565" s="1" t="str">
        <f>"1014573497"</f>
        <v>1014573497</v>
      </c>
      <c r="D4565" s="1" t="str">
        <f>"152326196212033077"</f>
        <v>152326196212033077</v>
      </c>
      <c r="E4565" s="1" t="s">
        <v>4572</v>
      </c>
      <c r="F4565" s="1" t="s">
        <v>25</v>
      </c>
      <c r="G4565" s="1" t="s">
        <v>17</v>
      </c>
      <c r="H4565" s="1" t="str">
        <f>"62"</f>
        <v>62</v>
      </c>
      <c r="I4565" s="1" t="str">
        <f>"163.19"</f>
        <v>163.19</v>
      </c>
      <c r="J4565" s="1" t="str">
        <f t="shared" si="2846"/>
        <v>0</v>
      </c>
      <c r="K4565" s="1" t="str">
        <f t="shared" si="2847"/>
        <v>103</v>
      </c>
      <c r="L4565" s="1" t="str">
        <f t="shared" si="2848"/>
        <v>47</v>
      </c>
      <c r="M4565" s="1" t="str">
        <f t="shared" si="2837"/>
        <v>0</v>
      </c>
      <c r="N4565" s="1" t="str">
        <f t="shared" si="2849"/>
        <v>0</v>
      </c>
      <c r="O4565" s="1" t="str">
        <f>"13.19"</f>
        <v>13.19</v>
      </c>
    </row>
    <row r="4566" s="1" customFormat="1" spans="1:15">
      <c r="A4566" s="1" t="str">
        <f t="shared" si="2851"/>
        <v>202406</v>
      </c>
      <c r="B4566" s="1" t="str">
        <f t="shared" si="2852"/>
        <v>150525100</v>
      </c>
      <c r="C4566" s="1" t="str">
        <f>"1014573504"</f>
        <v>1014573504</v>
      </c>
      <c r="D4566" s="1" t="str">
        <f>"152326196301300018"</f>
        <v>152326196301300018</v>
      </c>
      <c r="E4566" s="1" t="s">
        <v>4573</v>
      </c>
      <c r="F4566" s="1" t="s">
        <v>25</v>
      </c>
      <c r="G4566" s="1" t="s">
        <v>17</v>
      </c>
      <c r="H4566" s="1" t="str">
        <f>"61"</f>
        <v>61</v>
      </c>
      <c r="I4566" s="1" t="str">
        <f>"167.26"</f>
        <v>167.26</v>
      </c>
      <c r="J4566" s="1" t="str">
        <f t="shared" si="2846"/>
        <v>0</v>
      </c>
      <c r="K4566" s="1" t="str">
        <f t="shared" si="2847"/>
        <v>103</v>
      </c>
      <c r="L4566" s="1" t="str">
        <f t="shared" si="2848"/>
        <v>47</v>
      </c>
      <c r="M4566" s="1" t="str">
        <f t="shared" si="2837"/>
        <v>0</v>
      </c>
      <c r="N4566" s="1" t="str">
        <f t="shared" si="2849"/>
        <v>0</v>
      </c>
      <c r="O4566" s="1" t="str">
        <f>"17.26"</f>
        <v>17.26</v>
      </c>
    </row>
    <row r="4567" s="1" customFormat="1" spans="1:15">
      <c r="A4567" s="1" t="str">
        <f t="shared" si="2851"/>
        <v>202406</v>
      </c>
      <c r="B4567" s="1" t="str">
        <f t="shared" si="2852"/>
        <v>150525100</v>
      </c>
      <c r="C4567" s="1" t="str">
        <f>"1014573514"</f>
        <v>1014573514</v>
      </c>
      <c r="D4567" s="1" t="str">
        <f>"152326195809063071"</f>
        <v>152326195809063071</v>
      </c>
      <c r="E4567" s="1" t="s">
        <v>4574</v>
      </c>
      <c r="F4567" s="1" t="s">
        <v>25</v>
      </c>
      <c r="G4567" s="1" t="s">
        <v>17</v>
      </c>
      <c r="H4567" s="1" t="str">
        <f>"66"</f>
        <v>66</v>
      </c>
      <c r="I4567" s="1" t="str">
        <f>"170.2"</f>
        <v>170.2</v>
      </c>
      <c r="J4567" s="1" t="str">
        <f t="shared" si="2846"/>
        <v>0</v>
      </c>
      <c r="K4567" s="1" t="str">
        <f t="shared" si="2847"/>
        <v>103</v>
      </c>
      <c r="L4567" s="1" t="str">
        <f t="shared" si="2848"/>
        <v>47</v>
      </c>
      <c r="M4567" s="1" t="str">
        <f t="shared" si="2837"/>
        <v>0</v>
      </c>
      <c r="N4567" s="1" t="str">
        <f t="shared" si="2849"/>
        <v>0</v>
      </c>
      <c r="O4567" s="1" t="str">
        <f>"20.2"</f>
        <v>20.2</v>
      </c>
    </row>
    <row r="4568" s="1" customFormat="1" spans="1:15">
      <c r="A4568" s="1" t="str">
        <f t="shared" si="2851"/>
        <v>202406</v>
      </c>
      <c r="B4568" s="1" t="str">
        <f t="shared" si="2852"/>
        <v>150525100</v>
      </c>
      <c r="C4568" s="1" t="str">
        <f>"1014575637"</f>
        <v>1014575637</v>
      </c>
      <c r="D4568" s="1" t="s">
        <v>4575</v>
      </c>
      <c r="E4568" s="1" t="s">
        <v>4576</v>
      </c>
      <c r="F4568" s="1" t="s">
        <v>16</v>
      </c>
      <c r="G4568" s="1" t="s">
        <v>17</v>
      </c>
      <c r="H4568" s="1" t="str">
        <f>"64"</f>
        <v>64</v>
      </c>
      <c r="I4568" s="1" t="str">
        <f>"189.61"</f>
        <v>189.61</v>
      </c>
      <c r="J4568" s="1" t="str">
        <f t="shared" si="2846"/>
        <v>0</v>
      </c>
      <c r="K4568" s="1" t="str">
        <f t="shared" si="2847"/>
        <v>103</v>
      </c>
      <c r="L4568" s="1" t="str">
        <f t="shared" si="2848"/>
        <v>47</v>
      </c>
      <c r="M4568" s="1" t="str">
        <f t="shared" si="2837"/>
        <v>0</v>
      </c>
      <c r="N4568" s="1" t="str">
        <f t="shared" si="2849"/>
        <v>0</v>
      </c>
      <c r="O4568" s="1" t="str">
        <f>"39.61"</f>
        <v>39.61</v>
      </c>
    </row>
    <row r="4569" s="1" customFormat="1" spans="1:15">
      <c r="A4569" s="1" t="str">
        <f t="shared" si="2851"/>
        <v>202406</v>
      </c>
      <c r="B4569" s="1" t="str">
        <f t="shared" si="2852"/>
        <v>150525100</v>
      </c>
      <c r="C4569" s="1" t="str">
        <f>"1014575641"</f>
        <v>1014575641</v>
      </c>
      <c r="D4569" s="1" t="str">
        <f>"152326195707013129"</f>
        <v>152326195707013129</v>
      </c>
      <c r="E4569" s="1" t="s">
        <v>4577</v>
      </c>
      <c r="F4569" s="1" t="s">
        <v>16</v>
      </c>
      <c r="G4569" s="1" t="s">
        <v>17</v>
      </c>
      <c r="H4569" s="1" t="str">
        <f>"67"</f>
        <v>67</v>
      </c>
      <c r="I4569" s="1" t="str">
        <f>"156.07"</f>
        <v>156.07</v>
      </c>
      <c r="J4569" s="1" t="str">
        <f t="shared" si="2846"/>
        <v>0</v>
      </c>
      <c r="K4569" s="1" t="str">
        <f t="shared" si="2847"/>
        <v>103</v>
      </c>
      <c r="L4569" s="1" t="str">
        <f t="shared" si="2848"/>
        <v>47</v>
      </c>
      <c r="M4569" s="1" t="str">
        <f t="shared" si="2837"/>
        <v>0</v>
      </c>
      <c r="N4569" s="1" t="str">
        <f t="shared" si="2849"/>
        <v>0</v>
      </c>
      <c r="O4569" s="1" t="str">
        <f>"6.07"</f>
        <v>6.07</v>
      </c>
    </row>
    <row r="4570" s="1" customFormat="1" spans="1:15">
      <c r="A4570" s="1" t="str">
        <f t="shared" si="2851"/>
        <v>202406</v>
      </c>
      <c r="B4570" s="1" t="str">
        <f t="shared" si="2852"/>
        <v>150525100</v>
      </c>
      <c r="C4570" s="1" t="str">
        <f>"1014575651"</f>
        <v>1014575651</v>
      </c>
      <c r="D4570" s="1" t="str">
        <f>"152326195904043087"</f>
        <v>152326195904043087</v>
      </c>
      <c r="E4570" s="1" t="s">
        <v>4578</v>
      </c>
      <c r="F4570" s="1" t="s">
        <v>16</v>
      </c>
      <c r="G4570" s="1" t="s">
        <v>17</v>
      </c>
      <c r="H4570" s="1" t="str">
        <f t="shared" ref="H4570:H4575" si="2855">"65"</f>
        <v>65</v>
      </c>
      <c r="I4570" s="1" t="str">
        <f>"159.08"</f>
        <v>159.08</v>
      </c>
      <c r="J4570" s="1" t="str">
        <f t="shared" si="2846"/>
        <v>0</v>
      </c>
      <c r="K4570" s="1" t="str">
        <f t="shared" si="2847"/>
        <v>103</v>
      </c>
      <c r="L4570" s="1" t="str">
        <f t="shared" si="2848"/>
        <v>47</v>
      </c>
      <c r="M4570" s="1" t="str">
        <f t="shared" si="2837"/>
        <v>0</v>
      </c>
      <c r="N4570" s="1" t="str">
        <f t="shared" si="2849"/>
        <v>0</v>
      </c>
      <c r="O4570" s="1" t="str">
        <f>"9.08"</f>
        <v>9.08</v>
      </c>
    </row>
    <row r="4571" s="1" customFormat="1" spans="1:15">
      <c r="A4571" s="1" t="str">
        <f t="shared" si="2851"/>
        <v>202406</v>
      </c>
      <c r="B4571" s="1" t="str">
        <f t="shared" si="2852"/>
        <v>150525100</v>
      </c>
      <c r="C4571" s="1" t="str">
        <f>"1014576200"</f>
        <v>1014576200</v>
      </c>
      <c r="D4571" s="1" t="str">
        <f>"152326196011293075"</f>
        <v>152326196011293075</v>
      </c>
      <c r="E4571" s="1" t="s">
        <v>4579</v>
      </c>
      <c r="F4571" s="1" t="s">
        <v>25</v>
      </c>
      <c r="G4571" s="1" t="s">
        <v>19</v>
      </c>
      <c r="H4571" s="1" t="str">
        <f>"64"</f>
        <v>64</v>
      </c>
      <c r="I4571" s="1" t="str">
        <f>"159.27"</f>
        <v>159.27</v>
      </c>
      <c r="J4571" s="1" t="str">
        <f t="shared" si="2846"/>
        <v>0</v>
      </c>
      <c r="K4571" s="1" t="str">
        <f t="shared" si="2847"/>
        <v>103</v>
      </c>
      <c r="L4571" s="1" t="str">
        <f t="shared" si="2848"/>
        <v>47</v>
      </c>
      <c r="M4571" s="1" t="str">
        <f t="shared" si="2837"/>
        <v>0</v>
      </c>
      <c r="N4571" s="1" t="str">
        <f t="shared" si="2849"/>
        <v>0</v>
      </c>
      <c r="O4571" s="1" t="str">
        <f>"9.27"</f>
        <v>9.27</v>
      </c>
    </row>
    <row r="4572" s="1" customFormat="1" spans="1:15">
      <c r="A4572" s="1" t="str">
        <f t="shared" si="2851"/>
        <v>202406</v>
      </c>
      <c r="B4572" s="1" t="str">
        <f t="shared" si="2852"/>
        <v>150525100</v>
      </c>
      <c r="C4572" s="1" t="str">
        <f>"1014576600"</f>
        <v>1014576600</v>
      </c>
      <c r="D4572" s="1" t="str">
        <f>"152326195204220425"</f>
        <v>152326195204220425</v>
      </c>
      <c r="E4572" s="1" t="s">
        <v>4580</v>
      </c>
      <c r="F4572" s="1" t="s">
        <v>16</v>
      </c>
      <c r="G4572" s="1" t="s">
        <v>17</v>
      </c>
      <c r="H4572" s="1" t="str">
        <f>"72"</f>
        <v>72</v>
      </c>
      <c r="I4572" s="1" t="str">
        <f>"162.14"</f>
        <v>162.14</v>
      </c>
      <c r="J4572" s="1" t="str">
        <f t="shared" si="2846"/>
        <v>0</v>
      </c>
      <c r="K4572" s="1" t="str">
        <f t="shared" si="2847"/>
        <v>103</v>
      </c>
      <c r="L4572" s="1" t="str">
        <f t="shared" si="2848"/>
        <v>47</v>
      </c>
      <c r="M4572" s="1" t="str">
        <f t="shared" si="2837"/>
        <v>0</v>
      </c>
      <c r="N4572" s="1" t="str">
        <f t="shared" si="2849"/>
        <v>0</v>
      </c>
      <c r="O4572" s="1" t="str">
        <f>"2.14"</f>
        <v>2.14</v>
      </c>
    </row>
    <row r="4573" s="1" customFormat="1" spans="1:15">
      <c r="A4573" s="1" t="str">
        <f t="shared" si="2851"/>
        <v>202406</v>
      </c>
      <c r="B4573" s="1" t="str">
        <f t="shared" si="2852"/>
        <v>150525100</v>
      </c>
      <c r="C4573" s="1" t="str">
        <f>"1014548449"</f>
        <v>1014548449</v>
      </c>
      <c r="D4573" s="1" t="str">
        <f>"152326195807070681"</f>
        <v>152326195807070681</v>
      </c>
      <c r="E4573" s="1" t="s">
        <v>4581</v>
      </c>
      <c r="F4573" s="1" t="s">
        <v>16</v>
      </c>
      <c r="G4573" s="1" t="s">
        <v>17</v>
      </c>
      <c r="H4573" s="1" t="str">
        <f>"66"</f>
        <v>66</v>
      </c>
      <c r="I4573" s="1" t="str">
        <f>"157.11"</f>
        <v>157.11</v>
      </c>
      <c r="J4573" s="1" t="str">
        <f t="shared" si="2846"/>
        <v>0</v>
      </c>
      <c r="K4573" s="1" t="str">
        <f t="shared" si="2847"/>
        <v>103</v>
      </c>
      <c r="L4573" s="1" t="str">
        <f t="shared" si="2848"/>
        <v>47</v>
      </c>
      <c r="M4573" s="1" t="str">
        <f t="shared" si="2837"/>
        <v>0</v>
      </c>
      <c r="N4573" s="1" t="str">
        <f t="shared" si="2849"/>
        <v>0</v>
      </c>
      <c r="O4573" s="1" t="str">
        <f>"7.11"</f>
        <v>7.11</v>
      </c>
    </row>
    <row r="4574" s="1" customFormat="1" spans="1:15">
      <c r="A4574" s="1" t="str">
        <f t="shared" si="2851"/>
        <v>202406</v>
      </c>
      <c r="B4574" s="1" t="str">
        <f t="shared" si="2852"/>
        <v>150525100</v>
      </c>
      <c r="C4574" s="1" t="str">
        <f>"1014548454"</f>
        <v>1014548454</v>
      </c>
      <c r="D4574" s="1" t="str">
        <f>"152326195901160667"</f>
        <v>152326195901160667</v>
      </c>
      <c r="E4574" s="1" t="s">
        <v>4582</v>
      </c>
      <c r="F4574" s="1" t="s">
        <v>16</v>
      </c>
      <c r="G4574" s="1" t="s">
        <v>17</v>
      </c>
      <c r="H4574" s="1" t="str">
        <f t="shared" si="2855"/>
        <v>65</v>
      </c>
      <c r="I4574" s="1" t="str">
        <f>"158.1"</f>
        <v>158.1</v>
      </c>
      <c r="J4574" s="1" t="str">
        <f t="shared" si="2846"/>
        <v>0</v>
      </c>
      <c r="K4574" s="1" t="str">
        <f t="shared" si="2847"/>
        <v>103</v>
      </c>
      <c r="L4574" s="1" t="str">
        <f t="shared" si="2848"/>
        <v>47</v>
      </c>
      <c r="M4574" s="1" t="str">
        <f t="shared" si="2837"/>
        <v>0</v>
      </c>
      <c r="N4574" s="1" t="str">
        <f t="shared" si="2849"/>
        <v>0</v>
      </c>
      <c r="O4574" s="1" t="str">
        <f>"8.1"</f>
        <v>8.1</v>
      </c>
    </row>
    <row r="4575" s="1" customFormat="1" spans="1:15">
      <c r="A4575" s="1" t="str">
        <f t="shared" si="2851"/>
        <v>202406</v>
      </c>
      <c r="B4575" s="1" t="str">
        <f t="shared" si="2852"/>
        <v>150525100</v>
      </c>
      <c r="C4575" s="1" t="str">
        <f>"1014548456"</f>
        <v>1014548456</v>
      </c>
      <c r="D4575" s="1" t="str">
        <f>"152326195903040669"</f>
        <v>152326195903040669</v>
      </c>
      <c r="E4575" s="1" t="s">
        <v>4583</v>
      </c>
      <c r="F4575" s="1" t="s">
        <v>16</v>
      </c>
      <c r="G4575" s="1" t="s">
        <v>17</v>
      </c>
      <c r="H4575" s="1" t="str">
        <f t="shared" si="2855"/>
        <v>65</v>
      </c>
      <c r="I4575" s="1" t="str">
        <f>"158.12"</f>
        <v>158.12</v>
      </c>
      <c r="J4575" s="1" t="str">
        <f t="shared" si="2846"/>
        <v>0</v>
      </c>
      <c r="K4575" s="1" t="str">
        <f t="shared" si="2847"/>
        <v>103</v>
      </c>
      <c r="L4575" s="1" t="str">
        <f t="shared" si="2848"/>
        <v>47</v>
      </c>
      <c r="M4575" s="1" t="str">
        <f t="shared" si="2837"/>
        <v>0</v>
      </c>
      <c r="N4575" s="1" t="str">
        <f t="shared" si="2849"/>
        <v>0</v>
      </c>
      <c r="O4575" s="1" t="str">
        <f>"8.12"</f>
        <v>8.12</v>
      </c>
    </row>
    <row r="4576" s="1" customFormat="1" spans="1:15">
      <c r="A4576" s="1" t="str">
        <f t="shared" si="2851"/>
        <v>202406</v>
      </c>
      <c r="B4576" s="1" t="str">
        <f t="shared" si="2852"/>
        <v>150525100</v>
      </c>
      <c r="C4576" s="1" t="str">
        <f>"1014548460"</f>
        <v>1014548460</v>
      </c>
      <c r="D4576" s="1" t="str">
        <f>"152326195308090661"</f>
        <v>152326195308090661</v>
      </c>
      <c r="E4576" s="1" t="s">
        <v>4584</v>
      </c>
      <c r="F4576" s="1" t="s">
        <v>16</v>
      </c>
      <c r="G4576" s="1" t="s">
        <v>17</v>
      </c>
      <c r="H4576" s="1" t="str">
        <f>"71"</f>
        <v>71</v>
      </c>
      <c r="I4576" s="1" t="str">
        <f>"165.72"</f>
        <v>165.72</v>
      </c>
      <c r="J4576" s="1" t="str">
        <f t="shared" si="2846"/>
        <v>0</v>
      </c>
      <c r="K4576" s="1" t="str">
        <f t="shared" si="2847"/>
        <v>103</v>
      </c>
      <c r="L4576" s="1" t="str">
        <f t="shared" si="2848"/>
        <v>47</v>
      </c>
      <c r="M4576" s="1" t="str">
        <f t="shared" ref="M4576:M4639" si="2856">"0"</f>
        <v>0</v>
      </c>
      <c r="N4576" s="1" t="str">
        <f t="shared" si="2849"/>
        <v>0</v>
      </c>
      <c r="O4576" s="1" t="str">
        <f>"5.72"</f>
        <v>5.72</v>
      </c>
    </row>
    <row r="4577" s="1" customFormat="1" spans="1:15">
      <c r="A4577" s="1" t="str">
        <f t="shared" si="2851"/>
        <v>202406</v>
      </c>
      <c r="B4577" s="1" t="str">
        <f t="shared" si="2852"/>
        <v>150525100</v>
      </c>
      <c r="C4577" s="1" t="str">
        <f>"1014573079"</f>
        <v>1014573079</v>
      </c>
      <c r="D4577" s="1" t="str">
        <f>"152326195709080026"</f>
        <v>152326195709080026</v>
      </c>
      <c r="E4577" s="1" t="s">
        <v>4585</v>
      </c>
      <c r="F4577" s="1" t="s">
        <v>16</v>
      </c>
      <c r="G4577" s="1" t="s">
        <v>17</v>
      </c>
      <c r="H4577" s="1" t="str">
        <f>"67"</f>
        <v>67</v>
      </c>
      <c r="I4577" s="1" t="str">
        <f>"160.99"</f>
        <v>160.99</v>
      </c>
      <c r="J4577" s="1" t="str">
        <f t="shared" si="2846"/>
        <v>0</v>
      </c>
      <c r="K4577" s="1" t="str">
        <f t="shared" si="2847"/>
        <v>103</v>
      </c>
      <c r="L4577" s="1" t="str">
        <f t="shared" si="2848"/>
        <v>47</v>
      </c>
      <c r="M4577" s="1" t="str">
        <f t="shared" si="2856"/>
        <v>0</v>
      </c>
      <c r="N4577" s="1" t="str">
        <f t="shared" si="2849"/>
        <v>0</v>
      </c>
      <c r="O4577" s="1" t="str">
        <f>"10.99"</f>
        <v>10.99</v>
      </c>
    </row>
    <row r="4578" s="1" customFormat="1" spans="1:15">
      <c r="A4578" s="1" t="str">
        <f t="shared" si="2851"/>
        <v>202406</v>
      </c>
      <c r="B4578" s="1" t="str">
        <f t="shared" si="2852"/>
        <v>150525100</v>
      </c>
      <c r="C4578" s="1" t="str">
        <f>"1014573102"</f>
        <v>1014573102</v>
      </c>
      <c r="D4578" s="1" t="str">
        <f>"152326195709200040"</f>
        <v>152326195709200040</v>
      </c>
      <c r="E4578" s="1" t="s">
        <v>1530</v>
      </c>
      <c r="F4578" s="1" t="s">
        <v>16</v>
      </c>
      <c r="G4578" s="1" t="s">
        <v>19</v>
      </c>
      <c r="H4578" s="1" t="str">
        <f>"67"</f>
        <v>67</v>
      </c>
      <c r="I4578" s="1" t="str">
        <f>"160.99"</f>
        <v>160.99</v>
      </c>
      <c r="J4578" s="1" t="str">
        <f t="shared" si="2846"/>
        <v>0</v>
      </c>
      <c r="K4578" s="1" t="str">
        <f t="shared" si="2847"/>
        <v>103</v>
      </c>
      <c r="L4578" s="1" t="str">
        <f t="shared" si="2848"/>
        <v>47</v>
      </c>
      <c r="M4578" s="1" t="str">
        <f t="shared" si="2856"/>
        <v>0</v>
      </c>
      <c r="N4578" s="1" t="str">
        <f t="shared" si="2849"/>
        <v>0</v>
      </c>
      <c r="O4578" s="1" t="str">
        <f>"10.99"</f>
        <v>10.99</v>
      </c>
    </row>
    <row r="4579" s="1" customFormat="1" spans="1:15">
      <c r="A4579" s="1" t="str">
        <f t="shared" si="2851"/>
        <v>202406</v>
      </c>
      <c r="B4579" s="1" t="str">
        <f t="shared" si="2852"/>
        <v>150525100</v>
      </c>
      <c r="C4579" s="1" t="str">
        <f>"1014573378"</f>
        <v>1014573378</v>
      </c>
      <c r="D4579" s="1" t="str">
        <f>"152326195909243088"</f>
        <v>152326195909243088</v>
      </c>
      <c r="E4579" s="1" t="s">
        <v>4586</v>
      </c>
      <c r="F4579" s="1" t="s">
        <v>16</v>
      </c>
      <c r="G4579" s="1" t="s">
        <v>17</v>
      </c>
      <c r="H4579" s="1" t="str">
        <f>"65"</f>
        <v>65</v>
      </c>
      <c r="I4579" s="1" t="str">
        <f>"158.18"</f>
        <v>158.18</v>
      </c>
      <c r="J4579" s="1" t="str">
        <f t="shared" si="2846"/>
        <v>0</v>
      </c>
      <c r="K4579" s="1" t="str">
        <f t="shared" si="2847"/>
        <v>103</v>
      </c>
      <c r="L4579" s="1" t="str">
        <f t="shared" si="2848"/>
        <v>47</v>
      </c>
      <c r="M4579" s="1" t="str">
        <f t="shared" si="2856"/>
        <v>0</v>
      </c>
      <c r="N4579" s="1" t="str">
        <f t="shared" si="2849"/>
        <v>0</v>
      </c>
      <c r="O4579" s="1" t="str">
        <f>"8.18"</f>
        <v>8.18</v>
      </c>
    </row>
    <row r="4580" s="1" customFormat="1" spans="1:15">
      <c r="A4580" s="1" t="str">
        <f t="shared" si="2851"/>
        <v>202406</v>
      </c>
      <c r="B4580" s="1" t="str">
        <f t="shared" si="2852"/>
        <v>150525100</v>
      </c>
      <c r="C4580" s="1" t="str">
        <f>"1014575657"</f>
        <v>1014575657</v>
      </c>
      <c r="D4580" s="1" t="str">
        <f>"152326195911083087"</f>
        <v>152326195911083087</v>
      </c>
      <c r="E4580" s="1" t="s">
        <v>1285</v>
      </c>
      <c r="F4580" s="1" t="s">
        <v>16</v>
      </c>
      <c r="G4580" s="1" t="s">
        <v>17</v>
      </c>
      <c r="H4580" s="1" t="str">
        <f>"65"</f>
        <v>65</v>
      </c>
      <c r="I4580" s="1" t="str">
        <f>"158.2"</f>
        <v>158.2</v>
      </c>
      <c r="J4580" s="1" t="str">
        <f t="shared" si="2846"/>
        <v>0</v>
      </c>
      <c r="K4580" s="1" t="str">
        <f t="shared" si="2847"/>
        <v>103</v>
      </c>
      <c r="L4580" s="1" t="str">
        <f t="shared" si="2848"/>
        <v>47</v>
      </c>
      <c r="M4580" s="1" t="str">
        <f t="shared" si="2856"/>
        <v>0</v>
      </c>
      <c r="N4580" s="1" t="str">
        <f t="shared" si="2849"/>
        <v>0</v>
      </c>
      <c r="O4580" s="1" t="str">
        <f>"8.2"</f>
        <v>8.2</v>
      </c>
    </row>
    <row r="4581" s="1" customFormat="1" spans="1:15">
      <c r="A4581" s="1" t="str">
        <f t="shared" si="2851"/>
        <v>202406</v>
      </c>
      <c r="B4581" s="1" t="str">
        <f t="shared" si="2852"/>
        <v>150525100</v>
      </c>
      <c r="C4581" s="1" t="str">
        <f>"1014575660"</f>
        <v>1014575660</v>
      </c>
      <c r="D4581" s="1" t="str">
        <f>"152326196003233072"</f>
        <v>152326196003233072</v>
      </c>
      <c r="E4581" s="1" t="s">
        <v>4587</v>
      </c>
      <c r="F4581" s="1" t="s">
        <v>25</v>
      </c>
      <c r="G4581" s="1" t="s">
        <v>17</v>
      </c>
      <c r="H4581" s="1" t="str">
        <f>"64"</f>
        <v>64</v>
      </c>
      <c r="I4581" s="1" t="str">
        <f>"159.18"</f>
        <v>159.18</v>
      </c>
      <c r="J4581" s="1" t="str">
        <f t="shared" si="2846"/>
        <v>0</v>
      </c>
      <c r="K4581" s="1" t="str">
        <f t="shared" si="2847"/>
        <v>103</v>
      </c>
      <c r="L4581" s="1" t="str">
        <f t="shared" si="2848"/>
        <v>47</v>
      </c>
      <c r="M4581" s="1" t="str">
        <f t="shared" si="2856"/>
        <v>0</v>
      </c>
      <c r="N4581" s="1" t="str">
        <f t="shared" si="2849"/>
        <v>0</v>
      </c>
      <c r="O4581" s="1" t="str">
        <f>"9.18"</f>
        <v>9.18</v>
      </c>
    </row>
    <row r="4582" s="1" customFormat="1" spans="1:15">
      <c r="A4582" s="1" t="str">
        <f t="shared" si="2851"/>
        <v>202406</v>
      </c>
      <c r="B4582" s="1" t="str">
        <f t="shared" si="2852"/>
        <v>150525100</v>
      </c>
      <c r="C4582" s="1" t="str">
        <f>"1014575663"</f>
        <v>1014575663</v>
      </c>
      <c r="D4582" s="1" t="str">
        <f>"152326196007203081"</f>
        <v>152326196007203081</v>
      </c>
      <c r="E4582" s="1" t="s">
        <v>4588</v>
      </c>
      <c r="F4582" s="1" t="s">
        <v>16</v>
      </c>
      <c r="G4582" s="1" t="s">
        <v>17</v>
      </c>
      <c r="H4582" s="1" t="str">
        <f>"64"</f>
        <v>64</v>
      </c>
      <c r="I4582" s="1" t="str">
        <f>"159.23"</f>
        <v>159.23</v>
      </c>
      <c r="J4582" s="1" t="str">
        <f t="shared" si="2846"/>
        <v>0</v>
      </c>
      <c r="K4582" s="1" t="str">
        <f t="shared" si="2847"/>
        <v>103</v>
      </c>
      <c r="L4582" s="1" t="str">
        <f t="shared" si="2848"/>
        <v>47</v>
      </c>
      <c r="M4582" s="1" t="str">
        <f t="shared" si="2856"/>
        <v>0</v>
      </c>
      <c r="N4582" s="1" t="str">
        <f t="shared" si="2849"/>
        <v>0</v>
      </c>
      <c r="O4582" s="1" t="str">
        <f>"9.23"</f>
        <v>9.23</v>
      </c>
    </row>
    <row r="4583" s="1" customFormat="1" spans="1:15">
      <c r="A4583" s="1" t="str">
        <f t="shared" si="2851"/>
        <v>202406</v>
      </c>
      <c r="B4583" s="1" t="str">
        <f t="shared" si="2852"/>
        <v>150525100</v>
      </c>
      <c r="C4583" s="1" t="str">
        <f>"1014576228"</f>
        <v>1014576228</v>
      </c>
      <c r="D4583" s="1" t="str">
        <f>"152326195206146388"</f>
        <v>152326195206146388</v>
      </c>
      <c r="E4583" s="1" t="s">
        <v>4589</v>
      </c>
      <c r="F4583" s="1" t="s">
        <v>16</v>
      </c>
      <c r="G4583" s="1" t="s">
        <v>17</v>
      </c>
      <c r="H4583" s="1" t="str">
        <f>"72"</f>
        <v>72</v>
      </c>
      <c r="I4583" s="1" t="str">
        <f>"162.14"</f>
        <v>162.14</v>
      </c>
      <c r="J4583" s="1" t="str">
        <f t="shared" si="2846"/>
        <v>0</v>
      </c>
      <c r="K4583" s="1" t="str">
        <f t="shared" si="2847"/>
        <v>103</v>
      </c>
      <c r="L4583" s="1" t="str">
        <f t="shared" si="2848"/>
        <v>47</v>
      </c>
      <c r="M4583" s="1" t="str">
        <f t="shared" si="2856"/>
        <v>0</v>
      </c>
      <c r="N4583" s="1" t="str">
        <f t="shared" si="2849"/>
        <v>0</v>
      </c>
      <c r="O4583" s="1" t="str">
        <f>"2.14"</f>
        <v>2.14</v>
      </c>
    </row>
    <row r="4584" s="1" customFormat="1" spans="1:15">
      <c r="A4584" s="1" t="str">
        <f t="shared" si="2851"/>
        <v>202406</v>
      </c>
      <c r="B4584" s="1" t="str">
        <f t="shared" si="2852"/>
        <v>150525100</v>
      </c>
      <c r="C4584" s="1" t="str">
        <f>"1014576232"</f>
        <v>1014576232</v>
      </c>
      <c r="D4584" s="1" t="str">
        <f>"152326195309026151"</f>
        <v>152326195309026151</v>
      </c>
      <c r="E4584" s="1" t="s">
        <v>4590</v>
      </c>
      <c r="F4584" s="1" t="s">
        <v>25</v>
      </c>
      <c r="G4584" s="1" t="s">
        <v>17</v>
      </c>
      <c r="H4584" s="1" t="str">
        <f>"71"</f>
        <v>71</v>
      </c>
      <c r="I4584" s="1" t="str">
        <f>"163.16"</f>
        <v>163.16</v>
      </c>
      <c r="J4584" s="1" t="str">
        <f t="shared" si="2846"/>
        <v>0</v>
      </c>
      <c r="K4584" s="1" t="str">
        <f t="shared" si="2847"/>
        <v>103</v>
      </c>
      <c r="L4584" s="1" t="str">
        <f t="shared" si="2848"/>
        <v>47</v>
      </c>
      <c r="M4584" s="1" t="str">
        <f t="shared" si="2856"/>
        <v>0</v>
      </c>
      <c r="N4584" s="1" t="str">
        <f t="shared" si="2849"/>
        <v>0</v>
      </c>
      <c r="O4584" s="1" t="str">
        <f>"3.16"</f>
        <v>3.16</v>
      </c>
    </row>
    <row r="4585" s="1" customFormat="1" spans="1:15">
      <c r="A4585" s="1" t="str">
        <f t="shared" si="2851"/>
        <v>202406</v>
      </c>
      <c r="B4585" s="1" t="str">
        <f t="shared" si="2852"/>
        <v>150525100</v>
      </c>
      <c r="C4585" s="1" t="str">
        <f>"1014576233"</f>
        <v>1014576233</v>
      </c>
      <c r="D4585" s="1" t="str">
        <f>"152326195312156141"</f>
        <v>152326195312156141</v>
      </c>
      <c r="E4585" s="1" t="s">
        <v>1225</v>
      </c>
      <c r="F4585" s="1" t="s">
        <v>16</v>
      </c>
      <c r="G4585" s="1" t="s">
        <v>17</v>
      </c>
      <c r="H4585" s="1" t="str">
        <f>"71"</f>
        <v>71</v>
      </c>
      <c r="I4585" s="1" t="str">
        <f>"163.16"</f>
        <v>163.16</v>
      </c>
      <c r="J4585" s="1" t="str">
        <f t="shared" si="2846"/>
        <v>0</v>
      </c>
      <c r="K4585" s="1" t="str">
        <f t="shared" si="2847"/>
        <v>103</v>
      </c>
      <c r="L4585" s="1" t="str">
        <f t="shared" si="2848"/>
        <v>47</v>
      </c>
      <c r="M4585" s="1" t="str">
        <f t="shared" si="2856"/>
        <v>0</v>
      </c>
      <c r="N4585" s="1" t="str">
        <f t="shared" si="2849"/>
        <v>0</v>
      </c>
      <c r="O4585" s="1" t="str">
        <f>"3.16"</f>
        <v>3.16</v>
      </c>
    </row>
    <row r="4586" s="1" customFormat="1" spans="1:15">
      <c r="A4586" s="1" t="str">
        <f t="shared" si="2851"/>
        <v>202406</v>
      </c>
      <c r="B4586" s="1" t="str">
        <f t="shared" si="2852"/>
        <v>150525100</v>
      </c>
      <c r="C4586" s="1" t="str">
        <f>"1014576242"</f>
        <v>1014576242</v>
      </c>
      <c r="D4586" s="1" t="str">
        <f>"152326195509046122"</f>
        <v>152326195509046122</v>
      </c>
      <c r="E4586" s="1" t="s">
        <v>4591</v>
      </c>
      <c r="F4586" s="1" t="s">
        <v>16</v>
      </c>
      <c r="G4586" s="1" t="s">
        <v>17</v>
      </c>
      <c r="H4586" s="1" t="str">
        <f>"69"</f>
        <v>69</v>
      </c>
      <c r="I4586" s="1" t="str">
        <f>"155.09"</f>
        <v>155.09</v>
      </c>
      <c r="J4586" s="1" t="str">
        <f t="shared" si="2846"/>
        <v>0</v>
      </c>
      <c r="K4586" s="1" t="str">
        <f t="shared" si="2847"/>
        <v>103</v>
      </c>
      <c r="L4586" s="1" t="str">
        <f t="shared" si="2848"/>
        <v>47</v>
      </c>
      <c r="M4586" s="1" t="str">
        <f t="shared" si="2856"/>
        <v>0</v>
      </c>
      <c r="N4586" s="1" t="str">
        <f t="shared" si="2849"/>
        <v>0</v>
      </c>
      <c r="O4586" s="1" t="str">
        <f>"5.09"</f>
        <v>5.09</v>
      </c>
    </row>
    <row r="4587" s="1" customFormat="1" spans="1:15">
      <c r="A4587" s="1" t="str">
        <f t="shared" si="2851"/>
        <v>202406</v>
      </c>
      <c r="B4587" s="1" t="str">
        <f t="shared" si="2852"/>
        <v>150525100</v>
      </c>
      <c r="C4587" s="1" t="str">
        <f>"1014576866"</f>
        <v>1014576866</v>
      </c>
      <c r="D4587" s="1" t="str">
        <f>"152326195910230671"</f>
        <v>152326195910230671</v>
      </c>
      <c r="E4587" s="1" t="s">
        <v>4592</v>
      </c>
      <c r="F4587" s="1" t="s">
        <v>25</v>
      </c>
      <c r="G4587" s="1" t="s">
        <v>17</v>
      </c>
      <c r="H4587" s="1" t="str">
        <f>"65"</f>
        <v>65</v>
      </c>
      <c r="I4587" s="1" t="str">
        <f>"158.19"</f>
        <v>158.19</v>
      </c>
      <c r="J4587" s="1" t="str">
        <f t="shared" si="2846"/>
        <v>0</v>
      </c>
      <c r="K4587" s="1" t="str">
        <f t="shared" si="2847"/>
        <v>103</v>
      </c>
      <c r="L4587" s="1" t="str">
        <f t="shared" si="2848"/>
        <v>47</v>
      </c>
      <c r="M4587" s="1" t="str">
        <f t="shared" si="2856"/>
        <v>0</v>
      </c>
      <c r="N4587" s="1" t="str">
        <f t="shared" si="2849"/>
        <v>0</v>
      </c>
      <c r="O4587" s="1" t="str">
        <f>"8.19"</f>
        <v>8.19</v>
      </c>
    </row>
    <row r="4588" s="1" customFormat="1" spans="1:15">
      <c r="A4588" s="1" t="str">
        <f t="shared" si="2851"/>
        <v>202406</v>
      </c>
      <c r="B4588" s="1" t="str">
        <f t="shared" si="2852"/>
        <v>150525100</v>
      </c>
      <c r="C4588" s="1" t="str">
        <f>"1014552212"</f>
        <v>1014552212</v>
      </c>
      <c r="D4588" s="1" t="str">
        <f>"152326196004053823"</f>
        <v>152326196004053823</v>
      </c>
      <c r="E4588" s="1" t="s">
        <v>4593</v>
      </c>
      <c r="F4588" s="1" t="s">
        <v>16</v>
      </c>
      <c r="G4588" s="1" t="s">
        <v>17</v>
      </c>
      <c r="H4588" s="1" t="str">
        <f>"64"</f>
        <v>64</v>
      </c>
      <c r="I4588" s="1" t="str">
        <f>"158.95"</f>
        <v>158.95</v>
      </c>
      <c r="J4588" s="1" t="str">
        <f t="shared" si="2846"/>
        <v>0</v>
      </c>
      <c r="K4588" s="1" t="str">
        <f t="shared" si="2847"/>
        <v>103</v>
      </c>
      <c r="L4588" s="1" t="str">
        <f t="shared" si="2848"/>
        <v>47</v>
      </c>
      <c r="M4588" s="1" t="str">
        <f t="shared" si="2856"/>
        <v>0</v>
      </c>
      <c r="N4588" s="1" t="str">
        <f t="shared" si="2849"/>
        <v>0</v>
      </c>
      <c r="O4588" s="1" t="str">
        <f>"8.95"</f>
        <v>8.95</v>
      </c>
    </row>
    <row r="4589" s="1" customFormat="1" spans="1:15">
      <c r="A4589" s="1" t="str">
        <f t="shared" si="2851"/>
        <v>202406</v>
      </c>
      <c r="B4589" s="1" t="str">
        <f t="shared" si="2852"/>
        <v>150525100</v>
      </c>
      <c r="C4589" s="1" t="str">
        <f>"1014552224"</f>
        <v>1014552224</v>
      </c>
      <c r="D4589" s="1" t="str">
        <f>"152326196309163812"</f>
        <v>152326196309163812</v>
      </c>
      <c r="E4589" s="1" t="s">
        <v>4594</v>
      </c>
      <c r="F4589" s="1" t="s">
        <v>25</v>
      </c>
      <c r="G4589" s="1" t="s">
        <v>17</v>
      </c>
      <c r="H4589" s="1" t="str">
        <f>"61"</f>
        <v>61</v>
      </c>
      <c r="I4589" s="1" t="str">
        <f>"164.8"</f>
        <v>164.8</v>
      </c>
      <c r="J4589" s="1" t="str">
        <f t="shared" si="2846"/>
        <v>0</v>
      </c>
      <c r="K4589" s="1" t="str">
        <f t="shared" si="2847"/>
        <v>103</v>
      </c>
      <c r="L4589" s="1" t="str">
        <f t="shared" si="2848"/>
        <v>47</v>
      </c>
      <c r="M4589" s="1" t="str">
        <f t="shared" si="2856"/>
        <v>0</v>
      </c>
      <c r="N4589" s="1" t="str">
        <f t="shared" si="2849"/>
        <v>0</v>
      </c>
      <c r="O4589" s="1" t="str">
        <f>"14.8"</f>
        <v>14.8</v>
      </c>
    </row>
    <row r="4590" s="1" customFormat="1" spans="1:15">
      <c r="A4590" s="1" t="str">
        <f t="shared" si="2851"/>
        <v>202406</v>
      </c>
      <c r="B4590" s="1" t="str">
        <f t="shared" si="2852"/>
        <v>150525100</v>
      </c>
      <c r="C4590" s="1" t="str">
        <f>"1014573413"</f>
        <v>1014573413</v>
      </c>
      <c r="D4590" s="1" t="str">
        <f>"152326196103030010"</f>
        <v>152326196103030010</v>
      </c>
      <c r="E4590" s="1" t="s">
        <v>4595</v>
      </c>
      <c r="F4590" s="1" t="s">
        <v>25</v>
      </c>
      <c r="G4590" s="1" t="s">
        <v>17</v>
      </c>
      <c r="H4590" s="1" t="str">
        <f>"63"</f>
        <v>63</v>
      </c>
      <c r="I4590" s="1" t="str">
        <f>"161.01"</f>
        <v>161.01</v>
      </c>
      <c r="J4590" s="1" t="str">
        <f t="shared" si="2846"/>
        <v>0</v>
      </c>
      <c r="K4590" s="1" t="str">
        <f t="shared" si="2847"/>
        <v>103</v>
      </c>
      <c r="L4590" s="1" t="str">
        <f t="shared" si="2848"/>
        <v>47</v>
      </c>
      <c r="M4590" s="1" t="str">
        <f t="shared" si="2856"/>
        <v>0</v>
      </c>
      <c r="N4590" s="1" t="str">
        <f t="shared" si="2849"/>
        <v>0</v>
      </c>
      <c r="O4590" s="1" t="str">
        <f>"11.01"</f>
        <v>11.01</v>
      </c>
    </row>
    <row r="4591" s="1" customFormat="1" spans="1:15">
      <c r="A4591" s="1" t="str">
        <f t="shared" si="2851"/>
        <v>202406</v>
      </c>
      <c r="B4591" s="1" t="str">
        <f t="shared" si="2852"/>
        <v>150525100</v>
      </c>
      <c r="C4591" s="1" t="str">
        <f>"1014575901"</f>
        <v>1014575901</v>
      </c>
      <c r="D4591" s="1" t="str">
        <f>"152326195809140663"</f>
        <v>152326195809140663</v>
      </c>
      <c r="E4591" s="1" t="s">
        <v>1249</v>
      </c>
      <c r="F4591" s="1" t="s">
        <v>16</v>
      </c>
      <c r="G4591" s="1" t="s">
        <v>96</v>
      </c>
      <c r="H4591" s="1" t="str">
        <f>"66"</f>
        <v>66</v>
      </c>
      <c r="I4591" s="1" t="str">
        <f>"157.13"</f>
        <v>157.13</v>
      </c>
      <c r="J4591" s="1" t="str">
        <f t="shared" si="2846"/>
        <v>0</v>
      </c>
      <c r="K4591" s="1" t="str">
        <f t="shared" si="2847"/>
        <v>103</v>
      </c>
      <c r="L4591" s="1" t="str">
        <f t="shared" si="2848"/>
        <v>47</v>
      </c>
      <c r="M4591" s="1" t="str">
        <f t="shared" si="2856"/>
        <v>0</v>
      </c>
      <c r="N4591" s="1" t="str">
        <f t="shared" si="2849"/>
        <v>0</v>
      </c>
      <c r="O4591" s="1" t="str">
        <f>"7.13"</f>
        <v>7.13</v>
      </c>
    </row>
    <row r="4592" s="1" customFormat="1" spans="1:15">
      <c r="A4592" s="1" t="str">
        <f t="shared" si="2851"/>
        <v>202406</v>
      </c>
      <c r="B4592" s="1" t="str">
        <f t="shared" si="2852"/>
        <v>150525100</v>
      </c>
      <c r="C4592" s="1" t="str">
        <f>"1014575905"</f>
        <v>1014575905</v>
      </c>
      <c r="D4592" s="1" t="str">
        <f>"152326196211030667"</f>
        <v>152326196211030667</v>
      </c>
      <c r="E4592" s="1" t="s">
        <v>4596</v>
      </c>
      <c r="F4592" s="1" t="s">
        <v>16</v>
      </c>
      <c r="G4592" s="1" t="s">
        <v>19</v>
      </c>
      <c r="H4592" s="1" t="str">
        <f>"62"</f>
        <v>62</v>
      </c>
      <c r="I4592" s="1" t="str">
        <f>"163.19"</f>
        <v>163.19</v>
      </c>
      <c r="J4592" s="1" t="str">
        <f t="shared" si="2846"/>
        <v>0</v>
      </c>
      <c r="K4592" s="1" t="str">
        <f t="shared" si="2847"/>
        <v>103</v>
      </c>
      <c r="L4592" s="1" t="str">
        <f t="shared" si="2848"/>
        <v>47</v>
      </c>
      <c r="M4592" s="1" t="str">
        <f t="shared" si="2856"/>
        <v>0</v>
      </c>
      <c r="N4592" s="1" t="str">
        <f t="shared" si="2849"/>
        <v>0</v>
      </c>
      <c r="O4592" s="1" t="str">
        <f>"13.19"</f>
        <v>13.19</v>
      </c>
    </row>
    <row r="4593" s="1" customFormat="1" spans="1:15">
      <c r="A4593" s="1" t="str">
        <f t="shared" si="2851"/>
        <v>202406</v>
      </c>
      <c r="B4593" s="1" t="str">
        <f t="shared" si="2852"/>
        <v>150525100</v>
      </c>
      <c r="C4593" s="1" t="str">
        <f>"1014549520"</f>
        <v>1014549520</v>
      </c>
      <c r="D4593" s="1" t="str">
        <f>"152326195211143819"</f>
        <v>152326195211143819</v>
      </c>
      <c r="E4593" s="1" t="s">
        <v>4597</v>
      </c>
      <c r="F4593" s="1" t="s">
        <v>25</v>
      </c>
      <c r="G4593" s="1" t="s">
        <v>19</v>
      </c>
      <c r="H4593" s="1" t="str">
        <f>"72"</f>
        <v>72</v>
      </c>
      <c r="I4593" s="1" t="str">
        <f>"162.15"</f>
        <v>162.15</v>
      </c>
      <c r="J4593" s="1" t="str">
        <f t="shared" si="2846"/>
        <v>0</v>
      </c>
      <c r="K4593" s="1" t="str">
        <f t="shared" si="2847"/>
        <v>103</v>
      </c>
      <c r="L4593" s="1" t="str">
        <f t="shared" si="2848"/>
        <v>47</v>
      </c>
      <c r="M4593" s="1" t="str">
        <f t="shared" si="2856"/>
        <v>0</v>
      </c>
      <c r="N4593" s="1" t="str">
        <f t="shared" si="2849"/>
        <v>0</v>
      </c>
      <c r="O4593" s="1" t="str">
        <f>"2.15"</f>
        <v>2.15</v>
      </c>
    </row>
    <row r="4594" s="1" customFormat="1" spans="1:15">
      <c r="A4594" s="1" t="str">
        <f t="shared" si="2851"/>
        <v>202406</v>
      </c>
      <c r="B4594" s="1" t="str">
        <f t="shared" si="2852"/>
        <v>150525100</v>
      </c>
      <c r="C4594" s="1" t="str">
        <f>"1014571627"</f>
        <v>1014571627</v>
      </c>
      <c r="D4594" s="1" t="str">
        <f>"152326196201280013"</f>
        <v>152326196201280013</v>
      </c>
      <c r="E4594" s="1" t="s">
        <v>4598</v>
      </c>
      <c r="F4594" s="1" t="s">
        <v>25</v>
      </c>
      <c r="G4594" s="1" t="s">
        <v>17</v>
      </c>
      <c r="H4594" s="1" t="str">
        <f>"62"</f>
        <v>62</v>
      </c>
      <c r="I4594" s="1" t="str">
        <f>"267.14"</f>
        <v>267.14</v>
      </c>
      <c r="J4594" s="1" t="str">
        <f t="shared" ref="J4594:J4629" si="2857">"0"</f>
        <v>0</v>
      </c>
      <c r="K4594" s="1" t="str">
        <f t="shared" ref="K4594:K4629" si="2858">"103"</f>
        <v>103</v>
      </c>
      <c r="L4594" s="1" t="str">
        <f t="shared" ref="L4594:L4629" si="2859">"47"</f>
        <v>47</v>
      </c>
      <c r="M4594" s="1" t="str">
        <f t="shared" si="2856"/>
        <v>0</v>
      </c>
      <c r="N4594" s="1" t="str">
        <f t="shared" si="2849"/>
        <v>0</v>
      </c>
      <c r="O4594" s="1" t="str">
        <f>"117.14"</f>
        <v>117.14</v>
      </c>
    </row>
    <row r="4595" s="1" customFormat="1" spans="1:15">
      <c r="A4595" s="1" t="str">
        <f t="shared" si="2851"/>
        <v>202406</v>
      </c>
      <c r="B4595" s="1" t="str">
        <f t="shared" si="2852"/>
        <v>150525100</v>
      </c>
      <c r="C4595" s="1" t="str">
        <f>"1014571779"</f>
        <v>1014571779</v>
      </c>
      <c r="D4595" s="1" t="s">
        <v>4599</v>
      </c>
      <c r="E4595" s="1" t="s">
        <v>4600</v>
      </c>
      <c r="F4595" s="1" t="s">
        <v>16</v>
      </c>
      <c r="G4595" s="1" t="s">
        <v>17</v>
      </c>
      <c r="H4595" s="1" t="str">
        <f>"64"</f>
        <v>64</v>
      </c>
      <c r="I4595" s="1" t="str">
        <f>"189.71"</f>
        <v>189.71</v>
      </c>
      <c r="J4595" s="1" t="str">
        <f t="shared" si="2857"/>
        <v>0</v>
      </c>
      <c r="K4595" s="1" t="str">
        <f t="shared" si="2858"/>
        <v>103</v>
      </c>
      <c r="L4595" s="1" t="str">
        <f t="shared" si="2859"/>
        <v>47</v>
      </c>
      <c r="M4595" s="1" t="str">
        <f t="shared" si="2856"/>
        <v>0</v>
      </c>
      <c r="N4595" s="1" t="str">
        <f t="shared" si="2849"/>
        <v>0</v>
      </c>
      <c r="O4595" s="1" t="str">
        <f>"39.71"</f>
        <v>39.71</v>
      </c>
    </row>
    <row r="4596" s="1" customFormat="1" spans="1:15">
      <c r="A4596" s="1" t="str">
        <f t="shared" si="2851"/>
        <v>202406</v>
      </c>
      <c r="B4596" s="1" t="str">
        <f t="shared" si="2852"/>
        <v>150525100</v>
      </c>
      <c r="C4596" s="1" t="str">
        <f>"1014575536"</f>
        <v>1014575536</v>
      </c>
      <c r="D4596" s="1" t="str">
        <f>"152326195302223072"</f>
        <v>152326195302223072</v>
      </c>
      <c r="E4596" s="1" t="s">
        <v>4601</v>
      </c>
      <c r="F4596" s="1" t="s">
        <v>25</v>
      </c>
      <c r="G4596" s="1" t="s">
        <v>17</v>
      </c>
      <c r="H4596" s="1" t="str">
        <f>"71"</f>
        <v>71</v>
      </c>
      <c r="I4596" s="1" t="str">
        <f>"163.16"</f>
        <v>163.16</v>
      </c>
      <c r="J4596" s="1" t="str">
        <f t="shared" si="2857"/>
        <v>0</v>
      </c>
      <c r="K4596" s="1" t="str">
        <f t="shared" si="2858"/>
        <v>103</v>
      </c>
      <c r="L4596" s="1" t="str">
        <f t="shared" si="2859"/>
        <v>47</v>
      </c>
      <c r="M4596" s="1" t="str">
        <f t="shared" si="2856"/>
        <v>0</v>
      </c>
      <c r="N4596" s="1" t="str">
        <f t="shared" si="2849"/>
        <v>0</v>
      </c>
      <c r="O4596" s="1" t="str">
        <f>"3.16"</f>
        <v>3.16</v>
      </c>
    </row>
    <row r="4597" s="1" customFormat="1" spans="1:15">
      <c r="A4597" s="1" t="str">
        <f t="shared" si="2851"/>
        <v>202406</v>
      </c>
      <c r="B4597" s="1" t="str">
        <f t="shared" si="2852"/>
        <v>150525100</v>
      </c>
      <c r="C4597" s="1" t="str">
        <f>"1014575546"</f>
        <v>1014575546</v>
      </c>
      <c r="D4597" s="1" t="str">
        <f>"152326195504253085"</f>
        <v>152326195504253085</v>
      </c>
      <c r="E4597" s="1" t="s">
        <v>4602</v>
      </c>
      <c r="F4597" s="1" t="s">
        <v>16</v>
      </c>
      <c r="G4597" s="1" t="s">
        <v>17</v>
      </c>
      <c r="H4597" s="1" t="str">
        <f>"69"</f>
        <v>69</v>
      </c>
      <c r="I4597" s="1" t="str">
        <f>"155.09"</f>
        <v>155.09</v>
      </c>
      <c r="J4597" s="1" t="str">
        <f t="shared" si="2857"/>
        <v>0</v>
      </c>
      <c r="K4597" s="1" t="str">
        <f t="shared" si="2858"/>
        <v>103</v>
      </c>
      <c r="L4597" s="1" t="str">
        <f t="shared" si="2859"/>
        <v>47</v>
      </c>
      <c r="M4597" s="1" t="str">
        <f t="shared" si="2856"/>
        <v>0</v>
      </c>
      <c r="N4597" s="1" t="str">
        <f t="shared" si="2849"/>
        <v>0</v>
      </c>
      <c r="O4597" s="1" t="str">
        <f>"5.09"</f>
        <v>5.09</v>
      </c>
    </row>
    <row r="4598" s="1" customFormat="1" spans="1:15">
      <c r="A4598" s="1" t="str">
        <f t="shared" si="2851"/>
        <v>202406</v>
      </c>
      <c r="B4598" s="1" t="str">
        <f t="shared" si="2852"/>
        <v>150525100</v>
      </c>
      <c r="C4598" s="1" t="str">
        <f>"1014575553"</f>
        <v>1014575553</v>
      </c>
      <c r="D4598" s="1" t="str">
        <f>"152326195706193076"</f>
        <v>152326195706193076</v>
      </c>
      <c r="E4598" s="1" t="s">
        <v>4603</v>
      </c>
      <c r="F4598" s="1" t="s">
        <v>25</v>
      </c>
      <c r="G4598" s="1" t="s">
        <v>17</v>
      </c>
      <c r="H4598" s="1" t="str">
        <f>"67"</f>
        <v>67</v>
      </c>
      <c r="I4598" s="1" t="str">
        <f>"155.81"</f>
        <v>155.81</v>
      </c>
      <c r="J4598" s="1" t="str">
        <f t="shared" si="2857"/>
        <v>0</v>
      </c>
      <c r="K4598" s="1" t="str">
        <f t="shared" si="2858"/>
        <v>103</v>
      </c>
      <c r="L4598" s="1" t="str">
        <f t="shared" si="2859"/>
        <v>47</v>
      </c>
      <c r="M4598" s="1" t="str">
        <f t="shared" si="2856"/>
        <v>0</v>
      </c>
      <c r="N4598" s="1" t="str">
        <f t="shared" si="2849"/>
        <v>0</v>
      </c>
      <c r="O4598" s="1" t="str">
        <f>"5.81"</f>
        <v>5.81</v>
      </c>
    </row>
    <row r="4599" s="1" customFormat="1" spans="1:15">
      <c r="A4599" s="1" t="str">
        <f t="shared" si="2851"/>
        <v>202406</v>
      </c>
      <c r="B4599" s="1" t="str">
        <f t="shared" si="2852"/>
        <v>150525100</v>
      </c>
      <c r="C4599" s="1" t="str">
        <f>"1014575557"</f>
        <v>1014575557</v>
      </c>
      <c r="D4599" s="1" t="str">
        <f>"152326196006060664"</f>
        <v>152326196006060664</v>
      </c>
      <c r="E4599" s="1" t="s">
        <v>209</v>
      </c>
      <c r="F4599" s="1" t="s">
        <v>16</v>
      </c>
      <c r="G4599" s="1" t="s">
        <v>17</v>
      </c>
      <c r="H4599" s="1" t="str">
        <f>"64"</f>
        <v>64</v>
      </c>
      <c r="I4599" s="1" t="str">
        <f>"159.22"</f>
        <v>159.22</v>
      </c>
      <c r="J4599" s="1" t="str">
        <f t="shared" si="2857"/>
        <v>0</v>
      </c>
      <c r="K4599" s="1" t="str">
        <f t="shared" si="2858"/>
        <v>103</v>
      </c>
      <c r="L4599" s="1" t="str">
        <f t="shared" si="2859"/>
        <v>47</v>
      </c>
      <c r="M4599" s="1" t="str">
        <f t="shared" si="2856"/>
        <v>0</v>
      </c>
      <c r="N4599" s="1" t="str">
        <f t="shared" si="2849"/>
        <v>0</v>
      </c>
      <c r="O4599" s="1" t="str">
        <f>"9.22"</f>
        <v>9.22</v>
      </c>
    </row>
    <row r="4600" s="1" customFormat="1" spans="1:15">
      <c r="A4600" s="1" t="str">
        <f t="shared" si="2851"/>
        <v>202406</v>
      </c>
      <c r="B4600" s="1" t="str">
        <f t="shared" si="2852"/>
        <v>150525100</v>
      </c>
      <c r="C4600" s="1" t="str">
        <f>"1014575687"</f>
        <v>1014575687</v>
      </c>
      <c r="D4600" s="1" t="str">
        <f>"152326196309150667"</f>
        <v>152326196309150667</v>
      </c>
      <c r="E4600" s="1" t="s">
        <v>4604</v>
      </c>
      <c r="F4600" s="1" t="s">
        <v>16</v>
      </c>
      <c r="G4600" s="1" t="s">
        <v>17</v>
      </c>
      <c r="H4600" s="1" t="str">
        <f>"61"</f>
        <v>61</v>
      </c>
      <c r="I4600" s="1" t="str">
        <f>"165.1"</f>
        <v>165.1</v>
      </c>
      <c r="J4600" s="1" t="str">
        <f t="shared" si="2857"/>
        <v>0</v>
      </c>
      <c r="K4600" s="1" t="str">
        <f t="shared" si="2858"/>
        <v>103</v>
      </c>
      <c r="L4600" s="1" t="str">
        <f t="shared" si="2859"/>
        <v>47</v>
      </c>
      <c r="M4600" s="1" t="str">
        <f t="shared" si="2856"/>
        <v>0</v>
      </c>
      <c r="N4600" s="1" t="str">
        <f t="shared" si="2849"/>
        <v>0</v>
      </c>
      <c r="O4600" s="1" t="str">
        <f>"15.1"</f>
        <v>15.1</v>
      </c>
    </row>
    <row r="4601" s="1" customFormat="1" spans="1:15">
      <c r="A4601" s="1" t="str">
        <f t="shared" si="2851"/>
        <v>202406</v>
      </c>
      <c r="B4601" s="1" t="str">
        <f t="shared" si="2852"/>
        <v>150525100</v>
      </c>
      <c r="C4601" s="1" t="str">
        <f>"1014576096"</f>
        <v>1014576096</v>
      </c>
      <c r="D4601" s="1" t="s">
        <v>4605</v>
      </c>
      <c r="E4601" s="1" t="s">
        <v>1742</v>
      </c>
      <c r="F4601" s="1" t="s">
        <v>16</v>
      </c>
      <c r="G4601" s="1" t="s">
        <v>17</v>
      </c>
      <c r="H4601" s="1" t="str">
        <f t="shared" ref="H4601:H4604" si="2860">"72"</f>
        <v>72</v>
      </c>
      <c r="I4601" s="1" t="str">
        <f>"162.14"</f>
        <v>162.14</v>
      </c>
      <c r="J4601" s="1" t="str">
        <f t="shared" si="2857"/>
        <v>0</v>
      </c>
      <c r="K4601" s="1" t="str">
        <f t="shared" si="2858"/>
        <v>103</v>
      </c>
      <c r="L4601" s="1" t="str">
        <f t="shared" si="2859"/>
        <v>47</v>
      </c>
      <c r="M4601" s="1" t="str">
        <f t="shared" si="2856"/>
        <v>0</v>
      </c>
      <c r="N4601" s="1" t="str">
        <f t="shared" ref="N4601:N4664" si="2861">"0"</f>
        <v>0</v>
      </c>
      <c r="O4601" s="1" t="str">
        <f>"2.14"</f>
        <v>2.14</v>
      </c>
    </row>
    <row r="4602" s="1" customFormat="1" spans="1:15">
      <c r="A4602" s="1" t="str">
        <f t="shared" si="2851"/>
        <v>202406</v>
      </c>
      <c r="B4602" s="1" t="str">
        <f t="shared" si="2852"/>
        <v>150525100</v>
      </c>
      <c r="C4602" s="1" t="str">
        <f>"1014576605"</f>
        <v>1014576605</v>
      </c>
      <c r="D4602" s="1" t="str">
        <f>"152326195208040421"</f>
        <v>152326195208040421</v>
      </c>
      <c r="E4602" s="1" t="s">
        <v>4606</v>
      </c>
      <c r="F4602" s="1" t="s">
        <v>16</v>
      </c>
      <c r="G4602" s="1" t="s">
        <v>17</v>
      </c>
      <c r="H4602" s="1" t="str">
        <f t="shared" si="2860"/>
        <v>72</v>
      </c>
      <c r="I4602" s="1" t="str">
        <f>"162.14"</f>
        <v>162.14</v>
      </c>
      <c r="J4602" s="1" t="str">
        <f t="shared" si="2857"/>
        <v>0</v>
      </c>
      <c r="K4602" s="1" t="str">
        <f t="shared" si="2858"/>
        <v>103</v>
      </c>
      <c r="L4602" s="1" t="str">
        <f t="shared" si="2859"/>
        <v>47</v>
      </c>
      <c r="M4602" s="1" t="str">
        <f t="shared" si="2856"/>
        <v>0</v>
      </c>
      <c r="N4602" s="1" t="str">
        <f t="shared" si="2861"/>
        <v>0</v>
      </c>
      <c r="O4602" s="1" t="str">
        <f>"2.14"</f>
        <v>2.14</v>
      </c>
    </row>
    <row r="4603" s="1" customFormat="1" spans="1:15">
      <c r="A4603" s="1" t="str">
        <f t="shared" si="2851"/>
        <v>202406</v>
      </c>
      <c r="B4603" s="1" t="str">
        <f t="shared" si="2852"/>
        <v>150525100</v>
      </c>
      <c r="C4603" s="1" t="str">
        <f>"1014576632"</f>
        <v>1014576632</v>
      </c>
      <c r="D4603" s="1" t="str">
        <f>"152326195609070672"</f>
        <v>152326195609070672</v>
      </c>
      <c r="E4603" s="1" t="s">
        <v>4607</v>
      </c>
      <c r="F4603" s="1" t="s">
        <v>25</v>
      </c>
      <c r="G4603" s="1" t="s">
        <v>19</v>
      </c>
      <c r="H4603" s="1" t="str">
        <f>"68"</f>
        <v>68</v>
      </c>
      <c r="I4603" s="1" t="str">
        <f>"156.02"</f>
        <v>156.02</v>
      </c>
      <c r="J4603" s="1" t="str">
        <f t="shared" si="2857"/>
        <v>0</v>
      </c>
      <c r="K4603" s="1" t="str">
        <f t="shared" si="2858"/>
        <v>103</v>
      </c>
      <c r="L4603" s="1" t="str">
        <f t="shared" si="2859"/>
        <v>47</v>
      </c>
      <c r="M4603" s="1" t="str">
        <f t="shared" si="2856"/>
        <v>0</v>
      </c>
      <c r="N4603" s="1" t="str">
        <f t="shared" si="2861"/>
        <v>0</v>
      </c>
      <c r="O4603" s="1" t="str">
        <f>"6.02"</f>
        <v>6.02</v>
      </c>
    </row>
    <row r="4604" s="1" customFormat="1" spans="1:15">
      <c r="A4604" s="1" t="str">
        <f t="shared" si="2851"/>
        <v>202406</v>
      </c>
      <c r="B4604" s="1" t="str">
        <f t="shared" si="2852"/>
        <v>150525100</v>
      </c>
      <c r="C4604" s="1" t="str">
        <f>"1014547945"</f>
        <v>1014547945</v>
      </c>
      <c r="D4604" s="1" t="str">
        <f>"152326195211050663"</f>
        <v>152326195211050663</v>
      </c>
      <c r="E4604" s="1" t="s">
        <v>2723</v>
      </c>
      <c r="F4604" s="1" t="s">
        <v>16</v>
      </c>
      <c r="G4604" s="1" t="s">
        <v>17</v>
      </c>
      <c r="H4604" s="1" t="str">
        <f t="shared" si="2860"/>
        <v>72</v>
      </c>
      <c r="I4604" s="1" t="str">
        <f>"162.15"</f>
        <v>162.15</v>
      </c>
      <c r="J4604" s="1" t="str">
        <f t="shared" si="2857"/>
        <v>0</v>
      </c>
      <c r="K4604" s="1" t="str">
        <f t="shared" si="2858"/>
        <v>103</v>
      </c>
      <c r="L4604" s="1" t="str">
        <f t="shared" si="2859"/>
        <v>47</v>
      </c>
      <c r="M4604" s="1" t="str">
        <f t="shared" si="2856"/>
        <v>0</v>
      </c>
      <c r="N4604" s="1" t="str">
        <f t="shared" si="2861"/>
        <v>0</v>
      </c>
      <c r="O4604" s="1" t="str">
        <f>"2.15"</f>
        <v>2.15</v>
      </c>
    </row>
    <row r="4605" s="1" customFormat="1" spans="1:15">
      <c r="A4605" s="1" t="str">
        <f t="shared" si="2851"/>
        <v>202406</v>
      </c>
      <c r="B4605" s="1" t="str">
        <f t="shared" si="2852"/>
        <v>150525100</v>
      </c>
      <c r="C4605" s="1" t="str">
        <f>"1014547955"</f>
        <v>1014547955</v>
      </c>
      <c r="D4605" s="1" t="str">
        <f>"152326196107120697"</f>
        <v>152326196107120697</v>
      </c>
      <c r="E4605" s="1" t="s">
        <v>4608</v>
      </c>
      <c r="F4605" s="1" t="s">
        <v>25</v>
      </c>
      <c r="G4605" s="1" t="s">
        <v>17</v>
      </c>
      <c r="H4605" s="1" t="str">
        <f>"63"</f>
        <v>63</v>
      </c>
      <c r="I4605" s="1" t="str">
        <f>"161.13"</f>
        <v>161.13</v>
      </c>
      <c r="J4605" s="1" t="str">
        <f t="shared" si="2857"/>
        <v>0</v>
      </c>
      <c r="K4605" s="1" t="str">
        <f t="shared" si="2858"/>
        <v>103</v>
      </c>
      <c r="L4605" s="1" t="str">
        <f t="shared" si="2859"/>
        <v>47</v>
      </c>
      <c r="M4605" s="1" t="str">
        <f t="shared" si="2856"/>
        <v>0</v>
      </c>
      <c r="N4605" s="1" t="str">
        <f t="shared" si="2861"/>
        <v>0</v>
      </c>
      <c r="O4605" s="1" t="str">
        <f>"11.13"</f>
        <v>11.13</v>
      </c>
    </row>
    <row r="4606" s="1" customFormat="1" spans="1:15">
      <c r="A4606" s="1" t="str">
        <f t="shared" si="2851"/>
        <v>202406</v>
      </c>
      <c r="B4606" s="1" t="str">
        <f t="shared" si="2852"/>
        <v>150525100</v>
      </c>
      <c r="C4606" s="1" t="str">
        <f>"1014571810"</f>
        <v>1014571810</v>
      </c>
      <c r="D4606" s="1" t="str">
        <f>"152326196301160094"</f>
        <v>152326196301160094</v>
      </c>
      <c r="E4606" s="1" t="s">
        <v>4609</v>
      </c>
      <c r="F4606" s="1" t="s">
        <v>25</v>
      </c>
      <c r="G4606" s="1" t="s">
        <v>19</v>
      </c>
      <c r="H4606" s="1" t="str">
        <f>"61"</f>
        <v>61</v>
      </c>
      <c r="I4606" s="1" t="str">
        <f>"203.89"</f>
        <v>203.89</v>
      </c>
      <c r="J4606" s="1" t="str">
        <f t="shared" si="2857"/>
        <v>0</v>
      </c>
      <c r="K4606" s="1" t="str">
        <f t="shared" si="2858"/>
        <v>103</v>
      </c>
      <c r="L4606" s="1" t="str">
        <f t="shared" si="2859"/>
        <v>47</v>
      </c>
      <c r="M4606" s="1" t="str">
        <f t="shared" si="2856"/>
        <v>0</v>
      </c>
      <c r="N4606" s="1" t="str">
        <f t="shared" si="2861"/>
        <v>0</v>
      </c>
      <c r="O4606" s="1" t="str">
        <f>"53.89"</f>
        <v>53.89</v>
      </c>
    </row>
    <row r="4607" s="1" customFormat="1" spans="1:15">
      <c r="A4607" s="1" t="str">
        <f t="shared" si="2851"/>
        <v>202406</v>
      </c>
      <c r="B4607" s="1" t="str">
        <f t="shared" si="2852"/>
        <v>150525100</v>
      </c>
      <c r="C4607" s="1" t="str">
        <f>"1014571931"</f>
        <v>1014571931</v>
      </c>
      <c r="D4607" s="1" t="s">
        <v>4610</v>
      </c>
      <c r="E4607" s="1" t="s">
        <v>4611</v>
      </c>
      <c r="F4607" s="1" t="s">
        <v>16</v>
      </c>
      <c r="G4607" s="1" t="s">
        <v>17</v>
      </c>
      <c r="H4607" s="1" t="str">
        <f>"72"</f>
        <v>72</v>
      </c>
      <c r="I4607" s="1" t="str">
        <f>"162.14"</f>
        <v>162.14</v>
      </c>
      <c r="J4607" s="1" t="str">
        <f t="shared" si="2857"/>
        <v>0</v>
      </c>
      <c r="K4607" s="1" t="str">
        <f t="shared" si="2858"/>
        <v>103</v>
      </c>
      <c r="L4607" s="1" t="str">
        <f t="shared" si="2859"/>
        <v>47</v>
      </c>
      <c r="M4607" s="1" t="str">
        <f t="shared" si="2856"/>
        <v>0</v>
      </c>
      <c r="N4607" s="1" t="str">
        <f t="shared" si="2861"/>
        <v>0</v>
      </c>
      <c r="O4607" s="1" t="str">
        <f>"2.14"</f>
        <v>2.14</v>
      </c>
    </row>
    <row r="4608" s="1" customFormat="1" spans="1:15">
      <c r="A4608" s="1" t="str">
        <f t="shared" si="2851"/>
        <v>202406</v>
      </c>
      <c r="B4608" s="1" t="str">
        <f t="shared" si="2852"/>
        <v>150525100</v>
      </c>
      <c r="C4608" s="1" t="str">
        <f>"1014571961"</f>
        <v>1014571961</v>
      </c>
      <c r="D4608" s="1" t="str">
        <f>"152326195406270447"</f>
        <v>152326195406270447</v>
      </c>
      <c r="E4608" s="1" t="s">
        <v>340</v>
      </c>
      <c r="F4608" s="1" t="s">
        <v>16</v>
      </c>
      <c r="G4608" s="1" t="s">
        <v>17</v>
      </c>
      <c r="H4608" s="1" t="str">
        <f>"70"</f>
        <v>70</v>
      </c>
      <c r="I4608" s="1" t="str">
        <f>"184.24"</f>
        <v>184.24</v>
      </c>
      <c r="J4608" s="1" t="str">
        <f t="shared" si="2857"/>
        <v>0</v>
      </c>
      <c r="K4608" s="1" t="str">
        <f t="shared" si="2858"/>
        <v>103</v>
      </c>
      <c r="L4608" s="1" t="str">
        <f t="shared" si="2859"/>
        <v>47</v>
      </c>
      <c r="M4608" s="1" t="str">
        <f t="shared" si="2856"/>
        <v>0</v>
      </c>
      <c r="N4608" s="1" t="str">
        <f t="shared" si="2861"/>
        <v>0</v>
      </c>
      <c r="O4608" s="1" t="str">
        <f>"34.24"</f>
        <v>34.24</v>
      </c>
    </row>
    <row r="4609" s="1" customFormat="1" spans="1:15">
      <c r="A4609" s="1" t="str">
        <f t="shared" si="2851"/>
        <v>202406</v>
      </c>
      <c r="B4609" s="1" t="str">
        <f t="shared" si="2852"/>
        <v>150525100</v>
      </c>
      <c r="C4609" s="1" t="str">
        <f>"1014552286"</f>
        <v>1014552286</v>
      </c>
      <c r="D4609" s="1" t="str">
        <f>"152326195803153818"</f>
        <v>152326195803153818</v>
      </c>
      <c r="E4609" s="1" t="s">
        <v>4612</v>
      </c>
      <c r="F4609" s="1" t="s">
        <v>25</v>
      </c>
      <c r="G4609" s="1" t="s">
        <v>17</v>
      </c>
      <c r="H4609" s="1" t="str">
        <f>"66"</f>
        <v>66</v>
      </c>
      <c r="I4609" s="1" t="str">
        <f>"179.73"</f>
        <v>179.73</v>
      </c>
      <c r="J4609" s="1" t="str">
        <f t="shared" si="2857"/>
        <v>0</v>
      </c>
      <c r="K4609" s="1" t="str">
        <f t="shared" si="2858"/>
        <v>103</v>
      </c>
      <c r="L4609" s="1" t="str">
        <f t="shared" si="2859"/>
        <v>47</v>
      </c>
      <c r="M4609" s="1" t="str">
        <f t="shared" si="2856"/>
        <v>0</v>
      </c>
      <c r="N4609" s="1" t="str">
        <f t="shared" si="2861"/>
        <v>0</v>
      </c>
      <c r="O4609" s="1" t="str">
        <f>"29.73"</f>
        <v>29.73</v>
      </c>
    </row>
    <row r="4610" s="1" customFormat="1" spans="1:15">
      <c r="A4610" s="1" t="str">
        <f t="shared" ref="A4610:A4673" si="2862">"202406"</f>
        <v>202406</v>
      </c>
      <c r="B4610" s="1" t="str">
        <f t="shared" ref="B4610:B4673" si="2863">"150525100"</f>
        <v>150525100</v>
      </c>
      <c r="C4610" s="1" t="str">
        <f>"1014552300"</f>
        <v>1014552300</v>
      </c>
      <c r="D4610" s="1" t="s">
        <v>4613</v>
      </c>
      <c r="E4610" s="1" t="s">
        <v>4614</v>
      </c>
      <c r="F4610" s="1" t="s">
        <v>16</v>
      </c>
      <c r="G4610" s="1" t="s">
        <v>17</v>
      </c>
      <c r="H4610" s="1" t="str">
        <f>"68"</f>
        <v>68</v>
      </c>
      <c r="I4610" s="1" t="str">
        <f>"155.63"</f>
        <v>155.63</v>
      </c>
      <c r="J4610" s="1" t="str">
        <f t="shared" si="2857"/>
        <v>0</v>
      </c>
      <c r="K4610" s="1" t="str">
        <f t="shared" si="2858"/>
        <v>103</v>
      </c>
      <c r="L4610" s="1" t="str">
        <f t="shared" si="2859"/>
        <v>47</v>
      </c>
      <c r="M4610" s="1" t="str">
        <f t="shared" si="2856"/>
        <v>0</v>
      </c>
      <c r="N4610" s="1" t="str">
        <f t="shared" si="2861"/>
        <v>0</v>
      </c>
      <c r="O4610" s="1" t="str">
        <f>"5.63"</f>
        <v>5.63</v>
      </c>
    </row>
    <row r="4611" s="1" customFormat="1" spans="1:15">
      <c r="A4611" s="1" t="str">
        <f t="shared" si="2862"/>
        <v>202406</v>
      </c>
      <c r="B4611" s="1" t="str">
        <f t="shared" si="2863"/>
        <v>150525100</v>
      </c>
      <c r="C4611" s="1" t="str">
        <f>"1014575735"</f>
        <v>1014575735</v>
      </c>
      <c r="D4611" s="1" t="str">
        <f>"152326195303050660"</f>
        <v>152326195303050660</v>
      </c>
      <c r="E4611" s="1" t="s">
        <v>470</v>
      </c>
      <c r="F4611" s="1" t="s">
        <v>16</v>
      </c>
      <c r="G4611" s="1" t="s">
        <v>19</v>
      </c>
      <c r="H4611" s="1" t="str">
        <f>"71"</f>
        <v>71</v>
      </c>
      <c r="I4611" s="1" t="str">
        <f>"173.35"</f>
        <v>173.35</v>
      </c>
      <c r="J4611" s="1" t="str">
        <f t="shared" si="2857"/>
        <v>0</v>
      </c>
      <c r="K4611" s="1" t="str">
        <f t="shared" si="2858"/>
        <v>103</v>
      </c>
      <c r="L4611" s="1" t="str">
        <f t="shared" si="2859"/>
        <v>47</v>
      </c>
      <c r="M4611" s="1" t="str">
        <f t="shared" si="2856"/>
        <v>0</v>
      </c>
      <c r="N4611" s="1" t="str">
        <f t="shared" si="2861"/>
        <v>0</v>
      </c>
      <c r="O4611" s="1" t="str">
        <f>"13.35"</f>
        <v>13.35</v>
      </c>
    </row>
    <row r="4612" s="1" customFormat="1" spans="1:15">
      <c r="A4612" s="1" t="str">
        <f t="shared" si="2862"/>
        <v>202406</v>
      </c>
      <c r="B4612" s="1" t="str">
        <f t="shared" si="2863"/>
        <v>150525100</v>
      </c>
      <c r="C4612" s="1" t="str">
        <f>"1014576265"</f>
        <v>1014576265</v>
      </c>
      <c r="D4612" s="1" t="s">
        <v>4615</v>
      </c>
      <c r="E4612" s="1" t="s">
        <v>2643</v>
      </c>
      <c r="F4612" s="1" t="s">
        <v>16</v>
      </c>
      <c r="G4612" s="1" t="s">
        <v>19</v>
      </c>
      <c r="H4612" s="1" t="str">
        <f>"72"</f>
        <v>72</v>
      </c>
      <c r="I4612" s="1" t="str">
        <f>"162.14"</f>
        <v>162.14</v>
      </c>
      <c r="J4612" s="1" t="str">
        <f t="shared" si="2857"/>
        <v>0</v>
      </c>
      <c r="K4612" s="1" t="str">
        <f t="shared" si="2858"/>
        <v>103</v>
      </c>
      <c r="L4612" s="1" t="str">
        <f t="shared" si="2859"/>
        <v>47</v>
      </c>
      <c r="M4612" s="1" t="str">
        <f t="shared" si="2856"/>
        <v>0</v>
      </c>
      <c r="N4612" s="1" t="str">
        <f t="shared" si="2861"/>
        <v>0</v>
      </c>
      <c r="O4612" s="1" t="str">
        <f>"2.14"</f>
        <v>2.14</v>
      </c>
    </row>
    <row r="4613" s="1" customFormat="1" spans="1:15">
      <c r="A4613" s="1" t="str">
        <f t="shared" si="2862"/>
        <v>202406</v>
      </c>
      <c r="B4613" s="1" t="str">
        <f t="shared" si="2863"/>
        <v>150525100</v>
      </c>
      <c r="C4613" s="1" t="str">
        <f>"1014576898"</f>
        <v>1014576898</v>
      </c>
      <c r="D4613" s="1" t="str">
        <f>"152326196209130423"</f>
        <v>152326196209130423</v>
      </c>
      <c r="E4613" s="1" t="s">
        <v>4616</v>
      </c>
      <c r="F4613" s="1" t="s">
        <v>16</v>
      </c>
      <c r="G4613" s="1" t="s">
        <v>19</v>
      </c>
      <c r="H4613" s="1" t="str">
        <f>"62"</f>
        <v>62</v>
      </c>
      <c r="I4613" s="1" t="str">
        <f>"170.24"</f>
        <v>170.24</v>
      </c>
      <c r="J4613" s="1" t="str">
        <f t="shared" si="2857"/>
        <v>0</v>
      </c>
      <c r="K4613" s="1" t="str">
        <f t="shared" si="2858"/>
        <v>103</v>
      </c>
      <c r="L4613" s="1" t="str">
        <f t="shared" si="2859"/>
        <v>47</v>
      </c>
      <c r="M4613" s="1" t="str">
        <f t="shared" si="2856"/>
        <v>0</v>
      </c>
      <c r="N4613" s="1" t="str">
        <f t="shared" si="2861"/>
        <v>0</v>
      </c>
      <c r="O4613" s="1" t="str">
        <f>"20.24"</f>
        <v>20.24</v>
      </c>
    </row>
    <row r="4614" s="1" customFormat="1" spans="1:15">
      <c r="A4614" s="1" t="str">
        <f t="shared" si="2862"/>
        <v>202406</v>
      </c>
      <c r="B4614" s="1" t="str">
        <f t="shared" si="2863"/>
        <v>150525100</v>
      </c>
      <c r="C4614" s="1" t="str">
        <f>"1014547972"</f>
        <v>1014547972</v>
      </c>
      <c r="D4614" s="1" t="str">
        <f>"152326195904130666"</f>
        <v>152326195904130666</v>
      </c>
      <c r="E4614" s="1" t="s">
        <v>522</v>
      </c>
      <c r="F4614" s="1" t="s">
        <v>16</v>
      </c>
      <c r="G4614" s="1" t="s">
        <v>17</v>
      </c>
      <c r="H4614" s="1" t="str">
        <f t="shared" ref="H4614:H4619" si="2864">"65"</f>
        <v>65</v>
      </c>
      <c r="I4614" s="1" t="str">
        <f>"158.13"</f>
        <v>158.13</v>
      </c>
      <c r="J4614" s="1" t="str">
        <f t="shared" si="2857"/>
        <v>0</v>
      </c>
      <c r="K4614" s="1" t="str">
        <f t="shared" si="2858"/>
        <v>103</v>
      </c>
      <c r="L4614" s="1" t="str">
        <f t="shared" si="2859"/>
        <v>47</v>
      </c>
      <c r="M4614" s="1" t="str">
        <f t="shared" si="2856"/>
        <v>0</v>
      </c>
      <c r="N4614" s="1" t="str">
        <f t="shared" si="2861"/>
        <v>0</v>
      </c>
      <c r="O4614" s="1" t="str">
        <f>"8.13"</f>
        <v>8.13</v>
      </c>
    </row>
    <row r="4615" s="1" customFormat="1" spans="1:15">
      <c r="A4615" s="1" t="str">
        <f t="shared" si="2862"/>
        <v>202406</v>
      </c>
      <c r="B4615" s="1" t="str">
        <f t="shared" si="2863"/>
        <v>150525100</v>
      </c>
      <c r="C4615" s="1" t="str">
        <f>"1014547980"</f>
        <v>1014547980</v>
      </c>
      <c r="D4615" s="1" t="str">
        <f>"152326196007130660"</f>
        <v>152326196007130660</v>
      </c>
      <c r="E4615" s="1" t="s">
        <v>4617</v>
      </c>
      <c r="F4615" s="1" t="s">
        <v>16</v>
      </c>
      <c r="G4615" s="1" t="s">
        <v>17</v>
      </c>
      <c r="H4615" s="1" t="str">
        <f>"64"</f>
        <v>64</v>
      </c>
      <c r="I4615" s="1" t="str">
        <f>"159.24"</f>
        <v>159.24</v>
      </c>
      <c r="J4615" s="1" t="str">
        <f t="shared" si="2857"/>
        <v>0</v>
      </c>
      <c r="K4615" s="1" t="str">
        <f t="shared" si="2858"/>
        <v>103</v>
      </c>
      <c r="L4615" s="1" t="str">
        <f t="shared" si="2859"/>
        <v>47</v>
      </c>
      <c r="M4615" s="1" t="str">
        <f t="shared" si="2856"/>
        <v>0</v>
      </c>
      <c r="N4615" s="1" t="str">
        <f t="shared" si="2861"/>
        <v>0</v>
      </c>
      <c r="O4615" s="1" t="str">
        <f>"9.24"</f>
        <v>9.24</v>
      </c>
    </row>
    <row r="4616" s="1" customFormat="1" spans="1:15">
      <c r="A4616" s="1" t="str">
        <f t="shared" si="2862"/>
        <v>202406</v>
      </c>
      <c r="B4616" s="1" t="str">
        <f t="shared" si="2863"/>
        <v>150525100</v>
      </c>
      <c r="C4616" s="1" t="str">
        <f>"1014571855"</f>
        <v>1014571855</v>
      </c>
      <c r="D4616" s="1" t="str">
        <f>"152326196312260410"</f>
        <v>152326196312260410</v>
      </c>
      <c r="E4616" s="1" t="s">
        <v>4618</v>
      </c>
      <c r="F4616" s="1" t="s">
        <v>25</v>
      </c>
      <c r="G4616" s="1" t="s">
        <v>17</v>
      </c>
      <c r="H4616" s="1" t="str">
        <f>"61"</f>
        <v>61</v>
      </c>
      <c r="I4616" s="1" t="str">
        <f>"164.37"</f>
        <v>164.37</v>
      </c>
      <c r="J4616" s="1" t="str">
        <f t="shared" si="2857"/>
        <v>0</v>
      </c>
      <c r="K4616" s="1" t="str">
        <f t="shared" si="2858"/>
        <v>103</v>
      </c>
      <c r="L4616" s="1" t="str">
        <f t="shared" si="2859"/>
        <v>47</v>
      </c>
      <c r="M4616" s="1" t="str">
        <f t="shared" si="2856"/>
        <v>0</v>
      </c>
      <c r="N4616" s="1" t="str">
        <f t="shared" si="2861"/>
        <v>0</v>
      </c>
      <c r="O4616" s="1" t="str">
        <f>"14.37"</f>
        <v>14.37</v>
      </c>
    </row>
    <row r="4617" s="1" customFormat="1" spans="1:15">
      <c r="A4617" s="1" t="str">
        <f t="shared" si="2862"/>
        <v>202406</v>
      </c>
      <c r="B4617" s="1" t="str">
        <f t="shared" si="2863"/>
        <v>150525100</v>
      </c>
      <c r="C4617" s="1" t="str">
        <f>"1014571984"</f>
        <v>1014571984</v>
      </c>
      <c r="D4617" s="1" t="str">
        <f>"152326196310160045"</f>
        <v>152326196310160045</v>
      </c>
      <c r="E4617" s="1" t="s">
        <v>4619</v>
      </c>
      <c r="F4617" s="1" t="s">
        <v>16</v>
      </c>
      <c r="G4617" s="1" t="s">
        <v>17</v>
      </c>
      <c r="H4617" s="1" t="str">
        <f>"61"</f>
        <v>61</v>
      </c>
      <c r="I4617" s="1" t="str">
        <f>"255.79"</f>
        <v>255.79</v>
      </c>
      <c r="J4617" s="1" t="str">
        <f t="shared" si="2857"/>
        <v>0</v>
      </c>
      <c r="K4617" s="1" t="str">
        <f t="shared" si="2858"/>
        <v>103</v>
      </c>
      <c r="L4617" s="1" t="str">
        <f t="shared" si="2859"/>
        <v>47</v>
      </c>
      <c r="M4617" s="1" t="str">
        <f t="shared" si="2856"/>
        <v>0</v>
      </c>
      <c r="N4617" s="1" t="str">
        <f t="shared" si="2861"/>
        <v>0</v>
      </c>
      <c r="O4617" s="1" t="str">
        <f>"105.79"</f>
        <v>105.79</v>
      </c>
    </row>
    <row r="4618" s="1" customFormat="1" spans="1:15">
      <c r="A4618" s="1" t="str">
        <f t="shared" si="2862"/>
        <v>202406</v>
      </c>
      <c r="B4618" s="1" t="str">
        <f t="shared" si="2863"/>
        <v>150525100</v>
      </c>
      <c r="C4618" s="1" t="str">
        <f>"1014572096"</f>
        <v>1014572096</v>
      </c>
      <c r="D4618" s="1" t="s">
        <v>4620</v>
      </c>
      <c r="E4618" s="1" t="s">
        <v>4621</v>
      </c>
      <c r="F4618" s="1" t="s">
        <v>16</v>
      </c>
      <c r="G4618" s="1" t="s">
        <v>17</v>
      </c>
      <c r="H4618" s="1" t="str">
        <f t="shared" si="2864"/>
        <v>65</v>
      </c>
      <c r="I4618" s="1" t="str">
        <f>"158.15"</f>
        <v>158.15</v>
      </c>
      <c r="J4618" s="1" t="str">
        <f t="shared" si="2857"/>
        <v>0</v>
      </c>
      <c r="K4618" s="1" t="str">
        <f t="shared" si="2858"/>
        <v>103</v>
      </c>
      <c r="L4618" s="1" t="str">
        <f t="shared" si="2859"/>
        <v>47</v>
      </c>
      <c r="M4618" s="1" t="str">
        <f t="shared" si="2856"/>
        <v>0</v>
      </c>
      <c r="N4618" s="1" t="str">
        <f t="shared" si="2861"/>
        <v>0</v>
      </c>
      <c r="O4618" s="1" t="str">
        <f>"8.15"</f>
        <v>8.15</v>
      </c>
    </row>
    <row r="4619" s="1" customFormat="1" spans="1:15">
      <c r="A4619" s="1" t="str">
        <f t="shared" si="2862"/>
        <v>202406</v>
      </c>
      <c r="B4619" s="1" t="str">
        <f t="shared" si="2863"/>
        <v>150525100</v>
      </c>
      <c r="C4619" s="1" t="str">
        <f>"1014572097"</f>
        <v>1014572097</v>
      </c>
      <c r="D4619" s="1" t="s">
        <v>4622</v>
      </c>
      <c r="E4619" s="1" t="s">
        <v>1802</v>
      </c>
      <c r="F4619" s="1" t="s">
        <v>25</v>
      </c>
      <c r="G4619" s="1" t="s">
        <v>17</v>
      </c>
      <c r="H4619" s="1" t="str">
        <f t="shared" si="2864"/>
        <v>65</v>
      </c>
      <c r="I4619" s="1" t="str">
        <f>"167.05"</f>
        <v>167.05</v>
      </c>
      <c r="J4619" s="1" t="str">
        <f t="shared" si="2857"/>
        <v>0</v>
      </c>
      <c r="K4619" s="1" t="str">
        <f t="shared" si="2858"/>
        <v>103</v>
      </c>
      <c r="L4619" s="1" t="str">
        <f t="shared" si="2859"/>
        <v>47</v>
      </c>
      <c r="M4619" s="1" t="str">
        <f t="shared" si="2856"/>
        <v>0</v>
      </c>
      <c r="N4619" s="1" t="str">
        <f t="shared" si="2861"/>
        <v>0</v>
      </c>
      <c r="O4619" s="1" t="str">
        <f>"17.05"</f>
        <v>17.05</v>
      </c>
    </row>
    <row r="4620" s="1" customFormat="1" spans="1:15">
      <c r="A4620" s="1" t="str">
        <f t="shared" si="2862"/>
        <v>202406</v>
      </c>
      <c r="B4620" s="1" t="str">
        <f t="shared" si="2863"/>
        <v>150525100</v>
      </c>
      <c r="C4620" s="1" t="str">
        <f>"1040689731"</f>
        <v>1040689731</v>
      </c>
      <c r="D4620" s="1" t="str">
        <f>"152326195512160671"</f>
        <v>152326195512160671</v>
      </c>
      <c r="E4620" s="1" t="s">
        <v>4623</v>
      </c>
      <c r="F4620" s="1" t="s">
        <v>25</v>
      </c>
      <c r="G4620" s="1" t="s">
        <v>17</v>
      </c>
      <c r="H4620" s="1" t="str">
        <f>"69"</f>
        <v>69</v>
      </c>
      <c r="I4620" s="1" t="str">
        <f>"154.21"</f>
        <v>154.21</v>
      </c>
      <c r="J4620" s="1" t="str">
        <f t="shared" si="2857"/>
        <v>0</v>
      </c>
      <c r="K4620" s="1" t="str">
        <f t="shared" si="2858"/>
        <v>103</v>
      </c>
      <c r="L4620" s="1" t="str">
        <f t="shared" si="2859"/>
        <v>47</v>
      </c>
      <c r="M4620" s="1" t="str">
        <f t="shared" si="2856"/>
        <v>0</v>
      </c>
      <c r="N4620" s="1" t="str">
        <f t="shared" si="2861"/>
        <v>0</v>
      </c>
      <c r="O4620" s="1" t="str">
        <f>"4.21"</f>
        <v>4.21</v>
      </c>
    </row>
    <row r="4621" s="1" customFormat="1" spans="1:15">
      <c r="A4621" s="1" t="str">
        <f t="shared" si="2862"/>
        <v>202406</v>
      </c>
      <c r="B4621" s="1" t="str">
        <f t="shared" si="2863"/>
        <v>150525100</v>
      </c>
      <c r="C4621" s="1" t="str">
        <f>"1040689754"</f>
        <v>1040689754</v>
      </c>
      <c r="D4621" s="1" t="str">
        <f>"152326195702120726"</f>
        <v>152326195702120726</v>
      </c>
      <c r="E4621" s="1" t="s">
        <v>4624</v>
      </c>
      <c r="F4621" s="1" t="s">
        <v>16</v>
      </c>
      <c r="G4621" s="1" t="s">
        <v>96</v>
      </c>
      <c r="H4621" s="1" t="str">
        <f>"67"</f>
        <v>67</v>
      </c>
      <c r="I4621" s="1" t="str">
        <f>"155.15"</f>
        <v>155.15</v>
      </c>
      <c r="J4621" s="1" t="str">
        <f t="shared" si="2857"/>
        <v>0</v>
      </c>
      <c r="K4621" s="1" t="str">
        <f t="shared" si="2858"/>
        <v>103</v>
      </c>
      <c r="L4621" s="1" t="str">
        <f t="shared" si="2859"/>
        <v>47</v>
      </c>
      <c r="M4621" s="1" t="str">
        <f t="shared" si="2856"/>
        <v>0</v>
      </c>
      <c r="N4621" s="1" t="str">
        <f t="shared" si="2861"/>
        <v>0</v>
      </c>
      <c r="O4621" s="1" t="str">
        <f>"5.15"</f>
        <v>5.15</v>
      </c>
    </row>
    <row r="4622" s="1" customFormat="1" spans="1:15">
      <c r="A4622" s="1" t="str">
        <f t="shared" si="2862"/>
        <v>202406</v>
      </c>
      <c r="B4622" s="1" t="str">
        <f t="shared" si="2863"/>
        <v>150525100</v>
      </c>
      <c r="C4622" s="1" t="str">
        <f>"1040689407"</f>
        <v>1040689407</v>
      </c>
      <c r="D4622" s="1" t="s">
        <v>4625</v>
      </c>
      <c r="E4622" s="1" t="s">
        <v>4626</v>
      </c>
      <c r="F4622" s="1" t="s">
        <v>25</v>
      </c>
      <c r="G4622" s="1" t="s">
        <v>17</v>
      </c>
      <c r="H4622" s="1" t="str">
        <f>"68"</f>
        <v>68</v>
      </c>
      <c r="I4622" s="1" t="str">
        <f>"155.15"</f>
        <v>155.15</v>
      </c>
      <c r="J4622" s="1" t="str">
        <f t="shared" si="2857"/>
        <v>0</v>
      </c>
      <c r="K4622" s="1" t="str">
        <f t="shared" si="2858"/>
        <v>103</v>
      </c>
      <c r="L4622" s="1" t="str">
        <f t="shared" si="2859"/>
        <v>47</v>
      </c>
      <c r="M4622" s="1" t="str">
        <f t="shared" si="2856"/>
        <v>0</v>
      </c>
      <c r="N4622" s="1" t="str">
        <f t="shared" si="2861"/>
        <v>0</v>
      </c>
      <c r="O4622" s="1" t="str">
        <f>"5.15"</f>
        <v>5.15</v>
      </c>
    </row>
    <row r="4623" s="1" customFormat="1" spans="1:15">
      <c r="A4623" s="1" t="str">
        <f t="shared" si="2862"/>
        <v>202406</v>
      </c>
      <c r="B4623" s="1" t="str">
        <f t="shared" si="2863"/>
        <v>150525100</v>
      </c>
      <c r="C4623" s="1" t="str">
        <f>"1040689786"</f>
        <v>1040689786</v>
      </c>
      <c r="D4623" s="1" t="str">
        <f>"152326195501193830"</f>
        <v>152326195501193830</v>
      </c>
      <c r="E4623" s="1" t="s">
        <v>4627</v>
      </c>
      <c r="F4623" s="1" t="s">
        <v>25</v>
      </c>
      <c r="G4623" s="1" t="s">
        <v>17</v>
      </c>
      <c r="H4623" s="1" t="str">
        <f>"69"</f>
        <v>69</v>
      </c>
      <c r="I4623" s="1" t="str">
        <f>"154.2"</f>
        <v>154.2</v>
      </c>
      <c r="J4623" s="1" t="str">
        <f t="shared" si="2857"/>
        <v>0</v>
      </c>
      <c r="K4623" s="1" t="str">
        <f t="shared" si="2858"/>
        <v>103</v>
      </c>
      <c r="L4623" s="1" t="str">
        <f t="shared" si="2859"/>
        <v>47</v>
      </c>
      <c r="M4623" s="1" t="str">
        <f t="shared" si="2856"/>
        <v>0</v>
      </c>
      <c r="N4623" s="1" t="str">
        <f t="shared" si="2861"/>
        <v>0</v>
      </c>
      <c r="O4623" s="1" t="str">
        <f>"4.2"</f>
        <v>4.2</v>
      </c>
    </row>
    <row r="4624" s="1" customFormat="1" spans="1:15">
      <c r="A4624" s="1" t="str">
        <f t="shared" si="2862"/>
        <v>202406</v>
      </c>
      <c r="B4624" s="1" t="str">
        <f t="shared" si="2863"/>
        <v>150525100</v>
      </c>
      <c r="C4624" s="1" t="str">
        <f>"1040689789"</f>
        <v>1040689789</v>
      </c>
      <c r="D4624" s="1" t="str">
        <f>"152326195809073819"</f>
        <v>152326195809073819</v>
      </c>
      <c r="E4624" s="1" t="s">
        <v>4628</v>
      </c>
      <c r="F4624" s="1" t="s">
        <v>25</v>
      </c>
      <c r="G4624" s="1" t="s">
        <v>17</v>
      </c>
      <c r="H4624" s="1" t="str">
        <f>"66"</f>
        <v>66</v>
      </c>
      <c r="I4624" s="1" t="str">
        <f>"163.24"</f>
        <v>163.24</v>
      </c>
      <c r="J4624" s="1" t="str">
        <f t="shared" si="2857"/>
        <v>0</v>
      </c>
      <c r="K4624" s="1" t="str">
        <f t="shared" si="2858"/>
        <v>103</v>
      </c>
      <c r="L4624" s="1" t="str">
        <f t="shared" si="2859"/>
        <v>47</v>
      </c>
      <c r="M4624" s="1" t="str">
        <f t="shared" si="2856"/>
        <v>0</v>
      </c>
      <c r="N4624" s="1" t="str">
        <f t="shared" si="2861"/>
        <v>0</v>
      </c>
      <c r="O4624" s="1" t="str">
        <f>"13.24"</f>
        <v>13.24</v>
      </c>
    </row>
    <row r="4625" s="1" customFormat="1" spans="1:15">
      <c r="A4625" s="1" t="str">
        <f t="shared" si="2862"/>
        <v>202406</v>
      </c>
      <c r="B4625" s="1" t="str">
        <f t="shared" si="2863"/>
        <v>150525100</v>
      </c>
      <c r="C4625" s="1" t="str">
        <f>"1040689793"</f>
        <v>1040689793</v>
      </c>
      <c r="D4625" s="1" t="str">
        <f>"152326195407133823"</f>
        <v>152326195407133823</v>
      </c>
      <c r="E4625" s="1" t="s">
        <v>4629</v>
      </c>
      <c r="F4625" s="1" t="s">
        <v>16</v>
      </c>
      <c r="G4625" s="1" t="s">
        <v>17</v>
      </c>
      <c r="H4625" s="1" t="str">
        <f>"70"</f>
        <v>70</v>
      </c>
      <c r="I4625" s="1" t="str">
        <f>"153.25"</f>
        <v>153.25</v>
      </c>
      <c r="J4625" s="1" t="str">
        <f t="shared" si="2857"/>
        <v>0</v>
      </c>
      <c r="K4625" s="1" t="str">
        <f t="shared" si="2858"/>
        <v>103</v>
      </c>
      <c r="L4625" s="1" t="str">
        <f t="shared" si="2859"/>
        <v>47</v>
      </c>
      <c r="M4625" s="1" t="str">
        <f t="shared" si="2856"/>
        <v>0</v>
      </c>
      <c r="N4625" s="1" t="str">
        <f t="shared" si="2861"/>
        <v>0</v>
      </c>
      <c r="O4625" s="1" t="str">
        <f>"3.25"</f>
        <v>3.25</v>
      </c>
    </row>
    <row r="4626" s="1" customFormat="1" spans="1:15">
      <c r="A4626" s="1" t="str">
        <f t="shared" si="2862"/>
        <v>202406</v>
      </c>
      <c r="B4626" s="1" t="str">
        <f t="shared" si="2863"/>
        <v>150525100</v>
      </c>
      <c r="C4626" s="1" t="str">
        <f>"1040689446"</f>
        <v>1040689446</v>
      </c>
      <c r="D4626" s="1" t="str">
        <f>"152326196205150427"</f>
        <v>152326196205150427</v>
      </c>
      <c r="E4626" s="1" t="s">
        <v>4630</v>
      </c>
      <c r="F4626" s="1" t="s">
        <v>16</v>
      </c>
      <c r="G4626" s="1" t="s">
        <v>19</v>
      </c>
      <c r="H4626" s="1" t="str">
        <f>"62"</f>
        <v>62</v>
      </c>
      <c r="I4626" s="1" t="str">
        <f>"162.38"</f>
        <v>162.38</v>
      </c>
      <c r="J4626" s="1" t="str">
        <f t="shared" si="2857"/>
        <v>0</v>
      </c>
      <c r="K4626" s="1" t="str">
        <f t="shared" si="2858"/>
        <v>103</v>
      </c>
      <c r="L4626" s="1" t="str">
        <f t="shared" si="2859"/>
        <v>47</v>
      </c>
      <c r="M4626" s="1" t="str">
        <f t="shared" si="2856"/>
        <v>0</v>
      </c>
      <c r="N4626" s="1" t="str">
        <f t="shared" si="2861"/>
        <v>0</v>
      </c>
      <c r="O4626" s="1" t="str">
        <f>"12.38"</f>
        <v>12.38</v>
      </c>
    </row>
    <row r="4627" s="1" customFormat="1" spans="1:15">
      <c r="A4627" s="1" t="str">
        <f t="shared" si="2862"/>
        <v>202406</v>
      </c>
      <c r="B4627" s="1" t="str">
        <f t="shared" si="2863"/>
        <v>150525100</v>
      </c>
      <c r="C4627" s="1" t="str">
        <f>"1040689384"</f>
        <v>1040689384</v>
      </c>
      <c r="D4627" s="1" t="str">
        <f>"152326196112270673"</f>
        <v>152326196112270673</v>
      </c>
      <c r="E4627" s="1" t="s">
        <v>4631</v>
      </c>
      <c r="F4627" s="1" t="s">
        <v>25</v>
      </c>
      <c r="G4627" s="1" t="s">
        <v>17</v>
      </c>
      <c r="H4627" s="1" t="str">
        <f>"63"</f>
        <v>63</v>
      </c>
      <c r="I4627" s="1" t="str">
        <f>"160.54"</f>
        <v>160.54</v>
      </c>
      <c r="J4627" s="1" t="str">
        <f t="shared" si="2857"/>
        <v>0</v>
      </c>
      <c r="K4627" s="1" t="str">
        <f t="shared" si="2858"/>
        <v>103</v>
      </c>
      <c r="L4627" s="1" t="str">
        <f t="shared" si="2859"/>
        <v>47</v>
      </c>
      <c r="M4627" s="1" t="str">
        <f t="shared" si="2856"/>
        <v>0</v>
      </c>
      <c r="N4627" s="1" t="str">
        <f t="shared" si="2861"/>
        <v>0</v>
      </c>
      <c r="O4627" s="1" t="str">
        <f>"10.54"</f>
        <v>10.54</v>
      </c>
    </row>
    <row r="4628" s="1" customFormat="1" spans="1:15">
      <c r="A4628" s="1" t="str">
        <f t="shared" si="2862"/>
        <v>202406</v>
      </c>
      <c r="B4628" s="1" t="str">
        <f t="shared" si="2863"/>
        <v>150525100</v>
      </c>
      <c r="C4628" s="1" t="str">
        <f>"1040689525"</f>
        <v>1040689525</v>
      </c>
      <c r="D4628" s="1" t="str">
        <f>"152326195502010688"</f>
        <v>152326195502010688</v>
      </c>
      <c r="E4628" s="1" t="s">
        <v>4632</v>
      </c>
      <c r="F4628" s="1" t="s">
        <v>16</v>
      </c>
      <c r="G4628" s="1" t="s">
        <v>17</v>
      </c>
      <c r="H4628" s="1" t="str">
        <f>"69"</f>
        <v>69</v>
      </c>
      <c r="I4628" s="1" t="str">
        <f>"154.21"</f>
        <v>154.21</v>
      </c>
      <c r="J4628" s="1" t="str">
        <f t="shared" si="2857"/>
        <v>0</v>
      </c>
      <c r="K4628" s="1" t="str">
        <f t="shared" si="2858"/>
        <v>103</v>
      </c>
      <c r="L4628" s="1" t="str">
        <f t="shared" si="2859"/>
        <v>47</v>
      </c>
      <c r="M4628" s="1" t="str">
        <f t="shared" si="2856"/>
        <v>0</v>
      </c>
      <c r="N4628" s="1" t="str">
        <f t="shared" si="2861"/>
        <v>0</v>
      </c>
      <c r="O4628" s="1" t="str">
        <f>"4.21"</f>
        <v>4.21</v>
      </c>
    </row>
    <row r="4629" s="1" customFormat="1" spans="1:15">
      <c r="A4629" s="1" t="str">
        <f t="shared" si="2862"/>
        <v>202406</v>
      </c>
      <c r="B4629" s="1" t="str">
        <f t="shared" si="2863"/>
        <v>150525100</v>
      </c>
      <c r="C4629" s="1" t="str">
        <f>"1040689527"</f>
        <v>1040689527</v>
      </c>
      <c r="D4629" s="1" t="str">
        <f>"152326195905090694"</f>
        <v>152326195905090694</v>
      </c>
      <c r="E4629" s="1" t="s">
        <v>4633</v>
      </c>
      <c r="F4629" s="1" t="s">
        <v>25</v>
      </c>
      <c r="G4629" s="1" t="s">
        <v>17</v>
      </c>
      <c r="H4629" s="1" t="str">
        <f>"65"</f>
        <v>65</v>
      </c>
      <c r="I4629" s="1" t="str">
        <f>"157.47"</f>
        <v>157.47</v>
      </c>
      <c r="J4629" s="1" t="str">
        <f t="shared" si="2857"/>
        <v>0</v>
      </c>
      <c r="K4629" s="1" t="str">
        <f t="shared" si="2858"/>
        <v>103</v>
      </c>
      <c r="L4629" s="1" t="str">
        <f t="shared" si="2859"/>
        <v>47</v>
      </c>
      <c r="M4629" s="1" t="str">
        <f t="shared" si="2856"/>
        <v>0</v>
      </c>
      <c r="N4629" s="1" t="str">
        <f t="shared" si="2861"/>
        <v>0</v>
      </c>
      <c r="O4629" s="1" t="str">
        <f>"7.47"</f>
        <v>7.47</v>
      </c>
    </row>
    <row r="4630" s="1" customFormat="1" spans="1:15">
      <c r="A4630" s="1" t="str">
        <f t="shared" si="2862"/>
        <v>202406</v>
      </c>
      <c r="B4630" s="1" t="str">
        <f t="shared" si="2863"/>
        <v>150525100</v>
      </c>
      <c r="C4630" s="1" t="str">
        <f>"1040689669"</f>
        <v>1040689669</v>
      </c>
      <c r="D4630" s="1" t="s">
        <v>4634</v>
      </c>
      <c r="E4630" s="1" t="s">
        <v>4635</v>
      </c>
      <c r="F4630" s="1" t="s">
        <v>25</v>
      </c>
      <c r="G4630" s="1" t="s">
        <v>17</v>
      </c>
      <c r="H4630" s="1" t="str">
        <f>"70"</f>
        <v>70</v>
      </c>
      <c r="I4630" s="1" t="str">
        <f>"919.5"</f>
        <v>919.5</v>
      </c>
      <c r="J4630" s="1" t="str">
        <f>"766.25"</f>
        <v>766.25</v>
      </c>
      <c r="K4630" s="1" t="str">
        <f>"618"</f>
        <v>618</v>
      </c>
      <c r="L4630" s="1" t="str">
        <f>"282"</f>
        <v>282</v>
      </c>
      <c r="M4630" s="1" t="str">
        <f t="shared" si="2856"/>
        <v>0</v>
      </c>
      <c r="N4630" s="1" t="str">
        <f t="shared" si="2861"/>
        <v>0</v>
      </c>
      <c r="O4630" s="1" t="str">
        <f>"19.5"</f>
        <v>19.5</v>
      </c>
    </row>
    <row r="4631" s="1" customFormat="1" spans="1:15">
      <c r="A4631" s="1" t="str">
        <f t="shared" si="2862"/>
        <v>202406</v>
      </c>
      <c r="B4631" s="1" t="str">
        <f t="shared" si="2863"/>
        <v>150525100</v>
      </c>
      <c r="C4631" s="1" t="str">
        <f>"1040689687"</f>
        <v>1040689687</v>
      </c>
      <c r="D4631" s="1" t="str">
        <f>"152326195706150666"</f>
        <v>152326195706150666</v>
      </c>
      <c r="E4631" s="1" t="s">
        <v>4636</v>
      </c>
      <c r="F4631" s="1" t="s">
        <v>16</v>
      </c>
      <c r="G4631" s="1" t="s">
        <v>19</v>
      </c>
      <c r="H4631" s="1" t="str">
        <f>"67"</f>
        <v>67</v>
      </c>
      <c r="I4631" s="1" t="str">
        <f>"155.17"</f>
        <v>155.17</v>
      </c>
      <c r="J4631" s="1" t="str">
        <f t="shared" ref="J4631:J4644" si="2865">"0"</f>
        <v>0</v>
      </c>
      <c r="K4631" s="1" t="str">
        <f t="shared" ref="K4631:K4644" si="2866">"103"</f>
        <v>103</v>
      </c>
      <c r="L4631" s="1" t="str">
        <f t="shared" ref="L4631:L4644" si="2867">"47"</f>
        <v>47</v>
      </c>
      <c r="M4631" s="1" t="str">
        <f t="shared" si="2856"/>
        <v>0</v>
      </c>
      <c r="N4631" s="1" t="str">
        <f t="shared" si="2861"/>
        <v>0</v>
      </c>
      <c r="O4631" s="1" t="str">
        <f>"5.17"</f>
        <v>5.17</v>
      </c>
    </row>
    <row r="4632" s="1" customFormat="1" spans="1:15">
      <c r="A4632" s="1" t="str">
        <f t="shared" si="2862"/>
        <v>202406</v>
      </c>
      <c r="B4632" s="1" t="str">
        <f t="shared" si="2863"/>
        <v>150525100</v>
      </c>
      <c r="C4632" s="1" t="str">
        <f>"1015311634"</f>
        <v>1015311634</v>
      </c>
      <c r="D4632" s="1" t="str">
        <f>"152326195209223844"</f>
        <v>152326195209223844</v>
      </c>
      <c r="E4632" s="1" t="s">
        <v>4637</v>
      </c>
      <c r="F4632" s="1" t="s">
        <v>16</v>
      </c>
      <c r="G4632" s="1" t="s">
        <v>17</v>
      </c>
      <c r="H4632" s="1" t="str">
        <f>"72"</f>
        <v>72</v>
      </c>
      <c r="I4632" s="1" t="str">
        <f>"161.54"</f>
        <v>161.54</v>
      </c>
      <c r="J4632" s="1" t="str">
        <f t="shared" si="2865"/>
        <v>0</v>
      </c>
      <c r="K4632" s="1" t="str">
        <f t="shared" si="2866"/>
        <v>103</v>
      </c>
      <c r="L4632" s="1" t="str">
        <f t="shared" si="2867"/>
        <v>47</v>
      </c>
      <c r="M4632" s="1" t="str">
        <f t="shared" si="2856"/>
        <v>0</v>
      </c>
      <c r="N4632" s="1" t="str">
        <f t="shared" si="2861"/>
        <v>0</v>
      </c>
      <c r="O4632" s="1" t="str">
        <f>"1.54"</f>
        <v>1.54</v>
      </c>
    </row>
    <row r="4633" s="1" customFormat="1" spans="1:15">
      <c r="A4633" s="1" t="str">
        <f t="shared" si="2862"/>
        <v>202406</v>
      </c>
      <c r="B4633" s="1" t="str">
        <f t="shared" si="2863"/>
        <v>150525100</v>
      </c>
      <c r="C4633" s="1" t="str">
        <f>"1015311652"</f>
        <v>1015311652</v>
      </c>
      <c r="D4633" s="1" t="s">
        <v>4638</v>
      </c>
      <c r="E4633" s="1" t="s">
        <v>4639</v>
      </c>
      <c r="F4633" s="1" t="s">
        <v>25</v>
      </c>
      <c r="G4633" s="1" t="s">
        <v>19</v>
      </c>
      <c r="H4633" s="1" t="str">
        <f>"72"</f>
        <v>72</v>
      </c>
      <c r="I4633" s="1" t="str">
        <f>"161.53"</f>
        <v>161.53</v>
      </c>
      <c r="J4633" s="1" t="str">
        <f t="shared" si="2865"/>
        <v>0</v>
      </c>
      <c r="K4633" s="1" t="str">
        <f t="shared" si="2866"/>
        <v>103</v>
      </c>
      <c r="L4633" s="1" t="str">
        <f t="shared" si="2867"/>
        <v>47</v>
      </c>
      <c r="M4633" s="1" t="str">
        <f t="shared" si="2856"/>
        <v>0</v>
      </c>
      <c r="N4633" s="1" t="str">
        <f t="shared" si="2861"/>
        <v>0</v>
      </c>
      <c r="O4633" s="1" t="str">
        <f>"1.53"</f>
        <v>1.53</v>
      </c>
    </row>
    <row r="4634" s="1" customFormat="1" spans="1:15">
      <c r="A4634" s="1" t="str">
        <f t="shared" si="2862"/>
        <v>202406</v>
      </c>
      <c r="B4634" s="1" t="str">
        <f t="shared" si="2863"/>
        <v>150525100</v>
      </c>
      <c r="C4634" s="1" t="str">
        <f>"1042692928"</f>
        <v>1042692928</v>
      </c>
      <c r="D4634" s="1" t="s">
        <v>4640</v>
      </c>
      <c r="E4634" s="1" t="s">
        <v>4641</v>
      </c>
      <c r="F4634" s="1" t="s">
        <v>16</v>
      </c>
      <c r="G4634" s="1" t="s">
        <v>19</v>
      </c>
      <c r="H4634" s="1" t="str">
        <f>"62"</f>
        <v>62</v>
      </c>
      <c r="I4634" s="1" t="str">
        <f>"160.74"</f>
        <v>160.74</v>
      </c>
      <c r="J4634" s="1" t="str">
        <f t="shared" si="2865"/>
        <v>0</v>
      </c>
      <c r="K4634" s="1" t="str">
        <f t="shared" si="2866"/>
        <v>103</v>
      </c>
      <c r="L4634" s="1" t="str">
        <f t="shared" si="2867"/>
        <v>47</v>
      </c>
      <c r="M4634" s="1" t="str">
        <f t="shared" si="2856"/>
        <v>0</v>
      </c>
      <c r="N4634" s="1" t="str">
        <f t="shared" si="2861"/>
        <v>0</v>
      </c>
      <c r="O4634" s="1" t="str">
        <f>"10.74"</f>
        <v>10.74</v>
      </c>
    </row>
    <row r="4635" s="1" customFormat="1" spans="1:15">
      <c r="A4635" s="1" t="str">
        <f t="shared" si="2862"/>
        <v>202406</v>
      </c>
      <c r="B4635" s="1" t="str">
        <f t="shared" si="2863"/>
        <v>150525100</v>
      </c>
      <c r="C4635" s="1" t="str">
        <f>"1014630187"</f>
        <v>1014630187</v>
      </c>
      <c r="D4635" s="1" t="str">
        <f>"152326194202200020"</f>
        <v>152326194202200020</v>
      </c>
      <c r="E4635" s="1" t="s">
        <v>4642</v>
      </c>
      <c r="F4635" s="1" t="s">
        <v>16</v>
      </c>
      <c r="G4635" s="1" t="s">
        <v>17</v>
      </c>
      <c r="H4635" s="1" t="str">
        <f>"82"</f>
        <v>82</v>
      </c>
      <c r="I4635" s="1" t="str">
        <f t="shared" ref="I4635:I4637" si="2868">"170"</f>
        <v>170</v>
      </c>
      <c r="J4635" s="1" t="str">
        <f t="shared" si="2865"/>
        <v>0</v>
      </c>
      <c r="K4635" s="1" t="str">
        <f t="shared" si="2866"/>
        <v>103</v>
      </c>
      <c r="L4635" s="1" t="str">
        <f t="shared" si="2867"/>
        <v>47</v>
      </c>
      <c r="M4635" s="1" t="str">
        <f t="shared" si="2856"/>
        <v>0</v>
      </c>
      <c r="N4635" s="1" t="str">
        <f t="shared" si="2861"/>
        <v>0</v>
      </c>
      <c r="O4635" s="1" t="str">
        <f t="shared" ref="O4635:O4654" si="2869">"0"</f>
        <v>0</v>
      </c>
    </row>
    <row r="4636" s="1" customFormat="1" spans="1:15">
      <c r="A4636" s="1" t="str">
        <f t="shared" si="2862"/>
        <v>202406</v>
      </c>
      <c r="B4636" s="1" t="str">
        <f t="shared" si="2863"/>
        <v>150525100</v>
      </c>
      <c r="C4636" s="1" t="str">
        <f>"1014630207"</f>
        <v>1014630207</v>
      </c>
      <c r="D4636" s="1" t="str">
        <f>"152326194109040413"</f>
        <v>152326194109040413</v>
      </c>
      <c r="E4636" s="1" t="s">
        <v>4643</v>
      </c>
      <c r="F4636" s="1" t="s">
        <v>25</v>
      </c>
      <c r="G4636" s="1" t="s">
        <v>17</v>
      </c>
      <c r="H4636" s="1" t="str">
        <f>"83"</f>
        <v>83</v>
      </c>
      <c r="I4636" s="1" t="str">
        <f t="shared" si="2868"/>
        <v>170</v>
      </c>
      <c r="J4636" s="1" t="str">
        <f t="shared" si="2865"/>
        <v>0</v>
      </c>
      <c r="K4636" s="1" t="str">
        <f t="shared" si="2866"/>
        <v>103</v>
      </c>
      <c r="L4636" s="1" t="str">
        <f t="shared" si="2867"/>
        <v>47</v>
      </c>
      <c r="M4636" s="1" t="str">
        <f t="shared" si="2856"/>
        <v>0</v>
      </c>
      <c r="N4636" s="1" t="str">
        <f t="shared" si="2861"/>
        <v>0</v>
      </c>
      <c r="O4636" s="1" t="str">
        <f t="shared" si="2869"/>
        <v>0</v>
      </c>
    </row>
    <row r="4637" s="1" customFormat="1" spans="1:15">
      <c r="A4637" s="1" t="str">
        <f t="shared" si="2862"/>
        <v>202406</v>
      </c>
      <c r="B4637" s="1" t="str">
        <f t="shared" si="2863"/>
        <v>150525100</v>
      </c>
      <c r="C4637" s="1" t="str">
        <f>"1014625014"</f>
        <v>1014625014</v>
      </c>
      <c r="D4637" s="1" t="str">
        <f>"152326193612103827"</f>
        <v>152326193612103827</v>
      </c>
      <c r="E4637" s="1" t="s">
        <v>4644</v>
      </c>
      <c r="F4637" s="1" t="s">
        <v>16</v>
      </c>
      <c r="G4637" s="1" t="s">
        <v>17</v>
      </c>
      <c r="H4637" s="1" t="str">
        <f>"88"</f>
        <v>88</v>
      </c>
      <c r="I4637" s="1" t="str">
        <f t="shared" si="2868"/>
        <v>170</v>
      </c>
      <c r="J4637" s="1" t="str">
        <f t="shared" si="2865"/>
        <v>0</v>
      </c>
      <c r="K4637" s="1" t="str">
        <f t="shared" si="2866"/>
        <v>103</v>
      </c>
      <c r="L4637" s="1" t="str">
        <f t="shared" si="2867"/>
        <v>47</v>
      </c>
      <c r="M4637" s="1" t="str">
        <f t="shared" si="2856"/>
        <v>0</v>
      </c>
      <c r="N4637" s="1" t="str">
        <f t="shared" si="2861"/>
        <v>0</v>
      </c>
      <c r="O4637" s="1" t="str">
        <f t="shared" si="2869"/>
        <v>0</v>
      </c>
    </row>
    <row r="4638" s="1" customFormat="1" spans="1:15">
      <c r="A4638" s="1" t="str">
        <f t="shared" si="2862"/>
        <v>202406</v>
      </c>
      <c r="B4638" s="1" t="str">
        <f t="shared" si="2863"/>
        <v>150525100</v>
      </c>
      <c r="C4638" s="1" t="str">
        <f>"1014630225"</f>
        <v>1014630225</v>
      </c>
      <c r="D4638" s="1" t="str">
        <f>"152326194907053817"</f>
        <v>152326194907053817</v>
      </c>
      <c r="E4638" s="1" t="s">
        <v>4645</v>
      </c>
      <c r="F4638" s="1" t="s">
        <v>25</v>
      </c>
      <c r="G4638" s="1" t="s">
        <v>17</v>
      </c>
      <c r="H4638" s="1" t="str">
        <f>"75"</f>
        <v>75</v>
      </c>
      <c r="I4638" s="1" t="str">
        <f t="shared" ref="I4638:I4643" si="2870">"160"</f>
        <v>160</v>
      </c>
      <c r="J4638" s="1" t="str">
        <f t="shared" si="2865"/>
        <v>0</v>
      </c>
      <c r="K4638" s="1" t="str">
        <f t="shared" si="2866"/>
        <v>103</v>
      </c>
      <c r="L4638" s="1" t="str">
        <f t="shared" si="2867"/>
        <v>47</v>
      </c>
      <c r="M4638" s="1" t="str">
        <f t="shared" si="2856"/>
        <v>0</v>
      </c>
      <c r="N4638" s="1" t="str">
        <f t="shared" si="2861"/>
        <v>0</v>
      </c>
      <c r="O4638" s="1" t="str">
        <f t="shared" si="2869"/>
        <v>0</v>
      </c>
    </row>
    <row r="4639" s="1" customFormat="1" spans="1:15">
      <c r="A4639" s="1" t="str">
        <f t="shared" si="2862"/>
        <v>202406</v>
      </c>
      <c r="B4639" s="1" t="str">
        <f t="shared" si="2863"/>
        <v>150525100</v>
      </c>
      <c r="C4639" s="1" t="str">
        <f>"1014630235"</f>
        <v>1014630235</v>
      </c>
      <c r="D4639" s="1" t="str">
        <f>"152326195111163812"</f>
        <v>152326195111163812</v>
      </c>
      <c r="E4639" s="1" t="s">
        <v>4646</v>
      </c>
      <c r="F4639" s="1" t="s">
        <v>25</v>
      </c>
      <c r="G4639" s="1" t="s">
        <v>17</v>
      </c>
      <c r="H4639" s="1" t="str">
        <f>"73"</f>
        <v>73</v>
      </c>
      <c r="I4639" s="1" t="str">
        <f t="shared" si="2870"/>
        <v>160</v>
      </c>
      <c r="J4639" s="1" t="str">
        <f t="shared" si="2865"/>
        <v>0</v>
      </c>
      <c r="K4639" s="1" t="str">
        <f t="shared" si="2866"/>
        <v>103</v>
      </c>
      <c r="L4639" s="1" t="str">
        <f t="shared" si="2867"/>
        <v>47</v>
      </c>
      <c r="M4639" s="1" t="str">
        <f t="shared" si="2856"/>
        <v>0</v>
      </c>
      <c r="N4639" s="1" t="str">
        <f t="shared" si="2861"/>
        <v>0</v>
      </c>
      <c r="O4639" s="1" t="str">
        <f t="shared" si="2869"/>
        <v>0</v>
      </c>
    </row>
    <row r="4640" s="1" customFormat="1" spans="1:15">
      <c r="A4640" s="1" t="str">
        <f t="shared" si="2862"/>
        <v>202406</v>
      </c>
      <c r="B4640" s="1" t="str">
        <f t="shared" si="2863"/>
        <v>150525100</v>
      </c>
      <c r="C4640" s="1" t="str">
        <f>"1014625033"</f>
        <v>1014625033</v>
      </c>
      <c r="D4640" s="1" t="str">
        <f>"152326195011053827"</f>
        <v>152326195011053827</v>
      </c>
      <c r="E4640" s="1" t="s">
        <v>4147</v>
      </c>
      <c r="F4640" s="1" t="s">
        <v>16</v>
      </c>
      <c r="G4640" s="1" t="s">
        <v>17</v>
      </c>
      <c r="H4640" s="1" t="str">
        <f>"74"</f>
        <v>74</v>
      </c>
      <c r="I4640" s="1" t="str">
        <f t="shared" si="2870"/>
        <v>160</v>
      </c>
      <c r="J4640" s="1" t="str">
        <f t="shared" si="2865"/>
        <v>0</v>
      </c>
      <c r="K4640" s="1" t="str">
        <f t="shared" si="2866"/>
        <v>103</v>
      </c>
      <c r="L4640" s="1" t="str">
        <f t="shared" si="2867"/>
        <v>47</v>
      </c>
      <c r="M4640" s="1" t="str">
        <f t="shared" ref="M4640:M4703" si="2871">"0"</f>
        <v>0</v>
      </c>
      <c r="N4640" s="1" t="str">
        <f t="shared" si="2861"/>
        <v>0</v>
      </c>
      <c r="O4640" s="1" t="str">
        <f t="shared" si="2869"/>
        <v>0</v>
      </c>
    </row>
    <row r="4641" s="1" customFormat="1" spans="1:15">
      <c r="A4641" s="1" t="str">
        <f t="shared" si="2862"/>
        <v>202406</v>
      </c>
      <c r="B4641" s="1" t="str">
        <f t="shared" si="2863"/>
        <v>150525100</v>
      </c>
      <c r="C4641" s="1" t="str">
        <f>"1014625034"</f>
        <v>1014625034</v>
      </c>
      <c r="D4641" s="1" t="str">
        <f>"152326195103043829"</f>
        <v>152326195103043829</v>
      </c>
      <c r="E4641" s="1" t="s">
        <v>4647</v>
      </c>
      <c r="F4641" s="1" t="s">
        <v>16</v>
      </c>
      <c r="G4641" s="1" t="s">
        <v>17</v>
      </c>
      <c r="H4641" s="1" t="str">
        <f>"73"</f>
        <v>73</v>
      </c>
      <c r="I4641" s="1" t="str">
        <f t="shared" si="2870"/>
        <v>160</v>
      </c>
      <c r="J4641" s="1" t="str">
        <f t="shared" si="2865"/>
        <v>0</v>
      </c>
      <c r="K4641" s="1" t="str">
        <f t="shared" si="2866"/>
        <v>103</v>
      </c>
      <c r="L4641" s="1" t="str">
        <f t="shared" si="2867"/>
        <v>47</v>
      </c>
      <c r="M4641" s="1" t="str">
        <f t="shared" si="2871"/>
        <v>0</v>
      </c>
      <c r="N4641" s="1" t="str">
        <f t="shared" si="2861"/>
        <v>0</v>
      </c>
      <c r="O4641" s="1" t="str">
        <f t="shared" si="2869"/>
        <v>0</v>
      </c>
    </row>
    <row r="4642" s="1" customFormat="1" spans="1:15">
      <c r="A4642" s="1" t="str">
        <f t="shared" si="2862"/>
        <v>202406</v>
      </c>
      <c r="B4642" s="1" t="str">
        <f t="shared" si="2863"/>
        <v>150525100</v>
      </c>
      <c r="C4642" s="1" t="str">
        <f>"1014630261"</f>
        <v>1014630261</v>
      </c>
      <c r="D4642" s="1" t="str">
        <f>"152326194807183817"</f>
        <v>152326194807183817</v>
      </c>
      <c r="E4642" s="1" t="s">
        <v>4648</v>
      </c>
      <c r="F4642" s="1" t="s">
        <v>25</v>
      </c>
      <c r="G4642" s="1" t="s">
        <v>17</v>
      </c>
      <c r="H4642" s="1" t="str">
        <f>"76"</f>
        <v>76</v>
      </c>
      <c r="I4642" s="1" t="str">
        <f t="shared" si="2870"/>
        <v>160</v>
      </c>
      <c r="J4642" s="1" t="str">
        <f t="shared" si="2865"/>
        <v>0</v>
      </c>
      <c r="K4642" s="1" t="str">
        <f t="shared" si="2866"/>
        <v>103</v>
      </c>
      <c r="L4642" s="1" t="str">
        <f t="shared" si="2867"/>
        <v>47</v>
      </c>
      <c r="M4642" s="1" t="str">
        <f t="shared" si="2871"/>
        <v>0</v>
      </c>
      <c r="N4642" s="1" t="str">
        <f t="shared" si="2861"/>
        <v>0</v>
      </c>
      <c r="O4642" s="1" t="str">
        <f t="shared" si="2869"/>
        <v>0</v>
      </c>
    </row>
    <row r="4643" s="1" customFormat="1" spans="1:15">
      <c r="A4643" s="1" t="str">
        <f t="shared" si="2862"/>
        <v>202406</v>
      </c>
      <c r="B4643" s="1" t="str">
        <f t="shared" si="2863"/>
        <v>150525100</v>
      </c>
      <c r="C4643" s="1" t="str">
        <f>"1014625069"</f>
        <v>1014625069</v>
      </c>
      <c r="D4643" s="1" t="str">
        <f>"152326194803153311"</f>
        <v>152326194803153311</v>
      </c>
      <c r="E4643" s="1" t="s">
        <v>4649</v>
      </c>
      <c r="F4643" s="1" t="s">
        <v>25</v>
      </c>
      <c r="G4643" s="1" t="s">
        <v>19</v>
      </c>
      <c r="H4643" s="1" t="str">
        <f>"76"</f>
        <v>76</v>
      </c>
      <c r="I4643" s="1" t="str">
        <f t="shared" si="2870"/>
        <v>160</v>
      </c>
      <c r="J4643" s="1" t="str">
        <f t="shared" si="2865"/>
        <v>0</v>
      </c>
      <c r="K4643" s="1" t="str">
        <f t="shared" si="2866"/>
        <v>103</v>
      </c>
      <c r="L4643" s="1" t="str">
        <f t="shared" si="2867"/>
        <v>47</v>
      </c>
      <c r="M4643" s="1" t="str">
        <f t="shared" si="2871"/>
        <v>0</v>
      </c>
      <c r="N4643" s="1" t="str">
        <f t="shared" si="2861"/>
        <v>0</v>
      </c>
      <c r="O4643" s="1" t="str">
        <f t="shared" si="2869"/>
        <v>0</v>
      </c>
    </row>
    <row r="4644" s="1" customFormat="1" spans="1:15">
      <c r="A4644" s="1" t="str">
        <f t="shared" si="2862"/>
        <v>202406</v>
      </c>
      <c r="B4644" s="1" t="str">
        <f t="shared" si="2863"/>
        <v>150525100</v>
      </c>
      <c r="C4644" s="1" t="str">
        <f>"1014625070"</f>
        <v>1014625070</v>
      </c>
      <c r="D4644" s="1" t="str">
        <f>"152326194402173311"</f>
        <v>152326194402173311</v>
      </c>
      <c r="E4644" s="1" t="s">
        <v>4650</v>
      </c>
      <c r="F4644" s="1" t="s">
        <v>25</v>
      </c>
      <c r="G4644" s="1" t="s">
        <v>19</v>
      </c>
      <c r="H4644" s="1" t="str">
        <f>"80"</f>
        <v>80</v>
      </c>
      <c r="I4644" s="1" t="str">
        <f>"170"</f>
        <v>170</v>
      </c>
      <c r="J4644" s="1" t="str">
        <f t="shared" si="2865"/>
        <v>0</v>
      </c>
      <c r="K4644" s="1" t="str">
        <f t="shared" si="2866"/>
        <v>103</v>
      </c>
      <c r="L4644" s="1" t="str">
        <f t="shared" si="2867"/>
        <v>47</v>
      </c>
      <c r="M4644" s="1" t="str">
        <f t="shared" si="2871"/>
        <v>0</v>
      </c>
      <c r="N4644" s="1" t="str">
        <f t="shared" si="2861"/>
        <v>0</v>
      </c>
      <c r="O4644" s="1" t="str">
        <f t="shared" si="2869"/>
        <v>0</v>
      </c>
    </row>
    <row r="4645" s="1" customFormat="1" spans="1:15">
      <c r="A4645" s="1" t="str">
        <f t="shared" si="2862"/>
        <v>202406</v>
      </c>
      <c r="B4645" s="1" t="str">
        <f t="shared" si="2863"/>
        <v>150525100</v>
      </c>
      <c r="C4645" s="1" t="str">
        <f>"1014625090"</f>
        <v>1014625090</v>
      </c>
      <c r="D4645" s="1" t="str">
        <f>"152326195003270426"</f>
        <v>152326195003270426</v>
      </c>
      <c r="E4645" s="1" t="s">
        <v>4651</v>
      </c>
      <c r="F4645" s="1" t="s">
        <v>16</v>
      </c>
      <c r="G4645" s="1" t="s">
        <v>17</v>
      </c>
      <c r="H4645" s="1" t="str">
        <f>"74"</f>
        <v>74</v>
      </c>
      <c r="I4645" s="1" t="str">
        <f>"1600"</f>
        <v>1600</v>
      </c>
      <c r="J4645" s="1" t="str">
        <f>"1440"</f>
        <v>1440</v>
      </c>
      <c r="K4645" s="1" t="str">
        <f>"1030"</f>
        <v>1030</v>
      </c>
      <c r="L4645" s="1" t="str">
        <f>"470"</f>
        <v>470</v>
      </c>
      <c r="M4645" s="1" t="str">
        <f t="shared" si="2871"/>
        <v>0</v>
      </c>
      <c r="N4645" s="1" t="str">
        <f t="shared" si="2861"/>
        <v>0</v>
      </c>
      <c r="O4645" s="1" t="str">
        <f t="shared" si="2869"/>
        <v>0</v>
      </c>
    </row>
    <row r="4646" s="1" customFormat="1" spans="1:15">
      <c r="A4646" s="1" t="str">
        <f t="shared" si="2862"/>
        <v>202406</v>
      </c>
      <c r="B4646" s="1" t="str">
        <f t="shared" si="2863"/>
        <v>150525100</v>
      </c>
      <c r="C4646" s="1" t="str">
        <f>"1014625091"</f>
        <v>1014625091</v>
      </c>
      <c r="D4646" s="1" t="str">
        <f>"152326194909130425"</f>
        <v>152326194909130425</v>
      </c>
      <c r="E4646" s="1" t="s">
        <v>4652</v>
      </c>
      <c r="F4646" s="1" t="s">
        <v>16</v>
      </c>
      <c r="G4646" s="1" t="s">
        <v>17</v>
      </c>
      <c r="H4646" s="1" t="str">
        <f t="shared" ref="H4646:H4650" si="2872">"75"</f>
        <v>75</v>
      </c>
      <c r="I4646" s="1" t="str">
        <f t="shared" ref="I4646:I4650" si="2873">"160"</f>
        <v>160</v>
      </c>
      <c r="J4646" s="1" t="str">
        <f t="shared" ref="J4646:J4677" si="2874">"0"</f>
        <v>0</v>
      </c>
      <c r="K4646" s="1" t="str">
        <f t="shared" ref="K4646:K4665" si="2875">"103"</f>
        <v>103</v>
      </c>
      <c r="L4646" s="1" t="str">
        <f t="shared" ref="L4646:L4665" si="2876">"47"</f>
        <v>47</v>
      </c>
      <c r="M4646" s="1" t="str">
        <f t="shared" si="2871"/>
        <v>0</v>
      </c>
      <c r="N4646" s="1" t="str">
        <f t="shared" si="2861"/>
        <v>0</v>
      </c>
      <c r="O4646" s="1" t="str">
        <f t="shared" si="2869"/>
        <v>0</v>
      </c>
    </row>
    <row r="4647" s="1" customFormat="1" spans="1:15">
      <c r="A4647" s="1" t="str">
        <f t="shared" si="2862"/>
        <v>202406</v>
      </c>
      <c r="B4647" s="1" t="str">
        <f t="shared" si="2863"/>
        <v>150525100</v>
      </c>
      <c r="C4647" s="1" t="str">
        <f>"1014625093"</f>
        <v>1014625093</v>
      </c>
      <c r="D4647" s="1" t="str">
        <f>"152326195102020422"</f>
        <v>152326195102020422</v>
      </c>
      <c r="E4647" s="1" t="s">
        <v>4653</v>
      </c>
      <c r="F4647" s="1" t="s">
        <v>16</v>
      </c>
      <c r="G4647" s="1" t="s">
        <v>17</v>
      </c>
      <c r="H4647" s="1" t="str">
        <f>"73"</f>
        <v>73</v>
      </c>
      <c r="I4647" s="1" t="str">
        <f t="shared" si="2873"/>
        <v>160</v>
      </c>
      <c r="J4647" s="1" t="str">
        <f t="shared" si="2874"/>
        <v>0</v>
      </c>
      <c r="K4647" s="1" t="str">
        <f t="shared" si="2875"/>
        <v>103</v>
      </c>
      <c r="L4647" s="1" t="str">
        <f t="shared" si="2876"/>
        <v>47</v>
      </c>
      <c r="M4647" s="1" t="str">
        <f t="shared" si="2871"/>
        <v>0</v>
      </c>
      <c r="N4647" s="1" t="str">
        <f t="shared" si="2861"/>
        <v>0</v>
      </c>
      <c r="O4647" s="1" t="str">
        <f t="shared" si="2869"/>
        <v>0</v>
      </c>
    </row>
    <row r="4648" s="1" customFormat="1" spans="1:15">
      <c r="A4648" s="1" t="str">
        <f t="shared" si="2862"/>
        <v>202406</v>
      </c>
      <c r="B4648" s="1" t="str">
        <f t="shared" si="2863"/>
        <v>150525100</v>
      </c>
      <c r="C4648" s="1" t="str">
        <f>"1014625101"</f>
        <v>1014625101</v>
      </c>
      <c r="D4648" s="1" t="str">
        <f>"152326194709250422"</f>
        <v>152326194709250422</v>
      </c>
      <c r="E4648" s="1" t="s">
        <v>4497</v>
      </c>
      <c r="F4648" s="1" t="s">
        <v>16</v>
      </c>
      <c r="G4648" s="1" t="s">
        <v>17</v>
      </c>
      <c r="H4648" s="1" t="str">
        <f>"77"</f>
        <v>77</v>
      </c>
      <c r="I4648" s="1" t="str">
        <f t="shared" si="2873"/>
        <v>160</v>
      </c>
      <c r="J4648" s="1" t="str">
        <f t="shared" si="2874"/>
        <v>0</v>
      </c>
      <c r="K4648" s="1" t="str">
        <f t="shared" si="2875"/>
        <v>103</v>
      </c>
      <c r="L4648" s="1" t="str">
        <f t="shared" si="2876"/>
        <v>47</v>
      </c>
      <c r="M4648" s="1" t="str">
        <f t="shared" si="2871"/>
        <v>0</v>
      </c>
      <c r="N4648" s="1" t="str">
        <f t="shared" si="2861"/>
        <v>0</v>
      </c>
      <c r="O4648" s="1" t="str">
        <f t="shared" si="2869"/>
        <v>0</v>
      </c>
    </row>
    <row r="4649" s="1" customFormat="1" spans="1:15">
      <c r="A4649" s="1" t="str">
        <f t="shared" si="2862"/>
        <v>202406</v>
      </c>
      <c r="B4649" s="1" t="str">
        <f t="shared" si="2863"/>
        <v>150525100</v>
      </c>
      <c r="C4649" s="1" t="str">
        <f>"1014625103"</f>
        <v>1014625103</v>
      </c>
      <c r="D4649" s="1" t="str">
        <f>"152326194904190445"</f>
        <v>152326194904190445</v>
      </c>
      <c r="E4649" s="1" t="s">
        <v>4654</v>
      </c>
      <c r="F4649" s="1" t="s">
        <v>16</v>
      </c>
      <c r="G4649" s="1" t="s">
        <v>19</v>
      </c>
      <c r="H4649" s="1" t="str">
        <f t="shared" si="2872"/>
        <v>75</v>
      </c>
      <c r="I4649" s="1" t="str">
        <f t="shared" si="2873"/>
        <v>160</v>
      </c>
      <c r="J4649" s="1" t="str">
        <f t="shared" si="2874"/>
        <v>0</v>
      </c>
      <c r="K4649" s="1" t="str">
        <f t="shared" si="2875"/>
        <v>103</v>
      </c>
      <c r="L4649" s="1" t="str">
        <f t="shared" si="2876"/>
        <v>47</v>
      </c>
      <c r="M4649" s="1" t="str">
        <f t="shared" si="2871"/>
        <v>0</v>
      </c>
      <c r="N4649" s="1" t="str">
        <f t="shared" si="2861"/>
        <v>0</v>
      </c>
      <c r="O4649" s="1" t="str">
        <f t="shared" si="2869"/>
        <v>0</v>
      </c>
    </row>
    <row r="4650" s="1" customFormat="1" spans="1:15">
      <c r="A4650" s="1" t="str">
        <f t="shared" si="2862"/>
        <v>202406</v>
      </c>
      <c r="B4650" s="1" t="str">
        <f t="shared" si="2863"/>
        <v>150525100</v>
      </c>
      <c r="C4650" s="1" t="str">
        <f>"1014625121"</f>
        <v>1014625121</v>
      </c>
      <c r="D4650" s="1" t="str">
        <f>"152326194904160422"</f>
        <v>152326194904160422</v>
      </c>
      <c r="E4650" s="1" t="s">
        <v>4655</v>
      </c>
      <c r="F4650" s="1" t="s">
        <v>16</v>
      </c>
      <c r="G4650" s="1" t="s">
        <v>17</v>
      </c>
      <c r="H4650" s="1" t="str">
        <f t="shared" si="2872"/>
        <v>75</v>
      </c>
      <c r="I4650" s="1" t="str">
        <f t="shared" si="2873"/>
        <v>160</v>
      </c>
      <c r="J4650" s="1" t="str">
        <f t="shared" si="2874"/>
        <v>0</v>
      </c>
      <c r="K4650" s="1" t="str">
        <f t="shared" si="2875"/>
        <v>103</v>
      </c>
      <c r="L4650" s="1" t="str">
        <f t="shared" si="2876"/>
        <v>47</v>
      </c>
      <c r="M4650" s="1" t="str">
        <f t="shared" si="2871"/>
        <v>0</v>
      </c>
      <c r="N4650" s="1" t="str">
        <f t="shared" si="2861"/>
        <v>0</v>
      </c>
      <c r="O4650" s="1" t="str">
        <f t="shared" si="2869"/>
        <v>0</v>
      </c>
    </row>
    <row r="4651" s="1" customFormat="1" spans="1:15">
      <c r="A4651" s="1" t="str">
        <f t="shared" si="2862"/>
        <v>202406</v>
      </c>
      <c r="B4651" s="1" t="str">
        <f t="shared" si="2863"/>
        <v>150525100</v>
      </c>
      <c r="C4651" s="1" t="str">
        <f>"1014625162"</f>
        <v>1014625162</v>
      </c>
      <c r="D4651" s="1" t="str">
        <f>"152326194104180425"</f>
        <v>152326194104180425</v>
      </c>
      <c r="E4651" s="1" t="s">
        <v>4656</v>
      </c>
      <c r="F4651" s="1" t="s">
        <v>16</v>
      </c>
      <c r="G4651" s="1" t="s">
        <v>17</v>
      </c>
      <c r="H4651" s="1" t="str">
        <f>"83"</f>
        <v>83</v>
      </c>
      <c r="I4651" s="1" t="str">
        <f>"170"</f>
        <v>170</v>
      </c>
      <c r="J4651" s="1" t="str">
        <f t="shared" si="2874"/>
        <v>0</v>
      </c>
      <c r="K4651" s="1" t="str">
        <f t="shared" si="2875"/>
        <v>103</v>
      </c>
      <c r="L4651" s="1" t="str">
        <f t="shared" si="2876"/>
        <v>47</v>
      </c>
      <c r="M4651" s="1" t="str">
        <f t="shared" si="2871"/>
        <v>0</v>
      </c>
      <c r="N4651" s="1" t="str">
        <f t="shared" si="2861"/>
        <v>0</v>
      </c>
      <c r="O4651" s="1" t="str">
        <f t="shared" si="2869"/>
        <v>0</v>
      </c>
    </row>
    <row r="4652" s="1" customFormat="1" spans="1:15">
      <c r="A4652" s="1" t="str">
        <f t="shared" si="2862"/>
        <v>202406</v>
      </c>
      <c r="B4652" s="1" t="str">
        <f t="shared" si="2863"/>
        <v>150525100</v>
      </c>
      <c r="C4652" s="1" t="str">
        <f>"1014625173"</f>
        <v>1014625173</v>
      </c>
      <c r="D4652" s="1" t="str">
        <f>"152326195112160429"</f>
        <v>152326195112160429</v>
      </c>
      <c r="E4652" s="1" t="s">
        <v>4657</v>
      </c>
      <c r="F4652" s="1" t="s">
        <v>16</v>
      </c>
      <c r="G4652" s="1" t="s">
        <v>96</v>
      </c>
      <c r="H4652" s="1" t="str">
        <f>"73"</f>
        <v>73</v>
      </c>
      <c r="I4652" s="1" t="str">
        <f t="shared" ref="I4652:I4654" si="2877">"160"</f>
        <v>160</v>
      </c>
      <c r="J4652" s="1" t="str">
        <f t="shared" si="2874"/>
        <v>0</v>
      </c>
      <c r="K4652" s="1" t="str">
        <f t="shared" si="2875"/>
        <v>103</v>
      </c>
      <c r="L4652" s="1" t="str">
        <f t="shared" si="2876"/>
        <v>47</v>
      </c>
      <c r="M4652" s="1" t="str">
        <f t="shared" si="2871"/>
        <v>0</v>
      </c>
      <c r="N4652" s="1" t="str">
        <f t="shared" si="2861"/>
        <v>0</v>
      </c>
      <c r="O4652" s="1" t="str">
        <f t="shared" si="2869"/>
        <v>0</v>
      </c>
    </row>
    <row r="4653" s="1" customFormat="1" spans="1:15">
      <c r="A4653" s="1" t="str">
        <f t="shared" si="2862"/>
        <v>202406</v>
      </c>
      <c r="B4653" s="1" t="str">
        <f t="shared" si="2863"/>
        <v>150525100</v>
      </c>
      <c r="C4653" s="1" t="str">
        <f>"1014625179"</f>
        <v>1014625179</v>
      </c>
      <c r="D4653" s="1" t="str">
        <f>"152326194610170422"</f>
        <v>152326194610170422</v>
      </c>
      <c r="E4653" s="1" t="s">
        <v>4098</v>
      </c>
      <c r="F4653" s="1" t="s">
        <v>16</v>
      </c>
      <c r="G4653" s="1" t="s">
        <v>17</v>
      </c>
      <c r="H4653" s="1" t="str">
        <f>"78"</f>
        <v>78</v>
      </c>
      <c r="I4653" s="1" t="str">
        <f t="shared" si="2877"/>
        <v>160</v>
      </c>
      <c r="J4653" s="1" t="str">
        <f t="shared" si="2874"/>
        <v>0</v>
      </c>
      <c r="K4653" s="1" t="str">
        <f t="shared" si="2875"/>
        <v>103</v>
      </c>
      <c r="L4653" s="1" t="str">
        <f t="shared" si="2876"/>
        <v>47</v>
      </c>
      <c r="M4653" s="1" t="str">
        <f t="shared" si="2871"/>
        <v>0</v>
      </c>
      <c r="N4653" s="1" t="str">
        <f t="shared" si="2861"/>
        <v>0</v>
      </c>
      <c r="O4653" s="1" t="str">
        <f t="shared" si="2869"/>
        <v>0</v>
      </c>
    </row>
    <row r="4654" s="1" customFormat="1" spans="1:15">
      <c r="A4654" s="1" t="str">
        <f t="shared" si="2862"/>
        <v>202406</v>
      </c>
      <c r="B4654" s="1" t="str">
        <f t="shared" si="2863"/>
        <v>150525100</v>
      </c>
      <c r="C4654" s="1" t="str">
        <f>"1014625182"</f>
        <v>1014625182</v>
      </c>
      <c r="D4654" s="1" t="str">
        <f>"152326194701140667"</f>
        <v>152326194701140667</v>
      </c>
      <c r="E4654" s="1" t="s">
        <v>4658</v>
      </c>
      <c r="F4654" s="1" t="s">
        <v>16</v>
      </c>
      <c r="G4654" s="1" t="s">
        <v>19</v>
      </c>
      <c r="H4654" s="1" t="str">
        <f>"77"</f>
        <v>77</v>
      </c>
      <c r="I4654" s="1" t="str">
        <f t="shared" si="2877"/>
        <v>160</v>
      </c>
      <c r="J4654" s="1" t="str">
        <f t="shared" si="2874"/>
        <v>0</v>
      </c>
      <c r="K4654" s="1" t="str">
        <f t="shared" si="2875"/>
        <v>103</v>
      </c>
      <c r="L4654" s="1" t="str">
        <f t="shared" si="2876"/>
        <v>47</v>
      </c>
      <c r="M4654" s="1" t="str">
        <f t="shared" si="2871"/>
        <v>0</v>
      </c>
      <c r="N4654" s="1" t="str">
        <f t="shared" si="2861"/>
        <v>0</v>
      </c>
      <c r="O4654" s="1" t="str">
        <f t="shared" si="2869"/>
        <v>0</v>
      </c>
    </row>
    <row r="4655" s="1" customFormat="1" spans="1:15">
      <c r="A4655" s="1" t="str">
        <f t="shared" si="2862"/>
        <v>202406</v>
      </c>
      <c r="B4655" s="1" t="str">
        <f t="shared" si="2863"/>
        <v>150525100</v>
      </c>
      <c r="C4655" s="1" t="str">
        <f>"1014641134"</f>
        <v>1014641134</v>
      </c>
      <c r="D4655" s="1" t="str">
        <f>"152326195706050438"</f>
        <v>152326195706050438</v>
      </c>
      <c r="E4655" s="1" t="s">
        <v>4659</v>
      </c>
      <c r="F4655" s="1" t="s">
        <v>25</v>
      </c>
      <c r="G4655" s="1" t="s">
        <v>17</v>
      </c>
      <c r="H4655" s="1" t="str">
        <f>"67"</f>
        <v>67</v>
      </c>
      <c r="I4655" s="1" t="str">
        <f>"155.84"</f>
        <v>155.84</v>
      </c>
      <c r="J4655" s="1" t="str">
        <f t="shared" si="2874"/>
        <v>0</v>
      </c>
      <c r="K4655" s="1" t="str">
        <f t="shared" si="2875"/>
        <v>103</v>
      </c>
      <c r="L4655" s="1" t="str">
        <f t="shared" si="2876"/>
        <v>47</v>
      </c>
      <c r="M4655" s="1" t="str">
        <f t="shared" si="2871"/>
        <v>0</v>
      </c>
      <c r="N4655" s="1" t="str">
        <f t="shared" si="2861"/>
        <v>0</v>
      </c>
      <c r="O4655" s="1" t="str">
        <f>"5.84"</f>
        <v>5.84</v>
      </c>
    </row>
    <row r="4656" s="1" customFormat="1" spans="1:15">
      <c r="A4656" s="1" t="str">
        <f t="shared" si="2862"/>
        <v>202406</v>
      </c>
      <c r="B4656" s="1" t="str">
        <f t="shared" si="2863"/>
        <v>150525100</v>
      </c>
      <c r="C4656" s="1" t="str">
        <f>"1014641137"</f>
        <v>1014641137</v>
      </c>
      <c r="D4656" s="1" t="str">
        <f>"152326195608080414"</f>
        <v>152326195608080414</v>
      </c>
      <c r="E4656" s="1" t="s">
        <v>4660</v>
      </c>
      <c r="F4656" s="1" t="s">
        <v>25</v>
      </c>
      <c r="G4656" s="1" t="s">
        <v>17</v>
      </c>
      <c r="H4656" s="1" t="str">
        <f>"68"</f>
        <v>68</v>
      </c>
      <c r="I4656" s="1" t="str">
        <f>"156.01"</f>
        <v>156.01</v>
      </c>
      <c r="J4656" s="1" t="str">
        <f t="shared" si="2874"/>
        <v>0</v>
      </c>
      <c r="K4656" s="1" t="str">
        <f t="shared" si="2875"/>
        <v>103</v>
      </c>
      <c r="L4656" s="1" t="str">
        <f t="shared" si="2876"/>
        <v>47</v>
      </c>
      <c r="M4656" s="1" t="str">
        <f t="shared" si="2871"/>
        <v>0</v>
      </c>
      <c r="N4656" s="1" t="str">
        <f t="shared" si="2861"/>
        <v>0</v>
      </c>
      <c r="O4656" s="1" t="str">
        <f>"6.01"</f>
        <v>6.01</v>
      </c>
    </row>
    <row r="4657" s="1" customFormat="1" spans="1:15">
      <c r="A4657" s="1" t="str">
        <f t="shared" si="2862"/>
        <v>202406</v>
      </c>
      <c r="B4657" s="1" t="str">
        <f t="shared" si="2863"/>
        <v>150525100</v>
      </c>
      <c r="C4657" s="1" t="str">
        <f>"1014625186"</f>
        <v>1014625186</v>
      </c>
      <c r="D4657" s="1" t="str">
        <f>"152326195008220663"</f>
        <v>152326195008220663</v>
      </c>
      <c r="E4657" s="1" t="s">
        <v>4661</v>
      </c>
      <c r="F4657" s="1" t="s">
        <v>16</v>
      </c>
      <c r="G4657" s="1" t="s">
        <v>17</v>
      </c>
      <c r="H4657" s="1" t="str">
        <f>"74"</f>
        <v>74</v>
      </c>
      <c r="I4657" s="1" t="str">
        <f t="shared" ref="I4657:I4660" si="2878">"160"</f>
        <v>160</v>
      </c>
      <c r="J4657" s="1" t="str">
        <f t="shared" si="2874"/>
        <v>0</v>
      </c>
      <c r="K4657" s="1" t="str">
        <f t="shared" si="2875"/>
        <v>103</v>
      </c>
      <c r="L4657" s="1" t="str">
        <f t="shared" si="2876"/>
        <v>47</v>
      </c>
      <c r="M4657" s="1" t="str">
        <f t="shared" si="2871"/>
        <v>0</v>
      </c>
      <c r="N4657" s="1" t="str">
        <f t="shared" si="2861"/>
        <v>0</v>
      </c>
      <c r="O4657" s="1" t="str">
        <f t="shared" ref="O4657:O4679" si="2879">"0"</f>
        <v>0</v>
      </c>
    </row>
    <row r="4658" s="1" customFormat="1" spans="1:15">
      <c r="A4658" s="1" t="str">
        <f t="shared" si="2862"/>
        <v>202406</v>
      </c>
      <c r="B4658" s="1" t="str">
        <f t="shared" si="2863"/>
        <v>150525100</v>
      </c>
      <c r="C4658" s="1" t="str">
        <f>"1014625194"</f>
        <v>1014625194</v>
      </c>
      <c r="D4658" s="1" t="str">
        <f>"152326194506050666"</f>
        <v>152326194506050666</v>
      </c>
      <c r="E4658" s="1" t="s">
        <v>4662</v>
      </c>
      <c r="F4658" s="1" t="s">
        <v>16</v>
      </c>
      <c r="G4658" s="1" t="s">
        <v>17</v>
      </c>
      <c r="H4658" s="1" t="str">
        <f>"79"</f>
        <v>79</v>
      </c>
      <c r="I4658" s="1" t="str">
        <f t="shared" si="2878"/>
        <v>160</v>
      </c>
      <c r="J4658" s="1" t="str">
        <f t="shared" si="2874"/>
        <v>0</v>
      </c>
      <c r="K4658" s="1" t="str">
        <f t="shared" si="2875"/>
        <v>103</v>
      </c>
      <c r="L4658" s="1" t="str">
        <f t="shared" si="2876"/>
        <v>47</v>
      </c>
      <c r="M4658" s="1" t="str">
        <f t="shared" si="2871"/>
        <v>0</v>
      </c>
      <c r="N4658" s="1" t="str">
        <f t="shared" si="2861"/>
        <v>0</v>
      </c>
      <c r="O4658" s="1" t="str">
        <f t="shared" si="2879"/>
        <v>0</v>
      </c>
    </row>
    <row r="4659" s="1" customFormat="1" spans="1:15">
      <c r="A4659" s="1" t="str">
        <f t="shared" si="2862"/>
        <v>202406</v>
      </c>
      <c r="B4659" s="1" t="str">
        <f t="shared" si="2863"/>
        <v>150525100</v>
      </c>
      <c r="C4659" s="1" t="str">
        <f>"1014624811"</f>
        <v>1014624811</v>
      </c>
      <c r="D4659" s="1" t="str">
        <f>"152326194909090662"</f>
        <v>152326194909090662</v>
      </c>
      <c r="E4659" s="1" t="s">
        <v>4663</v>
      </c>
      <c r="F4659" s="1" t="s">
        <v>16</v>
      </c>
      <c r="G4659" s="1" t="s">
        <v>17</v>
      </c>
      <c r="H4659" s="1" t="str">
        <f>"75"</f>
        <v>75</v>
      </c>
      <c r="I4659" s="1" t="str">
        <f t="shared" si="2878"/>
        <v>160</v>
      </c>
      <c r="J4659" s="1" t="str">
        <f t="shared" si="2874"/>
        <v>0</v>
      </c>
      <c r="K4659" s="1" t="str">
        <f t="shared" si="2875"/>
        <v>103</v>
      </c>
      <c r="L4659" s="1" t="str">
        <f t="shared" si="2876"/>
        <v>47</v>
      </c>
      <c r="M4659" s="1" t="str">
        <f t="shared" si="2871"/>
        <v>0</v>
      </c>
      <c r="N4659" s="1" t="str">
        <f t="shared" si="2861"/>
        <v>0</v>
      </c>
      <c r="O4659" s="1" t="str">
        <f t="shared" si="2879"/>
        <v>0</v>
      </c>
    </row>
    <row r="4660" s="1" customFormat="1" spans="1:15">
      <c r="A4660" s="1" t="str">
        <f t="shared" si="2862"/>
        <v>202406</v>
      </c>
      <c r="B4660" s="1" t="str">
        <f t="shared" si="2863"/>
        <v>150525100</v>
      </c>
      <c r="C4660" s="1" t="str">
        <f>"1015302782"</f>
        <v>1015302782</v>
      </c>
      <c r="D4660" s="1" t="str">
        <f>"152326194909220922"</f>
        <v>152326194909220922</v>
      </c>
      <c r="E4660" s="1" t="s">
        <v>4664</v>
      </c>
      <c r="F4660" s="1" t="s">
        <v>16</v>
      </c>
      <c r="G4660" s="1" t="s">
        <v>19</v>
      </c>
      <c r="H4660" s="1" t="str">
        <f>"75"</f>
        <v>75</v>
      </c>
      <c r="I4660" s="1" t="str">
        <f t="shared" si="2878"/>
        <v>160</v>
      </c>
      <c r="J4660" s="1" t="str">
        <f t="shared" si="2874"/>
        <v>0</v>
      </c>
      <c r="K4660" s="1" t="str">
        <f t="shared" si="2875"/>
        <v>103</v>
      </c>
      <c r="L4660" s="1" t="str">
        <f t="shared" si="2876"/>
        <v>47</v>
      </c>
      <c r="M4660" s="1" t="str">
        <f t="shared" si="2871"/>
        <v>0</v>
      </c>
      <c r="N4660" s="1" t="str">
        <f t="shared" si="2861"/>
        <v>0</v>
      </c>
      <c r="O4660" s="1" t="str">
        <f t="shared" si="2879"/>
        <v>0</v>
      </c>
    </row>
    <row r="4661" s="1" customFormat="1" spans="1:15">
      <c r="A4661" s="1" t="str">
        <f t="shared" si="2862"/>
        <v>202406</v>
      </c>
      <c r="B4661" s="1" t="str">
        <f t="shared" si="2863"/>
        <v>150525100</v>
      </c>
      <c r="C4661" s="1" t="str">
        <f>"1014624198"</f>
        <v>1014624198</v>
      </c>
      <c r="D4661" s="1" t="str">
        <f>"152326194404250667"</f>
        <v>152326194404250667</v>
      </c>
      <c r="E4661" s="1" t="s">
        <v>4665</v>
      </c>
      <c r="F4661" s="1" t="s">
        <v>16</v>
      </c>
      <c r="G4661" s="1" t="s">
        <v>17</v>
      </c>
      <c r="H4661" s="1" t="str">
        <f>"80"</f>
        <v>80</v>
      </c>
      <c r="I4661" s="1" t="str">
        <f>"170"</f>
        <v>170</v>
      </c>
      <c r="J4661" s="1" t="str">
        <f t="shared" si="2874"/>
        <v>0</v>
      </c>
      <c r="K4661" s="1" t="str">
        <f t="shared" si="2875"/>
        <v>103</v>
      </c>
      <c r="L4661" s="1" t="str">
        <f t="shared" si="2876"/>
        <v>47</v>
      </c>
      <c r="M4661" s="1" t="str">
        <f t="shared" si="2871"/>
        <v>0</v>
      </c>
      <c r="N4661" s="1" t="str">
        <f t="shared" si="2861"/>
        <v>0</v>
      </c>
      <c r="O4661" s="1" t="str">
        <f t="shared" si="2879"/>
        <v>0</v>
      </c>
    </row>
    <row r="4662" s="1" customFormat="1" spans="1:15">
      <c r="A4662" s="1" t="str">
        <f t="shared" si="2862"/>
        <v>202406</v>
      </c>
      <c r="B4662" s="1" t="str">
        <f t="shared" si="2863"/>
        <v>150525100</v>
      </c>
      <c r="C4662" s="1" t="str">
        <f>"1014624205"</f>
        <v>1014624205</v>
      </c>
      <c r="D4662" s="1" t="str">
        <f>"152326194510090687"</f>
        <v>152326194510090687</v>
      </c>
      <c r="E4662" s="1" t="s">
        <v>4666</v>
      </c>
      <c r="F4662" s="1" t="s">
        <v>16</v>
      </c>
      <c r="G4662" s="1" t="s">
        <v>17</v>
      </c>
      <c r="H4662" s="1" t="str">
        <f>"79"</f>
        <v>79</v>
      </c>
      <c r="I4662" s="1" t="str">
        <f t="shared" ref="I4662:I4665" si="2880">"160"</f>
        <v>160</v>
      </c>
      <c r="J4662" s="1" t="str">
        <f t="shared" si="2874"/>
        <v>0</v>
      </c>
      <c r="K4662" s="1" t="str">
        <f t="shared" si="2875"/>
        <v>103</v>
      </c>
      <c r="L4662" s="1" t="str">
        <f t="shared" si="2876"/>
        <v>47</v>
      </c>
      <c r="M4662" s="1" t="str">
        <f t="shared" si="2871"/>
        <v>0</v>
      </c>
      <c r="N4662" s="1" t="str">
        <f t="shared" si="2861"/>
        <v>0</v>
      </c>
      <c r="O4662" s="1" t="str">
        <f t="shared" si="2879"/>
        <v>0</v>
      </c>
    </row>
    <row r="4663" s="1" customFormat="1" spans="1:15">
      <c r="A4663" s="1" t="str">
        <f t="shared" si="2862"/>
        <v>202406</v>
      </c>
      <c r="B4663" s="1" t="str">
        <f t="shared" si="2863"/>
        <v>150525100</v>
      </c>
      <c r="C4663" s="1" t="str">
        <f>"1014624215"</f>
        <v>1014624215</v>
      </c>
      <c r="D4663" s="1" t="s">
        <v>4667</v>
      </c>
      <c r="E4663" s="1" t="s">
        <v>4668</v>
      </c>
      <c r="F4663" s="1" t="s">
        <v>16</v>
      </c>
      <c r="G4663" s="1" t="s">
        <v>17</v>
      </c>
      <c r="H4663" s="1" t="str">
        <f>"77"</f>
        <v>77</v>
      </c>
      <c r="I4663" s="1" t="str">
        <f t="shared" si="2880"/>
        <v>160</v>
      </c>
      <c r="J4663" s="1" t="str">
        <f t="shared" si="2874"/>
        <v>0</v>
      </c>
      <c r="K4663" s="1" t="str">
        <f t="shared" si="2875"/>
        <v>103</v>
      </c>
      <c r="L4663" s="1" t="str">
        <f t="shared" si="2876"/>
        <v>47</v>
      </c>
      <c r="M4663" s="1" t="str">
        <f t="shared" si="2871"/>
        <v>0</v>
      </c>
      <c r="N4663" s="1" t="str">
        <f t="shared" si="2861"/>
        <v>0</v>
      </c>
      <c r="O4663" s="1" t="str">
        <f t="shared" si="2879"/>
        <v>0</v>
      </c>
    </row>
    <row r="4664" s="1" customFormat="1" spans="1:15">
      <c r="A4664" s="1" t="str">
        <f t="shared" si="2862"/>
        <v>202406</v>
      </c>
      <c r="B4664" s="1" t="str">
        <f t="shared" si="2863"/>
        <v>150525100</v>
      </c>
      <c r="C4664" s="1" t="str">
        <f>"1015302859"</f>
        <v>1015302859</v>
      </c>
      <c r="D4664" s="1" t="str">
        <f>"152326194707080044"</f>
        <v>152326194707080044</v>
      </c>
      <c r="E4664" s="1" t="s">
        <v>4669</v>
      </c>
      <c r="F4664" s="1" t="s">
        <v>16</v>
      </c>
      <c r="G4664" s="1" t="s">
        <v>17</v>
      </c>
      <c r="H4664" s="1" t="str">
        <f>"77"</f>
        <v>77</v>
      </c>
      <c r="I4664" s="1" t="str">
        <f t="shared" si="2880"/>
        <v>160</v>
      </c>
      <c r="J4664" s="1" t="str">
        <f t="shared" si="2874"/>
        <v>0</v>
      </c>
      <c r="K4664" s="1" t="str">
        <f t="shared" si="2875"/>
        <v>103</v>
      </c>
      <c r="L4664" s="1" t="str">
        <f t="shared" si="2876"/>
        <v>47</v>
      </c>
      <c r="M4664" s="1" t="str">
        <f t="shared" si="2871"/>
        <v>0</v>
      </c>
      <c r="N4664" s="1" t="str">
        <f t="shared" si="2861"/>
        <v>0</v>
      </c>
      <c r="O4664" s="1" t="str">
        <f t="shared" si="2879"/>
        <v>0</v>
      </c>
    </row>
    <row r="4665" s="1" customFormat="1" spans="1:15">
      <c r="A4665" s="1" t="str">
        <f t="shared" si="2862"/>
        <v>202406</v>
      </c>
      <c r="B4665" s="1" t="str">
        <f t="shared" si="2863"/>
        <v>150525100</v>
      </c>
      <c r="C4665" s="1" t="str">
        <f>"1015302860"</f>
        <v>1015302860</v>
      </c>
      <c r="D4665" s="1" t="str">
        <f>"152326194607110023"</f>
        <v>152326194607110023</v>
      </c>
      <c r="E4665" s="1" t="s">
        <v>2531</v>
      </c>
      <c r="F4665" s="1" t="s">
        <v>16</v>
      </c>
      <c r="G4665" s="1" t="s">
        <v>17</v>
      </c>
      <c r="H4665" s="1" t="str">
        <f>"78"</f>
        <v>78</v>
      </c>
      <c r="I4665" s="1" t="str">
        <f t="shared" si="2880"/>
        <v>160</v>
      </c>
      <c r="J4665" s="1" t="str">
        <f t="shared" si="2874"/>
        <v>0</v>
      </c>
      <c r="K4665" s="1" t="str">
        <f t="shared" si="2875"/>
        <v>103</v>
      </c>
      <c r="L4665" s="1" t="str">
        <f t="shared" si="2876"/>
        <v>47</v>
      </c>
      <c r="M4665" s="1" t="str">
        <f t="shared" si="2871"/>
        <v>0</v>
      </c>
      <c r="N4665" s="1" t="str">
        <f t="shared" ref="N4665:N4729" si="2881">"0"</f>
        <v>0</v>
      </c>
      <c r="O4665" s="1" t="str">
        <f t="shared" si="2879"/>
        <v>0</v>
      </c>
    </row>
    <row r="4666" s="1" customFormat="1" spans="1:15">
      <c r="A4666" s="1" t="str">
        <f t="shared" si="2862"/>
        <v>202406</v>
      </c>
      <c r="B4666" s="1" t="str">
        <f t="shared" si="2863"/>
        <v>150525100</v>
      </c>
      <c r="C4666" s="1" t="str">
        <f>"1014613058"</f>
        <v>1014613058</v>
      </c>
      <c r="D4666" s="1" t="str">
        <f>"152326194408163827"</f>
        <v>152326194408163827</v>
      </c>
      <c r="E4666" s="1" t="s">
        <v>3872</v>
      </c>
      <c r="F4666" s="1" t="s">
        <v>16</v>
      </c>
      <c r="G4666" s="1" t="s">
        <v>19</v>
      </c>
      <c r="H4666" s="1" t="str">
        <f>"80"</f>
        <v>80</v>
      </c>
      <c r="I4666" s="1" t="str">
        <f>"1680"</f>
        <v>1680</v>
      </c>
      <c r="J4666" s="1" t="str">
        <f t="shared" si="2874"/>
        <v>0</v>
      </c>
      <c r="K4666" s="1" t="str">
        <f t="shared" ref="K4666:N4666" si="2882">"0"</f>
        <v>0</v>
      </c>
      <c r="L4666" s="1" t="str">
        <f t="shared" si="2882"/>
        <v>0</v>
      </c>
      <c r="M4666" s="1" t="str">
        <f t="shared" si="2871"/>
        <v>0</v>
      </c>
      <c r="N4666" s="1" t="str">
        <f t="shared" si="2882"/>
        <v>0</v>
      </c>
      <c r="O4666" s="1" t="str">
        <f t="shared" si="2879"/>
        <v>0</v>
      </c>
    </row>
    <row r="4667" s="1" customFormat="1" spans="1:15">
      <c r="A4667" s="1" t="str">
        <f t="shared" si="2862"/>
        <v>202406</v>
      </c>
      <c r="B4667" s="1" t="str">
        <f t="shared" si="2863"/>
        <v>150525100</v>
      </c>
      <c r="C4667" s="1" t="str">
        <f>"1014613331"</f>
        <v>1014613331</v>
      </c>
      <c r="D4667" s="1" t="str">
        <f>"152326194904030417"</f>
        <v>152326194904030417</v>
      </c>
      <c r="E4667" s="1" t="s">
        <v>4670</v>
      </c>
      <c r="F4667" s="1" t="s">
        <v>25</v>
      </c>
      <c r="G4667" s="1" t="s">
        <v>17</v>
      </c>
      <c r="H4667" s="1" t="str">
        <f t="shared" ref="H4667:H4670" si="2883">"75"</f>
        <v>75</v>
      </c>
      <c r="I4667" s="1" t="str">
        <f t="shared" ref="I4667:I4672" si="2884">"160"</f>
        <v>160</v>
      </c>
      <c r="J4667" s="1" t="str">
        <f t="shared" si="2874"/>
        <v>0</v>
      </c>
      <c r="K4667" s="1" t="str">
        <f t="shared" ref="K4667:K4677" si="2885">"103"</f>
        <v>103</v>
      </c>
      <c r="L4667" s="1" t="str">
        <f t="shared" ref="L4667:L4677" si="2886">"47"</f>
        <v>47</v>
      </c>
      <c r="M4667" s="1" t="str">
        <f t="shared" si="2871"/>
        <v>0</v>
      </c>
      <c r="N4667" s="1" t="str">
        <f t="shared" si="2881"/>
        <v>0</v>
      </c>
      <c r="O4667" s="1" t="str">
        <f t="shared" si="2879"/>
        <v>0</v>
      </c>
    </row>
    <row r="4668" s="1" customFormat="1" spans="1:15">
      <c r="A4668" s="1" t="str">
        <f t="shared" si="2862"/>
        <v>202406</v>
      </c>
      <c r="B4668" s="1" t="str">
        <f t="shared" si="2863"/>
        <v>150525100</v>
      </c>
      <c r="C4668" s="1" t="str">
        <f>"1014621994"</f>
        <v>1014621994</v>
      </c>
      <c r="D4668" s="1" t="str">
        <f>"152326194912293321"</f>
        <v>152326194912293321</v>
      </c>
      <c r="E4668" s="1" t="s">
        <v>4671</v>
      </c>
      <c r="F4668" s="1" t="s">
        <v>16</v>
      </c>
      <c r="G4668" s="1" t="s">
        <v>17</v>
      </c>
      <c r="H4668" s="1" t="str">
        <f t="shared" si="2883"/>
        <v>75</v>
      </c>
      <c r="I4668" s="1" t="str">
        <f t="shared" si="2884"/>
        <v>160</v>
      </c>
      <c r="J4668" s="1" t="str">
        <f t="shared" si="2874"/>
        <v>0</v>
      </c>
      <c r="K4668" s="1" t="str">
        <f t="shared" si="2885"/>
        <v>103</v>
      </c>
      <c r="L4668" s="1" t="str">
        <f t="shared" si="2886"/>
        <v>47</v>
      </c>
      <c r="M4668" s="1" t="str">
        <f t="shared" si="2871"/>
        <v>0</v>
      </c>
      <c r="N4668" s="1" t="str">
        <f t="shared" si="2881"/>
        <v>0</v>
      </c>
      <c r="O4668" s="1" t="str">
        <f t="shared" si="2879"/>
        <v>0</v>
      </c>
    </row>
    <row r="4669" s="1" customFormat="1" spans="1:15">
      <c r="A4669" s="1" t="str">
        <f t="shared" si="2862"/>
        <v>202406</v>
      </c>
      <c r="B4669" s="1" t="str">
        <f t="shared" si="2863"/>
        <v>150525100</v>
      </c>
      <c r="C4669" s="1" t="str">
        <f>"1014621998"</f>
        <v>1014621998</v>
      </c>
      <c r="D4669" s="1" t="str">
        <f>"152326194912110687"</f>
        <v>152326194912110687</v>
      </c>
      <c r="E4669" s="1" t="s">
        <v>4672</v>
      </c>
      <c r="F4669" s="1" t="s">
        <v>16</v>
      </c>
      <c r="G4669" s="1" t="s">
        <v>17</v>
      </c>
      <c r="H4669" s="1" t="str">
        <f t="shared" si="2883"/>
        <v>75</v>
      </c>
      <c r="I4669" s="1" t="str">
        <f t="shared" si="2884"/>
        <v>160</v>
      </c>
      <c r="J4669" s="1" t="str">
        <f t="shared" si="2874"/>
        <v>0</v>
      </c>
      <c r="K4669" s="1" t="str">
        <f t="shared" si="2885"/>
        <v>103</v>
      </c>
      <c r="L4669" s="1" t="str">
        <f t="shared" si="2886"/>
        <v>47</v>
      </c>
      <c r="M4669" s="1" t="str">
        <f t="shared" si="2871"/>
        <v>0</v>
      </c>
      <c r="N4669" s="1" t="str">
        <f t="shared" si="2881"/>
        <v>0</v>
      </c>
      <c r="O4669" s="1" t="str">
        <f t="shared" si="2879"/>
        <v>0</v>
      </c>
    </row>
    <row r="4670" s="1" customFormat="1" spans="1:15">
      <c r="A4670" s="1" t="str">
        <f t="shared" si="2862"/>
        <v>202406</v>
      </c>
      <c r="B4670" s="1" t="str">
        <f t="shared" si="2863"/>
        <v>150525100</v>
      </c>
      <c r="C4670" s="1" t="str">
        <f>"1014622382"</f>
        <v>1014622382</v>
      </c>
      <c r="D4670" s="1" t="str">
        <f>"152326194907200426"</f>
        <v>152326194907200426</v>
      </c>
      <c r="E4670" s="1" t="s">
        <v>4673</v>
      </c>
      <c r="F4670" s="1" t="s">
        <v>16</v>
      </c>
      <c r="G4670" s="1" t="s">
        <v>17</v>
      </c>
      <c r="H4670" s="1" t="str">
        <f t="shared" si="2883"/>
        <v>75</v>
      </c>
      <c r="I4670" s="1" t="str">
        <f t="shared" si="2884"/>
        <v>160</v>
      </c>
      <c r="J4670" s="1" t="str">
        <f t="shared" si="2874"/>
        <v>0</v>
      </c>
      <c r="K4670" s="1" t="str">
        <f t="shared" si="2885"/>
        <v>103</v>
      </c>
      <c r="L4670" s="1" t="str">
        <f t="shared" si="2886"/>
        <v>47</v>
      </c>
      <c r="M4670" s="1" t="str">
        <f t="shared" si="2871"/>
        <v>0</v>
      </c>
      <c r="N4670" s="1" t="str">
        <f t="shared" si="2881"/>
        <v>0</v>
      </c>
      <c r="O4670" s="1" t="str">
        <f t="shared" si="2879"/>
        <v>0</v>
      </c>
    </row>
    <row r="4671" s="1" customFormat="1" spans="1:15">
      <c r="A4671" s="1" t="str">
        <f t="shared" si="2862"/>
        <v>202406</v>
      </c>
      <c r="B4671" s="1" t="str">
        <f t="shared" si="2863"/>
        <v>150525100</v>
      </c>
      <c r="C4671" s="1" t="str">
        <f>"1014622387"</f>
        <v>1014622387</v>
      </c>
      <c r="D4671" s="1" t="str">
        <f>"152326194406160665"</f>
        <v>152326194406160665</v>
      </c>
      <c r="E4671" s="1" t="s">
        <v>919</v>
      </c>
      <c r="F4671" s="1" t="s">
        <v>16</v>
      </c>
      <c r="G4671" s="1" t="s">
        <v>17</v>
      </c>
      <c r="H4671" s="1" t="str">
        <f>"80"</f>
        <v>80</v>
      </c>
      <c r="I4671" s="1" t="str">
        <f t="shared" si="2884"/>
        <v>160</v>
      </c>
      <c r="J4671" s="1" t="str">
        <f t="shared" si="2874"/>
        <v>0</v>
      </c>
      <c r="K4671" s="1" t="str">
        <f t="shared" si="2885"/>
        <v>103</v>
      </c>
      <c r="L4671" s="1" t="str">
        <f t="shared" si="2886"/>
        <v>47</v>
      </c>
      <c r="M4671" s="1" t="str">
        <f t="shared" si="2871"/>
        <v>0</v>
      </c>
      <c r="N4671" s="1" t="str">
        <f t="shared" si="2881"/>
        <v>0</v>
      </c>
      <c r="O4671" s="1" t="str">
        <f t="shared" si="2879"/>
        <v>0</v>
      </c>
    </row>
    <row r="4672" s="1" customFormat="1" spans="1:15">
      <c r="A4672" s="1" t="str">
        <f t="shared" si="2862"/>
        <v>202406</v>
      </c>
      <c r="B4672" s="1" t="str">
        <f t="shared" si="2863"/>
        <v>150525100</v>
      </c>
      <c r="C4672" s="1" t="str">
        <f>"1014622762"</f>
        <v>1014622762</v>
      </c>
      <c r="D4672" s="1" t="str">
        <f>"152326194512210670"</f>
        <v>152326194512210670</v>
      </c>
      <c r="E4672" s="1" t="s">
        <v>4674</v>
      </c>
      <c r="F4672" s="1" t="s">
        <v>25</v>
      </c>
      <c r="G4672" s="1" t="s">
        <v>17</v>
      </c>
      <c r="H4672" s="1" t="str">
        <f>"79"</f>
        <v>79</v>
      </c>
      <c r="I4672" s="1" t="str">
        <f t="shared" si="2884"/>
        <v>160</v>
      </c>
      <c r="J4672" s="1" t="str">
        <f t="shared" si="2874"/>
        <v>0</v>
      </c>
      <c r="K4672" s="1" t="str">
        <f t="shared" si="2885"/>
        <v>103</v>
      </c>
      <c r="L4672" s="1" t="str">
        <f t="shared" si="2886"/>
        <v>47</v>
      </c>
      <c r="M4672" s="1" t="str">
        <f t="shared" si="2871"/>
        <v>0</v>
      </c>
      <c r="N4672" s="1" t="str">
        <f t="shared" si="2881"/>
        <v>0</v>
      </c>
      <c r="O4672" s="1" t="str">
        <f t="shared" si="2879"/>
        <v>0</v>
      </c>
    </row>
    <row r="4673" s="1" customFormat="1" spans="1:15">
      <c r="A4673" s="1" t="str">
        <f t="shared" si="2862"/>
        <v>202406</v>
      </c>
      <c r="B4673" s="1" t="str">
        <f t="shared" si="2863"/>
        <v>150525100</v>
      </c>
      <c r="C4673" s="1" t="str">
        <f>"1014624128"</f>
        <v>1014624128</v>
      </c>
      <c r="D4673" s="1" t="str">
        <f>"152326193801023084"</f>
        <v>152326193801023084</v>
      </c>
      <c r="E4673" s="1" t="s">
        <v>1729</v>
      </c>
      <c r="F4673" s="1" t="s">
        <v>16</v>
      </c>
      <c r="G4673" s="1" t="s">
        <v>96</v>
      </c>
      <c r="H4673" s="1" t="str">
        <f>"87"</f>
        <v>87</v>
      </c>
      <c r="I4673" s="1" t="str">
        <f>"170"</f>
        <v>170</v>
      </c>
      <c r="J4673" s="1" t="str">
        <f t="shared" si="2874"/>
        <v>0</v>
      </c>
      <c r="K4673" s="1" t="str">
        <f t="shared" si="2885"/>
        <v>103</v>
      </c>
      <c r="L4673" s="1" t="str">
        <f t="shared" si="2886"/>
        <v>47</v>
      </c>
      <c r="M4673" s="1" t="str">
        <f t="shared" si="2871"/>
        <v>0</v>
      </c>
      <c r="N4673" s="1" t="str">
        <f t="shared" si="2881"/>
        <v>0</v>
      </c>
      <c r="O4673" s="1" t="str">
        <f t="shared" si="2879"/>
        <v>0</v>
      </c>
    </row>
    <row r="4674" s="1" customFormat="1" spans="1:15">
      <c r="A4674" s="1" t="str">
        <f t="shared" ref="A4674:A4737" si="2887">"202406"</f>
        <v>202406</v>
      </c>
      <c r="B4674" s="1" t="str">
        <f t="shared" ref="B4674:B4737" si="2888">"150525100"</f>
        <v>150525100</v>
      </c>
      <c r="C4674" s="1" t="str">
        <f>"1014624136"</f>
        <v>1014624136</v>
      </c>
      <c r="D4674" s="1" t="str">
        <f>"152326194812163087"</f>
        <v>152326194812163087</v>
      </c>
      <c r="E4674" s="1" t="s">
        <v>4675</v>
      </c>
      <c r="F4674" s="1" t="s">
        <v>16</v>
      </c>
      <c r="G4674" s="1" t="s">
        <v>17</v>
      </c>
      <c r="H4674" s="1" t="str">
        <f>"76"</f>
        <v>76</v>
      </c>
      <c r="I4674" s="1" t="str">
        <f t="shared" ref="I4674:I4677" si="2889">"160"</f>
        <v>160</v>
      </c>
      <c r="J4674" s="1" t="str">
        <f t="shared" si="2874"/>
        <v>0</v>
      </c>
      <c r="K4674" s="1" t="str">
        <f t="shared" si="2885"/>
        <v>103</v>
      </c>
      <c r="L4674" s="1" t="str">
        <f t="shared" si="2886"/>
        <v>47</v>
      </c>
      <c r="M4674" s="1" t="str">
        <f t="shared" si="2871"/>
        <v>0</v>
      </c>
      <c r="N4674" s="1" t="str">
        <f t="shared" si="2881"/>
        <v>0</v>
      </c>
      <c r="O4674" s="1" t="str">
        <f t="shared" si="2879"/>
        <v>0</v>
      </c>
    </row>
    <row r="4675" s="1" customFormat="1" spans="1:15">
      <c r="A4675" s="1" t="str">
        <f t="shared" si="2887"/>
        <v>202406</v>
      </c>
      <c r="B4675" s="1" t="str">
        <f t="shared" si="2888"/>
        <v>150525100</v>
      </c>
      <c r="C4675" s="1" t="str">
        <f>"1014619628"</f>
        <v>1014619628</v>
      </c>
      <c r="D4675" s="1" t="str">
        <f>"152326194010133089"</f>
        <v>152326194010133089</v>
      </c>
      <c r="E4675" s="1" t="s">
        <v>4676</v>
      </c>
      <c r="F4675" s="1" t="s">
        <v>16</v>
      </c>
      <c r="G4675" s="1" t="s">
        <v>17</v>
      </c>
      <c r="H4675" s="1" t="str">
        <f>"84"</f>
        <v>84</v>
      </c>
      <c r="I4675" s="1" t="str">
        <f>"170"</f>
        <v>170</v>
      </c>
      <c r="J4675" s="1" t="str">
        <f t="shared" si="2874"/>
        <v>0</v>
      </c>
      <c r="K4675" s="1" t="str">
        <f t="shared" si="2885"/>
        <v>103</v>
      </c>
      <c r="L4675" s="1" t="str">
        <f t="shared" si="2886"/>
        <v>47</v>
      </c>
      <c r="M4675" s="1" t="str">
        <f t="shared" si="2871"/>
        <v>0</v>
      </c>
      <c r="N4675" s="1" t="str">
        <f t="shared" si="2881"/>
        <v>0</v>
      </c>
      <c r="O4675" s="1" t="str">
        <f t="shared" si="2879"/>
        <v>0</v>
      </c>
    </row>
    <row r="4676" s="1" customFormat="1" spans="1:15">
      <c r="A4676" s="1" t="str">
        <f t="shared" si="2887"/>
        <v>202406</v>
      </c>
      <c r="B4676" s="1" t="str">
        <f t="shared" si="2888"/>
        <v>150525100</v>
      </c>
      <c r="C4676" s="1" t="str">
        <f>"1014619632"</f>
        <v>1014619632</v>
      </c>
      <c r="D4676" s="1" t="str">
        <f>"152326195004153088"</f>
        <v>152326195004153088</v>
      </c>
      <c r="E4676" s="1" t="s">
        <v>4677</v>
      </c>
      <c r="F4676" s="1" t="s">
        <v>16</v>
      </c>
      <c r="G4676" s="1" t="s">
        <v>17</v>
      </c>
      <c r="H4676" s="1" t="str">
        <f>"74"</f>
        <v>74</v>
      </c>
      <c r="I4676" s="1" t="str">
        <f t="shared" si="2889"/>
        <v>160</v>
      </c>
      <c r="J4676" s="1" t="str">
        <f t="shared" si="2874"/>
        <v>0</v>
      </c>
      <c r="K4676" s="1" t="str">
        <f t="shared" si="2885"/>
        <v>103</v>
      </c>
      <c r="L4676" s="1" t="str">
        <f t="shared" si="2886"/>
        <v>47</v>
      </c>
      <c r="M4676" s="1" t="str">
        <f t="shared" si="2871"/>
        <v>0</v>
      </c>
      <c r="N4676" s="1" t="str">
        <f t="shared" si="2881"/>
        <v>0</v>
      </c>
      <c r="O4676" s="1" t="str">
        <f t="shared" si="2879"/>
        <v>0</v>
      </c>
    </row>
    <row r="4677" s="1" customFormat="1" spans="1:15">
      <c r="A4677" s="1" t="str">
        <f t="shared" si="2887"/>
        <v>202406</v>
      </c>
      <c r="B4677" s="1" t="str">
        <f t="shared" si="2888"/>
        <v>150525100</v>
      </c>
      <c r="C4677" s="1" t="str">
        <f>"1014619767"</f>
        <v>1014619767</v>
      </c>
      <c r="D4677" s="1" t="str">
        <f>"152326194604290671"</f>
        <v>152326194604290671</v>
      </c>
      <c r="E4677" s="1" t="s">
        <v>4678</v>
      </c>
      <c r="F4677" s="1" t="s">
        <v>25</v>
      </c>
      <c r="G4677" s="1" t="s">
        <v>96</v>
      </c>
      <c r="H4677" s="1" t="str">
        <f>"78"</f>
        <v>78</v>
      </c>
      <c r="I4677" s="1" t="str">
        <f t="shared" si="2889"/>
        <v>160</v>
      </c>
      <c r="J4677" s="1" t="str">
        <f t="shared" si="2874"/>
        <v>0</v>
      </c>
      <c r="K4677" s="1" t="str">
        <f t="shared" si="2885"/>
        <v>103</v>
      </c>
      <c r="L4677" s="1" t="str">
        <f t="shared" si="2886"/>
        <v>47</v>
      </c>
      <c r="M4677" s="1" t="str">
        <f t="shared" si="2871"/>
        <v>0</v>
      </c>
      <c r="N4677" s="1" t="str">
        <f t="shared" si="2881"/>
        <v>0</v>
      </c>
      <c r="O4677" s="1" t="str">
        <f t="shared" si="2879"/>
        <v>0</v>
      </c>
    </row>
    <row r="4678" s="1" customFormat="1" spans="1:15">
      <c r="A4678" s="1" t="str">
        <f t="shared" si="2887"/>
        <v>202406</v>
      </c>
      <c r="B4678" s="1" t="str">
        <f t="shared" si="2888"/>
        <v>150525100</v>
      </c>
      <c r="C4678" s="1" t="str">
        <f>"1014619772"</f>
        <v>1014619772</v>
      </c>
      <c r="D4678" s="1" t="str">
        <f>"152326193207290673"</f>
        <v>152326193207290673</v>
      </c>
      <c r="E4678" s="1" t="s">
        <v>4679</v>
      </c>
      <c r="F4678" s="1" t="s">
        <v>25</v>
      </c>
      <c r="G4678" s="1" t="s">
        <v>96</v>
      </c>
      <c r="H4678" s="1" t="str">
        <f>"92"</f>
        <v>92</v>
      </c>
      <c r="I4678" s="1" t="str">
        <f>"1530"</f>
        <v>1530</v>
      </c>
      <c r="J4678" s="1" t="str">
        <f>"1360"</f>
        <v>1360</v>
      </c>
      <c r="K4678" s="1" t="str">
        <f>"927"</f>
        <v>927</v>
      </c>
      <c r="L4678" s="1" t="str">
        <f>"423"</f>
        <v>423</v>
      </c>
      <c r="M4678" s="1" t="str">
        <f t="shared" si="2871"/>
        <v>0</v>
      </c>
      <c r="N4678" s="1" t="str">
        <f t="shared" si="2881"/>
        <v>0</v>
      </c>
      <c r="O4678" s="1" t="str">
        <f t="shared" si="2879"/>
        <v>0</v>
      </c>
    </row>
    <row r="4679" s="1" customFormat="1" spans="1:15">
      <c r="A4679" s="1" t="str">
        <f t="shared" si="2887"/>
        <v>202406</v>
      </c>
      <c r="B4679" s="1" t="str">
        <f t="shared" si="2888"/>
        <v>150525100</v>
      </c>
      <c r="C4679" s="1" t="str">
        <f>"1014623642"</f>
        <v>1014623642</v>
      </c>
      <c r="D4679" s="1" t="str">
        <f>"152326194906250413"</f>
        <v>152326194906250413</v>
      </c>
      <c r="E4679" s="1" t="s">
        <v>338</v>
      </c>
      <c r="F4679" s="1" t="s">
        <v>25</v>
      </c>
      <c r="G4679" s="1" t="s">
        <v>17</v>
      </c>
      <c r="H4679" s="1" t="str">
        <f>"75"</f>
        <v>75</v>
      </c>
      <c r="I4679" s="1" t="str">
        <f t="shared" ref="I4679:I4690" si="2890">"160"</f>
        <v>160</v>
      </c>
      <c r="J4679" s="1" t="str">
        <f t="shared" ref="J4679:J4690" si="2891">"0"</f>
        <v>0</v>
      </c>
      <c r="K4679" s="1" t="str">
        <f t="shared" ref="K4679:K4690" si="2892">"103"</f>
        <v>103</v>
      </c>
      <c r="L4679" s="1" t="str">
        <f t="shared" ref="L4679:L4690" si="2893">"47"</f>
        <v>47</v>
      </c>
      <c r="M4679" s="1" t="str">
        <f t="shared" si="2871"/>
        <v>0</v>
      </c>
      <c r="N4679" s="1" t="str">
        <f t="shared" si="2881"/>
        <v>0</v>
      </c>
      <c r="O4679" s="1" t="str">
        <f t="shared" si="2879"/>
        <v>0</v>
      </c>
    </row>
    <row r="4680" s="1" customFormat="1" spans="1:15">
      <c r="A4680" s="1" t="str">
        <f t="shared" si="2887"/>
        <v>202406</v>
      </c>
      <c r="B4680" s="1" t="str">
        <f t="shared" si="2888"/>
        <v>150525100</v>
      </c>
      <c r="C4680" s="1" t="str">
        <f>"1014589219"</f>
        <v>1014589219</v>
      </c>
      <c r="D4680" s="1" t="str">
        <f>"152326195209090412"</f>
        <v>152326195209090412</v>
      </c>
      <c r="E4680" s="1" t="s">
        <v>4680</v>
      </c>
      <c r="F4680" s="1" t="s">
        <v>25</v>
      </c>
      <c r="G4680" s="1" t="s">
        <v>17</v>
      </c>
      <c r="H4680" s="1" t="str">
        <f>"72"</f>
        <v>72</v>
      </c>
      <c r="I4680" s="1" t="str">
        <f>"162.15"</f>
        <v>162.15</v>
      </c>
      <c r="J4680" s="1" t="str">
        <f t="shared" si="2891"/>
        <v>0</v>
      </c>
      <c r="K4680" s="1" t="str">
        <f t="shared" si="2892"/>
        <v>103</v>
      </c>
      <c r="L4680" s="1" t="str">
        <f t="shared" si="2893"/>
        <v>47</v>
      </c>
      <c r="M4680" s="1" t="str">
        <f t="shared" si="2871"/>
        <v>0</v>
      </c>
      <c r="N4680" s="1" t="str">
        <f t="shared" si="2881"/>
        <v>0</v>
      </c>
      <c r="O4680" s="1" t="str">
        <f>"2.15"</f>
        <v>2.15</v>
      </c>
    </row>
    <row r="4681" s="1" customFormat="1" spans="1:15">
      <c r="A4681" s="1" t="str">
        <f t="shared" si="2887"/>
        <v>202406</v>
      </c>
      <c r="B4681" s="1" t="str">
        <f t="shared" si="2888"/>
        <v>150525100</v>
      </c>
      <c r="C4681" s="1" t="str">
        <f>"1014589226"</f>
        <v>1014589226</v>
      </c>
      <c r="D4681" s="1" t="str">
        <f>"152326195312020412"</f>
        <v>152326195312020412</v>
      </c>
      <c r="E4681" s="1" t="s">
        <v>4681</v>
      </c>
      <c r="F4681" s="1" t="s">
        <v>25</v>
      </c>
      <c r="G4681" s="1" t="s">
        <v>17</v>
      </c>
      <c r="H4681" s="1" t="str">
        <f>"71"</f>
        <v>71</v>
      </c>
      <c r="I4681" s="1" t="str">
        <f>"163.16"</f>
        <v>163.16</v>
      </c>
      <c r="J4681" s="1" t="str">
        <f t="shared" si="2891"/>
        <v>0</v>
      </c>
      <c r="K4681" s="1" t="str">
        <f t="shared" si="2892"/>
        <v>103</v>
      </c>
      <c r="L4681" s="1" t="str">
        <f t="shared" si="2893"/>
        <v>47</v>
      </c>
      <c r="M4681" s="1" t="str">
        <f t="shared" si="2871"/>
        <v>0</v>
      </c>
      <c r="N4681" s="1" t="str">
        <f t="shared" si="2881"/>
        <v>0</v>
      </c>
      <c r="O4681" s="1" t="str">
        <f>"3.16"</f>
        <v>3.16</v>
      </c>
    </row>
    <row r="4682" s="1" customFormat="1" spans="1:15">
      <c r="A4682" s="1" t="str">
        <f t="shared" si="2887"/>
        <v>202406</v>
      </c>
      <c r="B4682" s="1" t="str">
        <f t="shared" si="2888"/>
        <v>150525100</v>
      </c>
      <c r="C4682" s="1" t="str">
        <f>"1014613355"</f>
        <v>1014613355</v>
      </c>
      <c r="D4682" s="1" t="str">
        <f>"152326194701203816"</f>
        <v>152326194701203816</v>
      </c>
      <c r="E4682" s="1" t="s">
        <v>4682</v>
      </c>
      <c r="F4682" s="1" t="s">
        <v>25</v>
      </c>
      <c r="G4682" s="1" t="s">
        <v>17</v>
      </c>
      <c r="H4682" s="1" t="str">
        <f>"77"</f>
        <v>77</v>
      </c>
      <c r="I4682" s="1" t="str">
        <f t="shared" si="2890"/>
        <v>160</v>
      </c>
      <c r="J4682" s="1" t="str">
        <f t="shared" si="2891"/>
        <v>0</v>
      </c>
      <c r="K4682" s="1" t="str">
        <f t="shared" si="2892"/>
        <v>103</v>
      </c>
      <c r="L4682" s="1" t="str">
        <f t="shared" si="2893"/>
        <v>47</v>
      </c>
      <c r="M4682" s="1" t="str">
        <f t="shared" si="2871"/>
        <v>0</v>
      </c>
      <c r="N4682" s="1" t="str">
        <f t="shared" si="2881"/>
        <v>0</v>
      </c>
      <c r="O4682" s="1" t="str">
        <f t="shared" ref="O4682:O4690" si="2894">"0"</f>
        <v>0</v>
      </c>
    </row>
    <row r="4683" s="1" customFormat="1" spans="1:15">
      <c r="A4683" s="1" t="str">
        <f t="shared" si="2887"/>
        <v>202406</v>
      </c>
      <c r="B4683" s="1" t="str">
        <f t="shared" si="2888"/>
        <v>150525100</v>
      </c>
      <c r="C4683" s="1" t="str">
        <f>"1014613380"</f>
        <v>1014613380</v>
      </c>
      <c r="D4683" s="1" t="str">
        <f>"152326195107253313"</f>
        <v>152326195107253313</v>
      </c>
      <c r="E4683" s="1" t="s">
        <v>4683</v>
      </c>
      <c r="F4683" s="1" t="s">
        <v>25</v>
      </c>
      <c r="G4683" s="1" t="s">
        <v>17</v>
      </c>
      <c r="H4683" s="1" t="str">
        <f>"73"</f>
        <v>73</v>
      </c>
      <c r="I4683" s="1" t="str">
        <f t="shared" si="2890"/>
        <v>160</v>
      </c>
      <c r="J4683" s="1" t="str">
        <f t="shared" si="2891"/>
        <v>0</v>
      </c>
      <c r="K4683" s="1" t="str">
        <f t="shared" si="2892"/>
        <v>103</v>
      </c>
      <c r="L4683" s="1" t="str">
        <f t="shared" si="2893"/>
        <v>47</v>
      </c>
      <c r="M4683" s="1" t="str">
        <f t="shared" si="2871"/>
        <v>0</v>
      </c>
      <c r="N4683" s="1" t="str">
        <f t="shared" si="2881"/>
        <v>0</v>
      </c>
      <c r="O4683" s="1" t="str">
        <f t="shared" si="2894"/>
        <v>0</v>
      </c>
    </row>
    <row r="4684" s="1" customFormat="1" spans="1:15">
      <c r="A4684" s="1" t="str">
        <f t="shared" si="2887"/>
        <v>202406</v>
      </c>
      <c r="B4684" s="1" t="str">
        <f t="shared" si="2888"/>
        <v>150525100</v>
      </c>
      <c r="C4684" s="1" t="str">
        <f>"1014622414"</f>
        <v>1014622414</v>
      </c>
      <c r="D4684" s="1" t="str">
        <f>"152326194605180028"</f>
        <v>152326194605180028</v>
      </c>
      <c r="E4684" s="1" t="s">
        <v>4684</v>
      </c>
      <c r="F4684" s="1" t="s">
        <v>16</v>
      </c>
      <c r="G4684" s="1" t="s">
        <v>19</v>
      </c>
      <c r="H4684" s="1" t="str">
        <f>"78"</f>
        <v>78</v>
      </c>
      <c r="I4684" s="1" t="str">
        <f t="shared" si="2890"/>
        <v>160</v>
      </c>
      <c r="J4684" s="1" t="str">
        <f t="shared" si="2891"/>
        <v>0</v>
      </c>
      <c r="K4684" s="1" t="str">
        <f t="shared" si="2892"/>
        <v>103</v>
      </c>
      <c r="L4684" s="1" t="str">
        <f t="shared" si="2893"/>
        <v>47</v>
      </c>
      <c r="M4684" s="1" t="str">
        <f t="shared" si="2871"/>
        <v>0</v>
      </c>
      <c r="N4684" s="1" t="str">
        <f t="shared" si="2881"/>
        <v>0</v>
      </c>
      <c r="O4684" s="1" t="str">
        <f t="shared" si="2894"/>
        <v>0</v>
      </c>
    </row>
    <row r="4685" s="1" customFormat="1" spans="1:15">
      <c r="A4685" s="1" t="str">
        <f t="shared" si="2887"/>
        <v>202406</v>
      </c>
      <c r="B4685" s="1" t="str">
        <f t="shared" si="2888"/>
        <v>150525100</v>
      </c>
      <c r="C4685" s="1" t="str">
        <f>"1014622416"</f>
        <v>1014622416</v>
      </c>
      <c r="D4685" s="1" t="str">
        <f>"152326195004263324"</f>
        <v>152326195004263324</v>
      </c>
      <c r="E4685" s="1" t="s">
        <v>4685</v>
      </c>
      <c r="F4685" s="1" t="s">
        <v>16</v>
      </c>
      <c r="G4685" s="1" t="s">
        <v>17</v>
      </c>
      <c r="H4685" s="1" t="str">
        <f>"74"</f>
        <v>74</v>
      </c>
      <c r="I4685" s="1" t="str">
        <f t="shared" si="2890"/>
        <v>160</v>
      </c>
      <c r="J4685" s="1" t="str">
        <f t="shared" si="2891"/>
        <v>0</v>
      </c>
      <c r="K4685" s="1" t="str">
        <f t="shared" si="2892"/>
        <v>103</v>
      </c>
      <c r="L4685" s="1" t="str">
        <f t="shared" si="2893"/>
        <v>47</v>
      </c>
      <c r="M4685" s="1" t="str">
        <f t="shared" si="2871"/>
        <v>0</v>
      </c>
      <c r="N4685" s="1" t="str">
        <f t="shared" si="2881"/>
        <v>0</v>
      </c>
      <c r="O4685" s="1" t="str">
        <f t="shared" si="2894"/>
        <v>0</v>
      </c>
    </row>
    <row r="4686" s="1" customFormat="1" spans="1:15">
      <c r="A4686" s="1" t="str">
        <f t="shared" si="2887"/>
        <v>202406</v>
      </c>
      <c r="B4686" s="1" t="str">
        <f t="shared" si="2888"/>
        <v>150525100</v>
      </c>
      <c r="C4686" s="1" t="str">
        <f>"1014623176"</f>
        <v>1014623176</v>
      </c>
      <c r="D4686" s="1" t="str">
        <f>"152326194910100418"</f>
        <v>152326194910100418</v>
      </c>
      <c r="E4686" s="1" t="s">
        <v>4686</v>
      </c>
      <c r="F4686" s="1" t="s">
        <v>25</v>
      </c>
      <c r="G4686" s="1" t="s">
        <v>17</v>
      </c>
      <c r="H4686" s="1" t="str">
        <f>"75"</f>
        <v>75</v>
      </c>
      <c r="I4686" s="1" t="str">
        <f t="shared" si="2890"/>
        <v>160</v>
      </c>
      <c r="J4686" s="1" t="str">
        <f t="shared" si="2891"/>
        <v>0</v>
      </c>
      <c r="K4686" s="1" t="str">
        <f t="shared" si="2892"/>
        <v>103</v>
      </c>
      <c r="L4686" s="1" t="str">
        <f t="shared" si="2893"/>
        <v>47</v>
      </c>
      <c r="M4686" s="1" t="str">
        <f t="shared" si="2871"/>
        <v>0</v>
      </c>
      <c r="N4686" s="1" t="str">
        <f t="shared" si="2881"/>
        <v>0</v>
      </c>
      <c r="O4686" s="1" t="str">
        <f t="shared" si="2894"/>
        <v>0</v>
      </c>
    </row>
    <row r="4687" s="1" customFormat="1" spans="1:15">
      <c r="A4687" s="1" t="str">
        <f t="shared" si="2887"/>
        <v>202406</v>
      </c>
      <c r="B4687" s="1" t="str">
        <f t="shared" si="2888"/>
        <v>150525100</v>
      </c>
      <c r="C4687" s="1" t="str">
        <f>"1014623178"</f>
        <v>1014623178</v>
      </c>
      <c r="D4687" s="1" t="str">
        <f>"152326194801070416"</f>
        <v>152326194801070416</v>
      </c>
      <c r="E4687" s="1" t="s">
        <v>4687</v>
      </c>
      <c r="F4687" s="1" t="s">
        <v>25</v>
      </c>
      <c r="G4687" s="1" t="s">
        <v>17</v>
      </c>
      <c r="H4687" s="1" t="str">
        <f>"77"</f>
        <v>77</v>
      </c>
      <c r="I4687" s="1" t="str">
        <f t="shared" si="2890"/>
        <v>160</v>
      </c>
      <c r="J4687" s="1" t="str">
        <f t="shared" si="2891"/>
        <v>0</v>
      </c>
      <c r="K4687" s="1" t="str">
        <f t="shared" si="2892"/>
        <v>103</v>
      </c>
      <c r="L4687" s="1" t="str">
        <f t="shared" si="2893"/>
        <v>47</v>
      </c>
      <c r="M4687" s="1" t="str">
        <f t="shared" si="2871"/>
        <v>0</v>
      </c>
      <c r="N4687" s="1" t="str">
        <f t="shared" si="2881"/>
        <v>0</v>
      </c>
      <c r="O4687" s="1" t="str">
        <f t="shared" si="2894"/>
        <v>0</v>
      </c>
    </row>
    <row r="4688" s="1" customFormat="1" spans="1:15">
      <c r="A4688" s="1" t="str">
        <f t="shared" si="2887"/>
        <v>202406</v>
      </c>
      <c r="B4688" s="1" t="str">
        <f t="shared" si="2888"/>
        <v>150525100</v>
      </c>
      <c r="C4688" s="1" t="str">
        <f>"1014619201"</f>
        <v>1014619201</v>
      </c>
      <c r="D4688" s="1" t="str">
        <f>"152326195012080667"</f>
        <v>152326195012080667</v>
      </c>
      <c r="E4688" s="1" t="s">
        <v>4688</v>
      </c>
      <c r="F4688" s="1" t="s">
        <v>16</v>
      </c>
      <c r="G4688" s="1" t="s">
        <v>17</v>
      </c>
      <c r="H4688" s="1" t="str">
        <f>"74"</f>
        <v>74</v>
      </c>
      <c r="I4688" s="1" t="str">
        <f t="shared" si="2890"/>
        <v>160</v>
      </c>
      <c r="J4688" s="1" t="str">
        <f t="shared" si="2891"/>
        <v>0</v>
      </c>
      <c r="K4688" s="1" t="str">
        <f t="shared" si="2892"/>
        <v>103</v>
      </c>
      <c r="L4688" s="1" t="str">
        <f t="shared" si="2893"/>
        <v>47</v>
      </c>
      <c r="M4688" s="1" t="str">
        <f t="shared" si="2871"/>
        <v>0</v>
      </c>
      <c r="N4688" s="1" t="str">
        <f t="shared" si="2881"/>
        <v>0</v>
      </c>
      <c r="O4688" s="1" t="str">
        <f t="shared" si="2894"/>
        <v>0</v>
      </c>
    </row>
    <row r="4689" s="1" customFormat="1" spans="1:15">
      <c r="A4689" s="1" t="str">
        <f t="shared" si="2887"/>
        <v>202406</v>
      </c>
      <c r="B4689" s="1" t="str">
        <f t="shared" si="2888"/>
        <v>150525100</v>
      </c>
      <c r="C4689" s="1" t="str">
        <f>"1015307359"</f>
        <v>1015307359</v>
      </c>
      <c r="D4689" s="1" t="str">
        <f>"152326195109200928"</f>
        <v>152326195109200928</v>
      </c>
      <c r="E4689" s="1" t="s">
        <v>4689</v>
      </c>
      <c r="F4689" s="1" t="s">
        <v>16</v>
      </c>
      <c r="G4689" s="1" t="s">
        <v>19</v>
      </c>
      <c r="H4689" s="1" t="str">
        <f>"73"</f>
        <v>73</v>
      </c>
      <c r="I4689" s="1" t="str">
        <f t="shared" si="2890"/>
        <v>160</v>
      </c>
      <c r="J4689" s="1" t="str">
        <f t="shared" si="2891"/>
        <v>0</v>
      </c>
      <c r="K4689" s="1" t="str">
        <f t="shared" si="2892"/>
        <v>103</v>
      </c>
      <c r="L4689" s="1" t="str">
        <f t="shared" si="2893"/>
        <v>47</v>
      </c>
      <c r="M4689" s="1" t="str">
        <f t="shared" si="2871"/>
        <v>0</v>
      </c>
      <c r="N4689" s="1" t="str">
        <f t="shared" si="2881"/>
        <v>0</v>
      </c>
      <c r="O4689" s="1" t="str">
        <f t="shared" si="2894"/>
        <v>0</v>
      </c>
    </row>
    <row r="4690" s="1" customFormat="1" spans="1:15">
      <c r="A4690" s="1" t="str">
        <f t="shared" si="2887"/>
        <v>202406</v>
      </c>
      <c r="B4690" s="1" t="str">
        <f t="shared" si="2888"/>
        <v>150525100</v>
      </c>
      <c r="C4690" s="1" t="str">
        <f>"1014623208"</f>
        <v>1014623208</v>
      </c>
      <c r="D4690" s="1" t="str">
        <f>"152326194901293078"</f>
        <v>152326194901293078</v>
      </c>
      <c r="E4690" s="1" t="s">
        <v>4690</v>
      </c>
      <c r="F4690" s="1" t="s">
        <v>25</v>
      </c>
      <c r="G4690" s="1" t="s">
        <v>17</v>
      </c>
      <c r="H4690" s="1" t="str">
        <f>"75"</f>
        <v>75</v>
      </c>
      <c r="I4690" s="1" t="str">
        <f t="shared" si="2890"/>
        <v>160</v>
      </c>
      <c r="J4690" s="1" t="str">
        <f t="shared" si="2891"/>
        <v>0</v>
      </c>
      <c r="K4690" s="1" t="str">
        <f t="shared" si="2892"/>
        <v>103</v>
      </c>
      <c r="L4690" s="1" t="str">
        <f t="shared" si="2893"/>
        <v>47</v>
      </c>
      <c r="M4690" s="1" t="str">
        <f t="shared" si="2871"/>
        <v>0</v>
      </c>
      <c r="N4690" s="1" t="str">
        <f t="shared" si="2881"/>
        <v>0</v>
      </c>
      <c r="O4690" s="1" t="str">
        <f t="shared" si="2894"/>
        <v>0</v>
      </c>
    </row>
    <row r="4691" s="1" customFormat="1" spans="1:15">
      <c r="A4691" s="1" t="str">
        <f t="shared" si="2887"/>
        <v>202406</v>
      </c>
      <c r="B4691" s="1" t="str">
        <f t="shared" si="2888"/>
        <v>150525100</v>
      </c>
      <c r="C4691" s="1" t="str">
        <f>"1014589281"</f>
        <v>1014589281</v>
      </c>
      <c r="D4691" s="1" t="str">
        <f>"152326196305270418"</f>
        <v>152326196305270418</v>
      </c>
      <c r="E4691" s="1" t="s">
        <v>2302</v>
      </c>
      <c r="F4691" s="1" t="s">
        <v>25</v>
      </c>
      <c r="G4691" s="1" t="s">
        <v>17</v>
      </c>
      <c r="H4691" s="1" t="str">
        <f>"61"</f>
        <v>61</v>
      </c>
      <c r="I4691" s="1" t="str">
        <f>"1205.75"</f>
        <v>1205.75</v>
      </c>
      <c r="J4691" s="1" t="str">
        <f>"1033.5"</f>
        <v>1033.5</v>
      </c>
      <c r="K4691" s="1" t="str">
        <f>"721"</f>
        <v>721</v>
      </c>
      <c r="L4691" s="1" t="str">
        <f>"329"</f>
        <v>329</v>
      </c>
      <c r="M4691" s="1" t="str">
        <f t="shared" si="2871"/>
        <v>0</v>
      </c>
      <c r="N4691" s="1" t="str">
        <f t="shared" si="2881"/>
        <v>0</v>
      </c>
      <c r="O4691" s="1" t="str">
        <f>"155.75"</f>
        <v>155.75</v>
      </c>
    </row>
    <row r="4692" s="1" customFormat="1" spans="1:15">
      <c r="A4692" s="1" t="str">
        <f t="shared" si="2887"/>
        <v>202406</v>
      </c>
      <c r="B4692" s="1" t="str">
        <f t="shared" si="2888"/>
        <v>150525100</v>
      </c>
      <c r="C4692" s="1" t="str">
        <f>"1014624245"</f>
        <v>1014624245</v>
      </c>
      <c r="D4692" s="1" t="str">
        <f>"152326193402130675"</f>
        <v>152326193402130675</v>
      </c>
      <c r="E4692" s="1" t="s">
        <v>4691</v>
      </c>
      <c r="F4692" s="1" t="s">
        <v>25</v>
      </c>
      <c r="G4692" s="1" t="s">
        <v>17</v>
      </c>
      <c r="H4692" s="1" t="str">
        <f>"90"</f>
        <v>90</v>
      </c>
      <c r="I4692" s="1" t="str">
        <f t="shared" ref="I4692:I4698" si="2895">"170"</f>
        <v>170</v>
      </c>
      <c r="J4692" s="1" t="str">
        <f t="shared" ref="J4692:J4751" si="2896">"0"</f>
        <v>0</v>
      </c>
      <c r="K4692" s="1" t="str">
        <f t="shared" ref="K4692:K4724" si="2897">"103"</f>
        <v>103</v>
      </c>
      <c r="L4692" s="1" t="str">
        <f t="shared" ref="L4692:L4724" si="2898">"47"</f>
        <v>47</v>
      </c>
      <c r="M4692" s="1" t="str">
        <f t="shared" si="2871"/>
        <v>0</v>
      </c>
      <c r="N4692" s="1" t="str">
        <f t="shared" si="2881"/>
        <v>0</v>
      </c>
      <c r="O4692" s="1" t="str">
        <f t="shared" ref="O4692:O4729" si="2899">"0"</f>
        <v>0</v>
      </c>
    </row>
    <row r="4693" s="1" customFormat="1" spans="1:15">
      <c r="A4693" s="1" t="str">
        <f t="shared" si="2887"/>
        <v>202406</v>
      </c>
      <c r="B4693" s="1" t="str">
        <f t="shared" si="2888"/>
        <v>150525100</v>
      </c>
      <c r="C4693" s="1" t="str">
        <f>"1014624250"</f>
        <v>1014624250</v>
      </c>
      <c r="D4693" s="1" t="str">
        <f>"152326194610090684"</f>
        <v>152326194610090684</v>
      </c>
      <c r="E4693" s="1" t="s">
        <v>4692</v>
      </c>
      <c r="F4693" s="1" t="s">
        <v>16</v>
      </c>
      <c r="G4693" s="1" t="s">
        <v>17</v>
      </c>
      <c r="H4693" s="1" t="str">
        <f>"78"</f>
        <v>78</v>
      </c>
      <c r="I4693" s="1" t="str">
        <f t="shared" ref="I4693:I4695" si="2900">"160"</f>
        <v>160</v>
      </c>
      <c r="J4693" s="1" t="str">
        <f t="shared" si="2896"/>
        <v>0</v>
      </c>
      <c r="K4693" s="1" t="str">
        <f t="shared" si="2897"/>
        <v>103</v>
      </c>
      <c r="L4693" s="1" t="str">
        <f t="shared" si="2898"/>
        <v>47</v>
      </c>
      <c r="M4693" s="1" t="str">
        <f t="shared" si="2871"/>
        <v>0</v>
      </c>
      <c r="N4693" s="1" t="str">
        <f t="shared" si="2881"/>
        <v>0</v>
      </c>
      <c r="O4693" s="1" t="str">
        <f t="shared" si="2899"/>
        <v>0</v>
      </c>
    </row>
    <row r="4694" s="1" customFormat="1" spans="1:15">
      <c r="A4694" s="1" t="str">
        <f t="shared" si="2887"/>
        <v>202406</v>
      </c>
      <c r="B4694" s="1" t="str">
        <f t="shared" si="2888"/>
        <v>150525100</v>
      </c>
      <c r="C4694" s="1" t="str">
        <f>"1014623231"</f>
        <v>1014623231</v>
      </c>
      <c r="D4694" s="1" t="str">
        <f>"152326195108273818"</f>
        <v>152326195108273818</v>
      </c>
      <c r="E4694" s="1" t="s">
        <v>4693</v>
      </c>
      <c r="F4694" s="1" t="s">
        <v>25</v>
      </c>
      <c r="G4694" s="1" t="s">
        <v>17</v>
      </c>
      <c r="H4694" s="1" t="str">
        <f>"73"</f>
        <v>73</v>
      </c>
      <c r="I4694" s="1" t="str">
        <f t="shared" si="2900"/>
        <v>160</v>
      </c>
      <c r="J4694" s="1" t="str">
        <f t="shared" si="2896"/>
        <v>0</v>
      </c>
      <c r="K4694" s="1" t="str">
        <f t="shared" si="2897"/>
        <v>103</v>
      </c>
      <c r="L4694" s="1" t="str">
        <f t="shared" si="2898"/>
        <v>47</v>
      </c>
      <c r="M4694" s="1" t="str">
        <f t="shared" si="2871"/>
        <v>0</v>
      </c>
      <c r="N4694" s="1" t="str">
        <f t="shared" si="2881"/>
        <v>0</v>
      </c>
      <c r="O4694" s="1" t="str">
        <f t="shared" si="2899"/>
        <v>0</v>
      </c>
    </row>
    <row r="4695" s="1" customFormat="1" spans="1:15">
      <c r="A4695" s="1" t="str">
        <f t="shared" si="2887"/>
        <v>202406</v>
      </c>
      <c r="B4695" s="1" t="str">
        <f t="shared" si="2888"/>
        <v>150525100</v>
      </c>
      <c r="C4695" s="1" t="str">
        <f>"1014623233"</f>
        <v>1014623233</v>
      </c>
      <c r="D4695" s="1" t="str">
        <f>"152326194811053812"</f>
        <v>152326194811053812</v>
      </c>
      <c r="E4695" s="1" t="s">
        <v>4694</v>
      </c>
      <c r="F4695" s="1" t="s">
        <v>25</v>
      </c>
      <c r="G4695" s="1" t="s">
        <v>17</v>
      </c>
      <c r="H4695" s="1" t="str">
        <f>"76"</f>
        <v>76</v>
      </c>
      <c r="I4695" s="1" t="str">
        <f t="shared" si="2900"/>
        <v>160</v>
      </c>
      <c r="J4695" s="1" t="str">
        <f t="shared" si="2896"/>
        <v>0</v>
      </c>
      <c r="K4695" s="1" t="str">
        <f t="shared" si="2897"/>
        <v>103</v>
      </c>
      <c r="L4695" s="1" t="str">
        <f t="shared" si="2898"/>
        <v>47</v>
      </c>
      <c r="M4695" s="1" t="str">
        <f t="shared" si="2871"/>
        <v>0</v>
      </c>
      <c r="N4695" s="1" t="str">
        <f t="shared" si="2881"/>
        <v>0</v>
      </c>
      <c r="O4695" s="1" t="str">
        <f t="shared" si="2899"/>
        <v>0</v>
      </c>
    </row>
    <row r="4696" s="1" customFormat="1" spans="1:15">
      <c r="A4696" s="1" t="str">
        <f t="shared" si="2887"/>
        <v>202406</v>
      </c>
      <c r="B4696" s="1" t="str">
        <f t="shared" si="2888"/>
        <v>150525100</v>
      </c>
      <c r="C4696" s="1" t="str">
        <f>"1014623247"</f>
        <v>1014623247</v>
      </c>
      <c r="D4696" s="1" t="str">
        <f>"152326193902180417"</f>
        <v>152326193902180417</v>
      </c>
      <c r="E4696" s="1" t="s">
        <v>4695</v>
      </c>
      <c r="F4696" s="1" t="s">
        <v>25</v>
      </c>
      <c r="G4696" s="1" t="s">
        <v>17</v>
      </c>
      <c r="H4696" s="1" t="str">
        <f>"85"</f>
        <v>85</v>
      </c>
      <c r="I4696" s="1" t="str">
        <f t="shared" si="2895"/>
        <v>170</v>
      </c>
      <c r="J4696" s="1" t="str">
        <f t="shared" si="2896"/>
        <v>0</v>
      </c>
      <c r="K4696" s="1" t="str">
        <f t="shared" si="2897"/>
        <v>103</v>
      </c>
      <c r="L4696" s="1" t="str">
        <f t="shared" si="2898"/>
        <v>47</v>
      </c>
      <c r="M4696" s="1" t="str">
        <f t="shared" si="2871"/>
        <v>0</v>
      </c>
      <c r="N4696" s="1" t="str">
        <f t="shared" si="2881"/>
        <v>0</v>
      </c>
      <c r="O4696" s="1" t="str">
        <f t="shared" si="2899"/>
        <v>0</v>
      </c>
    </row>
    <row r="4697" s="1" customFormat="1" spans="1:15">
      <c r="A4697" s="1" t="str">
        <f t="shared" si="2887"/>
        <v>202406</v>
      </c>
      <c r="B4697" s="1" t="str">
        <f t="shared" si="2888"/>
        <v>150525100</v>
      </c>
      <c r="C4697" s="1" t="str">
        <f>"1014623681"</f>
        <v>1014623681</v>
      </c>
      <c r="D4697" s="1" t="str">
        <f>"152326194208190417"</f>
        <v>152326194208190417</v>
      </c>
      <c r="E4697" s="1" t="s">
        <v>4696</v>
      </c>
      <c r="F4697" s="1" t="s">
        <v>25</v>
      </c>
      <c r="G4697" s="1" t="s">
        <v>17</v>
      </c>
      <c r="H4697" s="1" t="str">
        <f>"82"</f>
        <v>82</v>
      </c>
      <c r="I4697" s="1" t="str">
        <f t="shared" si="2895"/>
        <v>170</v>
      </c>
      <c r="J4697" s="1" t="str">
        <f t="shared" si="2896"/>
        <v>0</v>
      </c>
      <c r="K4697" s="1" t="str">
        <f t="shared" si="2897"/>
        <v>103</v>
      </c>
      <c r="L4697" s="1" t="str">
        <f t="shared" si="2898"/>
        <v>47</v>
      </c>
      <c r="M4697" s="1" t="str">
        <f t="shared" si="2871"/>
        <v>0</v>
      </c>
      <c r="N4697" s="1" t="str">
        <f t="shared" si="2881"/>
        <v>0</v>
      </c>
      <c r="O4697" s="1" t="str">
        <f t="shared" si="2899"/>
        <v>0</v>
      </c>
    </row>
    <row r="4698" s="1" customFormat="1" spans="1:15">
      <c r="A4698" s="1" t="str">
        <f t="shared" si="2887"/>
        <v>202406</v>
      </c>
      <c r="B4698" s="1" t="str">
        <f t="shared" si="2888"/>
        <v>150525100</v>
      </c>
      <c r="C4698" s="1" t="str">
        <f>"1014613520"</f>
        <v>1014613520</v>
      </c>
      <c r="D4698" s="1" t="str">
        <f>"152326194106150422"</f>
        <v>152326194106150422</v>
      </c>
      <c r="E4698" s="1" t="s">
        <v>2850</v>
      </c>
      <c r="F4698" s="1" t="s">
        <v>16</v>
      </c>
      <c r="G4698" s="1" t="s">
        <v>19</v>
      </c>
      <c r="H4698" s="1" t="str">
        <f>"83"</f>
        <v>83</v>
      </c>
      <c r="I4698" s="1" t="str">
        <f t="shared" si="2895"/>
        <v>170</v>
      </c>
      <c r="J4698" s="1" t="str">
        <f t="shared" si="2896"/>
        <v>0</v>
      </c>
      <c r="K4698" s="1" t="str">
        <f t="shared" si="2897"/>
        <v>103</v>
      </c>
      <c r="L4698" s="1" t="str">
        <f t="shared" si="2898"/>
        <v>47</v>
      </c>
      <c r="M4698" s="1" t="str">
        <f t="shared" si="2871"/>
        <v>0</v>
      </c>
      <c r="N4698" s="1" t="str">
        <f t="shared" si="2881"/>
        <v>0</v>
      </c>
      <c r="O4698" s="1" t="str">
        <f t="shared" si="2899"/>
        <v>0</v>
      </c>
    </row>
    <row r="4699" s="1" customFormat="1" spans="1:15">
      <c r="A4699" s="1" t="str">
        <f t="shared" si="2887"/>
        <v>202406</v>
      </c>
      <c r="B4699" s="1" t="str">
        <f t="shared" si="2888"/>
        <v>150525100</v>
      </c>
      <c r="C4699" s="1" t="str">
        <f>"1014613533"</f>
        <v>1014613533</v>
      </c>
      <c r="D4699" s="1" t="str">
        <f>"152326194708303828"</f>
        <v>152326194708303828</v>
      </c>
      <c r="E4699" s="1" t="s">
        <v>4697</v>
      </c>
      <c r="F4699" s="1" t="s">
        <v>16</v>
      </c>
      <c r="G4699" s="1" t="s">
        <v>19</v>
      </c>
      <c r="H4699" s="1" t="str">
        <f>"77"</f>
        <v>77</v>
      </c>
      <c r="I4699" s="1" t="str">
        <f t="shared" ref="I4699:I4705" si="2901">"160"</f>
        <v>160</v>
      </c>
      <c r="J4699" s="1" t="str">
        <f t="shared" si="2896"/>
        <v>0</v>
      </c>
      <c r="K4699" s="1" t="str">
        <f t="shared" si="2897"/>
        <v>103</v>
      </c>
      <c r="L4699" s="1" t="str">
        <f t="shared" si="2898"/>
        <v>47</v>
      </c>
      <c r="M4699" s="1" t="str">
        <f t="shared" si="2871"/>
        <v>0</v>
      </c>
      <c r="N4699" s="1" t="str">
        <f t="shared" si="2881"/>
        <v>0</v>
      </c>
      <c r="O4699" s="1" t="str">
        <f t="shared" si="2899"/>
        <v>0</v>
      </c>
    </row>
    <row r="4700" s="1" customFormat="1" spans="1:15">
      <c r="A4700" s="1" t="str">
        <f t="shared" si="2887"/>
        <v>202406</v>
      </c>
      <c r="B4700" s="1" t="str">
        <f t="shared" si="2888"/>
        <v>150525100</v>
      </c>
      <c r="C4700" s="1" t="str">
        <f>"1014613542"</f>
        <v>1014613542</v>
      </c>
      <c r="D4700" s="1" t="str">
        <f>"152326194912063323"</f>
        <v>152326194912063323</v>
      </c>
      <c r="E4700" s="1" t="s">
        <v>3796</v>
      </c>
      <c r="F4700" s="1" t="s">
        <v>16</v>
      </c>
      <c r="G4700" s="1" t="s">
        <v>19</v>
      </c>
      <c r="H4700" s="1" t="str">
        <f t="shared" ref="H4700:H4703" si="2902">"75"</f>
        <v>75</v>
      </c>
      <c r="I4700" s="1" t="str">
        <f t="shared" si="2901"/>
        <v>160</v>
      </c>
      <c r="J4700" s="1" t="str">
        <f t="shared" si="2896"/>
        <v>0</v>
      </c>
      <c r="K4700" s="1" t="str">
        <f t="shared" si="2897"/>
        <v>103</v>
      </c>
      <c r="L4700" s="1" t="str">
        <f t="shared" si="2898"/>
        <v>47</v>
      </c>
      <c r="M4700" s="1" t="str">
        <f t="shared" si="2871"/>
        <v>0</v>
      </c>
      <c r="N4700" s="1" t="str">
        <f t="shared" si="2881"/>
        <v>0</v>
      </c>
      <c r="O4700" s="1" t="str">
        <f t="shared" si="2899"/>
        <v>0</v>
      </c>
    </row>
    <row r="4701" s="1" customFormat="1" spans="1:15">
      <c r="A4701" s="1" t="str">
        <f t="shared" si="2887"/>
        <v>202406</v>
      </c>
      <c r="B4701" s="1" t="str">
        <f t="shared" si="2888"/>
        <v>150525100</v>
      </c>
      <c r="C4701" s="1" t="str">
        <f>"1014622470"</f>
        <v>1014622470</v>
      </c>
      <c r="D4701" s="1" t="str">
        <f>"152326194907056380"</f>
        <v>152326194907056380</v>
      </c>
      <c r="E4701" s="1" t="s">
        <v>1005</v>
      </c>
      <c r="F4701" s="1" t="s">
        <v>16</v>
      </c>
      <c r="G4701" s="1" t="s">
        <v>17</v>
      </c>
      <c r="H4701" s="1" t="str">
        <f t="shared" si="2902"/>
        <v>75</v>
      </c>
      <c r="I4701" s="1" t="str">
        <f t="shared" si="2901"/>
        <v>160</v>
      </c>
      <c r="J4701" s="1" t="str">
        <f t="shared" si="2896"/>
        <v>0</v>
      </c>
      <c r="K4701" s="1" t="str">
        <f t="shared" si="2897"/>
        <v>103</v>
      </c>
      <c r="L4701" s="1" t="str">
        <f t="shared" si="2898"/>
        <v>47</v>
      </c>
      <c r="M4701" s="1" t="str">
        <f t="shared" si="2871"/>
        <v>0</v>
      </c>
      <c r="N4701" s="1" t="str">
        <f t="shared" si="2881"/>
        <v>0</v>
      </c>
      <c r="O4701" s="1" t="str">
        <f t="shared" si="2899"/>
        <v>0</v>
      </c>
    </row>
    <row r="4702" s="1" customFormat="1" spans="1:15">
      <c r="A4702" s="1" t="str">
        <f t="shared" si="2887"/>
        <v>202406</v>
      </c>
      <c r="B4702" s="1" t="str">
        <f t="shared" si="2888"/>
        <v>150525100</v>
      </c>
      <c r="C4702" s="1" t="str">
        <f>"1014623854"</f>
        <v>1014623854</v>
      </c>
      <c r="D4702" s="1" t="str">
        <f>"152326194505070040"</f>
        <v>152326194505070040</v>
      </c>
      <c r="E4702" s="1" t="s">
        <v>4698</v>
      </c>
      <c r="F4702" s="1" t="s">
        <v>16</v>
      </c>
      <c r="G4702" s="1" t="s">
        <v>17</v>
      </c>
      <c r="H4702" s="1" t="str">
        <f>"79"</f>
        <v>79</v>
      </c>
      <c r="I4702" s="1" t="str">
        <f t="shared" si="2901"/>
        <v>160</v>
      </c>
      <c r="J4702" s="1" t="str">
        <f t="shared" si="2896"/>
        <v>0</v>
      </c>
      <c r="K4702" s="1" t="str">
        <f t="shared" si="2897"/>
        <v>103</v>
      </c>
      <c r="L4702" s="1" t="str">
        <f t="shared" si="2898"/>
        <v>47</v>
      </c>
      <c r="M4702" s="1" t="str">
        <f t="shared" si="2871"/>
        <v>0</v>
      </c>
      <c r="N4702" s="1" t="str">
        <f t="shared" si="2881"/>
        <v>0</v>
      </c>
      <c r="O4702" s="1" t="str">
        <f t="shared" si="2899"/>
        <v>0</v>
      </c>
    </row>
    <row r="4703" s="1" customFormat="1" spans="1:15">
      <c r="A4703" s="1" t="str">
        <f t="shared" si="2887"/>
        <v>202406</v>
      </c>
      <c r="B4703" s="1" t="str">
        <f t="shared" si="2888"/>
        <v>150525100</v>
      </c>
      <c r="C4703" s="1" t="str">
        <f>"1014624322"</f>
        <v>1014624322</v>
      </c>
      <c r="D4703" s="1" t="str">
        <f>"152326194909073811"</f>
        <v>152326194909073811</v>
      </c>
      <c r="E4703" s="1" t="s">
        <v>4699</v>
      </c>
      <c r="F4703" s="1" t="s">
        <v>25</v>
      </c>
      <c r="G4703" s="1" t="s">
        <v>19</v>
      </c>
      <c r="H4703" s="1" t="str">
        <f t="shared" si="2902"/>
        <v>75</v>
      </c>
      <c r="I4703" s="1" t="str">
        <f t="shared" si="2901"/>
        <v>160</v>
      </c>
      <c r="J4703" s="1" t="str">
        <f t="shared" si="2896"/>
        <v>0</v>
      </c>
      <c r="K4703" s="1" t="str">
        <f t="shared" si="2897"/>
        <v>103</v>
      </c>
      <c r="L4703" s="1" t="str">
        <f t="shared" si="2898"/>
        <v>47</v>
      </c>
      <c r="M4703" s="1" t="str">
        <f t="shared" si="2871"/>
        <v>0</v>
      </c>
      <c r="N4703" s="1" t="str">
        <f t="shared" si="2881"/>
        <v>0</v>
      </c>
      <c r="O4703" s="1" t="str">
        <f t="shared" si="2899"/>
        <v>0</v>
      </c>
    </row>
    <row r="4704" s="1" customFormat="1" spans="1:15">
      <c r="A4704" s="1" t="str">
        <f t="shared" si="2887"/>
        <v>202406</v>
      </c>
      <c r="B4704" s="1" t="str">
        <f t="shared" si="2888"/>
        <v>150525100</v>
      </c>
      <c r="C4704" s="1" t="str">
        <f>"1014624325"</f>
        <v>1014624325</v>
      </c>
      <c r="D4704" s="1" t="str">
        <f>"152326194510100910"</f>
        <v>152326194510100910</v>
      </c>
      <c r="E4704" s="1" t="s">
        <v>4700</v>
      </c>
      <c r="F4704" s="1" t="s">
        <v>25</v>
      </c>
      <c r="G4704" s="1" t="s">
        <v>19</v>
      </c>
      <c r="H4704" s="1" t="str">
        <f>"79"</f>
        <v>79</v>
      </c>
      <c r="I4704" s="1" t="str">
        <f t="shared" si="2901"/>
        <v>160</v>
      </c>
      <c r="J4704" s="1" t="str">
        <f t="shared" si="2896"/>
        <v>0</v>
      </c>
      <c r="K4704" s="1" t="str">
        <f t="shared" si="2897"/>
        <v>103</v>
      </c>
      <c r="L4704" s="1" t="str">
        <f t="shared" si="2898"/>
        <v>47</v>
      </c>
      <c r="M4704" s="1" t="str">
        <f t="shared" ref="M4704:M4767" si="2903">"0"</f>
        <v>0</v>
      </c>
      <c r="N4704" s="1" t="str">
        <f t="shared" si="2881"/>
        <v>0</v>
      </c>
      <c r="O4704" s="1" t="str">
        <f t="shared" si="2899"/>
        <v>0</v>
      </c>
    </row>
    <row r="4705" s="1" customFormat="1" spans="1:15">
      <c r="A4705" s="1" t="str">
        <f t="shared" si="2887"/>
        <v>202406</v>
      </c>
      <c r="B4705" s="1" t="str">
        <f t="shared" si="2888"/>
        <v>150525100</v>
      </c>
      <c r="C4705" s="1" t="str">
        <f>"1014619876"</f>
        <v>1014619876</v>
      </c>
      <c r="D4705" s="1" t="str">
        <f>"152326195008110667"</f>
        <v>152326195008110667</v>
      </c>
      <c r="E4705" s="1" t="s">
        <v>394</v>
      </c>
      <c r="F4705" s="1" t="s">
        <v>16</v>
      </c>
      <c r="G4705" s="1" t="s">
        <v>17</v>
      </c>
      <c r="H4705" s="1" t="str">
        <f>"74"</f>
        <v>74</v>
      </c>
      <c r="I4705" s="1" t="str">
        <f t="shared" si="2901"/>
        <v>160</v>
      </c>
      <c r="J4705" s="1" t="str">
        <f t="shared" si="2896"/>
        <v>0</v>
      </c>
      <c r="K4705" s="1" t="str">
        <f t="shared" si="2897"/>
        <v>103</v>
      </c>
      <c r="L4705" s="1" t="str">
        <f t="shared" si="2898"/>
        <v>47</v>
      </c>
      <c r="M4705" s="1" t="str">
        <f t="shared" si="2903"/>
        <v>0</v>
      </c>
      <c r="N4705" s="1" t="str">
        <f t="shared" si="2881"/>
        <v>0</v>
      </c>
      <c r="O4705" s="1" t="str">
        <f t="shared" si="2899"/>
        <v>0</v>
      </c>
    </row>
    <row r="4706" s="1" customFormat="1" spans="1:15">
      <c r="A4706" s="1" t="str">
        <f t="shared" si="2887"/>
        <v>202406</v>
      </c>
      <c r="B4706" s="1" t="str">
        <f t="shared" si="2888"/>
        <v>150525100</v>
      </c>
      <c r="C4706" s="1" t="str">
        <f>"1014623335"</f>
        <v>1014623335</v>
      </c>
      <c r="D4706" s="1" t="str">
        <f>"152326194005160023"</f>
        <v>152326194005160023</v>
      </c>
      <c r="E4706" s="1" t="s">
        <v>4540</v>
      </c>
      <c r="F4706" s="1" t="s">
        <v>16</v>
      </c>
      <c r="G4706" s="1" t="s">
        <v>19</v>
      </c>
      <c r="H4706" s="1" t="str">
        <f>"84"</f>
        <v>84</v>
      </c>
      <c r="I4706" s="1" t="str">
        <f t="shared" ref="I4706:I4709" si="2904">"170"</f>
        <v>170</v>
      </c>
      <c r="J4706" s="1" t="str">
        <f t="shared" si="2896"/>
        <v>0</v>
      </c>
      <c r="K4706" s="1" t="str">
        <f t="shared" si="2897"/>
        <v>103</v>
      </c>
      <c r="L4706" s="1" t="str">
        <f t="shared" si="2898"/>
        <v>47</v>
      </c>
      <c r="M4706" s="1" t="str">
        <f t="shared" si="2903"/>
        <v>0</v>
      </c>
      <c r="N4706" s="1" t="str">
        <f t="shared" si="2881"/>
        <v>0</v>
      </c>
      <c r="O4706" s="1" t="str">
        <f t="shared" si="2899"/>
        <v>0</v>
      </c>
    </row>
    <row r="4707" s="1" customFormat="1" spans="1:15">
      <c r="A4707" s="1" t="str">
        <f t="shared" si="2887"/>
        <v>202406</v>
      </c>
      <c r="B4707" s="1" t="str">
        <f t="shared" si="2888"/>
        <v>150525100</v>
      </c>
      <c r="C4707" s="1" t="str">
        <f>"1014623780"</f>
        <v>1014623780</v>
      </c>
      <c r="D4707" s="1" t="str">
        <f>"152326193102283813"</f>
        <v>152326193102283813</v>
      </c>
      <c r="E4707" s="1" t="s">
        <v>4701</v>
      </c>
      <c r="F4707" s="1" t="s">
        <v>25</v>
      </c>
      <c r="G4707" s="1" t="s">
        <v>19</v>
      </c>
      <c r="H4707" s="1" t="str">
        <f>"93"</f>
        <v>93</v>
      </c>
      <c r="I4707" s="1" t="str">
        <f t="shared" si="2904"/>
        <v>170</v>
      </c>
      <c r="J4707" s="1" t="str">
        <f t="shared" si="2896"/>
        <v>0</v>
      </c>
      <c r="K4707" s="1" t="str">
        <f t="shared" si="2897"/>
        <v>103</v>
      </c>
      <c r="L4707" s="1" t="str">
        <f t="shared" si="2898"/>
        <v>47</v>
      </c>
      <c r="M4707" s="1" t="str">
        <f t="shared" si="2903"/>
        <v>0</v>
      </c>
      <c r="N4707" s="1" t="str">
        <f t="shared" si="2881"/>
        <v>0</v>
      </c>
      <c r="O4707" s="1" t="str">
        <f t="shared" si="2899"/>
        <v>0</v>
      </c>
    </row>
    <row r="4708" s="1" customFormat="1" spans="1:15">
      <c r="A4708" s="1" t="str">
        <f t="shared" si="2887"/>
        <v>202406</v>
      </c>
      <c r="B4708" s="1" t="str">
        <f t="shared" si="2888"/>
        <v>150525100</v>
      </c>
      <c r="C4708" s="1" t="str">
        <f>"1014622083"</f>
        <v>1014622083</v>
      </c>
      <c r="D4708" s="1" t="str">
        <f>"152326194706100672"</f>
        <v>152326194706100672</v>
      </c>
      <c r="E4708" s="1" t="s">
        <v>4702</v>
      </c>
      <c r="F4708" s="1" t="s">
        <v>25</v>
      </c>
      <c r="G4708" s="1" t="s">
        <v>17</v>
      </c>
      <c r="H4708" s="1" t="str">
        <f>"77"</f>
        <v>77</v>
      </c>
      <c r="I4708" s="1" t="str">
        <f t="shared" ref="I4708:I4712" si="2905">"160"</f>
        <v>160</v>
      </c>
      <c r="J4708" s="1" t="str">
        <f t="shared" si="2896"/>
        <v>0</v>
      </c>
      <c r="K4708" s="1" t="str">
        <f t="shared" si="2897"/>
        <v>103</v>
      </c>
      <c r="L4708" s="1" t="str">
        <f t="shared" si="2898"/>
        <v>47</v>
      </c>
      <c r="M4708" s="1" t="str">
        <f t="shared" si="2903"/>
        <v>0</v>
      </c>
      <c r="N4708" s="1" t="str">
        <f t="shared" si="2881"/>
        <v>0</v>
      </c>
      <c r="O4708" s="1" t="str">
        <f t="shared" si="2899"/>
        <v>0</v>
      </c>
    </row>
    <row r="4709" s="1" customFormat="1" spans="1:15">
      <c r="A4709" s="1" t="str">
        <f t="shared" si="2887"/>
        <v>202406</v>
      </c>
      <c r="B4709" s="1" t="str">
        <f t="shared" si="2888"/>
        <v>150525100</v>
      </c>
      <c r="C4709" s="1" t="str">
        <f>"1014624255"</f>
        <v>1014624255</v>
      </c>
      <c r="D4709" s="1" t="str">
        <f>"152326193311203082"</f>
        <v>152326193311203082</v>
      </c>
      <c r="E4709" s="1" t="s">
        <v>4703</v>
      </c>
      <c r="F4709" s="1" t="s">
        <v>16</v>
      </c>
      <c r="G4709" s="1" t="s">
        <v>19</v>
      </c>
      <c r="H4709" s="1" t="str">
        <f>"91"</f>
        <v>91</v>
      </c>
      <c r="I4709" s="1" t="str">
        <f t="shared" si="2904"/>
        <v>170</v>
      </c>
      <c r="J4709" s="1" t="str">
        <f t="shared" si="2896"/>
        <v>0</v>
      </c>
      <c r="K4709" s="1" t="str">
        <f t="shared" si="2897"/>
        <v>103</v>
      </c>
      <c r="L4709" s="1" t="str">
        <f t="shared" si="2898"/>
        <v>47</v>
      </c>
      <c r="M4709" s="1" t="str">
        <f t="shared" si="2903"/>
        <v>0</v>
      </c>
      <c r="N4709" s="1" t="str">
        <f t="shared" si="2881"/>
        <v>0</v>
      </c>
      <c r="O4709" s="1" t="str">
        <f t="shared" si="2899"/>
        <v>0</v>
      </c>
    </row>
    <row r="4710" s="1" customFormat="1" spans="1:15">
      <c r="A4710" s="1" t="str">
        <f t="shared" si="2887"/>
        <v>202406</v>
      </c>
      <c r="B4710" s="1" t="str">
        <f t="shared" si="2888"/>
        <v>150525100</v>
      </c>
      <c r="C4710" s="1" t="str">
        <f>"1014619803"</f>
        <v>1014619803</v>
      </c>
      <c r="D4710" s="1" t="str">
        <f>"152326194811220692"</f>
        <v>152326194811220692</v>
      </c>
      <c r="E4710" s="1" t="s">
        <v>4704</v>
      </c>
      <c r="F4710" s="1" t="s">
        <v>25</v>
      </c>
      <c r="G4710" s="1" t="s">
        <v>19</v>
      </c>
      <c r="H4710" s="1" t="str">
        <f>"76"</f>
        <v>76</v>
      </c>
      <c r="I4710" s="1" t="str">
        <f t="shared" si="2905"/>
        <v>160</v>
      </c>
      <c r="J4710" s="1" t="str">
        <f t="shared" si="2896"/>
        <v>0</v>
      </c>
      <c r="K4710" s="1" t="str">
        <f t="shared" si="2897"/>
        <v>103</v>
      </c>
      <c r="L4710" s="1" t="str">
        <f t="shared" si="2898"/>
        <v>47</v>
      </c>
      <c r="M4710" s="1" t="str">
        <f t="shared" si="2903"/>
        <v>0</v>
      </c>
      <c r="N4710" s="1" t="str">
        <f t="shared" si="2881"/>
        <v>0</v>
      </c>
      <c r="O4710" s="1" t="str">
        <f t="shared" si="2899"/>
        <v>0</v>
      </c>
    </row>
    <row r="4711" s="1" customFormat="1" spans="1:15">
      <c r="A4711" s="1" t="str">
        <f t="shared" si="2887"/>
        <v>202406</v>
      </c>
      <c r="B4711" s="1" t="str">
        <f t="shared" si="2888"/>
        <v>150525100</v>
      </c>
      <c r="C4711" s="1" t="str">
        <f>"1014619813"</f>
        <v>1014619813</v>
      </c>
      <c r="D4711" s="1" t="str">
        <f>"152326194610237615"</f>
        <v>152326194610237615</v>
      </c>
      <c r="E4711" s="1" t="s">
        <v>4705</v>
      </c>
      <c r="F4711" s="1" t="s">
        <v>25</v>
      </c>
      <c r="G4711" s="1" t="s">
        <v>19</v>
      </c>
      <c r="H4711" s="1" t="str">
        <f>"78"</f>
        <v>78</v>
      </c>
      <c r="I4711" s="1" t="str">
        <f t="shared" si="2905"/>
        <v>160</v>
      </c>
      <c r="J4711" s="1" t="str">
        <f t="shared" si="2896"/>
        <v>0</v>
      </c>
      <c r="K4711" s="1" t="str">
        <f t="shared" si="2897"/>
        <v>103</v>
      </c>
      <c r="L4711" s="1" t="str">
        <f t="shared" si="2898"/>
        <v>47</v>
      </c>
      <c r="M4711" s="1" t="str">
        <f t="shared" si="2903"/>
        <v>0</v>
      </c>
      <c r="N4711" s="1" t="str">
        <f t="shared" si="2881"/>
        <v>0</v>
      </c>
      <c r="O4711" s="1" t="str">
        <f t="shared" si="2899"/>
        <v>0</v>
      </c>
    </row>
    <row r="4712" s="1" customFormat="1" spans="1:15">
      <c r="A4712" s="1" t="str">
        <f t="shared" si="2887"/>
        <v>202406</v>
      </c>
      <c r="B4712" s="1" t="str">
        <f t="shared" si="2888"/>
        <v>150525100</v>
      </c>
      <c r="C4712" s="1" t="str">
        <f>"1014622911"</f>
        <v>1014622911</v>
      </c>
      <c r="D4712" s="1" t="str">
        <f>"152326194812120423"</f>
        <v>152326194812120423</v>
      </c>
      <c r="E4712" s="1" t="s">
        <v>4706</v>
      </c>
      <c r="F4712" s="1" t="s">
        <v>16</v>
      </c>
      <c r="G4712" s="1" t="s">
        <v>17</v>
      </c>
      <c r="H4712" s="1" t="str">
        <f>"76"</f>
        <v>76</v>
      </c>
      <c r="I4712" s="1" t="str">
        <f t="shared" si="2905"/>
        <v>160</v>
      </c>
      <c r="J4712" s="1" t="str">
        <f t="shared" si="2896"/>
        <v>0</v>
      </c>
      <c r="K4712" s="1" t="str">
        <f t="shared" si="2897"/>
        <v>103</v>
      </c>
      <c r="L4712" s="1" t="str">
        <f t="shared" si="2898"/>
        <v>47</v>
      </c>
      <c r="M4712" s="1" t="str">
        <f t="shared" si="2903"/>
        <v>0</v>
      </c>
      <c r="N4712" s="1" t="str">
        <f t="shared" si="2881"/>
        <v>0</v>
      </c>
      <c r="O4712" s="1" t="str">
        <f t="shared" si="2899"/>
        <v>0</v>
      </c>
    </row>
    <row r="4713" s="1" customFormat="1" spans="1:15">
      <c r="A4713" s="1" t="str">
        <f t="shared" si="2887"/>
        <v>202406</v>
      </c>
      <c r="B4713" s="1" t="str">
        <f t="shared" si="2888"/>
        <v>150525100</v>
      </c>
      <c r="C4713" s="1" t="str">
        <f>"1014623707"</f>
        <v>1014623707</v>
      </c>
      <c r="D4713" s="1" t="str">
        <f>"152326193811160410"</f>
        <v>152326193811160410</v>
      </c>
      <c r="E4713" s="1" t="s">
        <v>4707</v>
      </c>
      <c r="F4713" s="1" t="s">
        <v>25</v>
      </c>
      <c r="G4713" s="1" t="s">
        <v>17</v>
      </c>
      <c r="H4713" s="1" t="str">
        <f>"86"</f>
        <v>86</v>
      </c>
      <c r="I4713" s="1" t="str">
        <f t="shared" ref="I4713:I4716" si="2906">"170"</f>
        <v>170</v>
      </c>
      <c r="J4713" s="1" t="str">
        <f t="shared" si="2896"/>
        <v>0</v>
      </c>
      <c r="K4713" s="1" t="str">
        <f t="shared" si="2897"/>
        <v>103</v>
      </c>
      <c r="L4713" s="1" t="str">
        <f t="shared" si="2898"/>
        <v>47</v>
      </c>
      <c r="M4713" s="1" t="str">
        <f t="shared" si="2903"/>
        <v>0</v>
      </c>
      <c r="N4713" s="1" t="str">
        <f t="shared" si="2881"/>
        <v>0</v>
      </c>
      <c r="O4713" s="1" t="str">
        <f t="shared" si="2899"/>
        <v>0</v>
      </c>
    </row>
    <row r="4714" s="1" customFormat="1" spans="1:15">
      <c r="A4714" s="1" t="str">
        <f t="shared" si="2887"/>
        <v>202406</v>
      </c>
      <c r="B4714" s="1" t="str">
        <f t="shared" si="2888"/>
        <v>150525100</v>
      </c>
      <c r="C4714" s="1" t="str">
        <f>"1014613489"</f>
        <v>1014613489</v>
      </c>
      <c r="D4714" s="1" t="str">
        <f>"152326193502040423"</f>
        <v>152326193502040423</v>
      </c>
      <c r="E4714" s="1" t="s">
        <v>3376</v>
      </c>
      <c r="F4714" s="1" t="s">
        <v>16</v>
      </c>
      <c r="G4714" s="1" t="s">
        <v>17</v>
      </c>
      <c r="H4714" s="1" t="str">
        <f>"89"</f>
        <v>89</v>
      </c>
      <c r="I4714" s="1" t="str">
        <f t="shared" si="2906"/>
        <v>170</v>
      </c>
      <c r="J4714" s="1" t="str">
        <f t="shared" si="2896"/>
        <v>0</v>
      </c>
      <c r="K4714" s="1" t="str">
        <f t="shared" si="2897"/>
        <v>103</v>
      </c>
      <c r="L4714" s="1" t="str">
        <f t="shared" si="2898"/>
        <v>47</v>
      </c>
      <c r="M4714" s="1" t="str">
        <f t="shared" si="2903"/>
        <v>0</v>
      </c>
      <c r="N4714" s="1" t="str">
        <f t="shared" si="2881"/>
        <v>0</v>
      </c>
      <c r="O4714" s="1" t="str">
        <f t="shared" si="2899"/>
        <v>0</v>
      </c>
    </row>
    <row r="4715" s="1" customFormat="1" spans="1:15">
      <c r="A4715" s="1" t="str">
        <f t="shared" si="2887"/>
        <v>202406</v>
      </c>
      <c r="B4715" s="1" t="str">
        <f t="shared" si="2888"/>
        <v>150525100</v>
      </c>
      <c r="C4715" s="1" t="str">
        <f>"1014613492"</f>
        <v>1014613492</v>
      </c>
      <c r="D4715" s="1" t="str">
        <f>"152326193703130425"</f>
        <v>152326193703130425</v>
      </c>
      <c r="E4715" s="1" t="s">
        <v>4708</v>
      </c>
      <c r="F4715" s="1" t="s">
        <v>16</v>
      </c>
      <c r="G4715" s="1" t="s">
        <v>17</v>
      </c>
      <c r="H4715" s="1" t="str">
        <f>"87"</f>
        <v>87</v>
      </c>
      <c r="I4715" s="1" t="str">
        <f t="shared" si="2906"/>
        <v>170</v>
      </c>
      <c r="J4715" s="1" t="str">
        <f t="shared" si="2896"/>
        <v>0</v>
      </c>
      <c r="K4715" s="1" t="str">
        <f t="shared" si="2897"/>
        <v>103</v>
      </c>
      <c r="L4715" s="1" t="str">
        <f t="shared" si="2898"/>
        <v>47</v>
      </c>
      <c r="M4715" s="1" t="str">
        <f t="shared" si="2903"/>
        <v>0</v>
      </c>
      <c r="N4715" s="1" t="str">
        <f t="shared" si="2881"/>
        <v>0</v>
      </c>
      <c r="O4715" s="1" t="str">
        <f t="shared" si="2899"/>
        <v>0</v>
      </c>
    </row>
    <row r="4716" s="1" customFormat="1" spans="1:15">
      <c r="A4716" s="1" t="str">
        <f t="shared" si="2887"/>
        <v>202406</v>
      </c>
      <c r="B4716" s="1" t="str">
        <f t="shared" si="2888"/>
        <v>150525100</v>
      </c>
      <c r="C4716" s="1" t="str">
        <f>"1014613508"</f>
        <v>1014613508</v>
      </c>
      <c r="D4716" s="1" t="str">
        <f>"152326193908280427"</f>
        <v>152326193908280427</v>
      </c>
      <c r="E4716" s="1" t="s">
        <v>4709</v>
      </c>
      <c r="F4716" s="1" t="s">
        <v>16</v>
      </c>
      <c r="G4716" s="1" t="s">
        <v>17</v>
      </c>
      <c r="H4716" s="1" t="str">
        <f>"85"</f>
        <v>85</v>
      </c>
      <c r="I4716" s="1" t="str">
        <f t="shared" si="2906"/>
        <v>170</v>
      </c>
      <c r="J4716" s="1" t="str">
        <f t="shared" si="2896"/>
        <v>0</v>
      </c>
      <c r="K4716" s="1" t="str">
        <f t="shared" si="2897"/>
        <v>103</v>
      </c>
      <c r="L4716" s="1" t="str">
        <f t="shared" si="2898"/>
        <v>47</v>
      </c>
      <c r="M4716" s="1" t="str">
        <f t="shared" si="2903"/>
        <v>0</v>
      </c>
      <c r="N4716" s="1" t="str">
        <f t="shared" si="2881"/>
        <v>0</v>
      </c>
      <c r="O4716" s="1" t="str">
        <f t="shared" si="2899"/>
        <v>0</v>
      </c>
    </row>
    <row r="4717" s="1" customFormat="1" spans="1:15">
      <c r="A4717" s="1" t="str">
        <f t="shared" si="2887"/>
        <v>202406</v>
      </c>
      <c r="B4717" s="1" t="str">
        <f t="shared" si="2888"/>
        <v>150525100</v>
      </c>
      <c r="C4717" s="1" t="str">
        <f>"1014622114"</f>
        <v>1014622114</v>
      </c>
      <c r="D4717" s="1" t="str">
        <f>"152326195104010666"</f>
        <v>152326195104010666</v>
      </c>
      <c r="E4717" s="1" t="s">
        <v>4710</v>
      </c>
      <c r="F4717" s="1" t="s">
        <v>16</v>
      </c>
      <c r="G4717" s="1" t="s">
        <v>17</v>
      </c>
      <c r="H4717" s="1" t="str">
        <f t="shared" ref="H4717:H4720" si="2907">"73"</f>
        <v>73</v>
      </c>
      <c r="I4717" s="1" t="str">
        <f t="shared" ref="I4717:I4723" si="2908">"160"</f>
        <v>160</v>
      </c>
      <c r="J4717" s="1" t="str">
        <f t="shared" si="2896"/>
        <v>0</v>
      </c>
      <c r="K4717" s="1" t="str">
        <f t="shared" si="2897"/>
        <v>103</v>
      </c>
      <c r="L4717" s="1" t="str">
        <f t="shared" si="2898"/>
        <v>47</v>
      </c>
      <c r="M4717" s="1" t="str">
        <f t="shared" si="2903"/>
        <v>0</v>
      </c>
      <c r="N4717" s="1" t="str">
        <f t="shared" si="2881"/>
        <v>0</v>
      </c>
      <c r="O4717" s="1" t="str">
        <f t="shared" si="2899"/>
        <v>0</v>
      </c>
    </row>
    <row r="4718" s="1" customFormat="1" spans="1:15">
      <c r="A4718" s="1" t="str">
        <f t="shared" si="2887"/>
        <v>202406</v>
      </c>
      <c r="B4718" s="1" t="str">
        <f t="shared" si="2888"/>
        <v>150525100</v>
      </c>
      <c r="C4718" s="1" t="str">
        <f>"1014622118"</f>
        <v>1014622118</v>
      </c>
      <c r="D4718" s="1" t="s">
        <v>4711</v>
      </c>
      <c r="E4718" s="1" t="s">
        <v>4712</v>
      </c>
      <c r="F4718" s="1" t="s">
        <v>16</v>
      </c>
      <c r="G4718" s="1" t="s">
        <v>17</v>
      </c>
      <c r="H4718" s="1" t="str">
        <f t="shared" si="2907"/>
        <v>73</v>
      </c>
      <c r="I4718" s="1" t="str">
        <f t="shared" si="2908"/>
        <v>160</v>
      </c>
      <c r="J4718" s="1" t="str">
        <f t="shared" si="2896"/>
        <v>0</v>
      </c>
      <c r="K4718" s="1" t="str">
        <f t="shared" si="2897"/>
        <v>103</v>
      </c>
      <c r="L4718" s="1" t="str">
        <f t="shared" si="2898"/>
        <v>47</v>
      </c>
      <c r="M4718" s="1" t="str">
        <f t="shared" si="2903"/>
        <v>0</v>
      </c>
      <c r="N4718" s="1" t="str">
        <f t="shared" si="2881"/>
        <v>0</v>
      </c>
      <c r="O4718" s="1" t="str">
        <f t="shared" si="2899"/>
        <v>0</v>
      </c>
    </row>
    <row r="4719" s="1" customFormat="1" spans="1:15">
      <c r="A4719" s="1" t="str">
        <f t="shared" si="2887"/>
        <v>202406</v>
      </c>
      <c r="B4719" s="1" t="str">
        <f t="shared" si="2888"/>
        <v>150525100</v>
      </c>
      <c r="C4719" s="1" t="str">
        <f>"1014623829"</f>
        <v>1014623829</v>
      </c>
      <c r="D4719" s="1" t="str">
        <f>"152326194411250921"</f>
        <v>152326194411250921</v>
      </c>
      <c r="E4719" s="1" t="s">
        <v>4713</v>
      </c>
      <c r="F4719" s="1" t="s">
        <v>16</v>
      </c>
      <c r="G4719" s="1" t="s">
        <v>19</v>
      </c>
      <c r="H4719" s="1" t="str">
        <f>"80"</f>
        <v>80</v>
      </c>
      <c r="I4719" s="1" t="str">
        <f t="shared" si="2908"/>
        <v>160</v>
      </c>
      <c r="J4719" s="1" t="str">
        <f t="shared" si="2896"/>
        <v>0</v>
      </c>
      <c r="K4719" s="1" t="str">
        <f t="shared" si="2897"/>
        <v>103</v>
      </c>
      <c r="L4719" s="1" t="str">
        <f t="shared" si="2898"/>
        <v>47</v>
      </c>
      <c r="M4719" s="1" t="str">
        <f t="shared" si="2903"/>
        <v>0</v>
      </c>
      <c r="N4719" s="1" t="str">
        <f t="shared" si="2881"/>
        <v>0</v>
      </c>
      <c r="O4719" s="1" t="str">
        <f t="shared" si="2899"/>
        <v>0</v>
      </c>
    </row>
    <row r="4720" s="1" customFormat="1" spans="1:15">
      <c r="A4720" s="1" t="str">
        <f t="shared" si="2887"/>
        <v>202406</v>
      </c>
      <c r="B4720" s="1" t="str">
        <f t="shared" si="2888"/>
        <v>150525100</v>
      </c>
      <c r="C4720" s="1" t="str">
        <f>"1014624299"</f>
        <v>1014624299</v>
      </c>
      <c r="D4720" s="1" t="str">
        <f>"152326195109233076"</f>
        <v>152326195109233076</v>
      </c>
      <c r="E4720" s="1" t="s">
        <v>4714</v>
      </c>
      <c r="F4720" s="1" t="s">
        <v>25</v>
      </c>
      <c r="G4720" s="1" t="s">
        <v>19</v>
      </c>
      <c r="H4720" s="1" t="str">
        <f t="shared" si="2907"/>
        <v>73</v>
      </c>
      <c r="I4720" s="1" t="str">
        <f t="shared" si="2908"/>
        <v>160</v>
      </c>
      <c r="J4720" s="1" t="str">
        <f t="shared" si="2896"/>
        <v>0</v>
      </c>
      <c r="K4720" s="1" t="str">
        <f t="shared" si="2897"/>
        <v>103</v>
      </c>
      <c r="L4720" s="1" t="str">
        <f t="shared" si="2898"/>
        <v>47</v>
      </c>
      <c r="M4720" s="1" t="str">
        <f t="shared" si="2903"/>
        <v>0</v>
      </c>
      <c r="N4720" s="1" t="str">
        <f t="shared" si="2881"/>
        <v>0</v>
      </c>
      <c r="O4720" s="1" t="str">
        <f t="shared" si="2899"/>
        <v>0</v>
      </c>
    </row>
    <row r="4721" s="1" customFormat="1" spans="1:15">
      <c r="A4721" s="1" t="str">
        <f t="shared" si="2887"/>
        <v>202406</v>
      </c>
      <c r="B4721" s="1" t="str">
        <f t="shared" si="2888"/>
        <v>150525100</v>
      </c>
      <c r="C4721" s="1" t="str">
        <f>"1014619281"</f>
        <v>1014619281</v>
      </c>
      <c r="D4721" s="1" t="str">
        <f>"152326194709300426"</f>
        <v>152326194709300426</v>
      </c>
      <c r="E4721" s="1" t="s">
        <v>4715</v>
      </c>
      <c r="F4721" s="1" t="s">
        <v>16</v>
      </c>
      <c r="G4721" s="1" t="s">
        <v>17</v>
      </c>
      <c r="H4721" s="1" t="str">
        <f>"77"</f>
        <v>77</v>
      </c>
      <c r="I4721" s="1" t="str">
        <f t="shared" si="2908"/>
        <v>160</v>
      </c>
      <c r="J4721" s="1" t="str">
        <f t="shared" si="2896"/>
        <v>0</v>
      </c>
      <c r="K4721" s="1" t="str">
        <f t="shared" si="2897"/>
        <v>103</v>
      </c>
      <c r="L4721" s="1" t="str">
        <f t="shared" si="2898"/>
        <v>47</v>
      </c>
      <c r="M4721" s="1" t="str">
        <f t="shared" si="2903"/>
        <v>0</v>
      </c>
      <c r="N4721" s="1" t="str">
        <f t="shared" si="2881"/>
        <v>0</v>
      </c>
      <c r="O4721" s="1" t="str">
        <f t="shared" si="2899"/>
        <v>0</v>
      </c>
    </row>
    <row r="4722" s="1" customFormat="1" spans="1:15">
      <c r="A4722" s="1" t="str">
        <f t="shared" si="2887"/>
        <v>202406</v>
      </c>
      <c r="B4722" s="1" t="str">
        <f t="shared" si="2888"/>
        <v>150525100</v>
      </c>
      <c r="C4722" s="1" t="str">
        <f>"1014619284"</f>
        <v>1014619284</v>
      </c>
      <c r="D4722" s="1" t="str">
        <f>"152326194909150426"</f>
        <v>152326194909150426</v>
      </c>
      <c r="E4722" s="1" t="s">
        <v>4716</v>
      </c>
      <c r="F4722" s="1" t="s">
        <v>16</v>
      </c>
      <c r="G4722" s="1" t="s">
        <v>17</v>
      </c>
      <c r="H4722" s="1" t="str">
        <f>"75"</f>
        <v>75</v>
      </c>
      <c r="I4722" s="1" t="str">
        <f t="shared" si="2908"/>
        <v>160</v>
      </c>
      <c r="J4722" s="1" t="str">
        <f t="shared" si="2896"/>
        <v>0</v>
      </c>
      <c r="K4722" s="1" t="str">
        <f t="shared" si="2897"/>
        <v>103</v>
      </c>
      <c r="L4722" s="1" t="str">
        <f t="shared" si="2898"/>
        <v>47</v>
      </c>
      <c r="M4722" s="1" t="str">
        <f t="shared" si="2903"/>
        <v>0</v>
      </c>
      <c r="N4722" s="1" t="str">
        <f t="shared" si="2881"/>
        <v>0</v>
      </c>
      <c r="O4722" s="1" t="str">
        <f t="shared" si="2899"/>
        <v>0</v>
      </c>
    </row>
    <row r="4723" s="1" customFormat="1" spans="1:15">
      <c r="A4723" s="1" t="str">
        <f t="shared" si="2887"/>
        <v>202406</v>
      </c>
      <c r="B4723" s="1" t="str">
        <f t="shared" si="2888"/>
        <v>150525100</v>
      </c>
      <c r="C4723" s="1" t="str">
        <f>"1014619823"</f>
        <v>1014619823</v>
      </c>
      <c r="D4723" s="1" t="str">
        <f>"152326195111106113"</f>
        <v>152326195111106113</v>
      </c>
      <c r="E4723" s="1" t="s">
        <v>4717</v>
      </c>
      <c r="F4723" s="1" t="s">
        <v>25</v>
      </c>
      <c r="G4723" s="1" t="s">
        <v>19</v>
      </c>
      <c r="H4723" s="1" t="str">
        <f>"73"</f>
        <v>73</v>
      </c>
      <c r="I4723" s="1" t="str">
        <f t="shared" si="2908"/>
        <v>160</v>
      </c>
      <c r="J4723" s="1" t="str">
        <f t="shared" si="2896"/>
        <v>0</v>
      </c>
      <c r="K4723" s="1" t="str">
        <f t="shared" si="2897"/>
        <v>103</v>
      </c>
      <c r="L4723" s="1" t="str">
        <f t="shared" si="2898"/>
        <v>47</v>
      </c>
      <c r="M4723" s="1" t="str">
        <f t="shared" si="2903"/>
        <v>0</v>
      </c>
      <c r="N4723" s="1" t="str">
        <f t="shared" si="2881"/>
        <v>0</v>
      </c>
      <c r="O4723" s="1" t="str">
        <f t="shared" si="2899"/>
        <v>0</v>
      </c>
    </row>
    <row r="4724" s="1" customFormat="1" spans="1:15">
      <c r="A4724" s="1" t="str">
        <f t="shared" si="2887"/>
        <v>202406</v>
      </c>
      <c r="B4724" s="1" t="str">
        <f t="shared" si="2888"/>
        <v>150525100</v>
      </c>
      <c r="C4724" s="1" t="str">
        <f>"1014619838"</f>
        <v>1014619838</v>
      </c>
      <c r="D4724" s="1" t="str">
        <f>"152326194310200685"</f>
        <v>152326194310200685</v>
      </c>
      <c r="E4724" s="1" t="s">
        <v>4718</v>
      </c>
      <c r="F4724" s="1" t="s">
        <v>16</v>
      </c>
      <c r="G4724" s="1" t="s">
        <v>17</v>
      </c>
      <c r="H4724" s="1" t="str">
        <f>"81"</f>
        <v>81</v>
      </c>
      <c r="I4724" s="1" t="str">
        <f>"170"</f>
        <v>170</v>
      </c>
      <c r="J4724" s="1" t="str">
        <f t="shared" si="2896"/>
        <v>0</v>
      </c>
      <c r="K4724" s="1" t="str">
        <f t="shared" si="2897"/>
        <v>103</v>
      </c>
      <c r="L4724" s="1" t="str">
        <f t="shared" si="2898"/>
        <v>47</v>
      </c>
      <c r="M4724" s="1" t="str">
        <f t="shared" si="2903"/>
        <v>0</v>
      </c>
      <c r="N4724" s="1" t="str">
        <f t="shared" si="2881"/>
        <v>0</v>
      </c>
      <c r="O4724" s="1" t="str">
        <f t="shared" si="2899"/>
        <v>0</v>
      </c>
    </row>
    <row r="4725" s="1" customFormat="1" spans="1:15">
      <c r="A4725" s="1" t="str">
        <f t="shared" si="2887"/>
        <v>202406</v>
      </c>
      <c r="B4725" s="1" t="str">
        <f t="shared" si="2888"/>
        <v>150525100</v>
      </c>
      <c r="C4725" s="1" t="str">
        <f>"1014619839"</f>
        <v>1014619839</v>
      </c>
      <c r="D4725" s="1" t="str">
        <f>"152326195109140662"</f>
        <v>152326195109140662</v>
      </c>
      <c r="E4725" s="1" t="s">
        <v>1843</v>
      </c>
      <c r="F4725" s="1" t="s">
        <v>16</v>
      </c>
      <c r="G4725" s="1" t="s">
        <v>17</v>
      </c>
      <c r="H4725" s="1" t="str">
        <f>"73"</f>
        <v>73</v>
      </c>
      <c r="I4725" s="1" t="str">
        <f>"1596"</f>
        <v>1596</v>
      </c>
      <c r="J4725" s="1" t="str">
        <f t="shared" si="2896"/>
        <v>0</v>
      </c>
      <c r="K4725" s="1" t="str">
        <f>"0"</f>
        <v>0</v>
      </c>
      <c r="L4725" s="1" t="str">
        <f>"0"</f>
        <v>0</v>
      </c>
      <c r="M4725" s="1" t="str">
        <f t="shared" si="2903"/>
        <v>0</v>
      </c>
      <c r="N4725" s="1" t="str">
        <f t="shared" si="2881"/>
        <v>0</v>
      </c>
      <c r="O4725" s="1" t="str">
        <f t="shared" si="2899"/>
        <v>0</v>
      </c>
    </row>
    <row r="4726" s="1" customFormat="1" spans="1:15">
      <c r="A4726" s="1" t="str">
        <f t="shared" si="2887"/>
        <v>202406</v>
      </c>
      <c r="B4726" s="1" t="str">
        <f t="shared" si="2888"/>
        <v>150525100</v>
      </c>
      <c r="C4726" s="1" t="str">
        <f>"1014619846"</f>
        <v>1014619846</v>
      </c>
      <c r="D4726" s="1" t="str">
        <f>"152326194910180665"</f>
        <v>152326194910180665</v>
      </c>
      <c r="E4726" s="1" t="s">
        <v>4719</v>
      </c>
      <c r="F4726" s="1" t="s">
        <v>16</v>
      </c>
      <c r="G4726" s="1" t="s">
        <v>17</v>
      </c>
      <c r="H4726" s="1" t="str">
        <f>"75"</f>
        <v>75</v>
      </c>
      <c r="I4726" s="1" t="str">
        <f t="shared" ref="I4726:I4729" si="2909">"160"</f>
        <v>160</v>
      </c>
      <c r="J4726" s="1" t="str">
        <f t="shared" si="2896"/>
        <v>0</v>
      </c>
      <c r="K4726" s="1" t="str">
        <f t="shared" ref="K4726:K4751" si="2910">"103"</f>
        <v>103</v>
      </c>
      <c r="L4726" s="1" t="str">
        <f t="shared" ref="L4726:L4751" si="2911">"47"</f>
        <v>47</v>
      </c>
      <c r="M4726" s="1" t="str">
        <f t="shared" si="2903"/>
        <v>0</v>
      </c>
      <c r="N4726" s="1" t="str">
        <f t="shared" si="2881"/>
        <v>0</v>
      </c>
      <c r="O4726" s="1" t="str">
        <f t="shared" si="2899"/>
        <v>0</v>
      </c>
    </row>
    <row r="4727" s="1" customFormat="1" spans="1:15">
      <c r="A4727" s="1" t="str">
        <f t="shared" si="2887"/>
        <v>202406</v>
      </c>
      <c r="B4727" s="1" t="str">
        <f t="shared" si="2888"/>
        <v>150525100</v>
      </c>
      <c r="C4727" s="1" t="str">
        <f>"1014619850"</f>
        <v>1014619850</v>
      </c>
      <c r="D4727" s="1" t="str">
        <f>"152326193502050664"</f>
        <v>152326193502050664</v>
      </c>
      <c r="E4727" s="1" t="s">
        <v>4720</v>
      </c>
      <c r="F4727" s="1" t="s">
        <v>16</v>
      </c>
      <c r="G4727" s="1" t="s">
        <v>17</v>
      </c>
      <c r="H4727" s="1" t="str">
        <f>"89"</f>
        <v>89</v>
      </c>
      <c r="I4727" s="1" t="str">
        <f>"170"</f>
        <v>170</v>
      </c>
      <c r="J4727" s="1" t="str">
        <f t="shared" si="2896"/>
        <v>0</v>
      </c>
      <c r="K4727" s="1" t="str">
        <f t="shared" si="2910"/>
        <v>103</v>
      </c>
      <c r="L4727" s="1" t="str">
        <f t="shared" si="2911"/>
        <v>47</v>
      </c>
      <c r="M4727" s="1" t="str">
        <f t="shared" si="2903"/>
        <v>0</v>
      </c>
      <c r="N4727" s="1" t="str">
        <f t="shared" si="2881"/>
        <v>0</v>
      </c>
      <c r="O4727" s="1" t="str">
        <f t="shared" si="2899"/>
        <v>0</v>
      </c>
    </row>
    <row r="4728" s="1" customFormat="1" spans="1:15">
      <c r="A4728" s="1" t="str">
        <f t="shared" si="2887"/>
        <v>202406</v>
      </c>
      <c r="B4728" s="1" t="str">
        <f t="shared" si="2888"/>
        <v>150525100</v>
      </c>
      <c r="C4728" s="1" t="str">
        <f>"1014623738"</f>
        <v>1014623738</v>
      </c>
      <c r="D4728" s="1" t="str">
        <f>"152326194909143074"</f>
        <v>152326194909143074</v>
      </c>
      <c r="E4728" s="1" t="s">
        <v>4721</v>
      </c>
      <c r="F4728" s="1" t="s">
        <v>25</v>
      </c>
      <c r="G4728" s="1" t="s">
        <v>19</v>
      </c>
      <c r="H4728" s="1" t="str">
        <f>"75"</f>
        <v>75</v>
      </c>
      <c r="I4728" s="1" t="str">
        <f t="shared" si="2909"/>
        <v>160</v>
      </c>
      <c r="J4728" s="1" t="str">
        <f t="shared" si="2896"/>
        <v>0</v>
      </c>
      <c r="K4728" s="1" t="str">
        <f t="shared" si="2910"/>
        <v>103</v>
      </c>
      <c r="L4728" s="1" t="str">
        <f t="shared" si="2911"/>
        <v>47</v>
      </c>
      <c r="M4728" s="1" t="str">
        <f t="shared" si="2903"/>
        <v>0</v>
      </c>
      <c r="N4728" s="1" t="str">
        <f t="shared" si="2881"/>
        <v>0</v>
      </c>
      <c r="O4728" s="1" t="str">
        <f t="shared" si="2899"/>
        <v>0</v>
      </c>
    </row>
    <row r="4729" s="1" customFormat="1" spans="1:15">
      <c r="A4729" s="1" t="str">
        <f t="shared" si="2887"/>
        <v>202406</v>
      </c>
      <c r="B4729" s="1" t="str">
        <f t="shared" si="2888"/>
        <v>150525100</v>
      </c>
      <c r="C4729" s="1" t="str">
        <f>"1014623745"</f>
        <v>1014623745</v>
      </c>
      <c r="D4729" s="1" t="str">
        <f>"152326194703183812"</f>
        <v>152326194703183812</v>
      </c>
      <c r="E4729" s="1" t="s">
        <v>4722</v>
      </c>
      <c r="F4729" s="1" t="s">
        <v>25</v>
      </c>
      <c r="G4729" s="1" t="s">
        <v>19</v>
      </c>
      <c r="H4729" s="1" t="str">
        <f>"77"</f>
        <v>77</v>
      </c>
      <c r="I4729" s="1" t="str">
        <f t="shared" si="2909"/>
        <v>160</v>
      </c>
      <c r="J4729" s="1" t="str">
        <f t="shared" si="2896"/>
        <v>0</v>
      </c>
      <c r="K4729" s="1" t="str">
        <f t="shared" si="2910"/>
        <v>103</v>
      </c>
      <c r="L4729" s="1" t="str">
        <f t="shared" si="2911"/>
        <v>47</v>
      </c>
      <c r="M4729" s="1" t="str">
        <f t="shared" si="2903"/>
        <v>0</v>
      </c>
      <c r="N4729" s="1" t="str">
        <f t="shared" si="2881"/>
        <v>0</v>
      </c>
      <c r="O4729" s="1" t="str">
        <f t="shared" si="2899"/>
        <v>0</v>
      </c>
    </row>
    <row r="4730" s="1" customFormat="1" spans="1:15">
      <c r="A4730" s="1" t="str">
        <f t="shared" si="2887"/>
        <v>202406</v>
      </c>
      <c r="B4730" s="1" t="str">
        <f t="shared" si="2888"/>
        <v>150525100</v>
      </c>
      <c r="C4730" s="1" t="str">
        <f>"1042694795"</f>
        <v>1042694795</v>
      </c>
      <c r="D4730" s="1" t="str">
        <f>"152326196212240666"</f>
        <v>152326196212240666</v>
      </c>
      <c r="E4730" s="1" t="s">
        <v>4723</v>
      </c>
      <c r="F4730" s="1" t="s">
        <v>16</v>
      </c>
      <c r="G4730" s="1" t="s">
        <v>17</v>
      </c>
      <c r="H4730" s="1" t="str">
        <f>"62"</f>
        <v>62</v>
      </c>
      <c r="I4730" s="1" t="str">
        <f>"166.64"</f>
        <v>166.64</v>
      </c>
      <c r="J4730" s="1" t="str">
        <f t="shared" si="2896"/>
        <v>0</v>
      </c>
      <c r="K4730" s="1" t="str">
        <f t="shared" si="2910"/>
        <v>103</v>
      </c>
      <c r="L4730" s="1" t="str">
        <f t="shared" si="2911"/>
        <v>47</v>
      </c>
      <c r="M4730" s="1" t="str">
        <f t="shared" si="2903"/>
        <v>0</v>
      </c>
      <c r="N4730" s="1" t="str">
        <f t="shared" ref="N4730:N4793" si="2912">"0"</f>
        <v>0</v>
      </c>
      <c r="O4730" s="1" t="str">
        <f>"16.64"</f>
        <v>16.64</v>
      </c>
    </row>
    <row r="4731" s="1" customFormat="1" spans="1:15">
      <c r="A4731" s="1" t="str">
        <f t="shared" si="2887"/>
        <v>202406</v>
      </c>
      <c r="B4731" s="1" t="str">
        <f t="shared" si="2888"/>
        <v>150525100</v>
      </c>
      <c r="C4731" s="1" t="str">
        <f>"1014613549"</f>
        <v>1014613549</v>
      </c>
      <c r="D4731" s="1" t="str">
        <f>"152326194709140928"</f>
        <v>152326194709140928</v>
      </c>
      <c r="E4731" s="1" t="s">
        <v>4724</v>
      </c>
      <c r="F4731" s="1" t="s">
        <v>16</v>
      </c>
      <c r="G4731" s="1" t="s">
        <v>19</v>
      </c>
      <c r="H4731" s="1" t="str">
        <f>"77"</f>
        <v>77</v>
      </c>
      <c r="I4731" s="1" t="str">
        <f t="shared" ref="I4731:I4735" si="2913">"160"</f>
        <v>160</v>
      </c>
      <c r="J4731" s="1" t="str">
        <f t="shared" si="2896"/>
        <v>0</v>
      </c>
      <c r="K4731" s="1" t="str">
        <f t="shared" si="2910"/>
        <v>103</v>
      </c>
      <c r="L4731" s="1" t="str">
        <f t="shared" si="2911"/>
        <v>47</v>
      </c>
      <c r="M4731" s="1" t="str">
        <f t="shared" si="2903"/>
        <v>0</v>
      </c>
      <c r="N4731" s="1" t="str">
        <f t="shared" si="2912"/>
        <v>0</v>
      </c>
      <c r="O4731" s="1" t="str">
        <f t="shared" ref="O4731:O4747" si="2914">"0"</f>
        <v>0</v>
      </c>
    </row>
    <row r="4732" s="1" customFormat="1" spans="1:15">
      <c r="A4732" s="1" t="str">
        <f t="shared" si="2887"/>
        <v>202406</v>
      </c>
      <c r="B4732" s="1" t="str">
        <f t="shared" si="2888"/>
        <v>150525100</v>
      </c>
      <c r="C4732" s="1" t="str">
        <f>"1014622484"</f>
        <v>1014622484</v>
      </c>
      <c r="D4732" s="1" t="str">
        <f>"152326195006266123"</f>
        <v>152326195006266123</v>
      </c>
      <c r="E4732" s="1" t="s">
        <v>123</v>
      </c>
      <c r="F4732" s="1" t="s">
        <v>16</v>
      </c>
      <c r="G4732" s="1" t="s">
        <v>17</v>
      </c>
      <c r="H4732" s="1" t="str">
        <f>"74"</f>
        <v>74</v>
      </c>
      <c r="I4732" s="1" t="str">
        <f t="shared" si="2913"/>
        <v>160</v>
      </c>
      <c r="J4732" s="1" t="str">
        <f t="shared" si="2896"/>
        <v>0</v>
      </c>
      <c r="K4732" s="1" t="str">
        <f t="shared" si="2910"/>
        <v>103</v>
      </c>
      <c r="L4732" s="1" t="str">
        <f t="shared" si="2911"/>
        <v>47</v>
      </c>
      <c r="M4732" s="1" t="str">
        <f t="shared" si="2903"/>
        <v>0</v>
      </c>
      <c r="N4732" s="1" t="str">
        <f t="shared" si="2912"/>
        <v>0</v>
      </c>
      <c r="O4732" s="1" t="str">
        <f t="shared" si="2914"/>
        <v>0</v>
      </c>
    </row>
    <row r="4733" s="1" customFormat="1" spans="1:15">
      <c r="A4733" s="1" t="str">
        <f t="shared" si="2887"/>
        <v>202406</v>
      </c>
      <c r="B4733" s="1" t="str">
        <f t="shared" si="2888"/>
        <v>150525100</v>
      </c>
      <c r="C4733" s="1" t="str">
        <f>"1014622501"</f>
        <v>1014622501</v>
      </c>
      <c r="D4733" s="1" t="str">
        <f>"152326194912120666"</f>
        <v>152326194912120666</v>
      </c>
      <c r="E4733" s="1" t="s">
        <v>4725</v>
      </c>
      <c r="F4733" s="1" t="s">
        <v>16</v>
      </c>
      <c r="G4733" s="1" t="s">
        <v>17</v>
      </c>
      <c r="H4733" s="1" t="str">
        <f>"75"</f>
        <v>75</v>
      </c>
      <c r="I4733" s="1" t="str">
        <f t="shared" si="2913"/>
        <v>160</v>
      </c>
      <c r="J4733" s="1" t="str">
        <f t="shared" si="2896"/>
        <v>0</v>
      </c>
      <c r="K4733" s="1" t="str">
        <f t="shared" si="2910"/>
        <v>103</v>
      </c>
      <c r="L4733" s="1" t="str">
        <f t="shared" si="2911"/>
        <v>47</v>
      </c>
      <c r="M4733" s="1" t="str">
        <f t="shared" si="2903"/>
        <v>0</v>
      </c>
      <c r="N4733" s="1" t="str">
        <f t="shared" si="2912"/>
        <v>0</v>
      </c>
      <c r="O4733" s="1" t="str">
        <f t="shared" si="2914"/>
        <v>0</v>
      </c>
    </row>
    <row r="4734" s="1" customFormat="1" spans="1:15">
      <c r="A4734" s="1" t="str">
        <f t="shared" si="2887"/>
        <v>202406</v>
      </c>
      <c r="B4734" s="1" t="str">
        <f t="shared" si="2888"/>
        <v>150525100</v>
      </c>
      <c r="C4734" s="1" t="str">
        <f>"1014622505"</f>
        <v>1014622505</v>
      </c>
      <c r="D4734" s="1" t="str">
        <f>"152326194602250027"</f>
        <v>152326194602250027</v>
      </c>
      <c r="E4734" s="1" t="s">
        <v>498</v>
      </c>
      <c r="F4734" s="1" t="s">
        <v>16</v>
      </c>
      <c r="G4734" s="1" t="s">
        <v>17</v>
      </c>
      <c r="H4734" s="1" t="str">
        <f t="shared" ref="H4734:H4738" si="2915">"78"</f>
        <v>78</v>
      </c>
      <c r="I4734" s="1" t="str">
        <f t="shared" si="2913"/>
        <v>160</v>
      </c>
      <c r="J4734" s="1" t="str">
        <f t="shared" si="2896"/>
        <v>0</v>
      </c>
      <c r="K4734" s="1" t="str">
        <f t="shared" si="2910"/>
        <v>103</v>
      </c>
      <c r="L4734" s="1" t="str">
        <f t="shared" si="2911"/>
        <v>47</v>
      </c>
      <c r="M4734" s="1" t="str">
        <f t="shared" si="2903"/>
        <v>0</v>
      </c>
      <c r="N4734" s="1" t="str">
        <f t="shared" si="2912"/>
        <v>0</v>
      </c>
      <c r="O4734" s="1" t="str">
        <f t="shared" si="2914"/>
        <v>0</v>
      </c>
    </row>
    <row r="4735" s="1" customFormat="1" spans="1:15">
      <c r="A4735" s="1" t="str">
        <f t="shared" si="2887"/>
        <v>202406</v>
      </c>
      <c r="B4735" s="1" t="str">
        <f t="shared" si="2888"/>
        <v>150525100</v>
      </c>
      <c r="C4735" s="1" t="str">
        <f>"1014623861"</f>
        <v>1014623861</v>
      </c>
      <c r="D4735" s="1" t="str">
        <f>"152326194602050674"</f>
        <v>152326194602050674</v>
      </c>
      <c r="E4735" s="1" t="s">
        <v>4726</v>
      </c>
      <c r="F4735" s="1" t="s">
        <v>25</v>
      </c>
      <c r="G4735" s="1" t="s">
        <v>17</v>
      </c>
      <c r="H4735" s="1" t="str">
        <f t="shared" si="2915"/>
        <v>78</v>
      </c>
      <c r="I4735" s="1" t="str">
        <f t="shared" si="2913"/>
        <v>160</v>
      </c>
      <c r="J4735" s="1" t="str">
        <f t="shared" si="2896"/>
        <v>0</v>
      </c>
      <c r="K4735" s="1" t="str">
        <f t="shared" si="2910"/>
        <v>103</v>
      </c>
      <c r="L4735" s="1" t="str">
        <f t="shared" si="2911"/>
        <v>47</v>
      </c>
      <c r="M4735" s="1" t="str">
        <f t="shared" si="2903"/>
        <v>0</v>
      </c>
      <c r="N4735" s="1" t="str">
        <f t="shared" si="2912"/>
        <v>0</v>
      </c>
      <c r="O4735" s="1" t="str">
        <f t="shared" si="2914"/>
        <v>0</v>
      </c>
    </row>
    <row r="4736" s="1" customFormat="1" spans="1:15">
      <c r="A4736" s="1" t="str">
        <f t="shared" si="2887"/>
        <v>202406</v>
      </c>
      <c r="B4736" s="1" t="str">
        <f t="shared" si="2888"/>
        <v>150525100</v>
      </c>
      <c r="C4736" s="1" t="str">
        <f>"1014623881"</f>
        <v>1014623881</v>
      </c>
      <c r="D4736" s="1" t="str">
        <f>"152326194106011713"</f>
        <v>152326194106011713</v>
      </c>
      <c r="E4736" s="1" t="s">
        <v>4727</v>
      </c>
      <c r="F4736" s="1" t="s">
        <v>25</v>
      </c>
      <c r="G4736" s="1" t="s">
        <v>17</v>
      </c>
      <c r="H4736" s="1" t="str">
        <f>"83"</f>
        <v>83</v>
      </c>
      <c r="I4736" s="1" t="str">
        <f>"170"</f>
        <v>170</v>
      </c>
      <c r="J4736" s="1" t="str">
        <f t="shared" si="2896"/>
        <v>0</v>
      </c>
      <c r="K4736" s="1" t="str">
        <f t="shared" si="2910"/>
        <v>103</v>
      </c>
      <c r="L4736" s="1" t="str">
        <f t="shared" si="2911"/>
        <v>47</v>
      </c>
      <c r="M4736" s="1" t="str">
        <f t="shared" si="2903"/>
        <v>0</v>
      </c>
      <c r="N4736" s="1" t="str">
        <f t="shared" si="2912"/>
        <v>0</v>
      </c>
      <c r="O4736" s="1" t="str">
        <f t="shared" si="2914"/>
        <v>0</v>
      </c>
    </row>
    <row r="4737" s="1" customFormat="1" spans="1:15">
      <c r="A4737" s="1" t="str">
        <f t="shared" si="2887"/>
        <v>202406</v>
      </c>
      <c r="B4737" s="1" t="str">
        <f t="shared" si="2888"/>
        <v>150525100</v>
      </c>
      <c r="C4737" s="1" t="str">
        <f>"1014624356"</f>
        <v>1014624356</v>
      </c>
      <c r="D4737" s="1" t="str">
        <f>"152326194811080693"</f>
        <v>152326194811080693</v>
      </c>
      <c r="E4737" s="1" t="s">
        <v>4728</v>
      </c>
      <c r="F4737" s="1" t="s">
        <v>25</v>
      </c>
      <c r="G4737" s="1" t="s">
        <v>17</v>
      </c>
      <c r="H4737" s="1" t="str">
        <f>"76"</f>
        <v>76</v>
      </c>
      <c r="I4737" s="1" t="str">
        <f t="shared" ref="I4737:I4739" si="2916">"160"</f>
        <v>160</v>
      </c>
      <c r="J4737" s="1" t="str">
        <f t="shared" si="2896"/>
        <v>0</v>
      </c>
      <c r="K4737" s="1" t="str">
        <f t="shared" si="2910"/>
        <v>103</v>
      </c>
      <c r="L4737" s="1" t="str">
        <f t="shared" si="2911"/>
        <v>47</v>
      </c>
      <c r="M4737" s="1" t="str">
        <f t="shared" si="2903"/>
        <v>0</v>
      </c>
      <c r="N4737" s="1" t="str">
        <f t="shared" si="2912"/>
        <v>0</v>
      </c>
      <c r="O4737" s="1" t="str">
        <f t="shared" si="2914"/>
        <v>0</v>
      </c>
    </row>
    <row r="4738" s="1" customFormat="1" spans="1:15">
      <c r="A4738" s="1" t="str">
        <f t="shared" ref="A4738:A4801" si="2917">"202406"</f>
        <v>202406</v>
      </c>
      <c r="B4738" s="1" t="str">
        <f t="shared" ref="B4738:B4801" si="2918">"150525100"</f>
        <v>150525100</v>
      </c>
      <c r="C4738" s="1" t="str">
        <f>"1014624363"</f>
        <v>1014624363</v>
      </c>
      <c r="D4738" s="1" t="str">
        <f>"152326194602030921"</f>
        <v>152326194602030921</v>
      </c>
      <c r="E4738" s="1" t="s">
        <v>4729</v>
      </c>
      <c r="F4738" s="1" t="s">
        <v>16</v>
      </c>
      <c r="G4738" s="1" t="s">
        <v>19</v>
      </c>
      <c r="H4738" s="1" t="str">
        <f t="shared" si="2915"/>
        <v>78</v>
      </c>
      <c r="I4738" s="1" t="str">
        <f t="shared" si="2916"/>
        <v>160</v>
      </c>
      <c r="J4738" s="1" t="str">
        <f t="shared" si="2896"/>
        <v>0</v>
      </c>
      <c r="K4738" s="1" t="str">
        <f t="shared" si="2910"/>
        <v>103</v>
      </c>
      <c r="L4738" s="1" t="str">
        <f t="shared" si="2911"/>
        <v>47</v>
      </c>
      <c r="M4738" s="1" t="str">
        <f t="shared" si="2903"/>
        <v>0</v>
      </c>
      <c r="N4738" s="1" t="str">
        <f t="shared" si="2912"/>
        <v>0</v>
      </c>
      <c r="O4738" s="1" t="str">
        <f t="shared" si="2914"/>
        <v>0</v>
      </c>
    </row>
    <row r="4739" s="1" customFormat="1" spans="1:15">
      <c r="A4739" s="1" t="str">
        <f t="shared" si="2917"/>
        <v>202406</v>
      </c>
      <c r="B4739" s="1" t="str">
        <f t="shared" si="2918"/>
        <v>150525100</v>
      </c>
      <c r="C4739" s="1" t="str">
        <f>"1014629951"</f>
        <v>1014629951</v>
      </c>
      <c r="D4739" s="1" t="str">
        <f>"152326194806230028"</f>
        <v>152326194806230028</v>
      </c>
      <c r="E4739" s="1" t="s">
        <v>4730</v>
      </c>
      <c r="F4739" s="1" t="s">
        <v>16</v>
      </c>
      <c r="G4739" s="1" t="s">
        <v>17</v>
      </c>
      <c r="H4739" s="1" t="str">
        <f>"76"</f>
        <v>76</v>
      </c>
      <c r="I4739" s="1" t="str">
        <f t="shared" si="2916"/>
        <v>160</v>
      </c>
      <c r="J4739" s="1" t="str">
        <f t="shared" si="2896"/>
        <v>0</v>
      </c>
      <c r="K4739" s="1" t="str">
        <f t="shared" si="2910"/>
        <v>103</v>
      </c>
      <c r="L4739" s="1" t="str">
        <f t="shared" si="2911"/>
        <v>47</v>
      </c>
      <c r="M4739" s="1" t="str">
        <f t="shared" si="2903"/>
        <v>0</v>
      </c>
      <c r="N4739" s="1" t="str">
        <f t="shared" si="2912"/>
        <v>0</v>
      </c>
      <c r="O4739" s="1" t="str">
        <f t="shared" si="2914"/>
        <v>0</v>
      </c>
    </row>
    <row r="4740" s="1" customFormat="1" spans="1:15">
      <c r="A4740" s="1" t="str">
        <f t="shared" si="2917"/>
        <v>202406</v>
      </c>
      <c r="B4740" s="1" t="str">
        <f t="shared" si="2918"/>
        <v>150525100</v>
      </c>
      <c r="C4740" s="1" t="str">
        <f>"1014619343"</f>
        <v>1014619343</v>
      </c>
      <c r="D4740" s="1" t="str">
        <f>"152326194108163817"</f>
        <v>152326194108163817</v>
      </c>
      <c r="E4740" s="1" t="s">
        <v>4731</v>
      </c>
      <c r="F4740" s="1" t="s">
        <v>25</v>
      </c>
      <c r="G4740" s="1" t="s">
        <v>17</v>
      </c>
      <c r="H4740" s="1" t="str">
        <f>"83"</f>
        <v>83</v>
      </c>
      <c r="I4740" s="1" t="str">
        <f>"170"</f>
        <v>170</v>
      </c>
      <c r="J4740" s="1" t="str">
        <f t="shared" si="2896"/>
        <v>0</v>
      </c>
      <c r="K4740" s="1" t="str">
        <f t="shared" si="2910"/>
        <v>103</v>
      </c>
      <c r="L4740" s="1" t="str">
        <f t="shared" si="2911"/>
        <v>47</v>
      </c>
      <c r="M4740" s="1" t="str">
        <f t="shared" si="2903"/>
        <v>0</v>
      </c>
      <c r="N4740" s="1" t="str">
        <f t="shared" si="2912"/>
        <v>0</v>
      </c>
      <c r="O4740" s="1" t="str">
        <f t="shared" si="2914"/>
        <v>0</v>
      </c>
    </row>
    <row r="4741" s="1" customFormat="1" spans="1:15">
      <c r="A4741" s="1" t="str">
        <f t="shared" si="2917"/>
        <v>202406</v>
      </c>
      <c r="B4741" s="1" t="str">
        <f t="shared" si="2918"/>
        <v>150525100</v>
      </c>
      <c r="C4741" s="1" t="str">
        <f>"1014619349"</f>
        <v>1014619349</v>
      </c>
      <c r="D4741" s="1" t="str">
        <f>"152326194911260413"</f>
        <v>152326194911260413</v>
      </c>
      <c r="E4741" s="1" t="s">
        <v>4732</v>
      </c>
      <c r="F4741" s="1" t="s">
        <v>25</v>
      </c>
      <c r="G4741" s="1" t="s">
        <v>17</v>
      </c>
      <c r="H4741" s="1" t="str">
        <f>"75"</f>
        <v>75</v>
      </c>
      <c r="I4741" s="1" t="str">
        <f t="shared" ref="I4741:I4743" si="2919">"160"</f>
        <v>160</v>
      </c>
      <c r="J4741" s="1" t="str">
        <f t="shared" si="2896"/>
        <v>0</v>
      </c>
      <c r="K4741" s="1" t="str">
        <f t="shared" si="2910"/>
        <v>103</v>
      </c>
      <c r="L4741" s="1" t="str">
        <f t="shared" si="2911"/>
        <v>47</v>
      </c>
      <c r="M4741" s="1" t="str">
        <f t="shared" si="2903"/>
        <v>0</v>
      </c>
      <c r="N4741" s="1" t="str">
        <f t="shared" si="2912"/>
        <v>0</v>
      </c>
      <c r="O4741" s="1" t="str">
        <f t="shared" si="2914"/>
        <v>0</v>
      </c>
    </row>
    <row r="4742" s="1" customFormat="1" spans="1:15">
      <c r="A4742" s="1" t="str">
        <f t="shared" si="2917"/>
        <v>202406</v>
      </c>
      <c r="B4742" s="1" t="str">
        <f t="shared" si="2918"/>
        <v>150525100</v>
      </c>
      <c r="C4742" s="1" t="str">
        <f>"1014619891"</f>
        <v>1014619891</v>
      </c>
      <c r="D4742" s="1" t="str">
        <f>"152326195012173820"</f>
        <v>152326195012173820</v>
      </c>
      <c r="E4742" s="1" t="s">
        <v>4733</v>
      </c>
      <c r="F4742" s="1" t="s">
        <v>16</v>
      </c>
      <c r="G4742" s="1" t="s">
        <v>17</v>
      </c>
      <c r="H4742" s="1" t="str">
        <f>"74"</f>
        <v>74</v>
      </c>
      <c r="I4742" s="1" t="str">
        <f t="shared" si="2919"/>
        <v>160</v>
      </c>
      <c r="J4742" s="1" t="str">
        <f t="shared" si="2896"/>
        <v>0</v>
      </c>
      <c r="K4742" s="1" t="str">
        <f t="shared" si="2910"/>
        <v>103</v>
      </c>
      <c r="L4742" s="1" t="str">
        <f t="shared" si="2911"/>
        <v>47</v>
      </c>
      <c r="M4742" s="1" t="str">
        <f t="shared" si="2903"/>
        <v>0</v>
      </c>
      <c r="N4742" s="1" t="str">
        <f t="shared" si="2912"/>
        <v>0</v>
      </c>
      <c r="O4742" s="1" t="str">
        <f t="shared" si="2914"/>
        <v>0</v>
      </c>
    </row>
    <row r="4743" s="1" customFormat="1" spans="1:15">
      <c r="A4743" s="1" t="str">
        <f t="shared" si="2917"/>
        <v>202406</v>
      </c>
      <c r="B4743" s="1" t="str">
        <f t="shared" si="2918"/>
        <v>150525100</v>
      </c>
      <c r="C4743" s="1" t="str">
        <f>"1014619901"</f>
        <v>1014619901</v>
      </c>
      <c r="D4743" s="1" t="str">
        <f>"152326194704013823"</f>
        <v>152326194704013823</v>
      </c>
      <c r="E4743" s="1" t="s">
        <v>3207</v>
      </c>
      <c r="F4743" s="1" t="s">
        <v>16</v>
      </c>
      <c r="G4743" s="1" t="s">
        <v>17</v>
      </c>
      <c r="H4743" s="1" t="str">
        <f>"77"</f>
        <v>77</v>
      </c>
      <c r="I4743" s="1" t="str">
        <f t="shared" si="2919"/>
        <v>160</v>
      </c>
      <c r="J4743" s="1" t="str">
        <f t="shared" si="2896"/>
        <v>0</v>
      </c>
      <c r="K4743" s="1" t="str">
        <f t="shared" si="2910"/>
        <v>103</v>
      </c>
      <c r="L4743" s="1" t="str">
        <f t="shared" si="2911"/>
        <v>47</v>
      </c>
      <c r="M4743" s="1" t="str">
        <f t="shared" si="2903"/>
        <v>0</v>
      </c>
      <c r="N4743" s="1" t="str">
        <f t="shared" si="2912"/>
        <v>0</v>
      </c>
      <c r="O4743" s="1" t="str">
        <f t="shared" si="2914"/>
        <v>0</v>
      </c>
    </row>
    <row r="4744" s="1" customFormat="1" spans="1:15">
      <c r="A4744" s="1" t="str">
        <f t="shared" si="2917"/>
        <v>202406</v>
      </c>
      <c r="B4744" s="1" t="str">
        <f t="shared" si="2918"/>
        <v>150525100</v>
      </c>
      <c r="C4744" s="1" t="str">
        <f>"1014623375"</f>
        <v>1014623375</v>
      </c>
      <c r="D4744" s="1" t="str">
        <f>"152326193411273088"</f>
        <v>152326193411273088</v>
      </c>
      <c r="E4744" s="1" t="s">
        <v>236</v>
      </c>
      <c r="F4744" s="1" t="s">
        <v>16</v>
      </c>
      <c r="G4744" s="1" t="s">
        <v>96</v>
      </c>
      <c r="H4744" s="1" t="str">
        <f>"90"</f>
        <v>90</v>
      </c>
      <c r="I4744" s="1" t="str">
        <f t="shared" ref="I4744:I4747" si="2920">"170"</f>
        <v>170</v>
      </c>
      <c r="J4744" s="1" t="str">
        <f t="shared" si="2896"/>
        <v>0</v>
      </c>
      <c r="K4744" s="1" t="str">
        <f t="shared" si="2910"/>
        <v>103</v>
      </c>
      <c r="L4744" s="1" t="str">
        <f t="shared" si="2911"/>
        <v>47</v>
      </c>
      <c r="M4744" s="1" t="str">
        <f t="shared" si="2903"/>
        <v>0</v>
      </c>
      <c r="N4744" s="1" t="str">
        <f t="shared" si="2912"/>
        <v>0</v>
      </c>
      <c r="O4744" s="1" t="str">
        <f t="shared" si="2914"/>
        <v>0</v>
      </c>
    </row>
    <row r="4745" s="1" customFormat="1" spans="1:15">
      <c r="A4745" s="1" t="str">
        <f t="shared" si="2917"/>
        <v>202406</v>
      </c>
      <c r="B4745" s="1" t="str">
        <f t="shared" si="2918"/>
        <v>150525100</v>
      </c>
      <c r="C4745" s="1" t="str">
        <f>"1014629525"</f>
        <v>1014629525</v>
      </c>
      <c r="D4745" s="1" t="str">
        <f>"152326194410070021"</f>
        <v>152326194410070021</v>
      </c>
      <c r="E4745" s="1" t="s">
        <v>4307</v>
      </c>
      <c r="F4745" s="1" t="s">
        <v>16</v>
      </c>
      <c r="G4745" s="1" t="s">
        <v>17</v>
      </c>
      <c r="H4745" s="1" t="str">
        <f>"80"</f>
        <v>80</v>
      </c>
      <c r="I4745" s="1" t="str">
        <f>"160"</f>
        <v>160</v>
      </c>
      <c r="J4745" s="1" t="str">
        <f t="shared" si="2896"/>
        <v>0</v>
      </c>
      <c r="K4745" s="1" t="str">
        <f t="shared" si="2910"/>
        <v>103</v>
      </c>
      <c r="L4745" s="1" t="str">
        <f t="shared" si="2911"/>
        <v>47</v>
      </c>
      <c r="M4745" s="1" t="str">
        <f t="shared" si="2903"/>
        <v>0</v>
      </c>
      <c r="N4745" s="1" t="str">
        <f t="shared" si="2912"/>
        <v>0</v>
      </c>
      <c r="O4745" s="1" t="str">
        <f t="shared" si="2914"/>
        <v>0</v>
      </c>
    </row>
    <row r="4746" s="1" customFormat="1" spans="1:15">
      <c r="A4746" s="1" t="str">
        <f t="shared" si="2917"/>
        <v>202406</v>
      </c>
      <c r="B4746" s="1" t="str">
        <f t="shared" si="2918"/>
        <v>150525100</v>
      </c>
      <c r="C4746" s="1" t="str">
        <f>"1014629535"</f>
        <v>1014629535</v>
      </c>
      <c r="D4746" s="1" t="str">
        <f>"152326194105060011"</f>
        <v>152326194105060011</v>
      </c>
      <c r="E4746" s="1" t="s">
        <v>4734</v>
      </c>
      <c r="F4746" s="1" t="s">
        <v>25</v>
      </c>
      <c r="G4746" s="1" t="s">
        <v>17</v>
      </c>
      <c r="H4746" s="1" t="str">
        <f>"83"</f>
        <v>83</v>
      </c>
      <c r="I4746" s="1" t="str">
        <f t="shared" si="2920"/>
        <v>170</v>
      </c>
      <c r="J4746" s="1" t="str">
        <f t="shared" si="2896"/>
        <v>0</v>
      </c>
      <c r="K4746" s="1" t="str">
        <f t="shared" si="2910"/>
        <v>103</v>
      </c>
      <c r="L4746" s="1" t="str">
        <f t="shared" si="2911"/>
        <v>47</v>
      </c>
      <c r="M4746" s="1" t="str">
        <f t="shared" si="2903"/>
        <v>0</v>
      </c>
      <c r="N4746" s="1" t="str">
        <f t="shared" si="2912"/>
        <v>0</v>
      </c>
      <c r="O4746" s="1" t="str">
        <f t="shared" si="2914"/>
        <v>0</v>
      </c>
    </row>
    <row r="4747" s="1" customFormat="1" spans="1:15">
      <c r="A4747" s="1" t="str">
        <f t="shared" si="2917"/>
        <v>202406</v>
      </c>
      <c r="B4747" s="1" t="str">
        <f t="shared" si="2918"/>
        <v>150525100</v>
      </c>
      <c r="C4747" s="1" t="str">
        <f>"1014629595"</f>
        <v>1014629595</v>
      </c>
      <c r="D4747" s="1" t="str">
        <f>"152326193607292280"</f>
        <v>152326193607292280</v>
      </c>
      <c r="E4747" s="1" t="s">
        <v>4735</v>
      </c>
      <c r="F4747" s="1" t="s">
        <v>16</v>
      </c>
      <c r="G4747" s="1" t="s">
        <v>17</v>
      </c>
      <c r="H4747" s="1" t="str">
        <f>"88"</f>
        <v>88</v>
      </c>
      <c r="I4747" s="1" t="str">
        <f t="shared" si="2920"/>
        <v>170</v>
      </c>
      <c r="J4747" s="1" t="str">
        <f t="shared" si="2896"/>
        <v>0</v>
      </c>
      <c r="K4747" s="1" t="str">
        <f t="shared" si="2910"/>
        <v>103</v>
      </c>
      <c r="L4747" s="1" t="str">
        <f t="shared" si="2911"/>
        <v>47</v>
      </c>
      <c r="M4747" s="1" t="str">
        <f t="shared" si="2903"/>
        <v>0</v>
      </c>
      <c r="N4747" s="1" t="str">
        <f t="shared" si="2912"/>
        <v>0</v>
      </c>
      <c r="O4747" s="1" t="str">
        <f t="shared" si="2914"/>
        <v>0</v>
      </c>
    </row>
    <row r="4748" s="1" customFormat="1" spans="1:15">
      <c r="A4748" s="1" t="str">
        <f t="shared" si="2917"/>
        <v>202406</v>
      </c>
      <c r="B4748" s="1" t="str">
        <f t="shared" si="2918"/>
        <v>150525100</v>
      </c>
      <c r="C4748" s="1" t="str">
        <f>"1014588942"</f>
        <v>1014588942</v>
      </c>
      <c r="D4748" s="1" t="str">
        <f>"152326195409150424"</f>
        <v>152326195409150424</v>
      </c>
      <c r="E4748" s="1" t="s">
        <v>4736</v>
      </c>
      <c r="F4748" s="1" t="s">
        <v>16</v>
      </c>
      <c r="G4748" s="1" t="s">
        <v>17</v>
      </c>
      <c r="H4748" s="1" t="str">
        <f>"70"</f>
        <v>70</v>
      </c>
      <c r="I4748" s="1" t="str">
        <f>"154.15"</f>
        <v>154.15</v>
      </c>
      <c r="J4748" s="1" t="str">
        <f t="shared" si="2896"/>
        <v>0</v>
      </c>
      <c r="K4748" s="1" t="str">
        <f t="shared" si="2910"/>
        <v>103</v>
      </c>
      <c r="L4748" s="1" t="str">
        <f t="shared" si="2911"/>
        <v>47</v>
      </c>
      <c r="M4748" s="1" t="str">
        <f t="shared" si="2903"/>
        <v>0</v>
      </c>
      <c r="N4748" s="1" t="str">
        <f t="shared" si="2912"/>
        <v>0</v>
      </c>
      <c r="O4748" s="1" t="str">
        <f>"4.15"</f>
        <v>4.15</v>
      </c>
    </row>
    <row r="4749" s="1" customFormat="1" spans="1:15">
      <c r="A4749" s="1" t="str">
        <f t="shared" si="2917"/>
        <v>202406</v>
      </c>
      <c r="B4749" s="1" t="str">
        <f t="shared" si="2918"/>
        <v>150525100</v>
      </c>
      <c r="C4749" s="1" t="str">
        <f>"1014588958"</f>
        <v>1014588958</v>
      </c>
      <c r="D4749" s="1" t="s">
        <v>4737</v>
      </c>
      <c r="E4749" s="1" t="s">
        <v>4738</v>
      </c>
      <c r="F4749" s="1" t="s">
        <v>25</v>
      </c>
      <c r="G4749" s="1" t="s">
        <v>19</v>
      </c>
      <c r="H4749" s="1" t="str">
        <f>"68"</f>
        <v>68</v>
      </c>
      <c r="I4749" s="1" t="str">
        <f>"156.02"</f>
        <v>156.02</v>
      </c>
      <c r="J4749" s="1" t="str">
        <f t="shared" si="2896"/>
        <v>0</v>
      </c>
      <c r="K4749" s="1" t="str">
        <f t="shared" si="2910"/>
        <v>103</v>
      </c>
      <c r="L4749" s="1" t="str">
        <f t="shared" si="2911"/>
        <v>47</v>
      </c>
      <c r="M4749" s="1" t="str">
        <f t="shared" si="2903"/>
        <v>0</v>
      </c>
      <c r="N4749" s="1" t="str">
        <f t="shared" si="2912"/>
        <v>0</v>
      </c>
      <c r="O4749" s="1" t="str">
        <f>"6.02"</f>
        <v>6.02</v>
      </c>
    </row>
    <row r="4750" s="1" customFormat="1" spans="1:15">
      <c r="A4750" s="1" t="str">
        <f t="shared" si="2917"/>
        <v>202406</v>
      </c>
      <c r="B4750" s="1" t="str">
        <f t="shared" si="2918"/>
        <v>150525100</v>
      </c>
      <c r="C4750" s="1" t="str">
        <f>"1014660682"</f>
        <v>1014660682</v>
      </c>
      <c r="D4750" s="1" t="str">
        <f>"152326195703033835"</f>
        <v>152326195703033835</v>
      </c>
      <c r="E4750" s="1" t="s">
        <v>4739</v>
      </c>
      <c r="F4750" s="1" t="s">
        <v>25</v>
      </c>
      <c r="G4750" s="1" t="s">
        <v>96</v>
      </c>
      <c r="H4750" s="1" t="str">
        <f>"67"</f>
        <v>67</v>
      </c>
      <c r="I4750" s="1" t="str">
        <f>"155.92"</f>
        <v>155.92</v>
      </c>
      <c r="J4750" s="1" t="str">
        <f t="shared" si="2896"/>
        <v>0</v>
      </c>
      <c r="K4750" s="1" t="str">
        <f t="shared" si="2910"/>
        <v>103</v>
      </c>
      <c r="L4750" s="1" t="str">
        <f t="shared" si="2911"/>
        <v>47</v>
      </c>
      <c r="M4750" s="1" t="str">
        <f t="shared" si="2903"/>
        <v>0</v>
      </c>
      <c r="N4750" s="1" t="str">
        <f t="shared" si="2912"/>
        <v>0</v>
      </c>
      <c r="O4750" s="1" t="str">
        <f>"5.92"</f>
        <v>5.92</v>
      </c>
    </row>
    <row r="4751" s="1" customFormat="1" spans="1:15">
      <c r="A4751" s="1" t="str">
        <f t="shared" si="2917"/>
        <v>202406</v>
      </c>
      <c r="B4751" s="1" t="str">
        <f t="shared" si="2918"/>
        <v>150525100</v>
      </c>
      <c r="C4751" s="1" t="str">
        <f>"1043060924"</f>
        <v>1043060924</v>
      </c>
      <c r="D4751" s="1" t="str">
        <f>"152326196012123326"</f>
        <v>152326196012123326</v>
      </c>
      <c r="E4751" s="1" t="s">
        <v>4740</v>
      </c>
      <c r="F4751" s="1" t="s">
        <v>16</v>
      </c>
      <c r="G4751" s="1" t="s">
        <v>19</v>
      </c>
      <c r="H4751" s="1" t="str">
        <f>"64"</f>
        <v>64</v>
      </c>
      <c r="I4751" s="1" t="str">
        <f>"156.82"</f>
        <v>156.82</v>
      </c>
      <c r="J4751" s="1" t="str">
        <f t="shared" si="2896"/>
        <v>0</v>
      </c>
      <c r="K4751" s="1" t="str">
        <f t="shared" si="2910"/>
        <v>103</v>
      </c>
      <c r="L4751" s="1" t="str">
        <f t="shared" si="2911"/>
        <v>47</v>
      </c>
      <c r="M4751" s="1" t="str">
        <f t="shared" si="2903"/>
        <v>0</v>
      </c>
      <c r="N4751" s="1" t="str">
        <f t="shared" si="2912"/>
        <v>0</v>
      </c>
      <c r="O4751" s="1" t="str">
        <f>"6.82"</f>
        <v>6.82</v>
      </c>
    </row>
    <row r="4752" s="1" customFormat="1" spans="1:15">
      <c r="A4752" s="1" t="str">
        <f t="shared" si="2917"/>
        <v>202406</v>
      </c>
      <c r="B4752" s="1" t="str">
        <f t="shared" si="2918"/>
        <v>150525100</v>
      </c>
      <c r="C4752" s="1" t="str">
        <f>"1014583711"</f>
        <v>1014583711</v>
      </c>
      <c r="D4752" s="1" t="str">
        <f>"152326196403120691"</f>
        <v>152326196403120691</v>
      </c>
      <c r="E4752" s="1" t="s">
        <v>4741</v>
      </c>
      <c r="F4752" s="1" t="s">
        <v>25</v>
      </c>
      <c r="G4752" s="1" t="s">
        <v>17</v>
      </c>
      <c r="H4752" s="1" t="str">
        <f>"60"</f>
        <v>60</v>
      </c>
      <c r="I4752" s="1" t="str">
        <f>"505.44"</f>
        <v>505.44</v>
      </c>
      <c r="J4752" s="1" t="str">
        <f>"336.96"</f>
        <v>336.96</v>
      </c>
      <c r="K4752" s="1" t="str">
        <f>"309"</f>
        <v>309</v>
      </c>
      <c r="L4752" s="1" t="str">
        <f>"141"</f>
        <v>141</v>
      </c>
      <c r="M4752" s="1" t="str">
        <f t="shared" si="2903"/>
        <v>0</v>
      </c>
      <c r="N4752" s="1" t="str">
        <f t="shared" si="2912"/>
        <v>0</v>
      </c>
      <c r="O4752" s="1" t="str">
        <f>"55.44"</f>
        <v>55.44</v>
      </c>
    </row>
    <row r="4753" s="1" customFormat="1" spans="1:15">
      <c r="A4753" s="1" t="str">
        <f t="shared" si="2917"/>
        <v>202406</v>
      </c>
      <c r="B4753" s="1" t="str">
        <f t="shared" si="2918"/>
        <v>150525100</v>
      </c>
      <c r="C4753" s="1" t="str">
        <f>"1014547805"</f>
        <v>1014547805</v>
      </c>
      <c r="D4753" s="1" t="str">
        <f>"152326195310256384"</f>
        <v>152326195310256384</v>
      </c>
      <c r="E4753" s="1" t="s">
        <v>4742</v>
      </c>
      <c r="F4753" s="1" t="s">
        <v>16</v>
      </c>
      <c r="G4753" s="1" t="s">
        <v>17</v>
      </c>
      <c r="H4753" s="1" t="str">
        <f>"71"</f>
        <v>71</v>
      </c>
      <c r="I4753" s="1" t="str">
        <f>"163.16"</f>
        <v>163.16</v>
      </c>
      <c r="J4753" s="1" t="str">
        <f t="shared" ref="J4753:J4763" si="2921">"0"</f>
        <v>0</v>
      </c>
      <c r="K4753" s="1" t="str">
        <f t="shared" ref="K4753:K4763" si="2922">"103"</f>
        <v>103</v>
      </c>
      <c r="L4753" s="1" t="str">
        <f t="shared" ref="L4753:L4763" si="2923">"47"</f>
        <v>47</v>
      </c>
      <c r="M4753" s="1" t="str">
        <f t="shared" si="2903"/>
        <v>0</v>
      </c>
      <c r="N4753" s="1" t="str">
        <f t="shared" si="2912"/>
        <v>0</v>
      </c>
      <c r="O4753" s="1" t="str">
        <f>"3.16"</f>
        <v>3.16</v>
      </c>
    </row>
    <row r="4754" s="1" customFormat="1" spans="1:15">
      <c r="A4754" s="1" t="str">
        <f t="shared" si="2917"/>
        <v>202406</v>
      </c>
      <c r="B4754" s="1" t="str">
        <f t="shared" si="2918"/>
        <v>150525100</v>
      </c>
      <c r="C4754" s="1" t="str">
        <f>"1040832693"</f>
        <v>1040832693</v>
      </c>
      <c r="D4754" s="1" t="str">
        <f>"152326194709110024"</f>
        <v>152326194709110024</v>
      </c>
      <c r="E4754" s="1" t="s">
        <v>4743</v>
      </c>
      <c r="F4754" s="1" t="s">
        <v>16</v>
      </c>
      <c r="G4754" s="1" t="s">
        <v>17</v>
      </c>
      <c r="H4754" s="1" t="str">
        <f>"77"</f>
        <v>77</v>
      </c>
      <c r="I4754" s="1" t="str">
        <f>"160"</f>
        <v>160</v>
      </c>
      <c r="J4754" s="1" t="str">
        <f t="shared" si="2921"/>
        <v>0</v>
      </c>
      <c r="K4754" s="1" t="str">
        <f t="shared" si="2922"/>
        <v>103</v>
      </c>
      <c r="L4754" s="1" t="str">
        <f t="shared" si="2923"/>
        <v>47</v>
      </c>
      <c r="M4754" s="1" t="str">
        <f t="shared" si="2903"/>
        <v>0</v>
      </c>
      <c r="N4754" s="1" t="str">
        <f t="shared" si="2912"/>
        <v>0</v>
      </c>
      <c r="O4754" s="1" t="str">
        <f>"0"</f>
        <v>0</v>
      </c>
    </row>
    <row r="4755" s="1" customFormat="1" spans="1:15">
      <c r="A4755" s="1" t="str">
        <f t="shared" si="2917"/>
        <v>202406</v>
      </c>
      <c r="B4755" s="1" t="str">
        <f t="shared" si="2918"/>
        <v>150525100</v>
      </c>
      <c r="C4755" s="1" t="str">
        <f>"1043034919"</f>
        <v>1043034919</v>
      </c>
      <c r="D4755" s="1" t="str">
        <f>"152326196111050679"</f>
        <v>152326196111050679</v>
      </c>
      <c r="E4755" s="1" t="s">
        <v>4744</v>
      </c>
      <c r="F4755" s="1" t="s">
        <v>25</v>
      </c>
      <c r="G4755" s="1" t="s">
        <v>17</v>
      </c>
      <c r="H4755" s="1" t="str">
        <f>"63"</f>
        <v>63</v>
      </c>
      <c r="I4755" s="1" t="str">
        <f>"158.62"</f>
        <v>158.62</v>
      </c>
      <c r="J4755" s="1" t="str">
        <f t="shared" si="2921"/>
        <v>0</v>
      </c>
      <c r="K4755" s="1" t="str">
        <f t="shared" si="2922"/>
        <v>103</v>
      </c>
      <c r="L4755" s="1" t="str">
        <f t="shared" si="2923"/>
        <v>47</v>
      </c>
      <c r="M4755" s="1" t="str">
        <f t="shared" si="2903"/>
        <v>0</v>
      </c>
      <c r="N4755" s="1" t="str">
        <f t="shared" si="2912"/>
        <v>0</v>
      </c>
      <c r="O4755" s="1" t="str">
        <f>"8.62"</f>
        <v>8.62</v>
      </c>
    </row>
    <row r="4756" s="1" customFormat="1" spans="1:15">
      <c r="A4756" s="1" t="str">
        <f t="shared" si="2917"/>
        <v>202406</v>
      </c>
      <c r="B4756" s="1" t="str">
        <f t="shared" si="2918"/>
        <v>150525100</v>
      </c>
      <c r="C4756" s="1" t="str">
        <f>"1040937410"</f>
        <v>1040937410</v>
      </c>
      <c r="D4756" s="1" t="str">
        <f>"152326196011170411"</f>
        <v>152326196011170411</v>
      </c>
      <c r="E4756" s="1" t="s">
        <v>4745</v>
      </c>
      <c r="F4756" s="1" t="s">
        <v>25</v>
      </c>
      <c r="G4756" s="1" t="s">
        <v>17</v>
      </c>
      <c r="H4756" s="1" t="str">
        <f>"64"</f>
        <v>64</v>
      </c>
      <c r="I4756" s="1" t="str">
        <f>"158.66"</f>
        <v>158.66</v>
      </c>
      <c r="J4756" s="1" t="str">
        <f t="shared" si="2921"/>
        <v>0</v>
      </c>
      <c r="K4756" s="1" t="str">
        <f t="shared" si="2922"/>
        <v>103</v>
      </c>
      <c r="L4756" s="1" t="str">
        <f t="shared" si="2923"/>
        <v>47</v>
      </c>
      <c r="M4756" s="1" t="str">
        <f t="shared" si="2903"/>
        <v>0</v>
      </c>
      <c r="N4756" s="1" t="str">
        <f t="shared" si="2912"/>
        <v>0</v>
      </c>
      <c r="O4756" s="1" t="str">
        <f>"8.66"</f>
        <v>8.66</v>
      </c>
    </row>
    <row r="4757" s="1" customFormat="1" spans="1:15">
      <c r="A4757" s="1" t="str">
        <f t="shared" si="2917"/>
        <v>202406</v>
      </c>
      <c r="B4757" s="1" t="str">
        <f t="shared" si="2918"/>
        <v>150525100</v>
      </c>
      <c r="C4757" s="1" t="str">
        <f>"1014583752"</f>
        <v>1014583752</v>
      </c>
      <c r="D4757" s="1" t="str">
        <f>"152326195302190426"</f>
        <v>152326195302190426</v>
      </c>
      <c r="E4757" s="1" t="s">
        <v>4746</v>
      </c>
      <c r="F4757" s="1" t="s">
        <v>16</v>
      </c>
      <c r="G4757" s="1" t="s">
        <v>19</v>
      </c>
      <c r="H4757" s="1" t="str">
        <f>"71"</f>
        <v>71</v>
      </c>
      <c r="I4757" s="1" t="str">
        <f>"163.16"</f>
        <v>163.16</v>
      </c>
      <c r="J4757" s="1" t="str">
        <f t="shared" si="2921"/>
        <v>0</v>
      </c>
      <c r="K4757" s="1" t="str">
        <f t="shared" si="2922"/>
        <v>103</v>
      </c>
      <c r="L4757" s="1" t="str">
        <f t="shared" si="2923"/>
        <v>47</v>
      </c>
      <c r="M4757" s="1" t="str">
        <f t="shared" si="2903"/>
        <v>0</v>
      </c>
      <c r="N4757" s="1" t="str">
        <f t="shared" si="2912"/>
        <v>0</v>
      </c>
      <c r="O4757" s="1" t="str">
        <f>"3.16"</f>
        <v>3.16</v>
      </c>
    </row>
    <row r="4758" s="1" customFormat="1" spans="1:15">
      <c r="A4758" s="1" t="str">
        <f t="shared" si="2917"/>
        <v>202406</v>
      </c>
      <c r="B4758" s="1" t="str">
        <f t="shared" si="2918"/>
        <v>150525100</v>
      </c>
      <c r="C4758" s="1" t="str">
        <f>"1040937419"</f>
        <v>1040937419</v>
      </c>
      <c r="D4758" s="1" t="str">
        <f>"152326195810060425"</f>
        <v>152326195810060425</v>
      </c>
      <c r="E4758" s="1" t="s">
        <v>4747</v>
      </c>
      <c r="F4758" s="1" t="s">
        <v>16</v>
      </c>
      <c r="G4758" s="1" t="s">
        <v>17</v>
      </c>
      <c r="H4758" s="1" t="str">
        <f>"66"</f>
        <v>66</v>
      </c>
      <c r="I4758" s="1" t="str">
        <f>"156.53"</f>
        <v>156.53</v>
      </c>
      <c r="J4758" s="1" t="str">
        <f t="shared" si="2921"/>
        <v>0</v>
      </c>
      <c r="K4758" s="1" t="str">
        <f t="shared" si="2922"/>
        <v>103</v>
      </c>
      <c r="L4758" s="1" t="str">
        <f t="shared" si="2923"/>
        <v>47</v>
      </c>
      <c r="M4758" s="1" t="str">
        <f t="shared" si="2903"/>
        <v>0</v>
      </c>
      <c r="N4758" s="1" t="str">
        <f t="shared" si="2912"/>
        <v>0</v>
      </c>
      <c r="O4758" s="1" t="str">
        <f>"6.53"</f>
        <v>6.53</v>
      </c>
    </row>
    <row r="4759" s="1" customFormat="1" spans="1:15">
      <c r="A4759" s="1" t="str">
        <f t="shared" si="2917"/>
        <v>202406</v>
      </c>
      <c r="B4759" s="1" t="str">
        <f t="shared" si="2918"/>
        <v>150525100</v>
      </c>
      <c r="C4759" s="1" t="str">
        <f>"1040937477"</f>
        <v>1040937477</v>
      </c>
      <c r="D4759" s="1" t="s">
        <v>4748</v>
      </c>
      <c r="E4759" s="1" t="s">
        <v>4749</v>
      </c>
      <c r="F4759" s="1" t="s">
        <v>16</v>
      </c>
      <c r="G4759" s="1" t="s">
        <v>19</v>
      </c>
      <c r="H4759" s="1" t="str">
        <f t="shared" ref="H4759:H4763" si="2924">"68"</f>
        <v>68</v>
      </c>
      <c r="I4759" s="1" t="str">
        <f>"154.54"</f>
        <v>154.54</v>
      </c>
      <c r="J4759" s="1" t="str">
        <f t="shared" si="2921"/>
        <v>0</v>
      </c>
      <c r="K4759" s="1" t="str">
        <f t="shared" si="2922"/>
        <v>103</v>
      </c>
      <c r="L4759" s="1" t="str">
        <f t="shared" si="2923"/>
        <v>47</v>
      </c>
      <c r="M4759" s="1" t="str">
        <f t="shared" si="2903"/>
        <v>0</v>
      </c>
      <c r="N4759" s="1" t="str">
        <f t="shared" si="2912"/>
        <v>0</v>
      </c>
      <c r="O4759" s="1" t="str">
        <f>"4.54"</f>
        <v>4.54</v>
      </c>
    </row>
    <row r="4760" s="1" customFormat="1" spans="1:15">
      <c r="A4760" s="1" t="str">
        <f t="shared" si="2917"/>
        <v>202406</v>
      </c>
      <c r="B4760" s="1" t="str">
        <f t="shared" si="2918"/>
        <v>150525100</v>
      </c>
      <c r="C4760" s="1" t="str">
        <f>"1042698920"</f>
        <v>1042698920</v>
      </c>
      <c r="D4760" s="1" t="str">
        <f>"152326196309130033"</f>
        <v>152326196309130033</v>
      </c>
      <c r="E4760" s="1" t="s">
        <v>4750</v>
      </c>
      <c r="F4760" s="1" t="s">
        <v>25</v>
      </c>
      <c r="G4760" s="1" t="s">
        <v>17</v>
      </c>
      <c r="H4760" s="1" t="str">
        <f>"61"</f>
        <v>61</v>
      </c>
      <c r="I4760" s="1" t="str">
        <f>"168.56"</f>
        <v>168.56</v>
      </c>
      <c r="J4760" s="1" t="str">
        <f t="shared" si="2921"/>
        <v>0</v>
      </c>
      <c r="K4760" s="1" t="str">
        <f t="shared" si="2922"/>
        <v>103</v>
      </c>
      <c r="L4760" s="1" t="str">
        <f t="shared" si="2923"/>
        <v>47</v>
      </c>
      <c r="M4760" s="1" t="str">
        <f t="shared" si="2903"/>
        <v>0</v>
      </c>
      <c r="N4760" s="1" t="str">
        <f t="shared" si="2912"/>
        <v>0</v>
      </c>
      <c r="O4760" s="1" t="str">
        <f>"18.56"</f>
        <v>18.56</v>
      </c>
    </row>
    <row r="4761" s="1" customFormat="1" spans="1:15">
      <c r="A4761" s="1" t="str">
        <f t="shared" si="2917"/>
        <v>202406</v>
      </c>
      <c r="B4761" s="1" t="str">
        <f t="shared" si="2918"/>
        <v>150525100</v>
      </c>
      <c r="C4761" s="1" t="str">
        <f>"1014552323"</f>
        <v>1014552323</v>
      </c>
      <c r="D4761" s="1" t="str">
        <f>"152326195611043841"</f>
        <v>152326195611043841</v>
      </c>
      <c r="E4761" s="1" t="s">
        <v>4751</v>
      </c>
      <c r="F4761" s="1" t="s">
        <v>16</v>
      </c>
      <c r="G4761" s="1" t="s">
        <v>19</v>
      </c>
      <c r="H4761" s="1" t="str">
        <f t="shared" si="2924"/>
        <v>68</v>
      </c>
      <c r="I4761" s="1" t="str">
        <f>"155.78"</f>
        <v>155.78</v>
      </c>
      <c r="J4761" s="1" t="str">
        <f t="shared" si="2921"/>
        <v>0</v>
      </c>
      <c r="K4761" s="1" t="str">
        <f t="shared" si="2922"/>
        <v>103</v>
      </c>
      <c r="L4761" s="1" t="str">
        <f t="shared" si="2923"/>
        <v>47</v>
      </c>
      <c r="M4761" s="1" t="str">
        <f t="shared" si="2903"/>
        <v>0</v>
      </c>
      <c r="N4761" s="1" t="str">
        <f t="shared" si="2912"/>
        <v>0</v>
      </c>
      <c r="O4761" s="1" t="str">
        <f>"5.78"</f>
        <v>5.78</v>
      </c>
    </row>
    <row r="4762" s="1" customFormat="1" spans="1:15">
      <c r="A4762" s="1" t="str">
        <f t="shared" si="2917"/>
        <v>202406</v>
      </c>
      <c r="B4762" s="1" t="str">
        <f t="shared" si="2918"/>
        <v>150525100</v>
      </c>
      <c r="C4762" s="1" t="str">
        <f>"1014575773"</f>
        <v>1014575773</v>
      </c>
      <c r="D4762" s="1" t="str">
        <f>"152326195611290666"</f>
        <v>152326195611290666</v>
      </c>
      <c r="E4762" s="1" t="s">
        <v>4752</v>
      </c>
      <c r="F4762" s="1" t="s">
        <v>16</v>
      </c>
      <c r="G4762" s="1" t="s">
        <v>17</v>
      </c>
      <c r="H4762" s="1" t="str">
        <f t="shared" si="2924"/>
        <v>68</v>
      </c>
      <c r="I4762" s="1" t="str">
        <f>"156.01"</f>
        <v>156.01</v>
      </c>
      <c r="J4762" s="1" t="str">
        <f t="shared" si="2921"/>
        <v>0</v>
      </c>
      <c r="K4762" s="1" t="str">
        <f t="shared" si="2922"/>
        <v>103</v>
      </c>
      <c r="L4762" s="1" t="str">
        <f t="shared" si="2923"/>
        <v>47</v>
      </c>
      <c r="M4762" s="1" t="str">
        <f t="shared" si="2903"/>
        <v>0</v>
      </c>
      <c r="N4762" s="1" t="str">
        <f t="shared" si="2912"/>
        <v>0</v>
      </c>
      <c r="O4762" s="1" t="str">
        <f>"6.01"</f>
        <v>6.01</v>
      </c>
    </row>
    <row r="4763" s="1" customFormat="1" spans="1:15">
      <c r="A4763" s="1" t="str">
        <f t="shared" si="2917"/>
        <v>202406</v>
      </c>
      <c r="B4763" s="1" t="str">
        <f t="shared" si="2918"/>
        <v>150525100</v>
      </c>
      <c r="C4763" s="1" t="str">
        <f>"1014576104"</f>
        <v>1014576104</v>
      </c>
      <c r="D4763" s="1" t="s">
        <v>4753</v>
      </c>
      <c r="E4763" s="1" t="s">
        <v>2951</v>
      </c>
      <c r="F4763" s="1" t="s">
        <v>16</v>
      </c>
      <c r="G4763" s="1" t="s">
        <v>17</v>
      </c>
      <c r="H4763" s="1" t="str">
        <f t="shared" si="2924"/>
        <v>68</v>
      </c>
      <c r="I4763" s="1" t="str">
        <f>"156.02"</f>
        <v>156.02</v>
      </c>
      <c r="J4763" s="1" t="str">
        <f t="shared" si="2921"/>
        <v>0</v>
      </c>
      <c r="K4763" s="1" t="str">
        <f t="shared" si="2922"/>
        <v>103</v>
      </c>
      <c r="L4763" s="1" t="str">
        <f t="shared" si="2923"/>
        <v>47</v>
      </c>
      <c r="M4763" s="1" t="str">
        <f t="shared" si="2903"/>
        <v>0</v>
      </c>
      <c r="N4763" s="1" t="str">
        <f t="shared" si="2912"/>
        <v>0</v>
      </c>
      <c r="O4763" s="1" t="str">
        <f>"6.02"</f>
        <v>6.02</v>
      </c>
    </row>
    <row r="4764" s="1" customFormat="1" spans="1:15">
      <c r="A4764" s="1" t="str">
        <f t="shared" si="2917"/>
        <v>202406</v>
      </c>
      <c r="B4764" s="1" t="str">
        <f t="shared" si="2918"/>
        <v>150525100</v>
      </c>
      <c r="C4764" s="1" t="str">
        <f>"1014576425"</f>
        <v>1014576425</v>
      </c>
      <c r="D4764" s="1" t="str">
        <f>"152326195204190668"</f>
        <v>152326195204190668</v>
      </c>
      <c r="E4764" s="1" t="s">
        <v>931</v>
      </c>
      <c r="F4764" s="1" t="s">
        <v>16</v>
      </c>
      <c r="G4764" s="1" t="s">
        <v>17</v>
      </c>
      <c r="H4764" s="1" t="str">
        <f>"72"</f>
        <v>72</v>
      </c>
      <c r="I4764" s="1" t="str">
        <f>"1621.4"</f>
        <v>1621.4</v>
      </c>
      <c r="J4764" s="1" t="str">
        <f>"1459.26"</f>
        <v>1459.26</v>
      </c>
      <c r="K4764" s="1" t="str">
        <f>"1030"</f>
        <v>1030</v>
      </c>
      <c r="L4764" s="1" t="str">
        <f>"470"</f>
        <v>470</v>
      </c>
      <c r="M4764" s="1" t="str">
        <f t="shared" si="2903"/>
        <v>0</v>
      </c>
      <c r="N4764" s="1" t="str">
        <f t="shared" si="2912"/>
        <v>0</v>
      </c>
      <c r="O4764" s="1" t="str">
        <f>"21.4"</f>
        <v>21.4</v>
      </c>
    </row>
    <row r="4765" s="1" customFormat="1" spans="1:15">
      <c r="A4765" s="1" t="str">
        <f t="shared" si="2917"/>
        <v>202406</v>
      </c>
      <c r="B4765" s="1" t="str">
        <f t="shared" si="2918"/>
        <v>150525100</v>
      </c>
      <c r="C4765" s="1" t="str">
        <f>"1014572002"</f>
        <v>1014572002</v>
      </c>
      <c r="D4765" s="1" t="str">
        <f>"152326195910133097"</f>
        <v>152326195910133097</v>
      </c>
      <c r="E4765" s="1" t="s">
        <v>4754</v>
      </c>
      <c r="F4765" s="1" t="s">
        <v>25</v>
      </c>
      <c r="G4765" s="1" t="s">
        <v>17</v>
      </c>
      <c r="H4765" s="1" t="str">
        <f>"65"</f>
        <v>65</v>
      </c>
      <c r="I4765" s="1" t="str">
        <f>"159.15"</f>
        <v>159.15</v>
      </c>
      <c r="J4765" s="1" t="str">
        <f t="shared" ref="J4765:J4828" si="2925">"0"</f>
        <v>0</v>
      </c>
      <c r="K4765" s="1" t="str">
        <f t="shared" ref="K4765:K4828" si="2926">"103"</f>
        <v>103</v>
      </c>
      <c r="L4765" s="1" t="str">
        <f t="shared" ref="L4765:L4828" si="2927">"47"</f>
        <v>47</v>
      </c>
      <c r="M4765" s="1" t="str">
        <f t="shared" si="2903"/>
        <v>0</v>
      </c>
      <c r="N4765" s="1" t="str">
        <f t="shared" si="2912"/>
        <v>0</v>
      </c>
      <c r="O4765" s="1" t="str">
        <f>"9.15"</f>
        <v>9.15</v>
      </c>
    </row>
    <row r="4766" s="1" customFormat="1" spans="1:15">
      <c r="A4766" s="1" t="str">
        <f t="shared" si="2917"/>
        <v>202406</v>
      </c>
      <c r="B4766" s="1" t="str">
        <f t="shared" si="2918"/>
        <v>150525100</v>
      </c>
      <c r="C4766" s="1" t="str">
        <f>"1014572006"</f>
        <v>1014572006</v>
      </c>
      <c r="D4766" s="1" t="str">
        <f>"152326195605060418"</f>
        <v>152326195605060418</v>
      </c>
      <c r="E4766" s="1" t="s">
        <v>4755</v>
      </c>
      <c r="F4766" s="1" t="s">
        <v>25</v>
      </c>
      <c r="G4766" s="1" t="s">
        <v>17</v>
      </c>
      <c r="H4766" s="1" t="str">
        <f>"68"</f>
        <v>68</v>
      </c>
      <c r="I4766" s="1" t="str">
        <f>"155.97"</f>
        <v>155.97</v>
      </c>
      <c r="J4766" s="1" t="str">
        <f t="shared" si="2925"/>
        <v>0</v>
      </c>
      <c r="K4766" s="1" t="str">
        <f t="shared" si="2926"/>
        <v>103</v>
      </c>
      <c r="L4766" s="1" t="str">
        <f t="shared" si="2927"/>
        <v>47</v>
      </c>
      <c r="M4766" s="1" t="str">
        <f t="shared" si="2903"/>
        <v>0</v>
      </c>
      <c r="N4766" s="1" t="str">
        <f t="shared" si="2912"/>
        <v>0</v>
      </c>
      <c r="O4766" s="1" t="str">
        <f>"5.97"</f>
        <v>5.97</v>
      </c>
    </row>
    <row r="4767" s="1" customFormat="1" spans="1:15">
      <c r="A4767" s="1" t="str">
        <f t="shared" si="2917"/>
        <v>202406</v>
      </c>
      <c r="B4767" s="1" t="str">
        <f t="shared" si="2918"/>
        <v>150525100</v>
      </c>
      <c r="C4767" s="1" t="str">
        <f>"1014576646"</f>
        <v>1014576646</v>
      </c>
      <c r="D4767" s="1" t="str">
        <f>"152326195908100667"</f>
        <v>152326195908100667</v>
      </c>
      <c r="E4767" s="1" t="s">
        <v>4756</v>
      </c>
      <c r="F4767" s="1" t="s">
        <v>16</v>
      </c>
      <c r="G4767" s="1" t="s">
        <v>19</v>
      </c>
      <c r="H4767" s="1" t="str">
        <f>"65"</f>
        <v>65</v>
      </c>
      <c r="I4767" s="1" t="str">
        <f>"158.17"</f>
        <v>158.17</v>
      </c>
      <c r="J4767" s="1" t="str">
        <f t="shared" si="2925"/>
        <v>0</v>
      </c>
      <c r="K4767" s="1" t="str">
        <f t="shared" si="2926"/>
        <v>103</v>
      </c>
      <c r="L4767" s="1" t="str">
        <f t="shared" si="2927"/>
        <v>47</v>
      </c>
      <c r="M4767" s="1" t="str">
        <f t="shared" si="2903"/>
        <v>0</v>
      </c>
      <c r="N4767" s="1" t="str">
        <f t="shared" si="2912"/>
        <v>0</v>
      </c>
      <c r="O4767" s="1" t="str">
        <f>"8.17"</f>
        <v>8.17</v>
      </c>
    </row>
    <row r="4768" s="1" customFormat="1" spans="1:15">
      <c r="A4768" s="1" t="str">
        <f t="shared" si="2917"/>
        <v>202406</v>
      </c>
      <c r="B4768" s="1" t="str">
        <f t="shared" si="2918"/>
        <v>150525100</v>
      </c>
      <c r="C4768" s="1" t="str">
        <f>"1014576665"</f>
        <v>1014576665</v>
      </c>
      <c r="D4768" s="1" t="str">
        <f>"152326195605180671"</f>
        <v>152326195605180671</v>
      </c>
      <c r="E4768" s="1" t="s">
        <v>4757</v>
      </c>
      <c r="F4768" s="1" t="s">
        <v>25</v>
      </c>
      <c r="G4768" s="1" t="s">
        <v>17</v>
      </c>
      <c r="H4768" s="1" t="str">
        <f>"68"</f>
        <v>68</v>
      </c>
      <c r="I4768" s="1" t="str">
        <f>"156.03"</f>
        <v>156.03</v>
      </c>
      <c r="J4768" s="1" t="str">
        <f t="shared" si="2925"/>
        <v>0</v>
      </c>
      <c r="K4768" s="1" t="str">
        <f t="shared" si="2926"/>
        <v>103</v>
      </c>
      <c r="L4768" s="1" t="str">
        <f t="shared" si="2927"/>
        <v>47</v>
      </c>
      <c r="M4768" s="1" t="str">
        <f t="shared" ref="M4768:M4831" si="2928">"0"</f>
        <v>0</v>
      </c>
      <c r="N4768" s="1" t="str">
        <f t="shared" si="2912"/>
        <v>0</v>
      </c>
      <c r="O4768" s="1" t="str">
        <f>"6.03"</f>
        <v>6.03</v>
      </c>
    </row>
    <row r="4769" s="1" customFormat="1" spans="1:15">
      <c r="A4769" s="1" t="str">
        <f t="shared" si="2917"/>
        <v>202406</v>
      </c>
      <c r="B4769" s="1" t="str">
        <f t="shared" si="2918"/>
        <v>150525100</v>
      </c>
      <c r="C4769" s="1" t="str">
        <f>"1014548034"</f>
        <v>1014548034</v>
      </c>
      <c r="D4769" s="1" t="str">
        <f>"152326195209113821"</f>
        <v>152326195209113821</v>
      </c>
      <c r="E4769" s="1" t="s">
        <v>4758</v>
      </c>
      <c r="F4769" s="1" t="s">
        <v>16</v>
      </c>
      <c r="G4769" s="1" t="s">
        <v>17</v>
      </c>
      <c r="H4769" s="1" t="str">
        <f>"72"</f>
        <v>72</v>
      </c>
      <c r="I4769" s="1" t="str">
        <f>"162.15"</f>
        <v>162.15</v>
      </c>
      <c r="J4769" s="1" t="str">
        <f t="shared" si="2925"/>
        <v>0</v>
      </c>
      <c r="K4769" s="1" t="str">
        <f t="shared" si="2926"/>
        <v>103</v>
      </c>
      <c r="L4769" s="1" t="str">
        <f t="shared" si="2927"/>
        <v>47</v>
      </c>
      <c r="M4769" s="1" t="str">
        <f t="shared" si="2928"/>
        <v>0</v>
      </c>
      <c r="N4769" s="1" t="str">
        <f t="shared" si="2912"/>
        <v>0</v>
      </c>
      <c r="O4769" s="1" t="str">
        <f>"2.15"</f>
        <v>2.15</v>
      </c>
    </row>
    <row r="4770" s="1" customFormat="1" spans="1:15">
      <c r="A4770" s="1" t="str">
        <f t="shared" si="2917"/>
        <v>202406</v>
      </c>
      <c r="B4770" s="1" t="str">
        <f t="shared" si="2918"/>
        <v>150525100</v>
      </c>
      <c r="C4770" s="1" t="str">
        <f>"1014548121"</f>
        <v>1014548121</v>
      </c>
      <c r="D4770" s="1" t="str">
        <f>"152326195704283078"</f>
        <v>152326195704283078</v>
      </c>
      <c r="E4770" s="1" t="s">
        <v>4759</v>
      </c>
      <c r="F4770" s="1" t="s">
        <v>25</v>
      </c>
      <c r="G4770" s="1" t="s">
        <v>17</v>
      </c>
      <c r="H4770" s="1" t="str">
        <f t="shared" ref="H4770:H4772" si="2929">"67"</f>
        <v>67</v>
      </c>
      <c r="I4770" s="1" t="str">
        <f>"155.92"</f>
        <v>155.92</v>
      </c>
      <c r="J4770" s="1" t="str">
        <f t="shared" si="2925"/>
        <v>0</v>
      </c>
      <c r="K4770" s="1" t="str">
        <f t="shared" si="2926"/>
        <v>103</v>
      </c>
      <c r="L4770" s="1" t="str">
        <f t="shared" si="2927"/>
        <v>47</v>
      </c>
      <c r="M4770" s="1" t="str">
        <f t="shared" si="2928"/>
        <v>0</v>
      </c>
      <c r="N4770" s="1" t="str">
        <f t="shared" si="2912"/>
        <v>0</v>
      </c>
      <c r="O4770" s="1" t="str">
        <f>"5.92"</f>
        <v>5.92</v>
      </c>
    </row>
    <row r="4771" s="1" customFormat="1" spans="1:15">
      <c r="A4771" s="1" t="str">
        <f t="shared" si="2917"/>
        <v>202406</v>
      </c>
      <c r="B4771" s="1" t="str">
        <f t="shared" si="2918"/>
        <v>150525100</v>
      </c>
      <c r="C4771" s="1" t="str">
        <f>"1014548122"</f>
        <v>1014548122</v>
      </c>
      <c r="D4771" s="1" t="str">
        <f>"152326195705203084"</f>
        <v>152326195705203084</v>
      </c>
      <c r="E4771" s="1" t="s">
        <v>489</v>
      </c>
      <c r="F4771" s="1" t="s">
        <v>16</v>
      </c>
      <c r="G4771" s="1" t="s">
        <v>17</v>
      </c>
      <c r="H4771" s="1" t="str">
        <f t="shared" si="2929"/>
        <v>67</v>
      </c>
      <c r="I4771" s="1" t="str">
        <f>"156.06"</f>
        <v>156.06</v>
      </c>
      <c r="J4771" s="1" t="str">
        <f t="shared" si="2925"/>
        <v>0</v>
      </c>
      <c r="K4771" s="1" t="str">
        <f t="shared" si="2926"/>
        <v>103</v>
      </c>
      <c r="L4771" s="1" t="str">
        <f t="shared" si="2927"/>
        <v>47</v>
      </c>
      <c r="M4771" s="1" t="str">
        <f t="shared" si="2928"/>
        <v>0</v>
      </c>
      <c r="N4771" s="1" t="str">
        <f t="shared" si="2912"/>
        <v>0</v>
      </c>
      <c r="O4771" s="1" t="str">
        <f>"6.06"</f>
        <v>6.06</v>
      </c>
    </row>
    <row r="4772" s="1" customFormat="1" spans="1:15">
      <c r="A4772" s="1" t="str">
        <f t="shared" si="2917"/>
        <v>202406</v>
      </c>
      <c r="B4772" s="1" t="str">
        <f t="shared" si="2918"/>
        <v>150525100</v>
      </c>
      <c r="C4772" s="1" t="str">
        <f>"1014548124"</f>
        <v>1014548124</v>
      </c>
      <c r="D4772" s="1" t="str">
        <f>"152326195711173088"</f>
        <v>152326195711173088</v>
      </c>
      <c r="E4772" s="1" t="s">
        <v>4760</v>
      </c>
      <c r="F4772" s="1" t="s">
        <v>16</v>
      </c>
      <c r="G4772" s="1" t="s">
        <v>17</v>
      </c>
      <c r="H4772" s="1" t="str">
        <f t="shared" si="2929"/>
        <v>67</v>
      </c>
      <c r="I4772" s="1" t="str">
        <f>"156.11"</f>
        <v>156.11</v>
      </c>
      <c r="J4772" s="1" t="str">
        <f t="shared" si="2925"/>
        <v>0</v>
      </c>
      <c r="K4772" s="1" t="str">
        <f t="shared" si="2926"/>
        <v>103</v>
      </c>
      <c r="L4772" s="1" t="str">
        <f t="shared" si="2927"/>
        <v>47</v>
      </c>
      <c r="M4772" s="1" t="str">
        <f t="shared" si="2928"/>
        <v>0</v>
      </c>
      <c r="N4772" s="1" t="str">
        <f t="shared" si="2912"/>
        <v>0</v>
      </c>
      <c r="O4772" s="1" t="str">
        <f>"6.11"</f>
        <v>6.11</v>
      </c>
    </row>
    <row r="4773" s="1" customFormat="1" spans="1:15">
      <c r="A4773" s="1" t="str">
        <f t="shared" si="2917"/>
        <v>202406</v>
      </c>
      <c r="B4773" s="1" t="str">
        <f t="shared" si="2918"/>
        <v>150525100</v>
      </c>
      <c r="C4773" s="1" t="str">
        <f>"1014548129"</f>
        <v>1014548129</v>
      </c>
      <c r="D4773" s="1" t="str">
        <f>"152326196003070672"</f>
        <v>152326196003070672</v>
      </c>
      <c r="E4773" s="1" t="s">
        <v>4761</v>
      </c>
      <c r="F4773" s="1" t="s">
        <v>25</v>
      </c>
      <c r="G4773" s="1" t="s">
        <v>17</v>
      </c>
      <c r="H4773" s="1" t="str">
        <f>"64"</f>
        <v>64</v>
      </c>
      <c r="I4773" s="1" t="str">
        <f>"157.53"</f>
        <v>157.53</v>
      </c>
      <c r="J4773" s="1" t="str">
        <f t="shared" si="2925"/>
        <v>0</v>
      </c>
      <c r="K4773" s="1" t="str">
        <f t="shared" si="2926"/>
        <v>103</v>
      </c>
      <c r="L4773" s="1" t="str">
        <f t="shared" si="2927"/>
        <v>47</v>
      </c>
      <c r="M4773" s="1" t="str">
        <f t="shared" si="2928"/>
        <v>0</v>
      </c>
      <c r="N4773" s="1" t="str">
        <f t="shared" si="2912"/>
        <v>0</v>
      </c>
      <c r="O4773" s="1" t="str">
        <f>"7.53"</f>
        <v>7.53</v>
      </c>
    </row>
    <row r="4774" s="1" customFormat="1" spans="1:15">
      <c r="A4774" s="1" t="str">
        <f t="shared" si="2917"/>
        <v>202406</v>
      </c>
      <c r="B4774" s="1" t="str">
        <f t="shared" si="2918"/>
        <v>150525100</v>
      </c>
      <c r="C4774" s="1" t="str">
        <f>"1014548135"</f>
        <v>1014548135</v>
      </c>
      <c r="D4774" s="1" t="str">
        <f>"152326196306173089"</f>
        <v>152326196306173089</v>
      </c>
      <c r="E4774" s="1" t="s">
        <v>4762</v>
      </c>
      <c r="F4774" s="1" t="s">
        <v>16</v>
      </c>
      <c r="G4774" s="1" t="s">
        <v>17</v>
      </c>
      <c r="H4774" s="1" t="str">
        <f>"61"</f>
        <v>61</v>
      </c>
      <c r="I4774" s="1" t="str">
        <f>"169.96"</f>
        <v>169.96</v>
      </c>
      <c r="J4774" s="1" t="str">
        <f t="shared" si="2925"/>
        <v>0</v>
      </c>
      <c r="K4774" s="1" t="str">
        <f t="shared" si="2926"/>
        <v>103</v>
      </c>
      <c r="L4774" s="1" t="str">
        <f t="shared" si="2927"/>
        <v>47</v>
      </c>
      <c r="M4774" s="1" t="str">
        <f t="shared" si="2928"/>
        <v>0</v>
      </c>
      <c r="N4774" s="1" t="str">
        <f t="shared" si="2912"/>
        <v>0</v>
      </c>
      <c r="O4774" s="1" t="str">
        <f>"19.96"</f>
        <v>19.96</v>
      </c>
    </row>
    <row r="4775" s="1" customFormat="1" spans="1:15">
      <c r="A4775" s="1" t="str">
        <f t="shared" si="2917"/>
        <v>202406</v>
      </c>
      <c r="B4775" s="1" t="str">
        <f t="shared" si="2918"/>
        <v>150525100</v>
      </c>
      <c r="C4775" s="1" t="str">
        <f>"1014572177"</f>
        <v>1014572177</v>
      </c>
      <c r="D4775" s="1" t="s">
        <v>4763</v>
      </c>
      <c r="E4775" s="1" t="s">
        <v>4764</v>
      </c>
      <c r="F4775" s="1" t="s">
        <v>25</v>
      </c>
      <c r="G4775" s="1" t="s">
        <v>17</v>
      </c>
      <c r="H4775" s="1" t="str">
        <f>"61"</f>
        <v>61</v>
      </c>
      <c r="I4775" s="1" t="str">
        <f>"255.79"</f>
        <v>255.79</v>
      </c>
      <c r="J4775" s="1" t="str">
        <f t="shared" si="2925"/>
        <v>0</v>
      </c>
      <c r="K4775" s="1" t="str">
        <f t="shared" si="2926"/>
        <v>103</v>
      </c>
      <c r="L4775" s="1" t="str">
        <f t="shared" si="2927"/>
        <v>47</v>
      </c>
      <c r="M4775" s="1" t="str">
        <f t="shared" si="2928"/>
        <v>0</v>
      </c>
      <c r="N4775" s="1" t="str">
        <f t="shared" si="2912"/>
        <v>0</v>
      </c>
      <c r="O4775" s="1" t="str">
        <f>"105.79"</f>
        <v>105.79</v>
      </c>
    </row>
    <row r="4776" s="1" customFormat="1" spans="1:15">
      <c r="A4776" s="1" t="str">
        <f t="shared" si="2917"/>
        <v>202406</v>
      </c>
      <c r="B4776" s="1" t="str">
        <f t="shared" si="2918"/>
        <v>150525100</v>
      </c>
      <c r="C4776" s="1" t="str">
        <f>"1014552372"</f>
        <v>1014552372</v>
      </c>
      <c r="D4776" s="1" t="s">
        <v>4765</v>
      </c>
      <c r="E4776" s="1" t="s">
        <v>3728</v>
      </c>
      <c r="F4776" s="1" t="s">
        <v>16</v>
      </c>
      <c r="G4776" s="1" t="s">
        <v>19</v>
      </c>
      <c r="H4776" s="1" t="str">
        <f>"72"</f>
        <v>72</v>
      </c>
      <c r="I4776" s="1" t="str">
        <f>"163.16"</f>
        <v>163.16</v>
      </c>
      <c r="J4776" s="1" t="str">
        <f t="shared" si="2925"/>
        <v>0</v>
      </c>
      <c r="K4776" s="1" t="str">
        <f t="shared" si="2926"/>
        <v>103</v>
      </c>
      <c r="L4776" s="1" t="str">
        <f t="shared" si="2927"/>
        <v>47</v>
      </c>
      <c r="M4776" s="1" t="str">
        <f t="shared" si="2928"/>
        <v>0</v>
      </c>
      <c r="N4776" s="1" t="str">
        <f t="shared" si="2912"/>
        <v>0</v>
      </c>
      <c r="O4776" s="1" t="str">
        <f>"3.16"</f>
        <v>3.16</v>
      </c>
    </row>
    <row r="4777" s="1" customFormat="1" spans="1:15">
      <c r="A4777" s="1" t="str">
        <f t="shared" si="2917"/>
        <v>202406</v>
      </c>
      <c r="B4777" s="1" t="str">
        <f t="shared" si="2918"/>
        <v>150525100</v>
      </c>
      <c r="C4777" s="1" t="str">
        <f>"1014576340"</f>
        <v>1014576340</v>
      </c>
      <c r="D4777" s="1" t="str">
        <f>"152326196104160693"</f>
        <v>152326196104160693</v>
      </c>
      <c r="E4777" s="1" t="s">
        <v>4766</v>
      </c>
      <c r="F4777" s="1" t="s">
        <v>25</v>
      </c>
      <c r="G4777" s="1" t="s">
        <v>19</v>
      </c>
      <c r="H4777" s="1" t="str">
        <f>"63"</f>
        <v>63</v>
      </c>
      <c r="I4777" s="1" t="str">
        <f>"161.04"</f>
        <v>161.04</v>
      </c>
      <c r="J4777" s="1" t="str">
        <f t="shared" si="2925"/>
        <v>0</v>
      </c>
      <c r="K4777" s="1" t="str">
        <f t="shared" si="2926"/>
        <v>103</v>
      </c>
      <c r="L4777" s="1" t="str">
        <f t="shared" si="2927"/>
        <v>47</v>
      </c>
      <c r="M4777" s="1" t="str">
        <f t="shared" si="2928"/>
        <v>0</v>
      </c>
      <c r="N4777" s="1" t="str">
        <f t="shared" si="2912"/>
        <v>0</v>
      </c>
      <c r="O4777" s="1" t="str">
        <f>"11.04"</f>
        <v>11.04</v>
      </c>
    </row>
    <row r="4778" s="1" customFormat="1" spans="1:15">
      <c r="A4778" s="1" t="str">
        <f t="shared" si="2917"/>
        <v>202406</v>
      </c>
      <c r="B4778" s="1" t="str">
        <f t="shared" si="2918"/>
        <v>150525100</v>
      </c>
      <c r="C4778" s="1" t="str">
        <f>"1014576346"</f>
        <v>1014576346</v>
      </c>
      <c r="D4778" s="1" t="str">
        <f>"152326196208260664"</f>
        <v>152326196208260664</v>
      </c>
      <c r="E4778" s="1" t="s">
        <v>4767</v>
      </c>
      <c r="F4778" s="1" t="s">
        <v>16</v>
      </c>
      <c r="G4778" s="1" t="s">
        <v>19</v>
      </c>
      <c r="H4778" s="1" t="str">
        <f>"62"</f>
        <v>62</v>
      </c>
      <c r="I4778" s="1" t="str">
        <f>"163.1"</f>
        <v>163.1</v>
      </c>
      <c r="J4778" s="1" t="str">
        <f t="shared" si="2925"/>
        <v>0</v>
      </c>
      <c r="K4778" s="1" t="str">
        <f t="shared" si="2926"/>
        <v>103</v>
      </c>
      <c r="L4778" s="1" t="str">
        <f t="shared" si="2927"/>
        <v>47</v>
      </c>
      <c r="M4778" s="1" t="str">
        <f t="shared" si="2928"/>
        <v>0</v>
      </c>
      <c r="N4778" s="1" t="str">
        <f t="shared" si="2912"/>
        <v>0</v>
      </c>
      <c r="O4778" s="1" t="str">
        <f>"13.1"</f>
        <v>13.1</v>
      </c>
    </row>
    <row r="4779" s="1" customFormat="1" spans="1:15">
      <c r="A4779" s="1" t="str">
        <f t="shared" si="2917"/>
        <v>202406</v>
      </c>
      <c r="B4779" s="1" t="str">
        <f t="shared" si="2918"/>
        <v>150525100</v>
      </c>
      <c r="C4779" s="1" t="str">
        <f>"1014576481"</f>
        <v>1014576481</v>
      </c>
      <c r="D4779" s="1" t="str">
        <f>"152326196005056129"</f>
        <v>152326196005056129</v>
      </c>
      <c r="E4779" s="1" t="s">
        <v>1561</v>
      </c>
      <c r="F4779" s="1" t="s">
        <v>16</v>
      </c>
      <c r="G4779" s="1" t="s">
        <v>17</v>
      </c>
      <c r="H4779" s="1" t="str">
        <f>"64"</f>
        <v>64</v>
      </c>
      <c r="I4779" s="1" t="str">
        <f>"158.98"</f>
        <v>158.98</v>
      </c>
      <c r="J4779" s="1" t="str">
        <f t="shared" si="2925"/>
        <v>0</v>
      </c>
      <c r="K4779" s="1" t="str">
        <f t="shared" si="2926"/>
        <v>103</v>
      </c>
      <c r="L4779" s="1" t="str">
        <f t="shared" si="2927"/>
        <v>47</v>
      </c>
      <c r="M4779" s="1" t="str">
        <f t="shared" si="2928"/>
        <v>0</v>
      </c>
      <c r="N4779" s="1" t="str">
        <f t="shared" si="2912"/>
        <v>0</v>
      </c>
      <c r="O4779" s="1" t="str">
        <f>"8.98"</f>
        <v>8.98</v>
      </c>
    </row>
    <row r="4780" s="1" customFormat="1" spans="1:15">
      <c r="A4780" s="1" t="str">
        <f t="shared" si="2917"/>
        <v>202406</v>
      </c>
      <c r="B4780" s="1" t="str">
        <f t="shared" si="2918"/>
        <v>150525100</v>
      </c>
      <c r="C4780" s="1" t="str">
        <f>"1014576483"</f>
        <v>1014576483</v>
      </c>
      <c r="D4780" s="1" t="str">
        <f>"152326196005096120"</f>
        <v>152326196005096120</v>
      </c>
      <c r="E4780" s="1" t="s">
        <v>2279</v>
      </c>
      <c r="F4780" s="1" t="s">
        <v>16</v>
      </c>
      <c r="G4780" s="1" t="s">
        <v>17</v>
      </c>
      <c r="H4780" s="1" t="str">
        <f>"64"</f>
        <v>64</v>
      </c>
      <c r="I4780" s="1" t="str">
        <f>"158.99"</f>
        <v>158.99</v>
      </c>
      <c r="J4780" s="1" t="str">
        <f t="shared" si="2925"/>
        <v>0</v>
      </c>
      <c r="K4780" s="1" t="str">
        <f t="shared" si="2926"/>
        <v>103</v>
      </c>
      <c r="L4780" s="1" t="str">
        <f t="shared" si="2927"/>
        <v>47</v>
      </c>
      <c r="M4780" s="1" t="str">
        <f t="shared" si="2928"/>
        <v>0</v>
      </c>
      <c r="N4780" s="1" t="str">
        <f t="shared" si="2912"/>
        <v>0</v>
      </c>
      <c r="O4780" s="1" t="str">
        <f>"8.99"</f>
        <v>8.99</v>
      </c>
    </row>
    <row r="4781" s="1" customFormat="1" spans="1:15">
      <c r="A4781" s="1" t="str">
        <f t="shared" si="2917"/>
        <v>202406</v>
      </c>
      <c r="B4781" s="1" t="str">
        <f t="shared" si="2918"/>
        <v>150525100</v>
      </c>
      <c r="C4781" s="1" t="str">
        <f>"1014576486"</f>
        <v>1014576486</v>
      </c>
      <c r="D4781" s="1" t="str">
        <f>"152326196111176386"</f>
        <v>152326196111176386</v>
      </c>
      <c r="E4781" s="1" t="s">
        <v>4768</v>
      </c>
      <c r="F4781" s="1" t="s">
        <v>16</v>
      </c>
      <c r="G4781" s="1" t="s">
        <v>17</v>
      </c>
      <c r="H4781" s="1" t="str">
        <f>"63"</f>
        <v>63</v>
      </c>
      <c r="I4781" s="1" t="str">
        <f>"160.9"</f>
        <v>160.9</v>
      </c>
      <c r="J4781" s="1" t="str">
        <f t="shared" si="2925"/>
        <v>0</v>
      </c>
      <c r="K4781" s="1" t="str">
        <f t="shared" si="2926"/>
        <v>103</v>
      </c>
      <c r="L4781" s="1" t="str">
        <f t="shared" si="2927"/>
        <v>47</v>
      </c>
      <c r="M4781" s="1" t="str">
        <f t="shared" si="2928"/>
        <v>0</v>
      </c>
      <c r="N4781" s="1" t="str">
        <f t="shared" si="2912"/>
        <v>0</v>
      </c>
      <c r="O4781" s="1" t="str">
        <f>"10.9"</f>
        <v>10.9</v>
      </c>
    </row>
    <row r="4782" s="1" customFormat="1" spans="1:15">
      <c r="A4782" s="1" t="str">
        <f t="shared" si="2917"/>
        <v>202406</v>
      </c>
      <c r="B4782" s="1" t="str">
        <f t="shared" si="2918"/>
        <v>150525100</v>
      </c>
      <c r="C4782" s="1" t="str">
        <f>"1014576691"</f>
        <v>1014576691</v>
      </c>
      <c r="D4782" s="1" t="str">
        <f>"152326195210030695"</f>
        <v>152326195210030695</v>
      </c>
      <c r="E4782" s="1" t="s">
        <v>4769</v>
      </c>
      <c r="F4782" s="1" t="s">
        <v>25</v>
      </c>
      <c r="G4782" s="1" t="s">
        <v>17</v>
      </c>
      <c r="H4782" s="1" t="str">
        <f>"72"</f>
        <v>72</v>
      </c>
      <c r="I4782" s="1" t="str">
        <f>"162.14"</f>
        <v>162.14</v>
      </c>
      <c r="J4782" s="1" t="str">
        <f t="shared" si="2925"/>
        <v>0</v>
      </c>
      <c r="K4782" s="1" t="str">
        <f t="shared" si="2926"/>
        <v>103</v>
      </c>
      <c r="L4782" s="1" t="str">
        <f t="shared" si="2927"/>
        <v>47</v>
      </c>
      <c r="M4782" s="1" t="str">
        <f t="shared" si="2928"/>
        <v>0</v>
      </c>
      <c r="N4782" s="1" t="str">
        <f t="shared" si="2912"/>
        <v>0</v>
      </c>
      <c r="O4782" s="1" t="str">
        <f>"2.14"</f>
        <v>2.14</v>
      </c>
    </row>
    <row r="4783" s="1" customFormat="1" spans="1:15">
      <c r="A4783" s="1" t="str">
        <f t="shared" si="2917"/>
        <v>202406</v>
      </c>
      <c r="B4783" s="1" t="str">
        <f t="shared" si="2918"/>
        <v>150525100</v>
      </c>
      <c r="C4783" s="1" t="str">
        <f>"1014548477"</f>
        <v>1014548477</v>
      </c>
      <c r="D4783" s="1" t="s">
        <v>4770</v>
      </c>
      <c r="E4783" s="1" t="s">
        <v>4771</v>
      </c>
      <c r="F4783" s="1" t="s">
        <v>16</v>
      </c>
      <c r="G4783" s="1" t="s">
        <v>17</v>
      </c>
      <c r="H4783" s="1" t="str">
        <f>"69"</f>
        <v>69</v>
      </c>
      <c r="I4783" s="1" t="str">
        <f>"171.65"</f>
        <v>171.65</v>
      </c>
      <c r="J4783" s="1" t="str">
        <f t="shared" si="2925"/>
        <v>0</v>
      </c>
      <c r="K4783" s="1" t="str">
        <f t="shared" si="2926"/>
        <v>103</v>
      </c>
      <c r="L4783" s="1" t="str">
        <f t="shared" si="2927"/>
        <v>47</v>
      </c>
      <c r="M4783" s="1" t="str">
        <f t="shared" si="2928"/>
        <v>0</v>
      </c>
      <c r="N4783" s="1" t="str">
        <f t="shared" si="2912"/>
        <v>0</v>
      </c>
      <c r="O4783" s="1" t="str">
        <f>"21.65"</f>
        <v>21.65</v>
      </c>
    </row>
    <row r="4784" s="1" customFormat="1" spans="1:15">
      <c r="A4784" s="1" t="str">
        <f t="shared" si="2917"/>
        <v>202406</v>
      </c>
      <c r="B4784" s="1" t="str">
        <f t="shared" si="2918"/>
        <v>150525100</v>
      </c>
      <c r="C4784" s="1" t="str">
        <f>"1014548480"</f>
        <v>1014548480</v>
      </c>
      <c r="D4784" s="1" t="str">
        <f>"152326195412113106"</f>
        <v>152326195412113106</v>
      </c>
      <c r="E4784" s="1" t="s">
        <v>4772</v>
      </c>
      <c r="F4784" s="1" t="s">
        <v>16</v>
      </c>
      <c r="G4784" s="1" t="s">
        <v>17</v>
      </c>
      <c r="H4784" s="1" t="str">
        <f>"70"</f>
        <v>70</v>
      </c>
      <c r="I4784" s="1" t="str">
        <f>"184.27"</f>
        <v>184.27</v>
      </c>
      <c r="J4784" s="1" t="str">
        <f t="shared" si="2925"/>
        <v>0</v>
      </c>
      <c r="K4784" s="1" t="str">
        <f t="shared" si="2926"/>
        <v>103</v>
      </c>
      <c r="L4784" s="1" t="str">
        <f t="shared" si="2927"/>
        <v>47</v>
      </c>
      <c r="M4784" s="1" t="str">
        <f t="shared" si="2928"/>
        <v>0</v>
      </c>
      <c r="N4784" s="1" t="str">
        <f t="shared" si="2912"/>
        <v>0</v>
      </c>
      <c r="O4784" s="1" t="str">
        <f>"34.27"</f>
        <v>34.27</v>
      </c>
    </row>
    <row r="4785" s="1" customFormat="1" spans="1:15">
      <c r="A4785" s="1" t="str">
        <f t="shared" si="2917"/>
        <v>202406</v>
      </c>
      <c r="B4785" s="1" t="str">
        <f t="shared" si="2918"/>
        <v>150525100</v>
      </c>
      <c r="C4785" s="1" t="str">
        <f>"1014570253"</f>
        <v>1014570253</v>
      </c>
      <c r="D4785" s="1" t="str">
        <f>"152326195909103819"</f>
        <v>152326195909103819</v>
      </c>
      <c r="E4785" s="1" t="s">
        <v>4773</v>
      </c>
      <c r="F4785" s="1" t="s">
        <v>25</v>
      </c>
      <c r="G4785" s="1" t="s">
        <v>17</v>
      </c>
      <c r="H4785" s="1" t="str">
        <f>"65"</f>
        <v>65</v>
      </c>
      <c r="I4785" s="1" t="str">
        <f>"164.56"</f>
        <v>164.56</v>
      </c>
      <c r="J4785" s="1" t="str">
        <f t="shared" si="2925"/>
        <v>0</v>
      </c>
      <c r="K4785" s="1" t="str">
        <f t="shared" si="2926"/>
        <v>103</v>
      </c>
      <c r="L4785" s="1" t="str">
        <f t="shared" si="2927"/>
        <v>47</v>
      </c>
      <c r="M4785" s="1" t="str">
        <f t="shared" si="2928"/>
        <v>0</v>
      </c>
      <c r="N4785" s="1" t="str">
        <f t="shared" si="2912"/>
        <v>0</v>
      </c>
      <c r="O4785" s="1" t="str">
        <f>"14.56"</f>
        <v>14.56</v>
      </c>
    </row>
    <row r="4786" s="1" customFormat="1" spans="1:15">
      <c r="A4786" s="1" t="str">
        <f t="shared" si="2917"/>
        <v>202406</v>
      </c>
      <c r="B4786" s="1" t="str">
        <f t="shared" si="2918"/>
        <v>150525100</v>
      </c>
      <c r="C4786" s="1" t="str">
        <f>"1014576727"</f>
        <v>1014576727</v>
      </c>
      <c r="D4786" s="1" t="str">
        <f>"152326195507200683"</f>
        <v>152326195507200683</v>
      </c>
      <c r="E4786" s="1" t="s">
        <v>4774</v>
      </c>
      <c r="F4786" s="1" t="s">
        <v>16</v>
      </c>
      <c r="G4786" s="1" t="s">
        <v>17</v>
      </c>
      <c r="H4786" s="1" t="str">
        <f>"69"</f>
        <v>69</v>
      </c>
      <c r="I4786" s="1" t="str">
        <f>"155.1"</f>
        <v>155.1</v>
      </c>
      <c r="J4786" s="1" t="str">
        <f t="shared" si="2925"/>
        <v>0</v>
      </c>
      <c r="K4786" s="1" t="str">
        <f t="shared" si="2926"/>
        <v>103</v>
      </c>
      <c r="L4786" s="1" t="str">
        <f t="shared" si="2927"/>
        <v>47</v>
      </c>
      <c r="M4786" s="1" t="str">
        <f t="shared" si="2928"/>
        <v>0</v>
      </c>
      <c r="N4786" s="1" t="str">
        <f t="shared" si="2912"/>
        <v>0</v>
      </c>
      <c r="O4786" s="1" t="str">
        <f>"5.1"</f>
        <v>5.1</v>
      </c>
    </row>
    <row r="4787" s="1" customFormat="1" spans="1:15">
      <c r="A4787" s="1" t="str">
        <f t="shared" si="2917"/>
        <v>202406</v>
      </c>
      <c r="B4787" s="1" t="str">
        <f t="shared" si="2918"/>
        <v>150525100</v>
      </c>
      <c r="C4787" s="1" t="str">
        <f>"1014570385"</f>
        <v>1014570385</v>
      </c>
      <c r="D4787" s="1" t="str">
        <f>"152326195705063886"</f>
        <v>152326195705063886</v>
      </c>
      <c r="E4787" s="1" t="s">
        <v>4775</v>
      </c>
      <c r="F4787" s="1" t="s">
        <v>16</v>
      </c>
      <c r="G4787" s="1" t="s">
        <v>17</v>
      </c>
      <c r="H4787" s="1" t="str">
        <f>"67"</f>
        <v>67</v>
      </c>
      <c r="I4787" s="1" t="str">
        <f>"157.77"</f>
        <v>157.77</v>
      </c>
      <c r="J4787" s="1" t="str">
        <f t="shared" si="2925"/>
        <v>0</v>
      </c>
      <c r="K4787" s="1" t="str">
        <f t="shared" si="2926"/>
        <v>103</v>
      </c>
      <c r="L4787" s="1" t="str">
        <f t="shared" si="2927"/>
        <v>47</v>
      </c>
      <c r="M4787" s="1" t="str">
        <f t="shared" si="2928"/>
        <v>0</v>
      </c>
      <c r="N4787" s="1" t="str">
        <f t="shared" si="2912"/>
        <v>0</v>
      </c>
      <c r="O4787" s="1" t="str">
        <f>"7.77"</f>
        <v>7.77</v>
      </c>
    </row>
    <row r="4788" s="1" customFormat="1" spans="1:15">
      <c r="A4788" s="1" t="str">
        <f t="shared" si="2917"/>
        <v>202406</v>
      </c>
      <c r="B4788" s="1" t="str">
        <f t="shared" si="2918"/>
        <v>150525100</v>
      </c>
      <c r="C4788" s="1" t="str">
        <f>"1014570387"</f>
        <v>1014570387</v>
      </c>
      <c r="D4788" s="1" t="str">
        <f>"152326196009043827"</f>
        <v>152326196009043827</v>
      </c>
      <c r="E4788" s="1" t="s">
        <v>4776</v>
      </c>
      <c r="F4788" s="1" t="s">
        <v>16</v>
      </c>
      <c r="G4788" s="1" t="s">
        <v>17</v>
      </c>
      <c r="H4788" s="1" t="str">
        <f>"64"</f>
        <v>64</v>
      </c>
      <c r="I4788" s="1" t="str">
        <f>"159.26"</f>
        <v>159.26</v>
      </c>
      <c r="J4788" s="1" t="str">
        <f t="shared" si="2925"/>
        <v>0</v>
      </c>
      <c r="K4788" s="1" t="str">
        <f t="shared" si="2926"/>
        <v>103</v>
      </c>
      <c r="L4788" s="1" t="str">
        <f t="shared" si="2927"/>
        <v>47</v>
      </c>
      <c r="M4788" s="1" t="str">
        <f t="shared" si="2928"/>
        <v>0</v>
      </c>
      <c r="N4788" s="1" t="str">
        <f t="shared" si="2912"/>
        <v>0</v>
      </c>
      <c r="O4788" s="1" t="str">
        <f>"9.26"</f>
        <v>9.26</v>
      </c>
    </row>
    <row r="4789" s="1" customFormat="1" spans="1:15">
      <c r="A4789" s="1" t="str">
        <f t="shared" si="2917"/>
        <v>202406</v>
      </c>
      <c r="B4789" s="1" t="str">
        <f t="shared" si="2918"/>
        <v>150525100</v>
      </c>
      <c r="C4789" s="1" t="str">
        <f>"1014570391"</f>
        <v>1014570391</v>
      </c>
      <c r="D4789" s="1" t="str">
        <f>"152326195607233829"</f>
        <v>152326195607233829</v>
      </c>
      <c r="E4789" s="1" t="s">
        <v>4777</v>
      </c>
      <c r="F4789" s="1" t="s">
        <v>16</v>
      </c>
      <c r="G4789" s="1" t="s">
        <v>17</v>
      </c>
      <c r="H4789" s="1" t="str">
        <f t="shared" ref="H4789:H4794" si="2930">"68"</f>
        <v>68</v>
      </c>
      <c r="I4789" s="1" t="str">
        <f>"155.79"</f>
        <v>155.79</v>
      </c>
      <c r="J4789" s="1" t="str">
        <f t="shared" si="2925"/>
        <v>0</v>
      </c>
      <c r="K4789" s="1" t="str">
        <f t="shared" si="2926"/>
        <v>103</v>
      </c>
      <c r="L4789" s="1" t="str">
        <f t="shared" si="2927"/>
        <v>47</v>
      </c>
      <c r="M4789" s="1" t="str">
        <f t="shared" si="2928"/>
        <v>0</v>
      </c>
      <c r="N4789" s="1" t="str">
        <f t="shared" si="2912"/>
        <v>0</v>
      </c>
      <c r="O4789" s="1" t="str">
        <f>"5.79"</f>
        <v>5.79</v>
      </c>
    </row>
    <row r="4790" s="1" customFormat="1" spans="1:15">
      <c r="A4790" s="1" t="str">
        <f t="shared" si="2917"/>
        <v>202406</v>
      </c>
      <c r="B4790" s="1" t="str">
        <f t="shared" si="2918"/>
        <v>150525100</v>
      </c>
      <c r="C4790" s="1" t="str">
        <f>"1014570409"</f>
        <v>1014570409</v>
      </c>
      <c r="D4790" s="1" t="str">
        <f>"152326195812173829"</f>
        <v>152326195812173829</v>
      </c>
      <c r="E4790" s="1" t="s">
        <v>4778</v>
      </c>
      <c r="F4790" s="1" t="s">
        <v>16</v>
      </c>
      <c r="G4790" s="1" t="s">
        <v>17</v>
      </c>
      <c r="H4790" s="1" t="str">
        <f>"66"</f>
        <v>66</v>
      </c>
      <c r="I4790" s="1" t="str">
        <f>"157.17"</f>
        <v>157.17</v>
      </c>
      <c r="J4790" s="1" t="str">
        <f t="shared" si="2925"/>
        <v>0</v>
      </c>
      <c r="K4790" s="1" t="str">
        <f t="shared" si="2926"/>
        <v>103</v>
      </c>
      <c r="L4790" s="1" t="str">
        <f t="shared" si="2927"/>
        <v>47</v>
      </c>
      <c r="M4790" s="1" t="str">
        <f t="shared" si="2928"/>
        <v>0</v>
      </c>
      <c r="N4790" s="1" t="str">
        <f t="shared" si="2912"/>
        <v>0</v>
      </c>
      <c r="O4790" s="1" t="str">
        <f>"7.17"</f>
        <v>7.17</v>
      </c>
    </row>
    <row r="4791" s="1" customFormat="1" spans="1:15">
      <c r="A4791" s="1" t="str">
        <f t="shared" si="2917"/>
        <v>202406</v>
      </c>
      <c r="B4791" s="1" t="str">
        <f t="shared" si="2918"/>
        <v>150525100</v>
      </c>
      <c r="C4791" s="1" t="str">
        <f>"1014552478"</f>
        <v>1014552478</v>
      </c>
      <c r="D4791" s="1" t="str">
        <f>"152326195602023814"</f>
        <v>152326195602023814</v>
      </c>
      <c r="E4791" s="1" t="s">
        <v>4779</v>
      </c>
      <c r="F4791" s="1" t="s">
        <v>25</v>
      </c>
      <c r="G4791" s="1" t="s">
        <v>19</v>
      </c>
      <c r="H4791" s="1" t="str">
        <f t="shared" si="2930"/>
        <v>68</v>
      </c>
      <c r="I4791" s="1" t="str">
        <f>"155.78"</f>
        <v>155.78</v>
      </c>
      <c r="J4791" s="1" t="str">
        <f t="shared" si="2925"/>
        <v>0</v>
      </c>
      <c r="K4791" s="1" t="str">
        <f t="shared" si="2926"/>
        <v>103</v>
      </c>
      <c r="L4791" s="1" t="str">
        <f t="shared" si="2927"/>
        <v>47</v>
      </c>
      <c r="M4791" s="1" t="str">
        <f t="shared" si="2928"/>
        <v>0</v>
      </c>
      <c r="N4791" s="1" t="str">
        <f t="shared" si="2912"/>
        <v>0</v>
      </c>
      <c r="O4791" s="1" t="str">
        <f>"5.78"</f>
        <v>5.78</v>
      </c>
    </row>
    <row r="4792" s="1" customFormat="1" spans="1:15">
      <c r="A4792" s="1" t="str">
        <f t="shared" si="2917"/>
        <v>202406</v>
      </c>
      <c r="B4792" s="1" t="str">
        <f t="shared" si="2918"/>
        <v>150525100</v>
      </c>
      <c r="C4792" s="1" t="str">
        <f>"1014576560"</f>
        <v>1014576560</v>
      </c>
      <c r="D4792" s="1" t="str">
        <f>"152326195906090426"</f>
        <v>152326195906090426</v>
      </c>
      <c r="E4792" s="1" t="s">
        <v>4780</v>
      </c>
      <c r="F4792" s="1" t="s">
        <v>16</v>
      </c>
      <c r="G4792" s="1" t="s">
        <v>19</v>
      </c>
      <c r="H4792" s="1" t="str">
        <f>"65"</f>
        <v>65</v>
      </c>
      <c r="I4792" s="1" t="str">
        <f>"157.92"</f>
        <v>157.92</v>
      </c>
      <c r="J4792" s="1" t="str">
        <f t="shared" si="2925"/>
        <v>0</v>
      </c>
      <c r="K4792" s="1" t="str">
        <f t="shared" si="2926"/>
        <v>103</v>
      </c>
      <c r="L4792" s="1" t="str">
        <f t="shared" si="2927"/>
        <v>47</v>
      </c>
      <c r="M4792" s="1" t="str">
        <f t="shared" si="2928"/>
        <v>0</v>
      </c>
      <c r="N4792" s="1" t="str">
        <f t="shared" si="2912"/>
        <v>0</v>
      </c>
      <c r="O4792" s="1" t="str">
        <f>"7.92"</f>
        <v>7.92</v>
      </c>
    </row>
    <row r="4793" s="1" customFormat="1" spans="1:15">
      <c r="A4793" s="1" t="str">
        <f t="shared" si="2917"/>
        <v>202406</v>
      </c>
      <c r="B4793" s="1" t="str">
        <f t="shared" si="2918"/>
        <v>150525100</v>
      </c>
      <c r="C4793" s="1" t="str">
        <f>"1014548230"</f>
        <v>1014548230</v>
      </c>
      <c r="D4793" s="1" t="str">
        <f>"152326195607030669"</f>
        <v>152326195607030669</v>
      </c>
      <c r="E4793" s="1" t="s">
        <v>4781</v>
      </c>
      <c r="F4793" s="1" t="s">
        <v>16</v>
      </c>
      <c r="G4793" s="1" t="s">
        <v>96</v>
      </c>
      <c r="H4793" s="1" t="str">
        <f t="shared" si="2930"/>
        <v>68</v>
      </c>
      <c r="I4793" s="1" t="str">
        <f>"155.77"</f>
        <v>155.77</v>
      </c>
      <c r="J4793" s="1" t="str">
        <f t="shared" si="2925"/>
        <v>0</v>
      </c>
      <c r="K4793" s="1" t="str">
        <f t="shared" si="2926"/>
        <v>103</v>
      </c>
      <c r="L4793" s="1" t="str">
        <f t="shared" si="2927"/>
        <v>47</v>
      </c>
      <c r="M4793" s="1" t="str">
        <f t="shared" si="2928"/>
        <v>0</v>
      </c>
      <c r="N4793" s="1" t="str">
        <f t="shared" si="2912"/>
        <v>0</v>
      </c>
      <c r="O4793" s="1" t="str">
        <f>"5.77"</f>
        <v>5.77</v>
      </c>
    </row>
    <row r="4794" s="1" customFormat="1" spans="1:15">
      <c r="A4794" s="1" t="str">
        <f t="shared" si="2917"/>
        <v>202406</v>
      </c>
      <c r="B4794" s="1" t="str">
        <f t="shared" si="2918"/>
        <v>150525100</v>
      </c>
      <c r="C4794" s="1" t="str">
        <f>"1014570441"</f>
        <v>1014570441</v>
      </c>
      <c r="D4794" s="1" t="str">
        <f>"152326195601103812"</f>
        <v>152326195601103812</v>
      </c>
      <c r="E4794" s="1" t="s">
        <v>4782</v>
      </c>
      <c r="F4794" s="1" t="s">
        <v>25</v>
      </c>
      <c r="G4794" s="1" t="s">
        <v>17</v>
      </c>
      <c r="H4794" s="1" t="str">
        <f t="shared" si="2930"/>
        <v>68</v>
      </c>
      <c r="I4794" s="1" t="str">
        <f>"156.02"</f>
        <v>156.02</v>
      </c>
      <c r="J4794" s="1" t="str">
        <f t="shared" si="2925"/>
        <v>0</v>
      </c>
      <c r="K4794" s="1" t="str">
        <f t="shared" si="2926"/>
        <v>103</v>
      </c>
      <c r="L4794" s="1" t="str">
        <f t="shared" si="2927"/>
        <v>47</v>
      </c>
      <c r="M4794" s="1" t="str">
        <f t="shared" si="2928"/>
        <v>0</v>
      </c>
      <c r="N4794" s="1" t="str">
        <f t="shared" ref="N4794:N4857" si="2931">"0"</f>
        <v>0</v>
      </c>
      <c r="O4794" s="1" t="str">
        <f>"6.02"</f>
        <v>6.02</v>
      </c>
    </row>
    <row r="4795" s="1" customFormat="1" spans="1:15">
      <c r="A4795" s="1" t="str">
        <f t="shared" si="2917"/>
        <v>202406</v>
      </c>
      <c r="B4795" s="1" t="str">
        <f t="shared" si="2918"/>
        <v>150525100</v>
      </c>
      <c r="C4795" s="1" t="str">
        <f>"1014577025"</f>
        <v>1014577025</v>
      </c>
      <c r="D4795" s="1" t="str">
        <f>"152326195202220675"</f>
        <v>152326195202220675</v>
      </c>
      <c r="E4795" s="1" t="s">
        <v>4783</v>
      </c>
      <c r="F4795" s="1" t="s">
        <v>25</v>
      </c>
      <c r="G4795" s="1" t="s">
        <v>17</v>
      </c>
      <c r="H4795" s="1" t="str">
        <f t="shared" ref="H4795:H4797" si="2932">"72"</f>
        <v>72</v>
      </c>
      <c r="I4795" s="1" t="str">
        <f t="shared" ref="I4795:I4797" si="2933">"162.14"</f>
        <v>162.14</v>
      </c>
      <c r="J4795" s="1" t="str">
        <f t="shared" si="2925"/>
        <v>0</v>
      </c>
      <c r="K4795" s="1" t="str">
        <f t="shared" si="2926"/>
        <v>103</v>
      </c>
      <c r="L4795" s="1" t="str">
        <f t="shared" si="2927"/>
        <v>47</v>
      </c>
      <c r="M4795" s="1" t="str">
        <f t="shared" si="2928"/>
        <v>0</v>
      </c>
      <c r="N4795" s="1" t="str">
        <f t="shared" si="2931"/>
        <v>0</v>
      </c>
      <c r="O4795" s="1" t="str">
        <f t="shared" ref="O4795:O4797" si="2934">"2.14"</f>
        <v>2.14</v>
      </c>
    </row>
    <row r="4796" s="1" customFormat="1" spans="1:15">
      <c r="A4796" s="1" t="str">
        <f t="shared" si="2917"/>
        <v>202406</v>
      </c>
      <c r="B4796" s="1" t="str">
        <f t="shared" si="2918"/>
        <v>150525100</v>
      </c>
      <c r="C4796" s="1" t="str">
        <f>"1014577028"</f>
        <v>1014577028</v>
      </c>
      <c r="D4796" s="1" t="str">
        <f>"152326195205240663"</f>
        <v>152326195205240663</v>
      </c>
      <c r="E4796" s="1" t="s">
        <v>4784</v>
      </c>
      <c r="F4796" s="1" t="s">
        <v>16</v>
      </c>
      <c r="G4796" s="1" t="s">
        <v>17</v>
      </c>
      <c r="H4796" s="1" t="str">
        <f t="shared" si="2932"/>
        <v>72</v>
      </c>
      <c r="I4796" s="1" t="str">
        <f t="shared" si="2933"/>
        <v>162.14</v>
      </c>
      <c r="J4796" s="1" t="str">
        <f t="shared" si="2925"/>
        <v>0</v>
      </c>
      <c r="K4796" s="1" t="str">
        <f t="shared" si="2926"/>
        <v>103</v>
      </c>
      <c r="L4796" s="1" t="str">
        <f t="shared" si="2927"/>
        <v>47</v>
      </c>
      <c r="M4796" s="1" t="str">
        <f t="shared" si="2928"/>
        <v>0</v>
      </c>
      <c r="N4796" s="1" t="str">
        <f t="shared" si="2931"/>
        <v>0</v>
      </c>
      <c r="O4796" s="1" t="str">
        <f t="shared" si="2934"/>
        <v>2.14</v>
      </c>
    </row>
    <row r="4797" s="1" customFormat="1" spans="1:15">
      <c r="A4797" s="1" t="str">
        <f t="shared" si="2917"/>
        <v>202406</v>
      </c>
      <c r="B4797" s="1" t="str">
        <f t="shared" si="2918"/>
        <v>150525100</v>
      </c>
      <c r="C4797" s="1" t="str">
        <f>"1014577033"</f>
        <v>1014577033</v>
      </c>
      <c r="D4797" s="1" t="str">
        <f>"152326195210010678"</f>
        <v>152326195210010678</v>
      </c>
      <c r="E4797" s="1" t="s">
        <v>4785</v>
      </c>
      <c r="F4797" s="1" t="s">
        <v>25</v>
      </c>
      <c r="G4797" s="1" t="s">
        <v>17</v>
      </c>
      <c r="H4797" s="1" t="str">
        <f t="shared" si="2932"/>
        <v>72</v>
      </c>
      <c r="I4797" s="1" t="str">
        <f t="shared" si="2933"/>
        <v>162.14</v>
      </c>
      <c r="J4797" s="1" t="str">
        <f t="shared" si="2925"/>
        <v>0</v>
      </c>
      <c r="K4797" s="1" t="str">
        <f t="shared" si="2926"/>
        <v>103</v>
      </c>
      <c r="L4797" s="1" t="str">
        <f t="shared" si="2927"/>
        <v>47</v>
      </c>
      <c r="M4797" s="1" t="str">
        <f t="shared" si="2928"/>
        <v>0</v>
      </c>
      <c r="N4797" s="1" t="str">
        <f t="shared" si="2931"/>
        <v>0</v>
      </c>
      <c r="O4797" s="1" t="str">
        <f t="shared" si="2934"/>
        <v>2.14</v>
      </c>
    </row>
    <row r="4798" s="1" customFormat="1" spans="1:15">
      <c r="A4798" s="1" t="str">
        <f t="shared" si="2917"/>
        <v>202406</v>
      </c>
      <c r="B4798" s="1" t="str">
        <f t="shared" si="2918"/>
        <v>150525100</v>
      </c>
      <c r="C4798" s="1" t="str">
        <f>"1014577045"</f>
        <v>1014577045</v>
      </c>
      <c r="D4798" s="1" t="str">
        <f>"152326195401060686"</f>
        <v>152326195401060686</v>
      </c>
      <c r="E4798" s="1" t="s">
        <v>4786</v>
      </c>
      <c r="F4798" s="1" t="s">
        <v>16</v>
      </c>
      <c r="G4798" s="1" t="s">
        <v>17</v>
      </c>
      <c r="H4798" s="1" t="str">
        <f>"71"</f>
        <v>71</v>
      </c>
      <c r="I4798" s="1" t="str">
        <f>"164.14"</f>
        <v>164.14</v>
      </c>
      <c r="J4798" s="1" t="str">
        <f t="shared" si="2925"/>
        <v>0</v>
      </c>
      <c r="K4798" s="1" t="str">
        <f t="shared" si="2926"/>
        <v>103</v>
      </c>
      <c r="L4798" s="1" t="str">
        <f t="shared" si="2927"/>
        <v>47</v>
      </c>
      <c r="M4798" s="1" t="str">
        <f t="shared" si="2928"/>
        <v>0</v>
      </c>
      <c r="N4798" s="1" t="str">
        <f t="shared" si="2931"/>
        <v>0</v>
      </c>
      <c r="O4798" s="1" t="str">
        <f>"4.14"</f>
        <v>4.14</v>
      </c>
    </row>
    <row r="4799" s="1" customFormat="1" spans="1:15">
      <c r="A4799" s="1" t="str">
        <f t="shared" si="2917"/>
        <v>202406</v>
      </c>
      <c r="B4799" s="1" t="str">
        <f t="shared" si="2918"/>
        <v>150525100</v>
      </c>
      <c r="C4799" s="1" t="str">
        <f>"1014572495"</f>
        <v>1014572495</v>
      </c>
      <c r="D4799" s="1" t="str">
        <f>"152326195202100016"</f>
        <v>152326195202100016</v>
      </c>
      <c r="E4799" s="1" t="s">
        <v>4787</v>
      </c>
      <c r="F4799" s="1" t="s">
        <v>25</v>
      </c>
      <c r="G4799" s="1" t="s">
        <v>17</v>
      </c>
      <c r="H4799" s="1" t="str">
        <f t="shared" ref="H4799:H4801" si="2935">"72"</f>
        <v>72</v>
      </c>
      <c r="I4799" s="1" t="str">
        <f t="shared" ref="I4799:I4801" si="2936">"162.14"</f>
        <v>162.14</v>
      </c>
      <c r="J4799" s="1" t="str">
        <f t="shared" si="2925"/>
        <v>0</v>
      </c>
      <c r="K4799" s="1" t="str">
        <f t="shared" si="2926"/>
        <v>103</v>
      </c>
      <c r="L4799" s="1" t="str">
        <f t="shared" si="2927"/>
        <v>47</v>
      </c>
      <c r="M4799" s="1" t="str">
        <f t="shared" si="2928"/>
        <v>0</v>
      </c>
      <c r="N4799" s="1" t="str">
        <f t="shared" si="2931"/>
        <v>0</v>
      </c>
      <c r="O4799" s="1" t="str">
        <f t="shared" ref="O4799:O4801" si="2937">"2.14"</f>
        <v>2.14</v>
      </c>
    </row>
    <row r="4800" s="1" customFormat="1" spans="1:15">
      <c r="A4800" s="1" t="str">
        <f t="shared" si="2917"/>
        <v>202406</v>
      </c>
      <c r="B4800" s="1" t="str">
        <f t="shared" si="2918"/>
        <v>150525100</v>
      </c>
      <c r="C4800" s="1" t="str">
        <f>"1014572510"</f>
        <v>1014572510</v>
      </c>
      <c r="D4800" s="1" t="str">
        <f>"152326195206103070"</f>
        <v>152326195206103070</v>
      </c>
      <c r="E4800" s="1" t="s">
        <v>4788</v>
      </c>
      <c r="F4800" s="1" t="s">
        <v>25</v>
      </c>
      <c r="G4800" s="1" t="s">
        <v>17</v>
      </c>
      <c r="H4800" s="1" t="str">
        <f t="shared" si="2935"/>
        <v>72</v>
      </c>
      <c r="I4800" s="1" t="str">
        <f t="shared" si="2936"/>
        <v>162.14</v>
      </c>
      <c r="J4800" s="1" t="str">
        <f t="shared" si="2925"/>
        <v>0</v>
      </c>
      <c r="K4800" s="1" t="str">
        <f t="shared" si="2926"/>
        <v>103</v>
      </c>
      <c r="L4800" s="1" t="str">
        <f t="shared" si="2927"/>
        <v>47</v>
      </c>
      <c r="M4800" s="1" t="str">
        <f t="shared" si="2928"/>
        <v>0</v>
      </c>
      <c r="N4800" s="1" t="str">
        <f t="shared" si="2931"/>
        <v>0</v>
      </c>
      <c r="O4800" s="1" t="str">
        <f t="shared" si="2937"/>
        <v>2.14</v>
      </c>
    </row>
    <row r="4801" s="1" customFormat="1" spans="1:15">
      <c r="A4801" s="1" t="str">
        <f t="shared" si="2917"/>
        <v>202406</v>
      </c>
      <c r="B4801" s="1" t="str">
        <f t="shared" si="2918"/>
        <v>150525100</v>
      </c>
      <c r="C4801" s="1" t="str">
        <f>"1014572517"</f>
        <v>1014572517</v>
      </c>
      <c r="D4801" s="1" t="str">
        <f>"152326195209100027"</f>
        <v>152326195209100027</v>
      </c>
      <c r="E4801" s="1" t="s">
        <v>340</v>
      </c>
      <c r="F4801" s="1" t="s">
        <v>16</v>
      </c>
      <c r="G4801" s="1" t="s">
        <v>17</v>
      </c>
      <c r="H4801" s="1" t="str">
        <f t="shared" si="2935"/>
        <v>72</v>
      </c>
      <c r="I4801" s="1" t="str">
        <f t="shared" si="2936"/>
        <v>162.14</v>
      </c>
      <c r="J4801" s="1" t="str">
        <f t="shared" si="2925"/>
        <v>0</v>
      </c>
      <c r="K4801" s="1" t="str">
        <f t="shared" si="2926"/>
        <v>103</v>
      </c>
      <c r="L4801" s="1" t="str">
        <f t="shared" si="2927"/>
        <v>47</v>
      </c>
      <c r="M4801" s="1" t="str">
        <f t="shared" si="2928"/>
        <v>0</v>
      </c>
      <c r="N4801" s="1" t="str">
        <f t="shared" si="2931"/>
        <v>0</v>
      </c>
      <c r="O4801" s="1" t="str">
        <f t="shared" si="2937"/>
        <v>2.14</v>
      </c>
    </row>
    <row r="4802" s="1" customFormat="1" spans="1:15">
      <c r="A4802" s="1" t="str">
        <f t="shared" ref="A4802:A4865" si="2938">"202406"</f>
        <v>202406</v>
      </c>
      <c r="B4802" s="1" t="str">
        <f t="shared" ref="B4802:B4865" si="2939">"150525100"</f>
        <v>150525100</v>
      </c>
      <c r="C4802" s="1" t="str">
        <f>"1014552521"</f>
        <v>1014552521</v>
      </c>
      <c r="D4802" s="1" t="s">
        <v>4789</v>
      </c>
      <c r="E4802" s="1" t="s">
        <v>1101</v>
      </c>
      <c r="F4802" s="1" t="s">
        <v>16</v>
      </c>
      <c r="G4802" s="1" t="s">
        <v>17</v>
      </c>
      <c r="H4802" s="1" t="str">
        <f>"70"</f>
        <v>70</v>
      </c>
      <c r="I4802" s="1" t="str">
        <f>"163.71"</f>
        <v>163.71</v>
      </c>
      <c r="J4802" s="1" t="str">
        <f t="shared" si="2925"/>
        <v>0</v>
      </c>
      <c r="K4802" s="1" t="str">
        <f t="shared" si="2926"/>
        <v>103</v>
      </c>
      <c r="L4802" s="1" t="str">
        <f t="shared" si="2927"/>
        <v>47</v>
      </c>
      <c r="M4802" s="1" t="str">
        <f t="shared" si="2928"/>
        <v>0</v>
      </c>
      <c r="N4802" s="1" t="str">
        <f t="shared" si="2931"/>
        <v>0</v>
      </c>
      <c r="O4802" s="1" t="str">
        <f>"3.71"</f>
        <v>3.71</v>
      </c>
    </row>
    <row r="4803" s="1" customFormat="1" spans="1:15">
      <c r="A4803" s="1" t="str">
        <f t="shared" si="2938"/>
        <v>202406</v>
      </c>
      <c r="B4803" s="1" t="str">
        <f t="shared" si="2939"/>
        <v>150525100</v>
      </c>
      <c r="C4803" s="1" t="str">
        <f>"1014577046"</f>
        <v>1014577046</v>
      </c>
      <c r="D4803" s="1" t="str">
        <f>"152326195508010662"</f>
        <v>152326195508010662</v>
      </c>
      <c r="E4803" s="1" t="s">
        <v>4099</v>
      </c>
      <c r="F4803" s="1" t="s">
        <v>16</v>
      </c>
      <c r="G4803" s="1" t="s">
        <v>17</v>
      </c>
      <c r="H4803" s="1" t="str">
        <f>"69"</f>
        <v>69</v>
      </c>
      <c r="I4803" s="1" t="str">
        <f>"155.09"</f>
        <v>155.09</v>
      </c>
      <c r="J4803" s="1" t="str">
        <f t="shared" si="2925"/>
        <v>0</v>
      </c>
      <c r="K4803" s="1" t="str">
        <f t="shared" si="2926"/>
        <v>103</v>
      </c>
      <c r="L4803" s="1" t="str">
        <f t="shared" si="2927"/>
        <v>47</v>
      </c>
      <c r="M4803" s="1" t="str">
        <f t="shared" si="2928"/>
        <v>0</v>
      </c>
      <c r="N4803" s="1" t="str">
        <f t="shared" si="2931"/>
        <v>0</v>
      </c>
      <c r="O4803" s="1" t="str">
        <f>"5.09"</f>
        <v>5.09</v>
      </c>
    </row>
    <row r="4804" s="1" customFormat="1" spans="1:15">
      <c r="A4804" s="1" t="str">
        <f t="shared" si="2938"/>
        <v>202406</v>
      </c>
      <c r="B4804" s="1" t="str">
        <f t="shared" si="2939"/>
        <v>150525100</v>
      </c>
      <c r="C4804" s="1" t="str">
        <f>"1014577075"</f>
        <v>1014577075</v>
      </c>
      <c r="D4804" s="1" t="str">
        <f>"152326196111140666"</f>
        <v>152326196111140666</v>
      </c>
      <c r="E4804" s="1" t="s">
        <v>4790</v>
      </c>
      <c r="F4804" s="1" t="s">
        <v>16</v>
      </c>
      <c r="G4804" s="1" t="s">
        <v>17</v>
      </c>
      <c r="H4804" s="1" t="str">
        <f>"63"</f>
        <v>63</v>
      </c>
      <c r="I4804" s="1" t="str">
        <f>"161.13"</f>
        <v>161.13</v>
      </c>
      <c r="J4804" s="1" t="str">
        <f t="shared" si="2925"/>
        <v>0</v>
      </c>
      <c r="K4804" s="1" t="str">
        <f t="shared" si="2926"/>
        <v>103</v>
      </c>
      <c r="L4804" s="1" t="str">
        <f t="shared" si="2927"/>
        <v>47</v>
      </c>
      <c r="M4804" s="1" t="str">
        <f t="shared" si="2928"/>
        <v>0</v>
      </c>
      <c r="N4804" s="1" t="str">
        <f t="shared" si="2931"/>
        <v>0</v>
      </c>
      <c r="O4804" s="1" t="str">
        <f>"11.13"</f>
        <v>11.13</v>
      </c>
    </row>
    <row r="4805" s="1" customFormat="1" spans="1:15">
      <c r="A4805" s="1" t="str">
        <f t="shared" si="2938"/>
        <v>202406</v>
      </c>
      <c r="B4805" s="1" t="str">
        <f t="shared" si="2939"/>
        <v>150525100</v>
      </c>
      <c r="C4805" s="1" t="str">
        <f>"1014548297"</f>
        <v>1014548297</v>
      </c>
      <c r="D4805" s="1" t="s">
        <v>4791</v>
      </c>
      <c r="E4805" s="1" t="s">
        <v>4792</v>
      </c>
      <c r="F4805" s="1" t="s">
        <v>16</v>
      </c>
      <c r="G4805" s="1" t="s">
        <v>17</v>
      </c>
      <c r="H4805" s="1" t="str">
        <f>"72"</f>
        <v>72</v>
      </c>
      <c r="I4805" s="1" t="str">
        <f>"162.15"</f>
        <v>162.15</v>
      </c>
      <c r="J4805" s="1" t="str">
        <f t="shared" si="2925"/>
        <v>0</v>
      </c>
      <c r="K4805" s="1" t="str">
        <f t="shared" si="2926"/>
        <v>103</v>
      </c>
      <c r="L4805" s="1" t="str">
        <f t="shared" si="2927"/>
        <v>47</v>
      </c>
      <c r="M4805" s="1" t="str">
        <f t="shared" si="2928"/>
        <v>0</v>
      </c>
      <c r="N4805" s="1" t="str">
        <f t="shared" si="2931"/>
        <v>0</v>
      </c>
      <c r="O4805" s="1" t="str">
        <f>"2.15"</f>
        <v>2.15</v>
      </c>
    </row>
    <row r="4806" s="1" customFormat="1" spans="1:15">
      <c r="A4806" s="1" t="str">
        <f t="shared" si="2938"/>
        <v>202406</v>
      </c>
      <c r="B4806" s="1" t="str">
        <f t="shared" si="2939"/>
        <v>150525100</v>
      </c>
      <c r="C4806" s="1" t="str">
        <f>"1014572303"</f>
        <v>1014572303</v>
      </c>
      <c r="D4806" s="1" t="str">
        <f>"152326196310020034"</f>
        <v>152326196310020034</v>
      </c>
      <c r="E4806" s="1" t="s">
        <v>4793</v>
      </c>
      <c r="F4806" s="1" t="s">
        <v>25</v>
      </c>
      <c r="G4806" s="1" t="s">
        <v>96</v>
      </c>
      <c r="H4806" s="1" t="str">
        <f>"61"</f>
        <v>61</v>
      </c>
      <c r="I4806" s="1" t="str">
        <f>"167.36"</f>
        <v>167.36</v>
      </c>
      <c r="J4806" s="1" t="str">
        <f t="shared" si="2925"/>
        <v>0</v>
      </c>
      <c r="K4806" s="1" t="str">
        <f t="shared" si="2926"/>
        <v>103</v>
      </c>
      <c r="L4806" s="1" t="str">
        <f t="shared" si="2927"/>
        <v>47</v>
      </c>
      <c r="M4806" s="1" t="str">
        <f t="shared" si="2928"/>
        <v>0</v>
      </c>
      <c r="N4806" s="1" t="str">
        <f t="shared" si="2931"/>
        <v>0</v>
      </c>
      <c r="O4806" s="1" t="str">
        <f>"17.36"</f>
        <v>17.36</v>
      </c>
    </row>
    <row r="4807" s="1" customFormat="1" spans="1:15">
      <c r="A4807" s="1" t="str">
        <f t="shared" si="2938"/>
        <v>202406</v>
      </c>
      <c r="B4807" s="1" t="str">
        <f t="shared" si="2939"/>
        <v>150525100</v>
      </c>
      <c r="C4807" s="1" t="str">
        <f>"1014572320"</f>
        <v>1014572320</v>
      </c>
      <c r="D4807" s="1" t="str">
        <f>"152326196009150016"</f>
        <v>152326196009150016</v>
      </c>
      <c r="E4807" s="1" t="s">
        <v>4794</v>
      </c>
      <c r="F4807" s="1" t="s">
        <v>25</v>
      </c>
      <c r="G4807" s="1" t="s">
        <v>96</v>
      </c>
      <c r="H4807" s="1" t="str">
        <f>"64"</f>
        <v>64</v>
      </c>
      <c r="I4807" s="1" t="str">
        <f>"224.11"</f>
        <v>224.11</v>
      </c>
      <c r="J4807" s="1" t="str">
        <f t="shared" si="2925"/>
        <v>0</v>
      </c>
      <c r="K4807" s="1" t="str">
        <f t="shared" si="2926"/>
        <v>103</v>
      </c>
      <c r="L4807" s="1" t="str">
        <f t="shared" si="2927"/>
        <v>47</v>
      </c>
      <c r="M4807" s="1" t="str">
        <f t="shared" si="2928"/>
        <v>0</v>
      </c>
      <c r="N4807" s="1" t="str">
        <f t="shared" si="2931"/>
        <v>0</v>
      </c>
      <c r="O4807" s="1" t="str">
        <f>"74.11"</f>
        <v>74.11</v>
      </c>
    </row>
    <row r="4808" s="1" customFormat="1" spans="1:15">
      <c r="A4808" s="1" t="str">
        <f t="shared" si="2938"/>
        <v>202406</v>
      </c>
      <c r="B4808" s="1" t="str">
        <f t="shared" si="2939"/>
        <v>150525100</v>
      </c>
      <c r="C4808" s="1" t="str">
        <f>"1014572608"</f>
        <v>1014572608</v>
      </c>
      <c r="D4808" s="1" t="str">
        <f>"152326195802210921"</f>
        <v>152326195802210921</v>
      </c>
      <c r="E4808" s="1" t="s">
        <v>4795</v>
      </c>
      <c r="F4808" s="1" t="s">
        <v>16</v>
      </c>
      <c r="G4808" s="1" t="s">
        <v>19</v>
      </c>
      <c r="H4808" s="1" t="str">
        <f>"66"</f>
        <v>66</v>
      </c>
      <c r="I4808" s="1" t="str">
        <f>"157.62"</f>
        <v>157.62</v>
      </c>
      <c r="J4808" s="1" t="str">
        <f t="shared" si="2925"/>
        <v>0</v>
      </c>
      <c r="K4808" s="1" t="str">
        <f t="shared" si="2926"/>
        <v>103</v>
      </c>
      <c r="L4808" s="1" t="str">
        <f t="shared" si="2927"/>
        <v>47</v>
      </c>
      <c r="M4808" s="1" t="str">
        <f t="shared" si="2928"/>
        <v>0</v>
      </c>
      <c r="N4808" s="1" t="str">
        <f t="shared" si="2931"/>
        <v>0</v>
      </c>
      <c r="O4808" s="1" t="str">
        <f>"7.62"</f>
        <v>7.62</v>
      </c>
    </row>
    <row r="4809" s="1" customFormat="1" spans="1:15">
      <c r="A4809" s="1" t="str">
        <f t="shared" si="2938"/>
        <v>202406</v>
      </c>
      <c r="B4809" s="1" t="str">
        <f t="shared" si="2939"/>
        <v>150525100</v>
      </c>
      <c r="C4809" s="1" t="str">
        <f>"1014572610"</f>
        <v>1014572610</v>
      </c>
      <c r="D4809" s="1" t="str">
        <f>"152326195806120923"</f>
        <v>152326195806120923</v>
      </c>
      <c r="E4809" s="1" t="s">
        <v>4796</v>
      </c>
      <c r="F4809" s="1" t="s">
        <v>16</v>
      </c>
      <c r="G4809" s="1" t="s">
        <v>19</v>
      </c>
      <c r="H4809" s="1" t="str">
        <f>"66"</f>
        <v>66</v>
      </c>
      <c r="I4809" s="1" t="str">
        <f>"156.6"</f>
        <v>156.6</v>
      </c>
      <c r="J4809" s="1" t="str">
        <f t="shared" si="2925"/>
        <v>0</v>
      </c>
      <c r="K4809" s="1" t="str">
        <f t="shared" si="2926"/>
        <v>103</v>
      </c>
      <c r="L4809" s="1" t="str">
        <f t="shared" si="2927"/>
        <v>47</v>
      </c>
      <c r="M4809" s="1" t="str">
        <f t="shared" si="2928"/>
        <v>0</v>
      </c>
      <c r="N4809" s="1" t="str">
        <f t="shared" si="2931"/>
        <v>0</v>
      </c>
      <c r="O4809" s="1" t="str">
        <f>"6.6"</f>
        <v>6.6</v>
      </c>
    </row>
    <row r="4810" s="1" customFormat="1" spans="1:15">
      <c r="A4810" s="1" t="str">
        <f t="shared" si="2938"/>
        <v>202406</v>
      </c>
      <c r="B4810" s="1" t="str">
        <f t="shared" si="2939"/>
        <v>150525100</v>
      </c>
      <c r="C4810" s="1" t="str">
        <f>"1014572619"</f>
        <v>1014572619</v>
      </c>
      <c r="D4810" s="1" t="str">
        <f>"152326195211160045"</f>
        <v>152326195211160045</v>
      </c>
      <c r="E4810" s="1" t="s">
        <v>982</v>
      </c>
      <c r="F4810" s="1" t="s">
        <v>16</v>
      </c>
      <c r="G4810" s="1" t="s">
        <v>17</v>
      </c>
      <c r="H4810" s="1" t="str">
        <f t="shared" ref="H4810:H4816" si="2940">"72"</f>
        <v>72</v>
      </c>
      <c r="I4810" s="1" t="str">
        <f>"162.14"</f>
        <v>162.14</v>
      </c>
      <c r="J4810" s="1" t="str">
        <f t="shared" si="2925"/>
        <v>0</v>
      </c>
      <c r="K4810" s="1" t="str">
        <f t="shared" si="2926"/>
        <v>103</v>
      </c>
      <c r="L4810" s="1" t="str">
        <f t="shared" si="2927"/>
        <v>47</v>
      </c>
      <c r="M4810" s="1" t="str">
        <f t="shared" si="2928"/>
        <v>0</v>
      </c>
      <c r="N4810" s="1" t="str">
        <f t="shared" si="2931"/>
        <v>0</v>
      </c>
      <c r="O4810" s="1" t="str">
        <f>"2.14"</f>
        <v>2.14</v>
      </c>
    </row>
    <row r="4811" s="1" customFormat="1" spans="1:15">
      <c r="A4811" s="1" t="str">
        <f t="shared" si="2938"/>
        <v>202406</v>
      </c>
      <c r="B4811" s="1" t="str">
        <f t="shared" si="2939"/>
        <v>150525100</v>
      </c>
      <c r="C4811" s="1" t="str">
        <f>"1014552576"</f>
        <v>1014552576</v>
      </c>
      <c r="D4811" s="1" t="str">
        <f>"152326195210193822"</f>
        <v>152326195210193822</v>
      </c>
      <c r="E4811" s="1" t="s">
        <v>4230</v>
      </c>
      <c r="F4811" s="1" t="s">
        <v>16</v>
      </c>
      <c r="G4811" s="1" t="s">
        <v>17</v>
      </c>
      <c r="H4811" s="1" t="str">
        <f t="shared" si="2940"/>
        <v>72</v>
      </c>
      <c r="I4811" s="1" t="str">
        <f>"176.28"</f>
        <v>176.28</v>
      </c>
      <c r="J4811" s="1" t="str">
        <f t="shared" si="2925"/>
        <v>0</v>
      </c>
      <c r="K4811" s="1" t="str">
        <f t="shared" si="2926"/>
        <v>103</v>
      </c>
      <c r="L4811" s="1" t="str">
        <f t="shared" si="2927"/>
        <v>47</v>
      </c>
      <c r="M4811" s="1" t="str">
        <f t="shared" si="2928"/>
        <v>0</v>
      </c>
      <c r="N4811" s="1" t="str">
        <f t="shared" si="2931"/>
        <v>0</v>
      </c>
      <c r="O4811" s="1" t="str">
        <f>"16.28"</f>
        <v>16.28</v>
      </c>
    </row>
    <row r="4812" s="1" customFormat="1" spans="1:15">
      <c r="A4812" s="1" t="str">
        <f t="shared" si="2938"/>
        <v>202406</v>
      </c>
      <c r="B4812" s="1" t="str">
        <f t="shared" si="2939"/>
        <v>150525100</v>
      </c>
      <c r="C4812" s="1" t="str">
        <f>"1014651177"</f>
        <v>1014651177</v>
      </c>
      <c r="D4812" s="1" t="str">
        <f>"152326195902193823"</f>
        <v>152326195902193823</v>
      </c>
      <c r="E4812" s="1" t="s">
        <v>4797</v>
      </c>
      <c r="F4812" s="1" t="s">
        <v>16</v>
      </c>
      <c r="G4812" s="1" t="s">
        <v>19</v>
      </c>
      <c r="H4812" s="1" t="str">
        <f>"65"</f>
        <v>65</v>
      </c>
      <c r="I4812" s="1" t="str">
        <f>"158.11"</f>
        <v>158.11</v>
      </c>
      <c r="J4812" s="1" t="str">
        <f t="shared" si="2925"/>
        <v>0</v>
      </c>
      <c r="K4812" s="1" t="str">
        <f t="shared" si="2926"/>
        <v>103</v>
      </c>
      <c r="L4812" s="1" t="str">
        <f t="shared" si="2927"/>
        <v>47</v>
      </c>
      <c r="M4812" s="1" t="str">
        <f t="shared" si="2928"/>
        <v>0</v>
      </c>
      <c r="N4812" s="1" t="str">
        <f t="shared" si="2931"/>
        <v>0</v>
      </c>
      <c r="O4812" s="1" t="str">
        <f>"8.11"</f>
        <v>8.11</v>
      </c>
    </row>
    <row r="4813" s="1" customFormat="1" spans="1:15">
      <c r="A4813" s="1" t="str">
        <f t="shared" si="2938"/>
        <v>202406</v>
      </c>
      <c r="B4813" s="1" t="str">
        <f t="shared" si="2939"/>
        <v>150525100</v>
      </c>
      <c r="C4813" s="1" t="str">
        <f>"1014548327"</f>
        <v>1014548327</v>
      </c>
      <c r="D4813" s="1" t="str">
        <f>"150430196106213400"</f>
        <v>150430196106213400</v>
      </c>
      <c r="E4813" s="1" t="s">
        <v>4798</v>
      </c>
      <c r="F4813" s="1" t="s">
        <v>16</v>
      </c>
      <c r="G4813" s="1" t="s">
        <v>17</v>
      </c>
      <c r="H4813" s="1" t="str">
        <f>"63"</f>
        <v>63</v>
      </c>
      <c r="I4813" s="1" t="str">
        <f>"197.12"</f>
        <v>197.12</v>
      </c>
      <c r="J4813" s="1" t="str">
        <f t="shared" si="2925"/>
        <v>0</v>
      </c>
      <c r="K4813" s="1" t="str">
        <f t="shared" si="2926"/>
        <v>103</v>
      </c>
      <c r="L4813" s="1" t="str">
        <f t="shared" si="2927"/>
        <v>47</v>
      </c>
      <c r="M4813" s="1" t="str">
        <f t="shared" si="2928"/>
        <v>0</v>
      </c>
      <c r="N4813" s="1" t="str">
        <f t="shared" si="2931"/>
        <v>0</v>
      </c>
      <c r="O4813" s="1" t="str">
        <f>"47.12"</f>
        <v>47.12</v>
      </c>
    </row>
    <row r="4814" s="1" customFormat="1" spans="1:15">
      <c r="A4814" s="1" t="str">
        <f t="shared" si="2938"/>
        <v>202406</v>
      </c>
      <c r="B4814" s="1" t="str">
        <f t="shared" si="2939"/>
        <v>150525100</v>
      </c>
      <c r="C4814" s="1" t="str">
        <f>"1014570200"</f>
        <v>1014570200</v>
      </c>
      <c r="D4814" s="1" t="str">
        <f>"152326195412113843"</f>
        <v>152326195412113843</v>
      </c>
      <c r="E4814" s="1" t="s">
        <v>4799</v>
      </c>
      <c r="F4814" s="1" t="s">
        <v>16</v>
      </c>
      <c r="G4814" s="1" t="s">
        <v>19</v>
      </c>
      <c r="H4814" s="1" t="str">
        <f>"70"</f>
        <v>70</v>
      </c>
      <c r="I4814" s="1" t="str">
        <f>"154.15"</f>
        <v>154.15</v>
      </c>
      <c r="J4814" s="1" t="str">
        <f t="shared" si="2925"/>
        <v>0</v>
      </c>
      <c r="K4814" s="1" t="str">
        <f t="shared" si="2926"/>
        <v>103</v>
      </c>
      <c r="L4814" s="1" t="str">
        <f t="shared" si="2927"/>
        <v>47</v>
      </c>
      <c r="M4814" s="1" t="str">
        <f t="shared" si="2928"/>
        <v>0</v>
      </c>
      <c r="N4814" s="1" t="str">
        <f t="shared" si="2931"/>
        <v>0</v>
      </c>
      <c r="O4814" s="1" t="str">
        <f>"4.15"</f>
        <v>4.15</v>
      </c>
    </row>
    <row r="4815" s="1" customFormat="1" spans="1:15">
      <c r="A4815" s="1" t="str">
        <f t="shared" si="2938"/>
        <v>202406</v>
      </c>
      <c r="B4815" s="1" t="str">
        <f t="shared" si="2939"/>
        <v>150525100</v>
      </c>
      <c r="C4815" s="1" t="str">
        <f>"1014570354"</f>
        <v>1014570354</v>
      </c>
      <c r="D4815" s="1" t="str">
        <f>"152326195208123825"</f>
        <v>152326195208123825</v>
      </c>
      <c r="E4815" s="1" t="s">
        <v>3272</v>
      </c>
      <c r="F4815" s="1" t="s">
        <v>16</v>
      </c>
      <c r="G4815" s="1" t="s">
        <v>19</v>
      </c>
      <c r="H4815" s="1" t="str">
        <f t="shared" si="2940"/>
        <v>72</v>
      </c>
      <c r="I4815" s="1" t="str">
        <f>"162.16"</f>
        <v>162.16</v>
      </c>
      <c r="J4815" s="1" t="str">
        <f t="shared" si="2925"/>
        <v>0</v>
      </c>
      <c r="K4815" s="1" t="str">
        <f t="shared" si="2926"/>
        <v>103</v>
      </c>
      <c r="L4815" s="1" t="str">
        <f t="shared" si="2927"/>
        <v>47</v>
      </c>
      <c r="M4815" s="1" t="str">
        <f t="shared" si="2928"/>
        <v>0</v>
      </c>
      <c r="N4815" s="1" t="str">
        <f t="shared" si="2931"/>
        <v>0</v>
      </c>
      <c r="O4815" s="1" t="str">
        <f>"2.16"</f>
        <v>2.16</v>
      </c>
    </row>
    <row r="4816" s="1" customFormat="1" spans="1:15">
      <c r="A4816" s="1" t="str">
        <f t="shared" si="2938"/>
        <v>202406</v>
      </c>
      <c r="B4816" s="1" t="str">
        <f t="shared" si="2939"/>
        <v>150525100</v>
      </c>
      <c r="C4816" s="1" t="str">
        <f>"1014570380"</f>
        <v>1014570380</v>
      </c>
      <c r="D4816" s="1" t="s">
        <v>4800</v>
      </c>
      <c r="E4816" s="1" t="s">
        <v>2427</v>
      </c>
      <c r="F4816" s="1" t="s">
        <v>16</v>
      </c>
      <c r="G4816" s="1" t="s">
        <v>17</v>
      </c>
      <c r="H4816" s="1" t="str">
        <f t="shared" si="2940"/>
        <v>72</v>
      </c>
      <c r="I4816" s="1" t="str">
        <f>"162.16"</f>
        <v>162.16</v>
      </c>
      <c r="J4816" s="1" t="str">
        <f t="shared" si="2925"/>
        <v>0</v>
      </c>
      <c r="K4816" s="1" t="str">
        <f t="shared" si="2926"/>
        <v>103</v>
      </c>
      <c r="L4816" s="1" t="str">
        <f t="shared" si="2927"/>
        <v>47</v>
      </c>
      <c r="M4816" s="1" t="str">
        <f t="shared" si="2928"/>
        <v>0</v>
      </c>
      <c r="N4816" s="1" t="str">
        <f t="shared" si="2931"/>
        <v>0</v>
      </c>
      <c r="O4816" s="1" t="str">
        <f>"2.16"</f>
        <v>2.16</v>
      </c>
    </row>
    <row r="4817" s="1" customFormat="1" spans="1:15">
      <c r="A4817" s="1" t="str">
        <f t="shared" si="2938"/>
        <v>202406</v>
      </c>
      <c r="B4817" s="1" t="str">
        <f t="shared" si="2939"/>
        <v>150525100</v>
      </c>
      <c r="C4817" s="1" t="str">
        <f>"1014572472"</f>
        <v>1014572472</v>
      </c>
      <c r="D4817" s="1" t="str">
        <f>"152326195312293082"</f>
        <v>152326195312293082</v>
      </c>
      <c r="E4817" s="1" t="s">
        <v>2428</v>
      </c>
      <c r="F4817" s="1" t="s">
        <v>16</v>
      </c>
      <c r="G4817" s="1" t="s">
        <v>19</v>
      </c>
      <c r="H4817" s="1" t="str">
        <f t="shared" ref="H4817:H4819" si="2941">"71"</f>
        <v>71</v>
      </c>
      <c r="I4817" s="1" t="str">
        <f t="shared" ref="I4817:I4819" si="2942">"163.16"</f>
        <v>163.16</v>
      </c>
      <c r="J4817" s="1" t="str">
        <f t="shared" si="2925"/>
        <v>0</v>
      </c>
      <c r="K4817" s="1" t="str">
        <f t="shared" si="2926"/>
        <v>103</v>
      </c>
      <c r="L4817" s="1" t="str">
        <f t="shared" si="2927"/>
        <v>47</v>
      </c>
      <c r="M4817" s="1" t="str">
        <f t="shared" si="2928"/>
        <v>0</v>
      </c>
      <c r="N4817" s="1" t="str">
        <f t="shared" si="2931"/>
        <v>0</v>
      </c>
      <c r="O4817" s="1" t="str">
        <f t="shared" ref="O4817:O4819" si="2943">"3.16"</f>
        <v>3.16</v>
      </c>
    </row>
    <row r="4818" s="1" customFormat="1" spans="1:15">
      <c r="A4818" s="1" t="str">
        <f t="shared" si="2938"/>
        <v>202406</v>
      </c>
      <c r="B4818" s="1" t="str">
        <f t="shared" si="2939"/>
        <v>150525100</v>
      </c>
      <c r="C4818" s="1" t="str">
        <f>"1014572640"</f>
        <v>1014572640</v>
      </c>
      <c r="D4818" s="1" t="str">
        <f>"152326195306090027"</f>
        <v>152326195306090027</v>
      </c>
      <c r="E4818" s="1" t="s">
        <v>4801</v>
      </c>
      <c r="F4818" s="1" t="s">
        <v>16</v>
      </c>
      <c r="G4818" s="1" t="s">
        <v>17</v>
      </c>
      <c r="H4818" s="1" t="str">
        <f t="shared" si="2941"/>
        <v>71</v>
      </c>
      <c r="I4818" s="1" t="str">
        <f t="shared" si="2942"/>
        <v>163.16</v>
      </c>
      <c r="J4818" s="1" t="str">
        <f t="shared" si="2925"/>
        <v>0</v>
      </c>
      <c r="K4818" s="1" t="str">
        <f t="shared" si="2926"/>
        <v>103</v>
      </c>
      <c r="L4818" s="1" t="str">
        <f t="shared" si="2927"/>
        <v>47</v>
      </c>
      <c r="M4818" s="1" t="str">
        <f t="shared" si="2928"/>
        <v>0</v>
      </c>
      <c r="N4818" s="1" t="str">
        <f t="shared" si="2931"/>
        <v>0</v>
      </c>
      <c r="O4818" s="1" t="str">
        <f t="shared" si="2943"/>
        <v>3.16</v>
      </c>
    </row>
    <row r="4819" s="1" customFormat="1" spans="1:15">
      <c r="A4819" s="1" t="str">
        <f t="shared" si="2938"/>
        <v>202406</v>
      </c>
      <c r="B4819" s="1" t="str">
        <f t="shared" si="2939"/>
        <v>150525100</v>
      </c>
      <c r="C4819" s="1" t="str">
        <f>"1014572644"</f>
        <v>1014572644</v>
      </c>
      <c r="D4819" s="1" t="str">
        <f>"152326195308033077"</f>
        <v>152326195308033077</v>
      </c>
      <c r="E4819" s="1" t="s">
        <v>4802</v>
      </c>
      <c r="F4819" s="1" t="s">
        <v>25</v>
      </c>
      <c r="G4819" s="1" t="s">
        <v>17</v>
      </c>
      <c r="H4819" s="1" t="str">
        <f t="shared" si="2941"/>
        <v>71</v>
      </c>
      <c r="I4819" s="1" t="str">
        <f t="shared" si="2942"/>
        <v>163.16</v>
      </c>
      <c r="J4819" s="1" t="str">
        <f t="shared" si="2925"/>
        <v>0</v>
      </c>
      <c r="K4819" s="1" t="str">
        <f t="shared" si="2926"/>
        <v>103</v>
      </c>
      <c r="L4819" s="1" t="str">
        <f t="shared" si="2927"/>
        <v>47</v>
      </c>
      <c r="M4819" s="1" t="str">
        <f t="shared" si="2928"/>
        <v>0</v>
      </c>
      <c r="N4819" s="1" t="str">
        <f t="shared" si="2931"/>
        <v>0</v>
      </c>
      <c r="O4819" s="1" t="str">
        <f t="shared" si="2943"/>
        <v>3.16</v>
      </c>
    </row>
    <row r="4820" s="1" customFormat="1" spans="1:15">
      <c r="A4820" s="1" t="str">
        <f t="shared" si="2938"/>
        <v>202406</v>
      </c>
      <c r="B4820" s="1" t="str">
        <f t="shared" si="2939"/>
        <v>150525100</v>
      </c>
      <c r="C4820" s="1" t="str">
        <f>"1014644457"</f>
        <v>1014644457</v>
      </c>
      <c r="D4820" s="1" t="str">
        <f>"152326196010030679"</f>
        <v>152326196010030679</v>
      </c>
      <c r="E4820" s="1" t="s">
        <v>4803</v>
      </c>
      <c r="F4820" s="1" t="s">
        <v>25</v>
      </c>
      <c r="G4820" s="1" t="s">
        <v>17</v>
      </c>
      <c r="H4820" s="1" t="str">
        <f>"64"</f>
        <v>64</v>
      </c>
      <c r="I4820" s="1" t="str">
        <f>"159.27"</f>
        <v>159.27</v>
      </c>
      <c r="J4820" s="1" t="str">
        <f t="shared" si="2925"/>
        <v>0</v>
      </c>
      <c r="K4820" s="1" t="str">
        <f t="shared" si="2926"/>
        <v>103</v>
      </c>
      <c r="L4820" s="1" t="str">
        <f t="shared" si="2927"/>
        <v>47</v>
      </c>
      <c r="M4820" s="1" t="str">
        <f t="shared" si="2928"/>
        <v>0</v>
      </c>
      <c r="N4820" s="1" t="str">
        <f t="shared" si="2931"/>
        <v>0</v>
      </c>
      <c r="O4820" s="1" t="str">
        <f>"9.27"</f>
        <v>9.27</v>
      </c>
    </row>
    <row r="4821" s="1" customFormat="1" spans="1:15">
      <c r="A4821" s="1" t="str">
        <f t="shared" si="2938"/>
        <v>202406</v>
      </c>
      <c r="B4821" s="1" t="str">
        <f t="shared" si="2939"/>
        <v>150525100</v>
      </c>
      <c r="C4821" s="1" t="str">
        <f>"1014567720"</f>
        <v>1014567720</v>
      </c>
      <c r="D4821" s="1" t="str">
        <f>"152326195209243829"</f>
        <v>152326195209243829</v>
      </c>
      <c r="E4821" s="1" t="s">
        <v>4804</v>
      </c>
      <c r="F4821" s="1" t="s">
        <v>16</v>
      </c>
      <c r="G4821" s="1" t="s">
        <v>17</v>
      </c>
      <c r="H4821" s="1" t="str">
        <f>"72"</f>
        <v>72</v>
      </c>
      <c r="I4821" s="1" t="str">
        <f>"162.15"</f>
        <v>162.15</v>
      </c>
      <c r="J4821" s="1" t="str">
        <f t="shared" si="2925"/>
        <v>0</v>
      </c>
      <c r="K4821" s="1" t="str">
        <f t="shared" si="2926"/>
        <v>103</v>
      </c>
      <c r="L4821" s="1" t="str">
        <f t="shared" si="2927"/>
        <v>47</v>
      </c>
      <c r="M4821" s="1" t="str">
        <f t="shared" si="2928"/>
        <v>0</v>
      </c>
      <c r="N4821" s="1" t="str">
        <f t="shared" si="2931"/>
        <v>0</v>
      </c>
      <c r="O4821" s="1" t="str">
        <f>"2.15"</f>
        <v>2.15</v>
      </c>
    </row>
    <row r="4822" s="1" customFormat="1" spans="1:15">
      <c r="A4822" s="1" t="str">
        <f t="shared" si="2938"/>
        <v>202406</v>
      </c>
      <c r="B4822" s="1" t="str">
        <f t="shared" si="2939"/>
        <v>150525100</v>
      </c>
      <c r="C4822" s="1" t="str">
        <f>"1014568753"</f>
        <v>1014568753</v>
      </c>
      <c r="D4822" s="1" t="str">
        <f>"152326196204193812"</f>
        <v>152326196204193812</v>
      </c>
      <c r="E4822" s="1" t="s">
        <v>4805</v>
      </c>
      <c r="F4822" s="1" t="s">
        <v>25</v>
      </c>
      <c r="G4822" s="1" t="s">
        <v>17</v>
      </c>
      <c r="H4822" s="1" t="str">
        <f>"62"</f>
        <v>62</v>
      </c>
      <c r="I4822" s="1" t="str">
        <f>"162.98"</f>
        <v>162.98</v>
      </c>
      <c r="J4822" s="1" t="str">
        <f t="shared" si="2925"/>
        <v>0</v>
      </c>
      <c r="K4822" s="1" t="str">
        <f t="shared" si="2926"/>
        <v>103</v>
      </c>
      <c r="L4822" s="1" t="str">
        <f t="shared" si="2927"/>
        <v>47</v>
      </c>
      <c r="M4822" s="1" t="str">
        <f t="shared" si="2928"/>
        <v>0</v>
      </c>
      <c r="N4822" s="1" t="str">
        <f t="shared" si="2931"/>
        <v>0</v>
      </c>
      <c r="O4822" s="1" t="str">
        <f>"12.98"</f>
        <v>12.98</v>
      </c>
    </row>
    <row r="4823" s="1" customFormat="1" spans="1:15">
      <c r="A4823" s="1" t="str">
        <f t="shared" si="2938"/>
        <v>202406</v>
      </c>
      <c r="B4823" s="1" t="str">
        <f t="shared" si="2939"/>
        <v>150525100</v>
      </c>
      <c r="C4823" s="1" t="str">
        <f>"1014562797"</f>
        <v>1014562797</v>
      </c>
      <c r="D4823" s="1" t="str">
        <f>"152326195702240410"</f>
        <v>152326195702240410</v>
      </c>
      <c r="E4823" s="1" t="s">
        <v>4806</v>
      </c>
      <c r="F4823" s="1" t="s">
        <v>25</v>
      </c>
      <c r="G4823" s="1" t="s">
        <v>17</v>
      </c>
      <c r="H4823" s="1" t="str">
        <f>"67"</f>
        <v>67</v>
      </c>
      <c r="I4823" s="1" t="str">
        <f>"156.06"</f>
        <v>156.06</v>
      </c>
      <c r="J4823" s="1" t="str">
        <f t="shared" si="2925"/>
        <v>0</v>
      </c>
      <c r="K4823" s="1" t="str">
        <f t="shared" si="2926"/>
        <v>103</v>
      </c>
      <c r="L4823" s="1" t="str">
        <f t="shared" si="2927"/>
        <v>47</v>
      </c>
      <c r="M4823" s="1" t="str">
        <f t="shared" si="2928"/>
        <v>0</v>
      </c>
      <c r="N4823" s="1" t="str">
        <f t="shared" si="2931"/>
        <v>0</v>
      </c>
      <c r="O4823" s="1" t="str">
        <f>"6.06"</f>
        <v>6.06</v>
      </c>
    </row>
    <row r="4824" s="1" customFormat="1" spans="1:15">
      <c r="A4824" s="1" t="str">
        <f t="shared" si="2938"/>
        <v>202406</v>
      </c>
      <c r="B4824" s="1" t="str">
        <f t="shared" si="2939"/>
        <v>150525100</v>
      </c>
      <c r="C4824" s="1" t="str">
        <f>"1014562802"</f>
        <v>1014562802</v>
      </c>
      <c r="D4824" s="1" t="str">
        <f>"152326195803040426"</f>
        <v>152326195803040426</v>
      </c>
      <c r="E4824" s="1" t="s">
        <v>4807</v>
      </c>
      <c r="F4824" s="1" t="s">
        <v>16</v>
      </c>
      <c r="G4824" s="1" t="s">
        <v>17</v>
      </c>
      <c r="H4824" s="1" t="str">
        <f>"66"</f>
        <v>66</v>
      </c>
      <c r="I4824" s="1" t="str">
        <f>"157.1"</f>
        <v>157.1</v>
      </c>
      <c r="J4824" s="1" t="str">
        <f t="shared" si="2925"/>
        <v>0</v>
      </c>
      <c r="K4824" s="1" t="str">
        <f t="shared" si="2926"/>
        <v>103</v>
      </c>
      <c r="L4824" s="1" t="str">
        <f t="shared" si="2927"/>
        <v>47</v>
      </c>
      <c r="M4824" s="1" t="str">
        <f t="shared" si="2928"/>
        <v>0</v>
      </c>
      <c r="N4824" s="1" t="str">
        <f t="shared" si="2931"/>
        <v>0</v>
      </c>
      <c r="O4824" s="1" t="str">
        <f>"7.1"</f>
        <v>7.1</v>
      </c>
    </row>
    <row r="4825" s="1" customFormat="1" spans="1:15">
      <c r="A4825" s="1" t="str">
        <f t="shared" si="2938"/>
        <v>202406</v>
      </c>
      <c r="B4825" s="1" t="str">
        <f t="shared" si="2939"/>
        <v>150525100</v>
      </c>
      <c r="C4825" s="1" t="str">
        <f>"1014562808"</f>
        <v>1014562808</v>
      </c>
      <c r="D4825" s="1" t="s">
        <v>4808</v>
      </c>
      <c r="E4825" s="1" t="s">
        <v>4809</v>
      </c>
      <c r="F4825" s="1" t="s">
        <v>16</v>
      </c>
      <c r="G4825" s="1" t="s">
        <v>17</v>
      </c>
      <c r="H4825" s="1" t="str">
        <f>"66"</f>
        <v>66</v>
      </c>
      <c r="I4825" s="1" t="str">
        <f>"157.18"</f>
        <v>157.18</v>
      </c>
      <c r="J4825" s="1" t="str">
        <f t="shared" si="2925"/>
        <v>0</v>
      </c>
      <c r="K4825" s="1" t="str">
        <f t="shared" si="2926"/>
        <v>103</v>
      </c>
      <c r="L4825" s="1" t="str">
        <f t="shared" si="2927"/>
        <v>47</v>
      </c>
      <c r="M4825" s="1" t="str">
        <f t="shared" si="2928"/>
        <v>0</v>
      </c>
      <c r="N4825" s="1" t="str">
        <f t="shared" si="2931"/>
        <v>0</v>
      </c>
      <c r="O4825" s="1" t="str">
        <f>"7.18"</f>
        <v>7.18</v>
      </c>
    </row>
    <row r="4826" s="1" customFormat="1" spans="1:15">
      <c r="A4826" s="1" t="str">
        <f t="shared" si="2938"/>
        <v>202406</v>
      </c>
      <c r="B4826" s="1" t="str">
        <f t="shared" si="2939"/>
        <v>150525100</v>
      </c>
      <c r="C4826" s="1" t="str">
        <f>"1014562828"</f>
        <v>1014562828</v>
      </c>
      <c r="D4826" s="1" t="str">
        <f>"152326195206130423"</f>
        <v>152326195206130423</v>
      </c>
      <c r="E4826" s="1" t="s">
        <v>4810</v>
      </c>
      <c r="F4826" s="1" t="s">
        <v>16</v>
      </c>
      <c r="G4826" s="1" t="s">
        <v>17</v>
      </c>
      <c r="H4826" s="1" t="str">
        <f>"72"</f>
        <v>72</v>
      </c>
      <c r="I4826" s="1" t="str">
        <f>"162.16"</f>
        <v>162.16</v>
      </c>
      <c r="J4826" s="1" t="str">
        <f t="shared" si="2925"/>
        <v>0</v>
      </c>
      <c r="K4826" s="1" t="str">
        <f t="shared" si="2926"/>
        <v>103</v>
      </c>
      <c r="L4826" s="1" t="str">
        <f t="shared" si="2927"/>
        <v>47</v>
      </c>
      <c r="M4826" s="1" t="str">
        <f t="shared" si="2928"/>
        <v>0</v>
      </c>
      <c r="N4826" s="1" t="str">
        <f t="shared" si="2931"/>
        <v>0</v>
      </c>
      <c r="O4826" s="1" t="str">
        <f>"2.16"</f>
        <v>2.16</v>
      </c>
    </row>
    <row r="4827" s="1" customFormat="1" spans="1:15">
      <c r="A4827" s="1" t="str">
        <f t="shared" si="2938"/>
        <v>202406</v>
      </c>
      <c r="B4827" s="1" t="str">
        <f t="shared" si="2939"/>
        <v>150525100</v>
      </c>
      <c r="C4827" s="1" t="str">
        <f>"1014563192"</f>
        <v>1014563192</v>
      </c>
      <c r="D4827" s="1" t="str">
        <f>"152326195401290414"</f>
        <v>152326195401290414</v>
      </c>
      <c r="E4827" s="1" t="s">
        <v>4811</v>
      </c>
      <c r="F4827" s="1" t="s">
        <v>25</v>
      </c>
      <c r="G4827" s="1" t="s">
        <v>17</v>
      </c>
      <c r="H4827" s="1" t="str">
        <f>"70"</f>
        <v>70</v>
      </c>
      <c r="I4827" s="1" t="str">
        <f>"164.16"</f>
        <v>164.16</v>
      </c>
      <c r="J4827" s="1" t="str">
        <f t="shared" si="2925"/>
        <v>0</v>
      </c>
      <c r="K4827" s="1" t="str">
        <f t="shared" si="2926"/>
        <v>103</v>
      </c>
      <c r="L4827" s="1" t="str">
        <f t="shared" si="2927"/>
        <v>47</v>
      </c>
      <c r="M4827" s="1" t="str">
        <f t="shared" si="2928"/>
        <v>0</v>
      </c>
      <c r="N4827" s="1" t="str">
        <f t="shared" si="2931"/>
        <v>0</v>
      </c>
      <c r="O4827" s="1" t="str">
        <f>"4.16"</f>
        <v>4.16</v>
      </c>
    </row>
    <row r="4828" s="1" customFormat="1" spans="1:15">
      <c r="A4828" s="1" t="str">
        <f t="shared" si="2938"/>
        <v>202406</v>
      </c>
      <c r="B4828" s="1" t="str">
        <f t="shared" si="2939"/>
        <v>150525100</v>
      </c>
      <c r="C4828" s="1" t="str">
        <f>"1014584006"</f>
        <v>1014584006</v>
      </c>
      <c r="D4828" s="1" t="str">
        <f>"152326195612300416"</f>
        <v>152326195612300416</v>
      </c>
      <c r="E4828" s="1" t="s">
        <v>4812</v>
      </c>
      <c r="F4828" s="1" t="s">
        <v>25</v>
      </c>
      <c r="G4828" s="1" t="s">
        <v>17</v>
      </c>
      <c r="H4828" s="1" t="str">
        <f>"68"</f>
        <v>68</v>
      </c>
      <c r="I4828" s="1" t="str">
        <f>"156.02"</f>
        <v>156.02</v>
      </c>
      <c r="J4828" s="1" t="str">
        <f t="shared" si="2925"/>
        <v>0</v>
      </c>
      <c r="K4828" s="1" t="str">
        <f t="shared" si="2926"/>
        <v>103</v>
      </c>
      <c r="L4828" s="1" t="str">
        <f t="shared" si="2927"/>
        <v>47</v>
      </c>
      <c r="M4828" s="1" t="str">
        <f t="shared" si="2928"/>
        <v>0</v>
      </c>
      <c r="N4828" s="1" t="str">
        <f t="shared" si="2931"/>
        <v>0</v>
      </c>
      <c r="O4828" s="1" t="str">
        <f>"6.02"</f>
        <v>6.02</v>
      </c>
    </row>
    <row r="4829" s="1" customFormat="1" spans="1:15">
      <c r="A4829" s="1" t="str">
        <f t="shared" si="2938"/>
        <v>202406</v>
      </c>
      <c r="B4829" s="1" t="str">
        <f t="shared" si="2939"/>
        <v>150525100</v>
      </c>
      <c r="C4829" s="1" t="str">
        <f>"1014584013"</f>
        <v>1014584013</v>
      </c>
      <c r="D4829" s="1" t="str">
        <f>"152326195704040682"</f>
        <v>152326195704040682</v>
      </c>
      <c r="E4829" s="1" t="s">
        <v>4813</v>
      </c>
      <c r="F4829" s="1" t="s">
        <v>16</v>
      </c>
      <c r="G4829" s="1" t="s">
        <v>17</v>
      </c>
      <c r="H4829" s="1" t="str">
        <f>"67"</f>
        <v>67</v>
      </c>
      <c r="I4829" s="1" t="str">
        <f>"156.02"</f>
        <v>156.02</v>
      </c>
      <c r="J4829" s="1" t="str">
        <f t="shared" ref="J4829:J4876" si="2944">"0"</f>
        <v>0</v>
      </c>
      <c r="K4829" s="1" t="str">
        <f t="shared" ref="K4829:K4876" si="2945">"103"</f>
        <v>103</v>
      </c>
      <c r="L4829" s="1" t="str">
        <f t="shared" ref="L4829:L4876" si="2946">"47"</f>
        <v>47</v>
      </c>
      <c r="M4829" s="1" t="str">
        <f t="shared" si="2928"/>
        <v>0</v>
      </c>
      <c r="N4829" s="1" t="str">
        <f t="shared" si="2931"/>
        <v>0</v>
      </c>
      <c r="O4829" s="1" t="str">
        <f>"6.02"</f>
        <v>6.02</v>
      </c>
    </row>
    <row r="4830" s="1" customFormat="1" spans="1:15">
      <c r="A4830" s="1" t="str">
        <f t="shared" si="2938"/>
        <v>202406</v>
      </c>
      <c r="B4830" s="1" t="str">
        <f t="shared" si="2939"/>
        <v>150525100</v>
      </c>
      <c r="C4830" s="1" t="str">
        <f>"1014584027"</f>
        <v>1014584027</v>
      </c>
      <c r="D4830" s="1" t="str">
        <f>"152326195709040665"</f>
        <v>152326195709040665</v>
      </c>
      <c r="E4830" s="1" t="s">
        <v>4814</v>
      </c>
      <c r="F4830" s="1" t="s">
        <v>16</v>
      </c>
      <c r="G4830" s="1" t="s">
        <v>17</v>
      </c>
      <c r="H4830" s="1" t="str">
        <f>"67"</f>
        <v>67</v>
      </c>
      <c r="I4830" s="1" t="str">
        <f>"154.96"</f>
        <v>154.96</v>
      </c>
      <c r="J4830" s="1" t="str">
        <f t="shared" si="2944"/>
        <v>0</v>
      </c>
      <c r="K4830" s="1" t="str">
        <f t="shared" si="2945"/>
        <v>103</v>
      </c>
      <c r="L4830" s="1" t="str">
        <f t="shared" si="2946"/>
        <v>47</v>
      </c>
      <c r="M4830" s="1" t="str">
        <f t="shared" si="2928"/>
        <v>0</v>
      </c>
      <c r="N4830" s="1" t="str">
        <f t="shared" si="2931"/>
        <v>0</v>
      </c>
      <c r="O4830" s="1" t="str">
        <f>"4.96"</f>
        <v>4.96</v>
      </c>
    </row>
    <row r="4831" s="1" customFormat="1" spans="1:15">
      <c r="A4831" s="1" t="str">
        <f t="shared" si="2938"/>
        <v>202406</v>
      </c>
      <c r="B4831" s="1" t="str">
        <f t="shared" si="2939"/>
        <v>150525100</v>
      </c>
      <c r="C4831" s="1" t="str">
        <f>"1014550408"</f>
        <v>1014550408</v>
      </c>
      <c r="D4831" s="1" t="str">
        <f>"152326196310070664"</f>
        <v>152326196310070664</v>
      </c>
      <c r="E4831" s="1" t="s">
        <v>4756</v>
      </c>
      <c r="F4831" s="1" t="s">
        <v>16</v>
      </c>
      <c r="G4831" s="1" t="s">
        <v>17</v>
      </c>
      <c r="H4831" s="1" t="str">
        <f t="shared" ref="H4831:H4833" si="2947">"61"</f>
        <v>61</v>
      </c>
      <c r="I4831" s="1" t="str">
        <f>"165.9"</f>
        <v>165.9</v>
      </c>
      <c r="J4831" s="1" t="str">
        <f t="shared" si="2944"/>
        <v>0</v>
      </c>
      <c r="K4831" s="1" t="str">
        <f t="shared" si="2945"/>
        <v>103</v>
      </c>
      <c r="L4831" s="1" t="str">
        <f t="shared" si="2946"/>
        <v>47</v>
      </c>
      <c r="M4831" s="1" t="str">
        <f t="shared" si="2928"/>
        <v>0</v>
      </c>
      <c r="N4831" s="1" t="str">
        <f t="shared" si="2931"/>
        <v>0</v>
      </c>
      <c r="O4831" s="1" t="str">
        <f>"15.9"</f>
        <v>15.9</v>
      </c>
    </row>
    <row r="4832" s="1" customFormat="1" spans="1:15">
      <c r="A4832" s="1" t="str">
        <f t="shared" si="2938"/>
        <v>202406</v>
      </c>
      <c r="B4832" s="1" t="str">
        <f t="shared" si="2939"/>
        <v>150525100</v>
      </c>
      <c r="C4832" s="1" t="str">
        <f>"1014550416"</f>
        <v>1014550416</v>
      </c>
      <c r="D4832" s="1" t="str">
        <f>"152326196312060662"</f>
        <v>152326196312060662</v>
      </c>
      <c r="E4832" s="1" t="s">
        <v>4815</v>
      </c>
      <c r="F4832" s="1" t="s">
        <v>16</v>
      </c>
      <c r="G4832" s="1" t="s">
        <v>17</v>
      </c>
      <c r="H4832" s="1" t="str">
        <f t="shared" si="2947"/>
        <v>61</v>
      </c>
      <c r="I4832" s="1" t="str">
        <f>"165.14"</f>
        <v>165.14</v>
      </c>
      <c r="J4832" s="1" t="str">
        <f t="shared" si="2944"/>
        <v>0</v>
      </c>
      <c r="K4832" s="1" t="str">
        <f t="shared" si="2945"/>
        <v>103</v>
      </c>
      <c r="L4832" s="1" t="str">
        <f t="shared" si="2946"/>
        <v>47</v>
      </c>
      <c r="M4832" s="1" t="str">
        <f t="shared" ref="M4832:M4895" si="2948">"0"</f>
        <v>0</v>
      </c>
      <c r="N4832" s="1" t="str">
        <f t="shared" si="2931"/>
        <v>0</v>
      </c>
      <c r="O4832" s="1" t="str">
        <f>"15.14"</f>
        <v>15.14</v>
      </c>
    </row>
    <row r="4833" s="1" customFormat="1" spans="1:15">
      <c r="A4833" s="1" t="str">
        <f t="shared" si="2938"/>
        <v>202406</v>
      </c>
      <c r="B4833" s="1" t="str">
        <f t="shared" si="2939"/>
        <v>150525100</v>
      </c>
      <c r="C4833" s="1" t="str">
        <f>"1014550417"</f>
        <v>1014550417</v>
      </c>
      <c r="D4833" s="1" t="str">
        <f>"152326196312080663"</f>
        <v>152326196312080663</v>
      </c>
      <c r="E4833" s="1" t="s">
        <v>4816</v>
      </c>
      <c r="F4833" s="1" t="s">
        <v>16</v>
      </c>
      <c r="G4833" s="1" t="s">
        <v>17</v>
      </c>
      <c r="H4833" s="1" t="str">
        <f t="shared" si="2947"/>
        <v>61</v>
      </c>
      <c r="I4833" s="1" t="str">
        <f>"165.14"</f>
        <v>165.14</v>
      </c>
      <c r="J4833" s="1" t="str">
        <f t="shared" si="2944"/>
        <v>0</v>
      </c>
      <c r="K4833" s="1" t="str">
        <f t="shared" si="2945"/>
        <v>103</v>
      </c>
      <c r="L4833" s="1" t="str">
        <f t="shared" si="2946"/>
        <v>47</v>
      </c>
      <c r="M4833" s="1" t="str">
        <f t="shared" si="2948"/>
        <v>0</v>
      </c>
      <c r="N4833" s="1" t="str">
        <f t="shared" si="2931"/>
        <v>0</v>
      </c>
      <c r="O4833" s="1" t="str">
        <f>"15.14"</f>
        <v>15.14</v>
      </c>
    </row>
    <row r="4834" s="1" customFormat="1" spans="1:15">
      <c r="A4834" s="1" t="str">
        <f t="shared" si="2938"/>
        <v>202406</v>
      </c>
      <c r="B4834" s="1" t="str">
        <f t="shared" si="2939"/>
        <v>150525100</v>
      </c>
      <c r="C4834" s="1" t="str">
        <f>"1014549002"</f>
        <v>1014549002</v>
      </c>
      <c r="D4834" s="1" t="str">
        <f>"152326196001153343"</f>
        <v>152326196001153343</v>
      </c>
      <c r="E4834" s="1" t="s">
        <v>4817</v>
      </c>
      <c r="F4834" s="1" t="s">
        <v>16</v>
      </c>
      <c r="G4834" s="1" t="s">
        <v>17</v>
      </c>
      <c r="H4834" s="1" t="str">
        <f>"64"</f>
        <v>64</v>
      </c>
      <c r="I4834" s="1" t="str">
        <f>"159.16"</f>
        <v>159.16</v>
      </c>
      <c r="J4834" s="1" t="str">
        <f t="shared" si="2944"/>
        <v>0</v>
      </c>
      <c r="K4834" s="1" t="str">
        <f t="shared" si="2945"/>
        <v>103</v>
      </c>
      <c r="L4834" s="1" t="str">
        <f t="shared" si="2946"/>
        <v>47</v>
      </c>
      <c r="M4834" s="1" t="str">
        <f t="shared" si="2948"/>
        <v>0</v>
      </c>
      <c r="N4834" s="1" t="str">
        <f t="shared" si="2931"/>
        <v>0</v>
      </c>
      <c r="O4834" s="1" t="str">
        <f>"9.16"</f>
        <v>9.16</v>
      </c>
    </row>
    <row r="4835" s="1" customFormat="1" spans="1:15">
      <c r="A4835" s="1" t="str">
        <f t="shared" si="2938"/>
        <v>202406</v>
      </c>
      <c r="B4835" s="1" t="str">
        <f t="shared" si="2939"/>
        <v>150525100</v>
      </c>
      <c r="C4835" s="1" t="str">
        <f>"1014584448"</f>
        <v>1014584448</v>
      </c>
      <c r="D4835" s="1" t="str">
        <f>"152326195212160426"</f>
        <v>152326195212160426</v>
      </c>
      <c r="E4835" s="1" t="s">
        <v>4818</v>
      </c>
      <c r="F4835" s="1" t="s">
        <v>16</v>
      </c>
      <c r="G4835" s="1" t="s">
        <v>17</v>
      </c>
      <c r="H4835" s="1" t="str">
        <f>"72"</f>
        <v>72</v>
      </c>
      <c r="I4835" s="1" t="str">
        <f>"162.14"</f>
        <v>162.14</v>
      </c>
      <c r="J4835" s="1" t="str">
        <f t="shared" si="2944"/>
        <v>0</v>
      </c>
      <c r="K4835" s="1" t="str">
        <f t="shared" si="2945"/>
        <v>103</v>
      </c>
      <c r="L4835" s="1" t="str">
        <f t="shared" si="2946"/>
        <v>47</v>
      </c>
      <c r="M4835" s="1" t="str">
        <f t="shared" si="2948"/>
        <v>0</v>
      </c>
      <c r="N4835" s="1" t="str">
        <f t="shared" si="2931"/>
        <v>0</v>
      </c>
      <c r="O4835" s="1" t="str">
        <f>"2.14"</f>
        <v>2.14</v>
      </c>
    </row>
    <row r="4836" s="1" customFormat="1" spans="1:15">
      <c r="A4836" s="1" t="str">
        <f t="shared" si="2938"/>
        <v>202406</v>
      </c>
      <c r="B4836" s="1" t="str">
        <f t="shared" si="2939"/>
        <v>150525100</v>
      </c>
      <c r="C4836" s="1" t="str">
        <f>"1014584450"</f>
        <v>1014584450</v>
      </c>
      <c r="D4836" s="1" t="str">
        <f>"152326195301020417"</f>
        <v>152326195301020417</v>
      </c>
      <c r="E4836" s="1" t="s">
        <v>4819</v>
      </c>
      <c r="F4836" s="1" t="s">
        <v>25</v>
      </c>
      <c r="G4836" s="1" t="s">
        <v>17</v>
      </c>
      <c r="H4836" s="1" t="str">
        <f>"72"</f>
        <v>72</v>
      </c>
      <c r="I4836" s="1" t="str">
        <f>"163.16"</f>
        <v>163.16</v>
      </c>
      <c r="J4836" s="1" t="str">
        <f t="shared" si="2944"/>
        <v>0</v>
      </c>
      <c r="K4836" s="1" t="str">
        <f t="shared" si="2945"/>
        <v>103</v>
      </c>
      <c r="L4836" s="1" t="str">
        <f t="shared" si="2946"/>
        <v>47</v>
      </c>
      <c r="M4836" s="1" t="str">
        <f t="shared" si="2948"/>
        <v>0</v>
      </c>
      <c r="N4836" s="1" t="str">
        <f t="shared" si="2931"/>
        <v>0</v>
      </c>
      <c r="O4836" s="1" t="str">
        <f>"3.16"</f>
        <v>3.16</v>
      </c>
    </row>
    <row r="4837" s="1" customFormat="1" spans="1:15">
      <c r="A4837" s="1" t="str">
        <f t="shared" si="2938"/>
        <v>202406</v>
      </c>
      <c r="B4837" s="1" t="str">
        <f t="shared" si="2939"/>
        <v>150525100</v>
      </c>
      <c r="C4837" s="1" t="str">
        <f>"1014584935"</f>
        <v>1014584935</v>
      </c>
      <c r="D4837" s="1" t="str">
        <f>"152326195306130674"</f>
        <v>152326195306130674</v>
      </c>
      <c r="E4837" s="1" t="s">
        <v>4820</v>
      </c>
      <c r="F4837" s="1" t="s">
        <v>25</v>
      </c>
      <c r="G4837" s="1" t="s">
        <v>17</v>
      </c>
      <c r="H4837" s="1" t="str">
        <f>"71"</f>
        <v>71</v>
      </c>
      <c r="I4837" s="1" t="str">
        <f>"162.91"</f>
        <v>162.91</v>
      </c>
      <c r="J4837" s="1" t="str">
        <f t="shared" si="2944"/>
        <v>0</v>
      </c>
      <c r="K4837" s="1" t="str">
        <f t="shared" si="2945"/>
        <v>103</v>
      </c>
      <c r="L4837" s="1" t="str">
        <f t="shared" si="2946"/>
        <v>47</v>
      </c>
      <c r="M4837" s="1" t="str">
        <f t="shared" si="2948"/>
        <v>0</v>
      </c>
      <c r="N4837" s="1" t="str">
        <f t="shared" si="2931"/>
        <v>0</v>
      </c>
      <c r="O4837" s="1" t="str">
        <f>"2.91"</f>
        <v>2.91</v>
      </c>
    </row>
    <row r="4838" s="1" customFormat="1" spans="1:15">
      <c r="A4838" s="1" t="str">
        <f t="shared" si="2938"/>
        <v>202406</v>
      </c>
      <c r="B4838" s="1" t="str">
        <f t="shared" si="2939"/>
        <v>150525100</v>
      </c>
      <c r="C4838" s="1" t="str">
        <f>"1014584952"</f>
        <v>1014584952</v>
      </c>
      <c r="D4838" s="1" t="str">
        <f>"152326195312280425"</f>
        <v>152326195312280425</v>
      </c>
      <c r="E4838" s="1" t="s">
        <v>4821</v>
      </c>
      <c r="F4838" s="1" t="s">
        <v>16</v>
      </c>
      <c r="G4838" s="1" t="s">
        <v>17</v>
      </c>
      <c r="H4838" s="1" t="str">
        <f>"71"</f>
        <v>71</v>
      </c>
      <c r="I4838" s="1" t="str">
        <f>"163.16"</f>
        <v>163.16</v>
      </c>
      <c r="J4838" s="1" t="str">
        <f t="shared" si="2944"/>
        <v>0</v>
      </c>
      <c r="K4838" s="1" t="str">
        <f t="shared" si="2945"/>
        <v>103</v>
      </c>
      <c r="L4838" s="1" t="str">
        <f t="shared" si="2946"/>
        <v>47</v>
      </c>
      <c r="M4838" s="1" t="str">
        <f t="shared" si="2948"/>
        <v>0</v>
      </c>
      <c r="N4838" s="1" t="str">
        <f t="shared" si="2931"/>
        <v>0</v>
      </c>
      <c r="O4838" s="1" t="str">
        <f>"3.16"</f>
        <v>3.16</v>
      </c>
    </row>
    <row r="4839" s="1" customFormat="1" spans="1:15">
      <c r="A4839" s="1" t="str">
        <f t="shared" si="2938"/>
        <v>202406</v>
      </c>
      <c r="B4839" s="1" t="str">
        <f t="shared" si="2939"/>
        <v>150525100</v>
      </c>
      <c r="C4839" s="1" t="str">
        <f>"1014568771"</f>
        <v>1014568771</v>
      </c>
      <c r="D4839" s="1" t="str">
        <f>"152326195711273812"</f>
        <v>152326195711273812</v>
      </c>
      <c r="E4839" s="1" t="s">
        <v>3169</v>
      </c>
      <c r="F4839" s="1" t="s">
        <v>25</v>
      </c>
      <c r="G4839" s="1" t="s">
        <v>17</v>
      </c>
      <c r="H4839" s="1" t="str">
        <f>"67"</f>
        <v>67</v>
      </c>
      <c r="I4839" s="1" t="str">
        <f>"156.11"</f>
        <v>156.11</v>
      </c>
      <c r="J4839" s="1" t="str">
        <f t="shared" si="2944"/>
        <v>0</v>
      </c>
      <c r="K4839" s="1" t="str">
        <f t="shared" si="2945"/>
        <v>103</v>
      </c>
      <c r="L4839" s="1" t="str">
        <f t="shared" si="2946"/>
        <v>47</v>
      </c>
      <c r="M4839" s="1" t="str">
        <f t="shared" si="2948"/>
        <v>0</v>
      </c>
      <c r="N4839" s="1" t="str">
        <f t="shared" si="2931"/>
        <v>0</v>
      </c>
      <c r="O4839" s="1" t="str">
        <f>"6.11"</f>
        <v>6.11</v>
      </c>
    </row>
    <row r="4840" s="1" customFormat="1" spans="1:15">
      <c r="A4840" s="1" t="str">
        <f t="shared" si="2938"/>
        <v>202406</v>
      </c>
      <c r="B4840" s="1" t="str">
        <f t="shared" si="2939"/>
        <v>150525100</v>
      </c>
      <c r="C4840" s="1" t="str">
        <f>"1014562846"</f>
        <v>1014562846</v>
      </c>
      <c r="D4840" s="1" t="str">
        <f>"152326196205170428"</f>
        <v>152326196205170428</v>
      </c>
      <c r="E4840" s="1" t="s">
        <v>1832</v>
      </c>
      <c r="F4840" s="1" t="s">
        <v>16</v>
      </c>
      <c r="G4840" s="1" t="s">
        <v>96</v>
      </c>
      <c r="H4840" s="1" t="str">
        <f>"62"</f>
        <v>62</v>
      </c>
      <c r="I4840" s="1" t="str">
        <f>"163.03"</f>
        <v>163.03</v>
      </c>
      <c r="J4840" s="1" t="str">
        <f t="shared" si="2944"/>
        <v>0</v>
      </c>
      <c r="K4840" s="1" t="str">
        <f t="shared" si="2945"/>
        <v>103</v>
      </c>
      <c r="L4840" s="1" t="str">
        <f t="shared" si="2946"/>
        <v>47</v>
      </c>
      <c r="M4840" s="1" t="str">
        <f t="shared" si="2948"/>
        <v>0</v>
      </c>
      <c r="N4840" s="1" t="str">
        <f t="shared" si="2931"/>
        <v>0</v>
      </c>
      <c r="O4840" s="1" t="str">
        <f>"13.03"</f>
        <v>13.03</v>
      </c>
    </row>
    <row r="4841" s="1" customFormat="1" spans="1:15">
      <c r="A4841" s="1" t="str">
        <f t="shared" si="2938"/>
        <v>202406</v>
      </c>
      <c r="B4841" s="1" t="str">
        <f t="shared" si="2939"/>
        <v>150525100</v>
      </c>
      <c r="C4841" s="1" t="str">
        <f>"1014562850"</f>
        <v>1014562850</v>
      </c>
      <c r="D4841" s="1" t="str">
        <f>"152326195805160421"</f>
        <v>152326195805160421</v>
      </c>
      <c r="E4841" s="1" t="s">
        <v>4822</v>
      </c>
      <c r="F4841" s="1" t="s">
        <v>16</v>
      </c>
      <c r="G4841" s="1" t="s">
        <v>96</v>
      </c>
      <c r="H4841" s="1" t="str">
        <f>"66"</f>
        <v>66</v>
      </c>
      <c r="I4841" s="1" t="str">
        <f>"157.12"</f>
        <v>157.12</v>
      </c>
      <c r="J4841" s="1" t="str">
        <f t="shared" si="2944"/>
        <v>0</v>
      </c>
      <c r="K4841" s="1" t="str">
        <f t="shared" si="2945"/>
        <v>103</v>
      </c>
      <c r="L4841" s="1" t="str">
        <f t="shared" si="2946"/>
        <v>47</v>
      </c>
      <c r="M4841" s="1" t="str">
        <f t="shared" si="2948"/>
        <v>0</v>
      </c>
      <c r="N4841" s="1" t="str">
        <f t="shared" si="2931"/>
        <v>0</v>
      </c>
      <c r="O4841" s="1" t="str">
        <f>"7.12"</f>
        <v>7.12</v>
      </c>
    </row>
    <row r="4842" s="1" customFormat="1" spans="1:15">
      <c r="A4842" s="1" t="str">
        <f t="shared" si="2938"/>
        <v>202406</v>
      </c>
      <c r="B4842" s="1" t="str">
        <f t="shared" si="2939"/>
        <v>150525100</v>
      </c>
      <c r="C4842" s="1" t="str">
        <f>"1014563212"</f>
        <v>1014563212</v>
      </c>
      <c r="D4842" s="1" t="str">
        <f>"152326196207220417"</f>
        <v>152326196207220417</v>
      </c>
      <c r="E4842" s="1" t="s">
        <v>4823</v>
      </c>
      <c r="F4842" s="1" t="s">
        <v>25</v>
      </c>
      <c r="G4842" s="1" t="s">
        <v>17</v>
      </c>
      <c r="H4842" s="1" t="str">
        <f>"62"</f>
        <v>62</v>
      </c>
      <c r="I4842" s="1" t="str">
        <f>"163.09"</f>
        <v>163.09</v>
      </c>
      <c r="J4842" s="1" t="str">
        <f t="shared" si="2944"/>
        <v>0</v>
      </c>
      <c r="K4842" s="1" t="str">
        <f t="shared" si="2945"/>
        <v>103</v>
      </c>
      <c r="L4842" s="1" t="str">
        <f t="shared" si="2946"/>
        <v>47</v>
      </c>
      <c r="M4842" s="1" t="str">
        <f t="shared" si="2948"/>
        <v>0</v>
      </c>
      <c r="N4842" s="1" t="str">
        <f t="shared" si="2931"/>
        <v>0</v>
      </c>
      <c r="O4842" s="1" t="str">
        <f>"13.09"</f>
        <v>13.09</v>
      </c>
    </row>
    <row r="4843" s="1" customFormat="1" spans="1:15">
      <c r="A4843" s="1" t="str">
        <f t="shared" si="2938"/>
        <v>202406</v>
      </c>
      <c r="B4843" s="1" t="str">
        <f t="shared" si="2939"/>
        <v>150525100</v>
      </c>
      <c r="C4843" s="1" t="str">
        <f>"1014569646"</f>
        <v>1014569646</v>
      </c>
      <c r="D4843" s="1" t="str">
        <f>"152326195709060447"</f>
        <v>152326195709060447</v>
      </c>
      <c r="E4843" s="1" t="s">
        <v>4824</v>
      </c>
      <c r="F4843" s="1" t="s">
        <v>16</v>
      </c>
      <c r="G4843" s="1" t="s">
        <v>17</v>
      </c>
      <c r="H4843" s="1" t="str">
        <f>"67"</f>
        <v>67</v>
      </c>
      <c r="I4843" s="1" t="str">
        <f>"159.44"</f>
        <v>159.44</v>
      </c>
      <c r="J4843" s="1" t="str">
        <f t="shared" si="2944"/>
        <v>0</v>
      </c>
      <c r="K4843" s="1" t="str">
        <f t="shared" si="2945"/>
        <v>103</v>
      </c>
      <c r="L4843" s="1" t="str">
        <f t="shared" si="2946"/>
        <v>47</v>
      </c>
      <c r="M4843" s="1" t="str">
        <f t="shared" si="2948"/>
        <v>0</v>
      </c>
      <c r="N4843" s="1" t="str">
        <f t="shared" si="2931"/>
        <v>0</v>
      </c>
      <c r="O4843" s="1" t="str">
        <f>"9.44"</f>
        <v>9.44</v>
      </c>
    </row>
    <row r="4844" s="1" customFormat="1" spans="1:15">
      <c r="A4844" s="1" t="str">
        <f t="shared" si="2938"/>
        <v>202406</v>
      </c>
      <c r="B4844" s="1" t="str">
        <f t="shared" si="2939"/>
        <v>150525100</v>
      </c>
      <c r="C4844" s="1" t="str">
        <f>"1014569659"</f>
        <v>1014569659</v>
      </c>
      <c r="D4844" s="1" t="str">
        <f>"152326195811090423"</f>
        <v>152326195811090423</v>
      </c>
      <c r="E4844" s="1" t="s">
        <v>4825</v>
      </c>
      <c r="F4844" s="1" t="s">
        <v>16</v>
      </c>
      <c r="G4844" s="1" t="s">
        <v>4826</v>
      </c>
      <c r="H4844" s="1" t="str">
        <f>"66"</f>
        <v>66</v>
      </c>
      <c r="I4844" s="1" t="str">
        <f>"157.15"</f>
        <v>157.15</v>
      </c>
      <c r="J4844" s="1" t="str">
        <f t="shared" si="2944"/>
        <v>0</v>
      </c>
      <c r="K4844" s="1" t="str">
        <f t="shared" si="2945"/>
        <v>103</v>
      </c>
      <c r="L4844" s="1" t="str">
        <f t="shared" si="2946"/>
        <v>47</v>
      </c>
      <c r="M4844" s="1" t="str">
        <f t="shared" si="2948"/>
        <v>0</v>
      </c>
      <c r="N4844" s="1" t="str">
        <f t="shared" si="2931"/>
        <v>0</v>
      </c>
      <c r="O4844" s="1" t="str">
        <f>"7.15"</f>
        <v>7.15</v>
      </c>
    </row>
    <row r="4845" s="1" customFormat="1" spans="1:15">
      <c r="A4845" s="1" t="str">
        <f t="shared" si="2938"/>
        <v>202406</v>
      </c>
      <c r="B4845" s="1" t="str">
        <f t="shared" si="2939"/>
        <v>150525100</v>
      </c>
      <c r="C4845" s="1" t="str">
        <f>"1014569660"</f>
        <v>1014569660</v>
      </c>
      <c r="D4845" s="1" t="str">
        <f>"152326195108070439"</f>
        <v>152326195108070439</v>
      </c>
      <c r="E4845" s="1" t="s">
        <v>3799</v>
      </c>
      <c r="F4845" s="1" t="s">
        <v>25</v>
      </c>
      <c r="G4845" s="1" t="s">
        <v>96</v>
      </c>
      <c r="H4845" s="1" t="str">
        <f>"73"</f>
        <v>73</v>
      </c>
      <c r="I4845" s="1" t="str">
        <f>"160.94"</f>
        <v>160.94</v>
      </c>
      <c r="J4845" s="1" t="str">
        <f t="shared" si="2944"/>
        <v>0</v>
      </c>
      <c r="K4845" s="1" t="str">
        <f t="shared" si="2945"/>
        <v>103</v>
      </c>
      <c r="L4845" s="1" t="str">
        <f t="shared" si="2946"/>
        <v>47</v>
      </c>
      <c r="M4845" s="1" t="str">
        <f t="shared" si="2948"/>
        <v>0</v>
      </c>
      <c r="N4845" s="1" t="str">
        <f t="shared" si="2931"/>
        <v>0</v>
      </c>
      <c r="O4845" s="1" t="str">
        <f>"0.94"</f>
        <v>0.94</v>
      </c>
    </row>
    <row r="4846" s="1" customFormat="1" spans="1:15">
      <c r="A4846" s="1" t="str">
        <f t="shared" si="2938"/>
        <v>202406</v>
      </c>
      <c r="B4846" s="1" t="str">
        <f t="shared" si="2939"/>
        <v>150525100</v>
      </c>
      <c r="C4846" s="1" t="str">
        <f>"1014569665"</f>
        <v>1014569665</v>
      </c>
      <c r="D4846" s="1" t="str">
        <f>"152326195203240416"</f>
        <v>152326195203240416</v>
      </c>
      <c r="E4846" s="1" t="s">
        <v>4827</v>
      </c>
      <c r="F4846" s="1" t="s">
        <v>25</v>
      </c>
      <c r="G4846" s="1" t="s">
        <v>17</v>
      </c>
      <c r="H4846" s="1" t="str">
        <f t="shared" ref="H4846:H4848" si="2949">"72"</f>
        <v>72</v>
      </c>
      <c r="I4846" s="1" t="str">
        <f t="shared" ref="I4846:I4848" si="2950">"162.15"</f>
        <v>162.15</v>
      </c>
      <c r="J4846" s="1" t="str">
        <f t="shared" si="2944"/>
        <v>0</v>
      </c>
      <c r="K4846" s="1" t="str">
        <f t="shared" si="2945"/>
        <v>103</v>
      </c>
      <c r="L4846" s="1" t="str">
        <f t="shared" si="2946"/>
        <v>47</v>
      </c>
      <c r="M4846" s="1" t="str">
        <f t="shared" si="2948"/>
        <v>0</v>
      </c>
      <c r="N4846" s="1" t="str">
        <f t="shared" si="2931"/>
        <v>0</v>
      </c>
      <c r="O4846" s="1" t="str">
        <f t="shared" ref="O4846:O4848" si="2951">"2.15"</f>
        <v>2.15</v>
      </c>
    </row>
    <row r="4847" s="1" customFormat="1" spans="1:15">
      <c r="A4847" s="1" t="str">
        <f t="shared" si="2938"/>
        <v>202406</v>
      </c>
      <c r="B4847" s="1" t="str">
        <f t="shared" si="2939"/>
        <v>150525100</v>
      </c>
      <c r="C4847" s="1" t="str">
        <f>"1014569666"</f>
        <v>1014569666</v>
      </c>
      <c r="D4847" s="1" t="str">
        <f>"152326195203280418"</f>
        <v>152326195203280418</v>
      </c>
      <c r="E4847" s="1" t="s">
        <v>4828</v>
      </c>
      <c r="F4847" s="1" t="s">
        <v>25</v>
      </c>
      <c r="G4847" s="1" t="s">
        <v>17</v>
      </c>
      <c r="H4847" s="1" t="str">
        <f t="shared" si="2949"/>
        <v>72</v>
      </c>
      <c r="I4847" s="1" t="str">
        <f t="shared" si="2950"/>
        <v>162.15</v>
      </c>
      <c r="J4847" s="1" t="str">
        <f t="shared" si="2944"/>
        <v>0</v>
      </c>
      <c r="K4847" s="1" t="str">
        <f t="shared" si="2945"/>
        <v>103</v>
      </c>
      <c r="L4847" s="1" t="str">
        <f t="shared" si="2946"/>
        <v>47</v>
      </c>
      <c r="M4847" s="1" t="str">
        <f t="shared" si="2948"/>
        <v>0</v>
      </c>
      <c r="N4847" s="1" t="str">
        <f t="shared" si="2931"/>
        <v>0</v>
      </c>
      <c r="O4847" s="1" t="str">
        <f t="shared" si="2951"/>
        <v>2.15</v>
      </c>
    </row>
    <row r="4848" s="1" customFormat="1" spans="1:15">
      <c r="A4848" s="1" t="str">
        <f t="shared" si="2938"/>
        <v>202406</v>
      </c>
      <c r="B4848" s="1" t="str">
        <f t="shared" si="2939"/>
        <v>150525100</v>
      </c>
      <c r="C4848" s="1" t="str">
        <f>"1014569669"</f>
        <v>1014569669</v>
      </c>
      <c r="D4848" s="1" t="str">
        <f>"152326195208290420"</f>
        <v>152326195208290420</v>
      </c>
      <c r="E4848" s="1" t="s">
        <v>929</v>
      </c>
      <c r="F4848" s="1" t="s">
        <v>16</v>
      </c>
      <c r="G4848" s="1" t="s">
        <v>17</v>
      </c>
      <c r="H4848" s="1" t="str">
        <f t="shared" si="2949"/>
        <v>72</v>
      </c>
      <c r="I4848" s="1" t="str">
        <f t="shared" si="2950"/>
        <v>162.15</v>
      </c>
      <c r="J4848" s="1" t="str">
        <f t="shared" si="2944"/>
        <v>0</v>
      </c>
      <c r="K4848" s="1" t="str">
        <f t="shared" si="2945"/>
        <v>103</v>
      </c>
      <c r="L4848" s="1" t="str">
        <f t="shared" si="2946"/>
        <v>47</v>
      </c>
      <c r="M4848" s="1" t="str">
        <f t="shared" si="2948"/>
        <v>0</v>
      </c>
      <c r="N4848" s="1" t="str">
        <f t="shared" si="2931"/>
        <v>0</v>
      </c>
      <c r="O4848" s="1" t="str">
        <f t="shared" si="2951"/>
        <v>2.15</v>
      </c>
    </row>
    <row r="4849" s="1" customFormat="1" spans="1:15">
      <c r="A4849" s="1" t="str">
        <f t="shared" si="2938"/>
        <v>202406</v>
      </c>
      <c r="B4849" s="1" t="str">
        <f t="shared" si="2939"/>
        <v>150525100</v>
      </c>
      <c r="C4849" s="1" t="str">
        <f>"1014549937"</f>
        <v>1014549937</v>
      </c>
      <c r="D4849" s="1" t="str">
        <f>"152326195504080663"</f>
        <v>152326195504080663</v>
      </c>
      <c r="E4849" s="1" t="s">
        <v>1738</v>
      </c>
      <c r="F4849" s="1" t="s">
        <v>16</v>
      </c>
      <c r="G4849" s="1" t="s">
        <v>17</v>
      </c>
      <c r="H4849" s="1" t="str">
        <f t="shared" ref="H4849:H4851" si="2952">"69"</f>
        <v>69</v>
      </c>
      <c r="I4849" s="1" t="str">
        <f>"155.11"</f>
        <v>155.11</v>
      </c>
      <c r="J4849" s="1" t="str">
        <f t="shared" si="2944"/>
        <v>0</v>
      </c>
      <c r="K4849" s="1" t="str">
        <f t="shared" si="2945"/>
        <v>103</v>
      </c>
      <c r="L4849" s="1" t="str">
        <f t="shared" si="2946"/>
        <v>47</v>
      </c>
      <c r="M4849" s="1" t="str">
        <f t="shared" si="2948"/>
        <v>0</v>
      </c>
      <c r="N4849" s="1" t="str">
        <f t="shared" si="2931"/>
        <v>0</v>
      </c>
      <c r="O4849" s="1" t="str">
        <f>"5.11"</f>
        <v>5.11</v>
      </c>
    </row>
    <row r="4850" s="1" customFormat="1" spans="1:15">
      <c r="A4850" s="1" t="str">
        <f t="shared" si="2938"/>
        <v>202406</v>
      </c>
      <c r="B4850" s="1" t="str">
        <f t="shared" si="2939"/>
        <v>150525100</v>
      </c>
      <c r="C4850" s="1" t="str">
        <f>"1014549938"</f>
        <v>1014549938</v>
      </c>
      <c r="D4850" s="1" t="str">
        <f>"152326195504263320"</f>
        <v>152326195504263320</v>
      </c>
      <c r="E4850" s="1" t="s">
        <v>1781</v>
      </c>
      <c r="F4850" s="1" t="s">
        <v>16</v>
      </c>
      <c r="G4850" s="1" t="s">
        <v>19</v>
      </c>
      <c r="H4850" s="1" t="str">
        <f t="shared" si="2952"/>
        <v>69</v>
      </c>
      <c r="I4850" s="1" t="str">
        <f>"155.1"</f>
        <v>155.1</v>
      </c>
      <c r="J4850" s="1" t="str">
        <f t="shared" si="2944"/>
        <v>0</v>
      </c>
      <c r="K4850" s="1" t="str">
        <f t="shared" si="2945"/>
        <v>103</v>
      </c>
      <c r="L4850" s="1" t="str">
        <f t="shared" si="2946"/>
        <v>47</v>
      </c>
      <c r="M4850" s="1" t="str">
        <f t="shared" si="2948"/>
        <v>0</v>
      </c>
      <c r="N4850" s="1" t="str">
        <f t="shared" si="2931"/>
        <v>0</v>
      </c>
      <c r="O4850" s="1" t="str">
        <f>"5.1"</f>
        <v>5.1</v>
      </c>
    </row>
    <row r="4851" s="1" customFormat="1" spans="1:15">
      <c r="A4851" s="1" t="str">
        <f t="shared" si="2938"/>
        <v>202406</v>
      </c>
      <c r="B4851" s="1" t="str">
        <f t="shared" si="2939"/>
        <v>150525100</v>
      </c>
      <c r="C4851" s="1" t="str">
        <f>"1014549944"</f>
        <v>1014549944</v>
      </c>
      <c r="D4851" s="1" t="str">
        <f>"152326195507123075"</f>
        <v>152326195507123075</v>
      </c>
      <c r="E4851" s="1" t="s">
        <v>4829</v>
      </c>
      <c r="F4851" s="1" t="s">
        <v>25</v>
      </c>
      <c r="G4851" s="1" t="s">
        <v>17</v>
      </c>
      <c r="H4851" s="1" t="str">
        <f t="shared" si="2952"/>
        <v>69</v>
      </c>
      <c r="I4851" s="1" t="str">
        <f>"155.1"</f>
        <v>155.1</v>
      </c>
      <c r="J4851" s="1" t="str">
        <f t="shared" si="2944"/>
        <v>0</v>
      </c>
      <c r="K4851" s="1" t="str">
        <f t="shared" si="2945"/>
        <v>103</v>
      </c>
      <c r="L4851" s="1" t="str">
        <f t="shared" si="2946"/>
        <v>47</v>
      </c>
      <c r="M4851" s="1" t="str">
        <f t="shared" si="2948"/>
        <v>0</v>
      </c>
      <c r="N4851" s="1" t="str">
        <f t="shared" si="2931"/>
        <v>0</v>
      </c>
      <c r="O4851" s="1" t="str">
        <f>"5.1"</f>
        <v>5.1</v>
      </c>
    </row>
    <row r="4852" s="1" customFormat="1" spans="1:15">
      <c r="A4852" s="1" t="str">
        <f t="shared" si="2938"/>
        <v>202406</v>
      </c>
      <c r="B4852" s="1" t="str">
        <f t="shared" si="2939"/>
        <v>150525100</v>
      </c>
      <c r="C4852" s="1" t="str">
        <f>"1014584459"</f>
        <v>1014584459</v>
      </c>
      <c r="D4852" s="1" t="str">
        <f>"152326195310250425"</f>
        <v>152326195310250425</v>
      </c>
      <c r="E4852" s="1" t="s">
        <v>4830</v>
      </c>
      <c r="F4852" s="1" t="s">
        <v>16</v>
      </c>
      <c r="G4852" s="1" t="s">
        <v>17</v>
      </c>
      <c r="H4852" s="1" t="str">
        <f>"71"</f>
        <v>71</v>
      </c>
      <c r="I4852" s="1" t="str">
        <f>"163.16"</f>
        <v>163.16</v>
      </c>
      <c r="J4852" s="1" t="str">
        <f t="shared" si="2944"/>
        <v>0</v>
      </c>
      <c r="K4852" s="1" t="str">
        <f t="shared" si="2945"/>
        <v>103</v>
      </c>
      <c r="L4852" s="1" t="str">
        <f t="shared" si="2946"/>
        <v>47</v>
      </c>
      <c r="M4852" s="1" t="str">
        <f t="shared" si="2948"/>
        <v>0</v>
      </c>
      <c r="N4852" s="1" t="str">
        <f t="shared" si="2931"/>
        <v>0</v>
      </c>
      <c r="O4852" s="1" t="str">
        <f>"3.16"</f>
        <v>3.16</v>
      </c>
    </row>
    <row r="4853" s="1" customFormat="1" spans="1:15">
      <c r="A4853" s="1" t="str">
        <f t="shared" si="2938"/>
        <v>202406</v>
      </c>
      <c r="B4853" s="1" t="str">
        <f t="shared" si="2939"/>
        <v>150525100</v>
      </c>
      <c r="C4853" s="1" t="str">
        <f>"1014584460"</f>
        <v>1014584460</v>
      </c>
      <c r="D4853" s="1" t="s">
        <v>4831</v>
      </c>
      <c r="E4853" s="1" t="s">
        <v>3416</v>
      </c>
      <c r="F4853" s="1" t="s">
        <v>16</v>
      </c>
      <c r="G4853" s="1" t="s">
        <v>17</v>
      </c>
      <c r="H4853" s="1" t="str">
        <f>"71"</f>
        <v>71</v>
      </c>
      <c r="I4853" s="1" t="str">
        <f>"163.16"</f>
        <v>163.16</v>
      </c>
      <c r="J4853" s="1" t="str">
        <f t="shared" si="2944"/>
        <v>0</v>
      </c>
      <c r="K4853" s="1" t="str">
        <f t="shared" si="2945"/>
        <v>103</v>
      </c>
      <c r="L4853" s="1" t="str">
        <f t="shared" si="2946"/>
        <v>47</v>
      </c>
      <c r="M4853" s="1" t="str">
        <f t="shared" si="2948"/>
        <v>0</v>
      </c>
      <c r="N4853" s="1" t="str">
        <f t="shared" si="2931"/>
        <v>0</v>
      </c>
      <c r="O4853" s="1" t="str">
        <f>"3.16"</f>
        <v>3.16</v>
      </c>
    </row>
    <row r="4854" s="1" customFormat="1" spans="1:15">
      <c r="A4854" s="1" t="str">
        <f t="shared" si="2938"/>
        <v>202406</v>
      </c>
      <c r="B4854" s="1" t="str">
        <f t="shared" si="2939"/>
        <v>150525100</v>
      </c>
      <c r="C4854" s="1" t="str">
        <f>"1014567792"</f>
        <v>1014567792</v>
      </c>
      <c r="D4854" s="1" t="str">
        <f>"152326195201203822"</f>
        <v>152326195201203822</v>
      </c>
      <c r="E4854" s="1" t="s">
        <v>4832</v>
      </c>
      <c r="F4854" s="1" t="s">
        <v>16</v>
      </c>
      <c r="G4854" s="1" t="s">
        <v>17</v>
      </c>
      <c r="H4854" s="1" t="str">
        <f>"72"</f>
        <v>72</v>
      </c>
      <c r="I4854" s="1" t="str">
        <f>"162.15"</f>
        <v>162.15</v>
      </c>
      <c r="J4854" s="1" t="str">
        <f t="shared" si="2944"/>
        <v>0</v>
      </c>
      <c r="K4854" s="1" t="str">
        <f t="shared" si="2945"/>
        <v>103</v>
      </c>
      <c r="L4854" s="1" t="str">
        <f t="shared" si="2946"/>
        <v>47</v>
      </c>
      <c r="M4854" s="1" t="str">
        <f t="shared" si="2948"/>
        <v>0</v>
      </c>
      <c r="N4854" s="1" t="str">
        <f t="shared" si="2931"/>
        <v>0</v>
      </c>
      <c r="O4854" s="1" t="str">
        <f>"2.15"</f>
        <v>2.15</v>
      </c>
    </row>
    <row r="4855" s="1" customFormat="1" spans="1:15">
      <c r="A4855" s="1" t="str">
        <f t="shared" si="2938"/>
        <v>202406</v>
      </c>
      <c r="B4855" s="1" t="str">
        <f t="shared" si="2939"/>
        <v>150525100</v>
      </c>
      <c r="C4855" s="1" t="str">
        <f>"1014562871"</f>
        <v>1014562871</v>
      </c>
      <c r="D4855" s="1" t="str">
        <f>"152326196110040428"</f>
        <v>152326196110040428</v>
      </c>
      <c r="E4855" s="1" t="s">
        <v>4833</v>
      </c>
      <c r="F4855" s="1" t="s">
        <v>16</v>
      </c>
      <c r="G4855" s="1" t="s">
        <v>19</v>
      </c>
      <c r="H4855" s="1" t="str">
        <f>"63"</f>
        <v>63</v>
      </c>
      <c r="I4855" s="1" t="str">
        <f>"162.85"</f>
        <v>162.85</v>
      </c>
      <c r="J4855" s="1" t="str">
        <f t="shared" si="2944"/>
        <v>0</v>
      </c>
      <c r="K4855" s="1" t="str">
        <f t="shared" si="2945"/>
        <v>103</v>
      </c>
      <c r="L4855" s="1" t="str">
        <f t="shared" si="2946"/>
        <v>47</v>
      </c>
      <c r="M4855" s="1" t="str">
        <f t="shared" si="2948"/>
        <v>0</v>
      </c>
      <c r="N4855" s="1" t="str">
        <f t="shared" si="2931"/>
        <v>0</v>
      </c>
      <c r="O4855" s="1" t="str">
        <f>"12.85"</f>
        <v>12.85</v>
      </c>
    </row>
    <row r="4856" s="1" customFormat="1" spans="1:15">
      <c r="A4856" s="1" t="str">
        <f t="shared" si="2938"/>
        <v>202406</v>
      </c>
      <c r="B4856" s="1" t="str">
        <f t="shared" si="2939"/>
        <v>150525100</v>
      </c>
      <c r="C4856" s="1" t="str">
        <f>"1014562874"</f>
        <v>1014562874</v>
      </c>
      <c r="D4856" s="1" t="str">
        <f>"152326195602080448"</f>
        <v>152326195602080448</v>
      </c>
      <c r="E4856" s="1" t="s">
        <v>4834</v>
      </c>
      <c r="F4856" s="1" t="s">
        <v>16</v>
      </c>
      <c r="G4856" s="1" t="s">
        <v>19</v>
      </c>
      <c r="H4856" s="1" t="str">
        <f>"68"</f>
        <v>68</v>
      </c>
      <c r="I4856" s="1" t="str">
        <f>"155.98"</f>
        <v>155.98</v>
      </c>
      <c r="J4856" s="1" t="str">
        <f t="shared" si="2944"/>
        <v>0</v>
      </c>
      <c r="K4856" s="1" t="str">
        <f t="shared" si="2945"/>
        <v>103</v>
      </c>
      <c r="L4856" s="1" t="str">
        <f t="shared" si="2946"/>
        <v>47</v>
      </c>
      <c r="M4856" s="1" t="str">
        <f t="shared" si="2948"/>
        <v>0</v>
      </c>
      <c r="N4856" s="1" t="str">
        <f t="shared" si="2931"/>
        <v>0</v>
      </c>
      <c r="O4856" s="1" t="str">
        <f>"5.98"</f>
        <v>5.98</v>
      </c>
    </row>
    <row r="4857" s="1" customFormat="1" spans="1:15">
      <c r="A4857" s="1" t="str">
        <f t="shared" si="2938"/>
        <v>202406</v>
      </c>
      <c r="B4857" s="1" t="str">
        <f t="shared" si="2939"/>
        <v>150525100</v>
      </c>
      <c r="C4857" s="1" t="str">
        <f>"1014562876"</f>
        <v>1014562876</v>
      </c>
      <c r="D4857" s="1" t="str">
        <f>"152326196004010428"</f>
        <v>152326196004010428</v>
      </c>
      <c r="E4857" s="1" t="s">
        <v>4835</v>
      </c>
      <c r="F4857" s="1" t="s">
        <v>16</v>
      </c>
      <c r="G4857" s="1" t="s">
        <v>19</v>
      </c>
      <c r="H4857" s="1" t="str">
        <f>"64"</f>
        <v>64</v>
      </c>
      <c r="I4857" s="1" t="str">
        <f>"159.22"</f>
        <v>159.22</v>
      </c>
      <c r="J4857" s="1" t="str">
        <f t="shared" si="2944"/>
        <v>0</v>
      </c>
      <c r="K4857" s="1" t="str">
        <f t="shared" si="2945"/>
        <v>103</v>
      </c>
      <c r="L4857" s="1" t="str">
        <f t="shared" si="2946"/>
        <v>47</v>
      </c>
      <c r="M4857" s="1" t="str">
        <f t="shared" si="2948"/>
        <v>0</v>
      </c>
      <c r="N4857" s="1" t="str">
        <f t="shared" si="2931"/>
        <v>0</v>
      </c>
      <c r="O4857" s="1" t="str">
        <f>"9.22"</f>
        <v>9.22</v>
      </c>
    </row>
    <row r="4858" s="1" customFormat="1" spans="1:15">
      <c r="A4858" s="1" t="str">
        <f t="shared" si="2938"/>
        <v>202406</v>
      </c>
      <c r="B4858" s="1" t="str">
        <f t="shared" si="2939"/>
        <v>150525100</v>
      </c>
      <c r="C4858" s="1" t="str">
        <f>"1014569682"</f>
        <v>1014569682</v>
      </c>
      <c r="D4858" s="1" t="str">
        <f>"152326195404120410"</f>
        <v>152326195404120410</v>
      </c>
      <c r="E4858" s="1" t="s">
        <v>4836</v>
      </c>
      <c r="F4858" s="1" t="s">
        <v>25</v>
      </c>
      <c r="G4858" s="1" t="s">
        <v>17</v>
      </c>
      <c r="H4858" s="1" t="str">
        <f>"70"</f>
        <v>70</v>
      </c>
      <c r="I4858" s="1" t="str">
        <f>"164.14"</f>
        <v>164.14</v>
      </c>
      <c r="J4858" s="1" t="str">
        <f t="shared" si="2944"/>
        <v>0</v>
      </c>
      <c r="K4858" s="1" t="str">
        <f t="shared" si="2945"/>
        <v>103</v>
      </c>
      <c r="L4858" s="1" t="str">
        <f t="shared" si="2946"/>
        <v>47</v>
      </c>
      <c r="M4858" s="1" t="str">
        <f t="shared" si="2948"/>
        <v>0</v>
      </c>
      <c r="N4858" s="1" t="str">
        <f t="shared" ref="N4858:N4868" si="2953">"0"</f>
        <v>0</v>
      </c>
      <c r="O4858" s="1" t="str">
        <f>"4.14"</f>
        <v>4.14</v>
      </c>
    </row>
    <row r="4859" s="1" customFormat="1" spans="1:15">
      <c r="A4859" s="1" t="str">
        <f t="shared" si="2938"/>
        <v>202406</v>
      </c>
      <c r="B4859" s="1" t="str">
        <f t="shared" si="2939"/>
        <v>150525100</v>
      </c>
      <c r="C4859" s="1" t="str">
        <f>"1014569688"</f>
        <v>1014569688</v>
      </c>
      <c r="D4859" s="1" t="str">
        <f>"152326195412240412"</f>
        <v>152326195412240412</v>
      </c>
      <c r="E4859" s="1" t="s">
        <v>4837</v>
      </c>
      <c r="F4859" s="1" t="s">
        <v>25</v>
      </c>
      <c r="G4859" s="1" t="s">
        <v>17</v>
      </c>
      <c r="H4859" s="1" t="str">
        <f>"70"</f>
        <v>70</v>
      </c>
      <c r="I4859" s="1" t="str">
        <f>"154.14"</f>
        <v>154.14</v>
      </c>
      <c r="J4859" s="1" t="str">
        <f t="shared" si="2944"/>
        <v>0</v>
      </c>
      <c r="K4859" s="1" t="str">
        <f t="shared" si="2945"/>
        <v>103</v>
      </c>
      <c r="L4859" s="1" t="str">
        <f t="shared" si="2946"/>
        <v>47</v>
      </c>
      <c r="M4859" s="1" t="str">
        <f t="shared" si="2948"/>
        <v>0</v>
      </c>
      <c r="N4859" s="1" t="str">
        <f t="shared" si="2953"/>
        <v>0</v>
      </c>
      <c r="O4859" s="1" t="str">
        <f>"4.14"</f>
        <v>4.14</v>
      </c>
    </row>
    <row r="4860" s="1" customFormat="1" spans="1:15">
      <c r="A4860" s="1" t="str">
        <f t="shared" si="2938"/>
        <v>202406</v>
      </c>
      <c r="B4860" s="1" t="str">
        <f t="shared" si="2939"/>
        <v>150525100</v>
      </c>
      <c r="C4860" s="1" t="str">
        <f>"1014584077"</f>
        <v>1014584077</v>
      </c>
      <c r="D4860" s="1" t="str">
        <f>"152326195710030448"</f>
        <v>152326195710030448</v>
      </c>
      <c r="E4860" s="1" t="s">
        <v>4838</v>
      </c>
      <c r="F4860" s="1" t="s">
        <v>16</v>
      </c>
      <c r="G4860" s="1" t="s">
        <v>17</v>
      </c>
      <c r="H4860" s="1" t="str">
        <f t="shared" ref="H4860:H4862" si="2954">"67"</f>
        <v>67</v>
      </c>
      <c r="I4860" s="1" t="str">
        <f>"156.09"</f>
        <v>156.09</v>
      </c>
      <c r="J4860" s="1" t="str">
        <f t="shared" si="2944"/>
        <v>0</v>
      </c>
      <c r="K4860" s="1" t="str">
        <f t="shared" si="2945"/>
        <v>103</v>
      </c>
      <c r="L4860" s="1" t="str">
        <f t="shared" si="2946"/>
        <v>47</v>
      </c>
      <c r="M4860" s="1" t="str">
        <f t="shared" si="2948"/>
        <v>0</v>
      </c>
      <c r="N4860" s="1" t="str">
        <f t="shared" si="2953"/>
        <v>0</v>
      </c>
      <c r="O4860" s="1" t="str">
        <f>"6.09"</f>
        <v>6.09</v>
      </c>
    </row>
    <row r="4861" s="1" customFormat="1" spans="1:15">
      <c r="A4861" s="1" t="str">
        <f t="shared" si="2938"/>
        <v>202406</v>
      </c>
      <c r="B4861" s="1" t="str">
        <f t="shared" si="2939"/>
        <v>150525100</v>
      </c>
      <c r="C4861" s="1" t="str">
        <f>"1014584079"</f>
        <v>1014584079</v>
      </c>
      <c r="D4861" s="1" t="str">
        <f>"152326195711060681"</f>
        <v>152326195711060681</v>
      </c>
      <c r="E4861" s="1" t="s">
        <v>4839</v>
      </c>
      <c r="F4861" s="1" t="s">
        <v>16</v>
      </c>
      <c r="G4861" s="1" t="s">
        <v>17</v>
      </c>
      <c r="H4861" s="1" t="str">
        <f t="shared" si="2954"/>
        <v>67</v>
      </c>
      <c r="I4861" s="1" t="str">
        <f>"157.04"</f>
        <v>157.04</v>
      </c>
      <c r="J4861" s="1" t="str">
        <f t="shared" si="2944"/>
        <v>0</v>
      </c>
      <c r="K4861" s="1" t="str">
        <f t="shared" si="2945"/>
        <v>103</v>
      </c>
      <c r="L4861" s="1" t="str">
        <f t="shared" si="2946"/>
        <v>47</v>
      </c>
      <c r="M4861" s="1" t="str">
        <f t="shared" si="2948"/>
        <v>0</v>
      </c>
      <c r="N4861" s="1" t="str">
        <f t="shared" si="2953"/>
        <v>0</v>
      </c>
      <c r="O4861" s="1" t="str">
        <f>"7.04"</f>
        <v>7.04</v>
      </c>
    </row>
    <row r="4862" s="1" customFormat="1" spans="1:15">
      <c r="A4862" s="1" t="str">
        <f t="shared" si="2938"/>
        <v>202406</v>
      </c>
      <c r="B4862" s="1" t="str">
        <f t="shared" si="2939"/>
        <v>150525100</v>
      </c>
      <c r="C4862" s="1" t="str">
        <f>"1014584086"</f>
        <v>1014584086</v>
      </c>
      <c r="D4862" s="1" t="str">
        <f>"152326195712220675"</f>
        <v>152326195712220675</v>
      </c>
      <c r="E4862" s="1" t="s">
        <v>4840</v>
      </c>
      <c r="F4862" s="1" t="s">
        <v>25</v>
      </c>
      <c r="G4862" s="1" t="s">
        <v>17</v>
      </c>
      <c r="H4862" s="1" t="str">
        <f t="shared" si="2954"/>
        <v>67</v>
      </c>
      <c r="I4862" s="1" t="str">
        <f>"156.1"</f>
        <v>156.1</v>
      </c>
      <c r="J4862" s="1" t="str">
        <f t="shared" si="2944"/>
        <v>0</v>
      </c>
      <c r="K4862" s="1" t="str">
        <f t="shared" si="2945"/>
        <v>103</v>
      </c>
      <c r="L4862" s="1" t="str">
        <f t="shared" si="2946"/>
        <v>47</v>
      </c>
      <c r="M4862" s="1" t="str">
        <f t="shared" si="2948"/>
        <v>0</v>
      </c>
      <c r="N4862" s="1" t="str">
        <f t="shared" si="2953"/>
        <v>0</v>
      </c>
      <c r="O4862" s="1" t="str">
        <f>"6.1"</f>
        <v>6.1</v>
      </c>
    </row>
    <row r="4863" s="1" customFormat="1" spans="1:15">
      <c r="A4863" s="1" t="str">
        <f t="shared" si="2938"/>
        <v>202406</v>
      </c>
      <c r="B4863" s="1" t="str">
        <f t="shared" si="2939"/>
        <v>150525100</v>
      </c>
      <c r="C4863" s="1" t="str">
        <f>"1014549954"</f>
        <v>1014549954</v>
      </c>
      <c r="D4863" s="1" t="str">
        <f>"152326195510063085"</f>
        <v>152326195510063085</v>
      </c>
      <c r="E4863" s="1" t="s">
        <v>4841</v>
      </c>
      <c r="F4863" s="1" t="s">
        <v>16</v>
      </c>
      <c r="G4863" s="1" t="s">
        <v>17</v>
      </c>
      <c r="H4863" s="1" t="str">
        <f t="shared" ref="H4863:H4868" si="2955">"69"</f>
        <v>69</v>
      </c>
      <c r="I4863" s="1" t="str">
        <f>"155.1"</f>
        <v>155.1</v>
      </c>
      <c r="J4863" s="1" t="str">
        <f t="shared" si="2944"/>
        <v>0</v>
      </c>
      <c r="K4863" s="1" t="str">
        <f t="shared" si="2945"/>
        <v>103</v>
      </c>
      <c r="L4863" s="1" t="str">
        <f t="shared" si="2946"/>
        <v>47</v>
      </c>
      <c r="M4863" s="1" t="str">
        <f t="shared" si="2948"/>
        <v>0</v>
      </c>
      <c r="N4863" s="1" t="str">
        <f t="shared" si="2953"/>
        <v>0</v>
      </c>
      <c r="O4863" s="1" t="str">
        <f>"5.1"</f>
        <v>5.1</v>
      </c>
    </row>
    <row r="4864" s="1" customFormat="1" spans="1:15">
      <c r="A4864" s="1" t="str">
        <f t="shared" si="2938"/>
        <v>202406</v>
      </c>
      <c r="B4864" s="1" t="str">
        <f t="shared" si="2939"/>
        <v>150525100</v>
      </c>
      <c r="C4864" s="1" t="str">
        <f>"1014550491"</f>
        <v>1014550491</v>
      </c>
      <c r="D4864" s="1" t="str">
        <f>"152326195203150664"</f>
        <v>152326195203150664</v>
      </c>
      <c r="E4864" s="1" t="s">
        <v>4842</v>
      </c>
      <c r="F4864" s="1" t="s">
        <v>16</v>
      </c>
      <c r="G4864" s="1" t="s">
        <v>96</v>
      </c>
      <c r="H4864" s="1" t="str">
        <f>"72"</f>
        <v>72</v>
      </c>
      <c r="I4864" s="1" t="str">
        <f>"162.15"</f>
        <v>162.15</v>
      </c>
      <c r="J4864" s="1" t="str">
        <f t="shared" si="2944"/>
        <v>0</v>
      </c>
      <c r="K4864" s="1" t="str">
        <f t="shared" si="2945"/>
        <v>103</v>
      </c>
      <c r="L4864" s="1" t="str">
        <f t="shared" si="2946"/>
        <v>47</v>
      </c>
      <c r="M4864" s="1" t="str">
        <f t="shared" si="2948"/>
        <v>0</v>
      </c>
      <c r="N4864" s="1" t="str">
        <f t="shared" si="2953"/>
        <v>0</v>
      </c>
      <c r="O4864" s="1" t="str">
        <f>"2.15"</f>
        <v>2.15</v>
      </c>
    </row>
    <row r="4865" s="1" customFormat="1" spans="1:15">
      <c r="A4865" s="1" t="str">
        <f t="shared" si="2938"/>
        <v>202406</v>
      </c>
      <c r="B4865" s="1" t="str">
        <f t="shared" si="2939"/>
        <v>150525100</v>
      </c>
      <c r="C4865" s="1" t="str">
        <f>"1014549069"</f>
        <v>1014549069</v>
      </c>
      <c r="D4865" s="1" t="str">
        <f>"152325196308256527"</f>
        <v>152325196308256527</v>
      </c>
      <c r="E4865" s="1" t="s">
        <v>1561</v>
      </c>
      <c r="F4865" s="1" t="s">
        <v>16</v>
      </c>
      <c r="G4865" s="1" t="s">
        <v>19</v>
      </c>
      <c r="H4865" s="1" t="str">
        <f>"61"</f>
        <v>61</v>
      </c>
      <c r="I4865" s="1" t="str">
        <f>"165.85"</f>
        <v>165.85</v>
      </c>
      <c r="J4865" s="1" t="str">
        <f t="shared" si="2944"/>
        <v>0</v>
      </c>
      <c r="K4865" s="1" t="str">
        <f t="shared" si="2945"/>
        <v>103</v>
      </c>
      <c r="L4865" s="1" t="str">
        <f t="shared" si="2946"/>
        <v>47</v>
      </c>
      <c r="M4865" s="1" t="str">
        <f t="shared" si="2948"/>
        <v>0</v>
      </c>
      <c r="N4865" s="1" t="str">
        <f t="shared" si="2953"/>
        <v>0</v>
      </c>
      <c r="O4865" s="1" t="str">
        <f>"15.85"</f>
        <v>15.85</v>
      </c>
    </row>
    <row r="4866" s="1" customFormat="1" spans="1:15">
      <c r="A4866" s="1" t="str">
        <f t="shared" ref="A4866:A4929" si="2956">"202406"</f>
        <v>202406</v>
      </c>
      <c r="B4866" s="1" t="str">
        <f t="shared" ref="B4866:B4929" si="2957">"150525100"</f>
        <v>150525100</v>
      </c>
      <c r="C4866" s="1" t="str">
        <f>"1014549079"</f>
        <v>1014549079</v>
      </c>
      <c r="D4866" s="1" t="str">
        <f>"152326195501163324"</f>
        <v>152326195501163324</v>
      </c>
      <c r="E4866" s="1" t="s">
        <v>4843</v>
      </c>
      <c r="F4866" s="1" t="s">
        <v>16</v>
      </c>
      <c r="G4866" s="1" t="s">
        <v>19</v>
      </c>
      <c r="H4866" s="1" t="str">
        <f t="shared" si="2955"/>
        <v>69</v>
      </c>
      <c r="I4866" s="1" t="str">
        <f>"155.1"</f>
        <v>155.1</v>
      </c>
      <c r="J4866" s="1" t="str">
        <f t="shared" si="2944"/>
        <v>0</v>
      </c>
      <c r="K4866" s="1" t="str">
        <f t="shared" si="2945"/>
        <v>103</v>
      </c>
      <c r="L4866" s="1" t="str">
        <f t="shared" si="2946"/>
        <v>47</v>
      </c>
      <c r="M4866" s="1" t="str">
        <f t="shared" si="2948"/>
        <v>0</v>
      </c>
      <c r="N4866" s="1" t="str">
        <f t="shared" si="2953"/>
        <v>0</v>
      </c>
      <c r="O4866" s="1" t="str">
        <f>"5.1"</f>
        <v>5.1</v>
      </c>
    </row>
    <row r="4867" s="1" customFormat="1" spans="1:15">
      <c r="A4867" s="1" t="str">
        <f t="shared" si="2956"/>
        <v>202406</v>
      </c>
      <c r="B4867" s="1" t="str">
        <f t="shared" si="2957"/>
        <v>150525100</v>
      </c>
      <c r="C4867" s="1" t="str">
        <f>"1040832984"</f>
        <v>1040832984</v>
      </c>
      <c r="D4867" s="1" t="str">
        <f>"152326195404150919"</f>
        <v>152326195404150919</v>
      </c>
      <c r="E4867" s="1" t="s">
        <v>4844</v>
      </c>
      <c r="F4867" s="1" t="s">
        <v>25</v>
      </c>
      <c r="G4867" s="1" t="s">
        <v>19</v>
      </c>
      <c r="H4867" s="1" t="str">
        <f t="shared" ref="H4867:H4870" si="2958">"70"</f>
        <v>70</v>
      </c>
      <c r="I4867" s="1" t="str">
        <f>"163.28"</f>
        <v>163.28</v>
      </c>
      <c r="J4867" s="1" t="str">
        <f t="shared" si="2944"/>
        <v>0</v>
      </c>
      <c r="K4867" s="1" t="str">
        <f t="shared" si="2945"/>
        <v>103</v>
      </c>
      <c r="L4867" s="1" t="str">
        <f t="shared" si="2946"/>
        <v>47</v>
      </c>
      <c r="M4867" s="1" t="str">
        <f t="shared" si="2948"/>
        <v>0</v>
      </c>
      <c r="N4867" s="1" t="str">
        <f t="shared" si="2953"/>
        <v>0</v>
      </c>
      <c r="O4867" s="1" t="str">
        <f>"3.28"</f>
        <v>3.28</v>
      </c>
    </row>
    <row r="4868" s="1" customFormat="1" spans="1:15">
      <c r="A4868" s="1" t="str">
        <f t="shared" si="2956"/>
        <v>202406</v>
      </c>
      <c r="B4868" s="1" t="str">
        <f t="shared" si="2957"/>
        <v>150525100</v>
      </c>
      <c r="C4868" s="1" t="str">
        <f>"1040832988"</f>
        <v>1040832988</v>
      </c>
      <c r="D4868" s="1" t="str">
        <f>"152326195503030920"</f>
        <v>152326195503030920</v>
      </c>
      <c r="E4868" s="1" t="s">
        <v>2677</v>
      </c>
      <c r="F4868" s="1" t="s">
        <v>16</v>
      </c>
      <c r="G4868" s="1" t="s">
        <v>19</v>
      </c>
      <c r="H4868" s="1" t="str">
        <f t="shared" si="2955"/>
        <v>69</v>
      </c>
      <c r="I4868" s="1" t="str">
        <f>"154.23"</f>
        <v>154.23</v>
      </c>
      <c r="J4868" s="1" t="str">
        <f t="shared" si="2944"/>
        <v>0</v>
      </c>
      <c r="K4868" s="1" t="str">
        <f t="shared" si="2945"/>
        <v>103</v>
      </c>
      <c r="L4868" s="1" t="str">
        <f t="shared" si="2946"/>
        <v>47</v>
      </c>
      <c r="M4868" s="1" t="str">
        <f t="shared" si="2948"/>
        <v>0</v>
      </c>
      <c r="N4868" s="1" t="str">
        <f t="shared" si="2953"/>
        <v>0</v>
      </c>
      <c r="O4868" s="1" t="str">
        <f>"4.23"</f>
        <v>4.23</v>
      </c>
    </row>
    <row r="4869" s="1" customFormat="1" spans="1:15">
      <c r="A4869" s="1" t="str">
        <f t="shared" si="2956"/>
        <v>202406</v>
      </c>
      <c r="B4869" s="1" t="str">
        <f t="shared" si="2957"/>
        <v>150525100</v>
      </c>
      <c r="C4869" s="1" t="str">
        <f>"1040832995"</f>
        <v>1040832995</v>
      </c>
      <c r="D4869" s="1" t="str">
        <f>"152326195406180660"</f>
        <v>152326195406180660</v>
      </c>
      <c r="E4869" s="1" t="s">
        <v>4285</v>
      </c>
      <c r="F4869" s="1" t="s">
        <v>16</v>
      </c>
      <c r="G4869" s="1" t="s">
        <v>17</v>
      </c>
      <c r="H4869" s="1" t="str">
        <f t="shared" si="2958"/>
        <v>70</v>
      </c>
      <c r="I4869" s="1" t="str">
        <f>"184.43"</f>
        <v>184.43</v>
      </c>
      <c r="J4869" s="1" t="str">
        <f t="shared" si="2944"/>
        <v>0</v>
      </c>
      <c r="K4869" s="1" t="str">
        <f t="shared" si="2945"/>
        <v>103</v>
      </c>
      <c r="L4869" s="1" t="str">
        <f t="shared" si="2946"/>
        <v>47</v>
      </c>
      <c r="M4869" s="1" t="str">
        <f t="shared" si="2948"/>
        <v>0</v>
      </c>
      <c r="N4869" s="1" t="str">
        <f>"31.11"</f>
        <v>31.11</v>
      </c>
      <c r="O4869" s="1" t="str">
        <f>"3.32"</f>
        <v>3.32</v>
      </c>
    </row>
    <row r="4870" s="1" customFormat="1" spans="1:15">
      <c r="A4870" s="1" t="str">
        <f t="shared" si="2956"/>
        <v>202406</v>
      </c>
      <c r="B4870" s="1" t="str">
        <f t="shared" si="2957"/>
        <v>150525100</v>
      </c>
      <c r="C4870" s="1" t="str">
        <f>"1040833005"</f>
        <v>1040833005</v>
      </c>
      <c r="D4870" s="1" t="str">
        <f>"152326195501010678"</f>
        <v>152326195501010678</v>
      </c>
      <c r="E4870" s="1" t="s">
        <v>4845</v>
      </c>
      <c r="F4870" s="1" t="s">
        <v>25</v>
      </c>
      <c r="G4870" s="1" t="s">
        <v>17</v>
      </c>
      <c r="H4870" s="1" t="str">
        <f t="shared" si="2958"/>
        <v>70</v>
      </c>
      <c r="I4870" s="1" t="str">
        <f>"154.52"</f>
        <v>154.52</v>
      </c>
      <c r="J4870" s="1" t="str">
        <f t="shared" si="2944"/>
        <v>0</v>
      </c>
      <c r="K4870" s="1" t="str">
        <f t="shared" si="2945"/>
        <v>103</v>
      </c>
      <c r="L4870" s="1" t="str">
        <f t="shared" si="2946"/>
        <v>47</v>
      </c>
      <c r="M4870" s="1" t="str">
        <f t="shared" si="2948"/>
        <v>0</v>
      </c>
      <c r="N4870" s="1" t="str">
        <f t="shared" ref="N4870:N4914" si="2959">"0"</f>
        <v>0</v>
      </c>
      <c r="O4870" s="1" t="str">
        <f>"4.52"</f>
        <v>4.52</v>
      </c>
    </row>
    <row r="4871" s="1" customFormat="1" spans="1:15">
      <c r="A4871" s="1" t="str">
        <f t="shared" si="2956"/>
        <v>202406</v>
      </c>
      <c r="B4871" s="1" t="str">
        <f t="shared" si="2957"/>
        <v>150525100</v>
      </c>
      <c r="C4871" s="1" t="str">
        <f>"1014567821"</f>
        <v>1014567821</v>
      </c>
      <c r="D4871" s="1" t="str">
        <f>"152326195809183823"</f>
        <v>152326195809183823</v>
      </c>
      <c r="E4871" s="1" t="s">
        <v>4846</v>
      </c>
      <c r="F4871" s="1" t="s">
        <v>16</v>
      </c>
      <c r="G4871" s="1" t="s">
        <v>19</v>
      </c>
      <c r="H4871" s="1" t="str">
        <f>"66"</f>
        <v>66</v>
      </c>
      <c r="I4871" s="1" t="str">
        <f>"157.14"</f>
        <v>157.14</v>
      </c>
      <c r="J4871" s="1" t="str">
        <f t="shared" si="2944"/>
        <v>0</v>
      </c>
      <c r="K4871" s="1" t="str">
        <f t="shared" si="2945"/>
        <v>103</v>
      </c>
      <c r="L4871" s="1" t="str">
        <f t="shared" si="2946"/>
        <v>47</v>
      </c>
      <c r="M4871" s="1" t="str">
        <f t="shared" si="2948"/>
        <v>0</v>
      </c>
      <c r="N4871" s="1" t="str">
        <f t="shared" si="2959"/>
        <v>0</v>
      </c>
      <c r="O4871" s="1" t="str">
        <f>"7.14"</f>
        <v>7.14</v>
      </c>
    </row>
    <row r="4872" s="1" customFormat="1" spans="1:15">
      <c r="A4872" s="1" t="str">
        <f t="shared" si="2956"/>
        <v>202406</v>
      </c>
      <c r="B4872" s="1" t="str">
        <f t="shared" si="2957"/>
        <v>150525100</v>
      </c>
      <c r="C4872" s="1" t="str">
        <f>"1014562894"</f>
        <v>1014562894</v>
      </c>
      <c r="D4872" s="1" t="str">
        <f>"152326195510240424"</f>
        <v>152326195510240424</v>
      </c>
      <c r="E4872" s="1" t="s">
        <v>4847</v>
      </c>
      <c r="F4872" s="1" t="s">
        <v>16</v>
      </c>
      <c r="G4872" s="1" t="s">
        <v>17</v>
      </c>
      <c r="H4872" s="1" t="str">
        <f>"69"</f>
        <v>69</v>
      </c>
      <c r="I4872" s="1" t="str">
        <f>"155.12"</f>
        <v>155.12</v>
      </c>
      <c r="J4872" s="1" t="str">
        <f t="shared" si="2944"/>
        <v>0</v>
      </c>
      <c r="K4872" s="1" t="str">
        <f t="shared" si="2945"/>
        <v>103</v>
      </c>
      <c r="L4872" s="1" t="str">
        <f t="shared" si="2946"/>
        <v>47</v>
      </c>
      <c r="M4872" s="1" t="str">
        <f t="shared" si="2948"/>
        <v>0</v>
      </c>
      <c r="N4872" s="1" t="str">
        <f t="shared" si="2959"/>
        <v>0</v>
      </c>
      <c r="O4872" s="1" t="str">
        <f>"5.12"</f>
        <v>5.12</v>
      </c>
    </row>
    <row r="4873" s="1" customFormat="1" spans="1:15">
      <c r="A4873" s="1" t="str">
        <f t="shared" si="2956"/>
        <v>202406</v>
      </c>
      <c r="B4873" s="1" t="str">
        <f t="shared" si="2957"/>
        <v>150525100</v>
      </c>
      <c r="C4873" s="1" t="str">
        <f>"1014562899"</f>
        <v>1014562899</v>
      </c>
      <c r="D4873" s="1" t="str">
        <f>"152326196208020417"</f>
        <v>152326196208020417</v>
      </c>
      <c r="E4873" s="1" t="s">
        <v>4848</v>
      </c>
      <c r="F4873" s="1" t="s">
        <v>25</v>
      </c>
      <c r="G4873" s="1" t="s">
        <v>17</v>
      </c>
      <c r="H4873" s="1" t="str">
        <f>"62"</f>
        <v>62</v>
      </c>
      <c r="I4873" s="1" t="str">
        <f>"162.35"</f>
        <v>162.35</v>
      </c>
      <c r="J4873" s="1" t="str">
        <f t="shared" si="2944"/>
        <v>0</v>
      </c>
      <c r="K4873" s="1" t="str">
        <f t="shared" si="2945"/>
        <v>103</v>
      </c>
      <c r="L4873" s="1" t="str">
        <f t="shared" si="2946"/>
        <v>47</v>
      </c>
      <c r="M4873" s="1" t="str">
        <f t="shared" si="2948"/>
        <v>0</v>
      </c>
      <c r="N4873" s="1" t="str">
        <f t="shared" si="2959"/>
        <v>0</v>
      </c>
      <c r="O4873" s="1" t="str">
        <f>"12.35"</f>
        <v>12.35</v>
      </c>
    </row>
    <row r="4874" s="1" customFormat="1" spans="1:15">
      <c r="A4874" s="1" t="str">
        <f t="shared" si="2956"/>
        <v>202406</v>
      </c>
      <c r="B4874" s="1" t="str">
        <f t="shared" si="2957"/>
        <v>150525100</v>
      </c>
      <c r="C4874" s="1" t="str">
        <f>"1014569694"</f>
        <v>1014569694</v>
      </c>
      <c r="D4874" s="1" t="str">
        <f>"152326195508010419"</f>
        <v>152326195508010419</v>
      </c>
      <c r="E4874" s="1" t="s">
        <v>3026</v>
      </c>
      <c r="F4874" s="1" t="s">
        <v>25</v>
      </c>
      <c r="G4874" s="1" t="s">
        <v>17</v>
      </c>
      <c r="H4874" s="1" t="str">
        <f>"69"</f>
        <v>69</v>
      </c>
      <c r="I4874" s="1" t="str">
        <f>"155.1"</f>
        <v>155.1</v>
      </c>
      <c r="J4874" s="1" t="str">
        <f t="shared" si="2944"/>
        <v>0</v>
      </c>
      <c r="K4874" s="1" t="str">
        <f t="shared" si="2945"/>
        <v>103</v>
      </c>
      <c r="L4874" s="1" t="str">
        <f t="shared" si="2946"/>
        <v>47</v>
      </c>
      <c r="M4874" s="1" t="str">
        <f t="shared" si="2948"/>
        <v>0</v>
      </c>
      <c r="N4874" s="1" t="str">
        <f t="shared" si="2959"/>
        <v>0</v>
      </c>
      <c r="O4874" s="1" t="str">
        <f>"5.1"</f>
        <v>5.1</v>
      </c>
    </row>
    <row r="4875" s="1" customFormat="1" spans="1:15">
      <c r="A4875" s="1" t="str">
        <f t="shared" si="2956"/>
        <v>202406</v>
      </c>
      <c r="B4875" s="1" t="str">
        <f t="shared" si="2957"/>
        <v>150525100</v>
      </c>
      <c r="C4875" s="1" t="str">
        <f>"1014569699"</f>
        <v>1014569699</v>
      </c>
      <c r="D4875" s="1" t="str">
        <f>"152326195604210429"</f>
        <v>152326195604210429</v>
      </c>
      <c r="E4875" s="1" t="s">
        <v>4849</v>
      </c>
      <c r="F4875" s="1" t="s">
        <v>16</v>
      </c>
      <c r="G4875" s="1" t="s">
        <v>17</v>
      </c>
      <c r="H4875" s="1" t="str">
        <f>"68"</f>
        <v>68</v>
      </c>
      <c r="I4875" s="1" t="str">
        <f>"156"</f>
        <v>156</v>
      </c>
      <c r="J4875" s="1" t="str">
        <f t="shared" si="2944"/>
        <v>0</v>
      </c>
      <c r="K4875" s="1" t="str">
        <f t="shared" si="2945"/>
        <v>103</v>
      </c>
      <c r="L4875" s="1" t="str">
        <f t="shared" si="2946"/>
        <v>47</v>
      </c>
      <c r="M4875" s="1" t="str">
        <f t="shared" si="2948"/>
        <v>0</v>
      </c>
      <c r="N4875" s="1" t="str">
        <f t="shared" si="2959"/>
        <v>0</v>
      </c>
      <c r="O4875" s="1" t="str">
        <f>"6"</f>
        <v>6</v>
      </c>
    </row>
    <row r="4876" s="1" customFormat="1" spans="1:15">
      <c r="A4876" s="1" t="str">
        <f t="shared" si="2956"/>
        <v>202406</v>
      </c>
      <c r="B4876" s="1" t="str">
        <f t="shared" si="2957"/>
        <v>150525100</v>
      </c>
      <c r="C4876" s="1" t="str">
        <f>"1014584426"</f>
        <v>1014584426</v>
      </c>
      <c r="D4876" s="1" t="str">
        <f>"152326195203120414"</f>
        <v>152326195203120414</v>
      </c>
      <c r="E4876" s="1" t="s">
        <v>4850</v>
      </c>
      <c r="F4876" s="1" t="s">
        <v>25</v>
      </c>
      <c r="G4876" s="1" t="s">
        <v>17</v>
      </c>
      <c r="H4876" s="1" t="str">
        <f>"72"</f>
        <v>72</v>
      </c>
      <c r="I4876" s="1" t="str">
        <f>"162.14"</f>
        <v>162.14</v>
      </c>
      <c r="J4876" s="1" t="str">
        <f t="shared" si="2944"/>
        <v>0</v>
      </c>
      <c r="K4876" s="1" t="str">
        <f t="shared" si="2945"/>
        <v>103</v>
      </c>
      <c r="L4876" s="1" t="str">
        <f t="shared" si="2946"/>
        <v>47</v>
      </c>
      <c r="M4876" s="1" t="str">
        <f t="shared" si="2948"/>
        <v>0</v>
      </c>
      <c r="N4876" s="1" t="str">
        <f t="shared" si="2959"/>
        <v>0</v>
      </c>
      <c r="O4876" s="1" t="str">
        <f>"2.14"</f>
        <v>2.14</v>
      </c>
    </row>
    <row r="4877" s="1" customFormat="1" spans="1:15">
      <c r="A4877" s="1" t="str">
        <f t="shared" si="2956"/>
        <v>202406</v>
      </c>
      <c r="B4877" s="1" t="str">
        <f t="shared" si="2957"/>
        <v>150525100</v>
      </c>
      <c r="C4877" s="1" t="str">
        <f>"1014584428"</f>
        <v>1014584428</v>
      </c>
      <c r="D4877" s="1" t="str">
        <f>"152326195204010428"</f>
        <v>152326195204010428</v>
      </c>
      <c r="E4877" s="1" t="s">
        <v>4851</v>
      </c>
      <c r="F4877" s="1" t="s">
        <v>16</v>
      </c>
      <c r="G4877" s="1" t="s">
        <v>17</v>
      </c>
      <c r="H4877" s="1" t="str">
        <f>"72"</f>
        <v>72</v>
      </c>
      <c r="I4877" s="1" t="str">
        <f>"1459.26"</f>
        <v>1459.26</v>
      </c>
      <c r="J4877" s="1" t="str">
        <f>"1297.12"</f>
        <v>1297.12</v>
      </c>
      <c r="K4877" s="1" t="str">
        <f>"927"</f>
        <v>927</v>
      </c>
      <c r="L4877" s="1" t="str">
        <f>"423"</f>
        <v>423</v>
      </c>
      <c r="M4877" s="1" t="str">
        <f t="shared" si="2948"/>
        <v>0</v>
      </c>
      <c r="N4877" s="1" t="str">
        <f t="shared" si="2959"/>
        <v>0</v>
      </c>
      <c r="O4877" s="1" t="str">
        <f>"19.26"</f>
        <v>19.26</v>
      </c>
    </row>
    <row r="4878" s="1" customFormat="1" spans="1:15">
      <c r="A4878" s="1" t="str">
        <f t="shared" si="2956"/>
        <v>202406</v>
      </c>
      <c r="B4878" s="1" t="str">
        <f t="shared" si="2957"/>
        <v>150525100</v>
      </c>
      <c r="C4878" s="1" t="str">
        <f>"1014585045"</f>
        <v>1014585045</v>
      </c>
      <c r="D4878" s="1" t="str">
        <f>"152326195403080429"</f>
        <v>152326195403080429</v>
      </c>
      <c r="E4878" s="1" t="s">
        <v>4852</v>
      </c>
      <c r="F4878" s="1" t="s">
        <v>16</v>
      </c>
      <c r="G4878" s="1" t="s">
        <v>17</v>
      </c>
      <c r="H4878" s="1" t="str">
        <f>"70"</f>
        <v>70</v>
      </c>
      <c r="I4878" s="1" t="str">
        <f>"164.14"</f>
        <v>164.14</v>
      </c>
      <c r="J4878" s="1" t="str">
        <f t="shared" ref="J4878:J4941" si="2960">"0"</f>
        <v>0</v>
      </c>
      <c r="K4878" s="1" t="str">
        <f t="shared" ref="K4878:K4941" si="2961">"103"</f>
        <v>103</v>
      </c>
      <c r="L4878" s="1" t="str">
        <f t="shared" ref="L4878:L4941" si="2962">"47"</f>
        <v>47</v>
      </c>
      <c r="M4878" s="1" t="str">
        <f t="shared" si="2948"/>
        <v>0</v>
      </c>
      <c r="N4878" s="1" t="str">
        <f t="shared" si="2959"/>
        <v>0</v>
      </c>
      <c r="O4878" s="1" t="str">
        <f>"4.14"</f>
        <v>4.14</v>
      </c>
    </row>
    <row r="4879" s="1" customFormat="1" spans="1:15">
      <c r="A4879" s="1" t="str">
        <f t="shared" si="2956"/>
        <v>202406</v>
      </c>
      <c r="B4879" s="1" t="str">
        <f t="shared" si="2957"/>
        <v>150525100</v>
      </c>
      <c r="C4879" s="1" t="str">
        <f>"1014585049"</f>
        <v>1014585049</v>
      </c>
      <c r="D4879" s="1" t="str">
        <f>"152326195404070425"</f>
        <v>152326195404070425</v>
      </c>
      <c r="E4879" s="1" t="s">
        <v>4853</v>
      </c>
      <c r="F4879" s="1" t="s">
        <v>16</v>
      </c>
      <c r="G4879" s="1" t="s">
        <v>17</v>
      </c>
      <c r="H4879" s="1" t="str">
        <f>"70"</f>
        <v>70</v>
      </c>
      <c r="I4879" s="1" t="str">
        <f>"164.14"</f>
        <v>164.14</v>
      </c>
      <c r="J4879" s="1" t="str">
        <f t="shared" si="2960"/>
        <v>0</v>
      </c>
      <c r="K4879" s="1" t="str">
        <f t="shared" si="2961"/>
        <v>103</v>
      </c>
      <c r="L4879" s="1" t="str">
        <f t="shared" si="2962"/>
        <v>47</v>
      </c>
      <c r="M4879" s="1" t="str">
        <f t="shared" si="2948"/>
        <v>0</v>
      </c>
      <c r="N4879" s="1" t="str">
        <f t="shared" si="2959"/>
        <v>0</v>
      </c>
      <c r="O4879" s="1" t="str">
        <f>"4.14"</f>
        <v>4.14</v>
      </c>
    </row>
    <row r="4880" s="1" customFormat="1" spans="1:15">
      <c r="A4880" s="1" t="str">
        <f t="shared" si="2956"/>
        <v>202406</v>
      </c>
      <c r="B4880" s="1" t="str">
        <f t="shared" si="2957"/>
        <v>150525100</v>
      </c>
      <c r="C4880" s="1" t="str">
        <f>"1014561113"</f>
        <v>1014561113</v>
      </c>
      <c r="D4880" s="1" t="str">
        <f>"152326195508130429"</f>
        <v>152326195508130429</v>
      </c>
      <c r="E4880" s="1" t="s">
        <v>4854</v>
      </c>
      <c r="F4880" s="1" t="s">
        <v>16</v>
      </c>
      <c r="G4880" s="1" t="s">
        <v>17</v>
      </c>
      <c r="H4880" s="1" t="str">
        <f>"69"</f>
        <v>69</v>
      </c>
      <c r="I4880" s="1" t="str">
        <f>"171.64"</f>
        <v>171.64</v>
      </c>
      <c r="J4880" s="1" t="str">
        <f t="shared" si="2960"/>
        <v>0</v>
      </c>
      <c r="K4880" s="1" t="str">
        <f t="shared" si="2961"/>
        <v>103</v>
      </c>
      <c r="L4880" s="1" t="str">
        <f t="shared" si="2962"/>
        <v>47</v>
      </c>
      <c r="M4880" s="1" t="str">
        <f t="shared" si="2948"/>
        <v>0</v>
      </c>
      <c r="N4880" s="1" t="str">
        <f t="shared" si="2959"/>
        <v>0</v>
      </c>
      <c r="O4880" s="1" t="str">
        <f>"21.64"</f>
        <v>21.64</v>
      </c>
    </row>
    <row r="4881" s="1" customFormat="1" spans="1:15">
      <c r="A4881" s="1" t="str">
        <f t="shared" si="2956"/>
        <v>202406</v>
      </c>
      <c r="B4881" s="1" t="str">
        <f t="shared" si="2957"/>
        <v>150525100</v>
      </c>
      <c r="C4881" s="1" t="str">
        <f>"1014561114"</f>
        <v>1014561114</v>
      </c>
      <c r="D4881" s="1" t="str">
        <f>"152326195508270448"</f>
        <v>152326195508270448</v>
      </c>
      <c r="E4881" s="1" t="s">
        <v>3903</v>
      </c>
      <c r="F4881" s="1" t="s">
        <v>16</v>
      </c>
      <c r="G4881" s="1" t="s">
        <v>17</v>
      </c>
      <c r="H4881" s="1" t="str">
        <f>"69"</f>
        <v>69</v>
      </c>
      <c r="I4881" s="1" t="str">
        <f>"171.64"</f>
        <v>171.64</v>
      </c>
      <c r="J4881" s="1" t="str">
        <f t="shared" si="2960"/>
        <v>0</v>
      </c>
      <c r="K4881" s="1" t="str">
        <f t="shared" si="2961"/>
        <v>103</v>
      </c>
      <c r="L4881" s="1" t="str">
        <f t="shared" si="2962"/>
        <v>47</v>
      </c>
      <c r="M4881" s="1" t="str">
        <f t="shared" si="2948"/>
        <v>0</v>
      </c>
      <c r="N4881" s="1" t="str">
        <f t="shared" si="2959"/>
        <v>0</v>
      </c>
      <c r="O4881" s="1" t="str">
        <f>"21.64"</f>
        <v>21.64</v>
      </c>
    </row>
    <row r="4882" s="1" customFormat="1" spans="1:15">
      <c r="A4882" s="1" t="str">
        <f t="shared" si="2956"/>
        <v>202406</v>
      </c>
      <c r="B4882" s="1" t="str">
        <f t="shared" si="2957"/>
        <v>150525100</v>
      </c>
      <c r="C4882" s="1" t="str">
        <f>"1014561118"</f>
        <v>1014561118</v>
      </c>
      <c r="D4882" s="1" t="str">
        <f>"152326196001080412"</f>
        <v>152326196001080412</v>
      </c>
      <c r="E4882" s="1" t="s">
        <v>4855</v>
      </c>
      <c r="F4882" s="1" t="s">
        <v>25</v>
      </c>
      <c r="G4882" s="1" t="s">
        <v>17</v>
      </c>
      <c r="H4882" s="1" t="str">
        <f>"64"</f>
        <v>64</v>
      </c>
      <c r="I4882" s="1" t="str">
        <f>"189.3"</f>
        <v>189.3</v>
      </c>
      <c r="J4882" s="1" t="str">
        <f t="shared" si="2960"/>
        <v>0</v>
      </c>
      <c r="K4882" s="1" t="str">
        <f t="shared" si="2961"/>
        <v>103</v>
      </c>
      <c r="L4882" s="1" t="str">
        <f t="shared" si="2962"/>
        <v>47</v>
      </c>
      <c r="M4882" s="1" t="str">
        <f t="shared" si="2948"/>
        <v>0</v>
      </c>
      <c r="N4882" s="1" t="str">
        <f t="shared" si="2959"/>
        <v>0</v>
      </c>
      <c r="O4882" s="1" t="str">
        <f>"39.3"</f>
        <v>39.3</v>
      </c>
    </row>
    <row r="4883" s="1" customFormat="1" spans="1:15">
      <c r="A4883" s="1" t="str">
        <f t="shared" si="2956"/>
        <v>202406</v>
      </c>
      <c r="B4883" s="1" t="str">
        <f t="shared" si="2957"/>
        <v>150525100</v>
      </c>
      <c r="C4883" s="1" t="str">
        <f>"1014561119"</f>
        <v>1014561119</v>
      </c>
      <c r="D4883" s="1" t="str">
        <f>"152326196010200412"</f>
        <v>152326196010200412</v>
      </c>
      <c r="E4883" s="1" t="s">
        <v>4856</v>
      </c>
      <c r="F4883" s="1" t="s">
        <v>25</v>
      </c>
      <c r="G4883" s="1" t="s">
        <v>17</v>
      </c>
      <c r="H4883" s="1" t="str">
        <f>"64"</f>
        <v>64</v>
      </c>
      <c r="I4883" s="1" t="str">
        <f>"189.74"</f>
        <v>189.74</v>
      </c>
      <c r="J4883" s="1" t="str">
        <f t="shared" si="2960"/>
        <v>0</v>
      </c>
      <c r="K4883" s="1" t="str">
        <f t="shared" si="2961"/>
        <v>103</v>
      </c>
      <c r="L4883" s="1" t="str">
        <f t="shared" si="2962"/>
        <v>47</v>
      </c>
      <c r="M4883" s="1" t="str">
        <f t="shared" si="2948"/>
        <v>0</v>
      </c>
      <c r="N4883" s="1" t="str">
        <f t="shared" si="2959"/>
        <v>0</v>
      </c>
      <c r="O4883" s="1" t="str">
        <f>"39.74"</f>
        <v>39.74</v>
      </c>
    </row>
    <row r="4884" s="1" customFormat="1" spans="1:15">
      <c r="A4884" s="1" t="str">
        <f t="shared" si="2956"/>
        <v>202406</v>
      </c>
      <c r="B4884" s="1" t="str">
        <f t="shared" si="2957"/>
        <v>150525100</v>
      </c>
      <c r="C4884" s="1" t="str">
        <f>"1014561129"</f>
        <v>1014561129</v>
      </c>
      <c r="D4884" s="1" t="str">
        <f>"152326195402070421"</f>
        <v>152326195402070421</v>
      </c>
      <c r="E4884" s="1" t="s">
        <v>4857</v>
      </c>
      <c r="F4884" s="1" t="s">
        <v>16</v>
      </c>
      <c r="G4884" s="1" t="s">
        <v>17</v>
      </c>
      <c r="H4884" s="1" t="str">
        <f>"70"</f>
        <v>70</v>
      </c>
      <c r="I4884" s="1" t="str">
        <f>"192.84"</f>
        <v>192.84</v>
      </c>
      <c r="J4884" s="1" t="str">
        <f t="shared" si="2960"/>
        <v>0</v>
      </c>
      <c r="K4884" s="1" t="str">
        <f t="shared" si="2961"/>
        <v>103</v>
      </c>
      <c r="L4884" s="1" t="str">
        <f t="shared" si="2962"/>
        <v>47</v>
      </c>
      <c r="M4884" s="1" t="str">
        <f t="shared" si="2948"/>
        <v>0</v>
      </c>
      <c r="N4884" s="1" t="str">
        <f t="shared" si="2959"/>
        <v>0</v>
      </c>
      <c r="O4884" s="1" t="str">
        <f>"32.84"</f>
        <v>32.84</v>
      </c>
    </row>
    <row r="4885" s="1" customFormat="1" spans="1:15">
      <c r="A4885" s="1" t="str">
        <f t="shared" si="2956"/>
        <v>202406</v>
      </c>
      <c r="B4885" s="1" t="str">
        <f t="shared" si="2957"/>
        <v>150525100</v>
      </c>
      <c r="C4885" s="1" t="str">
        <f>"1014561178"</f>
        <v>1014561178</v>
      </c>
      <c r="D4885" s="1" t="str">
        <f>"152326195608040420"</f>
        <v>152326195608040420</v>
      </c>
      <c r="E4885" s="1" t="s">
        <v>1999</v>
      </c>
      <c r="F4885" s="1" t="s">
        <v>16</v>
      </c>
      <c r="G4885" s="1" t="s">
        <v>17</v>
      </c>
      <c r="H4885" s="1" t="str">
        <f>"68"</f>
        <v>68</v>
      </c>
      <c r="I4885" s="1" t="str">
        <f>"156.01"</f>
        <v>156.01</v>
      </c>
      <c r="J4885" s="1" t="str">
        <f t="shared" si="2960"/>
        <v>0</v>
      </c>
      <c r="K4885" s="1" t="str">
        <f t="shared" si="2961"/>
        <v>103</v>
      </c>
      <c r="L4885" s="1" t="str">
        <f t="shared" si="2962"/>
        <v>47</v>
      </c>
      <c r="M4885" s="1" t="str">
        <f t="shared" si="2948"/>
        <v>0</v>
      </c>
      <c r="N4885" s="1" t="str">
        <f t="shared" si="2959"/>
        <v>0</v>
      </c>
      <c r="O4885" s="1" t="str">
        <f>"6.01"</f>
        <v>6.01</v>
      </c>
    </row>
    <row r="4886" s="1" customFormat="1" spans="1:15">
      <c r="A4886" s="1" t="str">
        <f t="shared" si="2956"/>
        <v>202406</v>
      </c>
      <c r="B4886" s="1" t="str">
        <f t="shared" si="2957"/>
        <v>150525100</v>
      </c>
      <c r="C4886" s="1" t="str">
        <f>"1014561198"</f>
        <v>1014561198</v>
      </c>
      <c r="D4886" s="1" t="str">
        <f>"152326195706160426"</f>
        <v>152326195706160426</v>
      </c>
      <c r="E4886" s="1" t="s">
        <v>4858</v>
      </c>
      <c r="F4886" s="1" t="s">
        <v>16</v>
      </c>
      <c r="G4886" s="1" t="s">
        <v>19</v>
      </c>
      <c r="H4886" s="1" t="str">
        <f>"67"</f>
        <v>67</v>
      </c>
      <c r="I4886" s="1" t="str">
        <f>"157.03"</f>
        <v>157.03</v>
      </c>
      <c r="J4886" s="1" t="str">
        <f t="shared" si="2960"/>
        <v>0</v>
      </c>
      <c r="K4886" s="1" t="str">
        <f t="shared" si="2961"/>
        <v>103</v>
      </c>
      <c r="L4886" s="1" t="str">
        <f t="shared" si="2962"/>
        <v>47</v>
      </c>
      <c r="M4886" s="1" t="str">
        <f t="shared" si="2948"/>
        <v>0</v>
      </c>
      <c r="N4886" s="1" t="str">
        <f t="shared" si="2959"/>
        <v>0</v>
      </c>
      <c r="O4886" s="1" t="str">
        <f>"7.03"</f>
        <v>7.03</v>
      </c>
    </row>
    <row r="4887" s="1" customFormat="1" spans="1:15">
      <c r="A4887" s="1" t="str">
        <f t="shared" si="2956"/>
        <v>202406</v>
      </c>
      <c r="B4887" s="1" t="str">
        <f t="shared" si="2957"/>
        <v>150525100</v>
      </c>
      <c r="C4887" s="1" t="str">
        <f>"1014555694"</f>
        <v>1014555694</v>
      </c>
      <c r="D4887" s="1" t="str">
        <f>"152326195804093845"</f>
        <v>152326195804093845</v>
      </c>
      <c r="E4887" s="1" t="s">
        <v>4859</v>
      </c>
      <c r="F4887" s="1" t="s">
        <v>16</v>
      </c>
      <c r="G4887" s="1" t="s">
        <v>17</v>
      </c>
      <c r="H4887" s="1" t="str">
        <f>"66"</f>
        <v>66</v>
      </c>
      <c r="I4887" s="1" t="str">
        <f>"156.86"</f>
        <v>156.86</v>
      </c>
      <c r="J4887" s="1" t="str">
        <f t="shared" si="2960"/>
        <v>0</v>
      </c>
      <c r="K4887" s="1" t="str">
        <f t="shared" si="2961"/>
        <v>103</v>
      </c>
      <c r="L4887" s="1" t="str">
        <f t="shared" si="2962"/>
        <v>47</v>
      </c>
      <c r="M4887" s="1" t="str">
        <f t="shared" si="2948"/>
        <v>0</v>
      </c>
      <c r="N4887" s="1" t="str">
        <f t="shared" si="2959"/>
        <v>0</v>
      </c>
      <c r="O4887" s="1" t="str">
        <f>"6.86"</f>
        <v>6.86</v>
      </c>
    </row>
    <row r="4888" s="1" customFormat="1" spans="1:15">
      <c r="A4888" s="1" t="str">
        <f t="shared" si="2956"/>
        <v>202406</v>
      </c>
      <c r="B4888" s="1" t="str">
        <f t="shared" si="2957"/>
        <v>150525100</v>
      </c>
      <c r="C4888" s="1" t="str">
        <f>"1014555698"</f>
        <v>1014555698</v>
      </c>
      <c r="D4888" s="1" t="str">
        <f>"152326196203013832"</f>
        <v>152326196203013832</v>
      </c>
      <c r="E4888" s="1" t="s">
        <v>4860</v>
      </c>
      <c r="F4888" s="1" t="s">
        <v>25</v>
      </c>
      <c r="G4888" s="1" t="s">
        <v>19</v>
      </c>
      <c r="H4888" s="1" t="str">
        <f>"62"</f>
        <v>62</v>
      </c>
      <c r="I4888" s="1" t="str">
        <f>"165.38"</f>
        <v>165.38</v>
      </c>
      <c r="J4888" s="1" t="str">
        <f t="shared" si="2960"/>
        <v>0</v>
      </c>
      <c r="K4888" s="1" t="str">
        <f t="shared" si="2961"/>
        <v>103</v>
      </c>
      <c r="L4888" s="1" t="str">
        <f t="shared" si="2962"/>
        <v>47</v>
      </c>
      <c r="M4888" s="1" t="str">
        <f t="shared" si="2948"/>
        <v>0</v>
      </c>
      <c r="N4888" s="1" t="str">
        <f t="shared" si="2959"/>
        <v>0</v>
      </c>
      <c r="O4888" s="1" t="str">
        <f>"15.38"</f>
        <v>15.38</v>
      </c>
    </row>
    <row r="4889" s="1" customFormat="1" spans="1:15">
      <c r="A4889" s="1" t="str">
        <f t="shared" si="2956"/>
        <v>202406</v>
      </c>
      <c r="B4889" s="1" t="str">
        <f t="shared" si="2957"/>
        <v>150525100</v>
      </c>
      <c r="C4889" s="1" t="str">
        <f>"1014562926"</f>
        <v>1014562926</v>
      </c>
      <c r="D4889" s="1" t="str">
        <f>"152326195611010425"</f>
        <v>152326195611010425</v>
      </c>
      <c r="E4889" s="1" t="s">
        <v>4861</v>
      </c>
      <c r="F4889" s="1" t="s">
        <v>16</v>
      </c>
      <c r="G4889" s="1" t="s">
        <v>17</v>
      </c>
      <c r="H4889" s="1" t="str">
        <f>"68"</f>
        <v>68</v>
      </c>
      <c r="I4889" s="1" t="str">
        <f>"156.04"</f>
        <v>156.04</v>
      </c>
      <c r="J4889" s="1" t="str">
        <f t="shared" si="2960"/>
        <v>0</v>
      </c>
      <c r="K4889" s="1" t="str">
        <f t="shared" si="2961"/>
        <v>103</v>
      </c>
      <c r="L4889" s="1" t="str">
        <f t="shared" si="2962"/>
        <v>47</v>
      </c>
      <c r="M4889" s="1" t="str">
        <f t="shared" si="2948"/>
        <v>0</v>
      </c>
      <c r="N4889" s="1" t="str">
        <f t="shared" si="2959"/>
        <v>0</v>
      </c>
      <c r="O4889" s="1" t="str">
        <f>"6.04"</f>
        <v>6.04</v>
      </c>
    </row>
    <row r="4890" s="1" customFormat="1" spans="1:15">
      <c r="A4890" s="1" t="str">
        <f t="shared" si="2956"/>
        <v>202406</v>
      </c>
      <c r="B4890" s="1" t="str">
        <f t="shared" si="2957"/>
        <v>150525100</v>
      </c>
      <c r="C4890" s="1" t="str">
        <f>"1014562932"</f>
        <v>1014562932</v>
      </c>
      <c r="D4890" s="1" t="str">
        <f>"152326195310100427"</f>
        <v>152326195310100427</v>
      </c>
      <c r="E4890" s="1" t="s">
        <v>4285</v>
      </c>
      <c r="F4890" s="1" t="s">
        <v>16</v>
      </c>
      <c r="G4890" s="1" t="s">
        <v>17</v>
      </c>
      <c r="H4890" s="1" t="str">
        <f>"71"</f>
        <v>71</v>
      </c>
      <c r="I4890" s="1" t="str">
        <f>"163.18"</f>
        <v>163.18</v>
      </c>
      <c r="J4890" s="1" t="str">
        <f t="shared" si="2960"/>
        <v>0</v>
      </c>
      <c r="K4890" s="1" t="str">
        <f t="shared" si="2961"/>
        <v>103</v>
      </c>
      <c r="L4890" s="1" t="str">
        <f t="shared" si="2962"/>
        <v>47</v>
      </c>
      <c r="M4890" s="1" t="str">
        <f t="shared" si="2948"/>
        <v>0</v>
      </c>
      <c r="N4890" s="1" t="str">
        <f t="shared" si="2959"/>
        <v>0</v>
      </c>
      <c r="O4890" s="1" t="str">
        <f>"3.18"</f>
        <v>3.18</v>
      </c>
    </row>
    <row r="4891" s="1" customFormat="1" spans="1:15">
      <c r="A4891" s="1" t="str">
        <f t="shared" si="2956"/>
        <v>202406</v>
      </c>
      <c r="B4891" s="1" t="str">
        <f t="shared" si="2957"/>
        <v>150525100</v>
      </c>
      <c r="C4891" s="1" t="str">
        <f>"1014562952"</f>
        <v>1014562952</v>
      </c>
      <c r="D4891" s="1" t="str">
        <f>"152326195902120421"</f>
        <v>152326195902120421</v>
      </c>
      <c r="E4891" s="1" t="s">
        <v>4466</v>
      </c>
      <c r="F4891" s="1" t="s">
        <v>16</v>
      </c>
      <c r="G4891" s="1" t="s">
        <v>17</v>
      </c>
      <c r="H4891" s="1" t="str">
        <f t="shared" ref="H4891:H4897" si="2963">"65"</f>
        <v>65</v>
      </c>
      <c r="I4891" s="1" t="str">
        <f>"158.14"</f>
        <v>158.14</v>
      </c>
      <c r="J4891" s="1" t="str">
        <f t="shared" si="2960"/>
        <v>0</v>
      </c>
      <c r="K4891" s="1" t="str">
        <f t="shared" si="2961"/>
        <v>103</v>
      </c>
      <c r="L4891" s="1" t="str">
        <f t="shared" si="2962"/>
        <v>47</v>
      </c>
      <c r="M4891" s="1" t="str">
        <f t="shared" si="2948"/>
        <v>0</v>
      </c>
      <c r="N4891" s="1" t="str">
        <f t="shared" si="2959"/>
        <v>0</v>
      </c>
      <c r="O4891" s="1" t="str">
        <f>"8.14"</f>
        <v>8.14</v>
      </c>
    </row>
    <row r="4892" s="1" customFormat="1" spans="1:15">
      <c r="A4892" s="1" t="str">
        <f t="shared" si="2956"/>
        <v>202406</v>
      </c>
      <c r="B4892" s="1" t="str">
        <f t="shared" si="2957"/>
        <v>150525100</v>
      </c>
      <c r="C4892" s="1" t="str">
        <f>"1014585061"</f>
        <v>1014585061</v>
      </c>
      <c r="D4892" s="1" t="str">
        <f>"152326195409240665"</f>
        <v>152326195409240665</v>
      </c>
      <c r="E4892" s="1" t="s">
        <v>116</v>
      </c>
      <c r="F4892" s="1" t="s">
        <v>16</v>
      </c>
      <c r="G4892" s="1" t="s">
        <v>17</v>
      </c>
      <c r="H4892" s="1" t="str">
        <f>"70"</f>
        <v>70</v>
      </c>
      <c r="I4892" s="1" t="str">
        <f>"154.14"</f>
        <v>154.14</v>
      </c>
      <c r="J4892" s="1" t="str">
        <f t="shared" si="2960"/>
        <v>0</v>
      </c>
      <c r="K4892" s="1" t="str">
        <f t="shared" si="2961"/>
        <v>103</v>
      </c>
      <c r="L4892" s="1" t="str">
        <f t="shared" si="2962"/>
        <v>47</v>
      </c>
      <c r="M4892" s="1" t="str">
        <f t="shared" si="2948"/>
        <v>0</v>
      </c>
      <c r="N4892" s="1" t="str">
        <f t="shared" si="2959"/>
        <v>0</v>
      </c>
      <c r="O4892" s="1" t="str">
        <f>"4.14"</f>
        <v>4.14</v>
      </c>
    </row>
    <row r="4893" s="1" customFormat="1" spans="1:15">
      <c r="A4893" s="1" t="str">
        <f t="shared" si="2956"/>
        <v>202406</v>
      </c>
      <c r="B4893" s="1" t="str">
        <f t="shared" si="2957"/>
        <v>150525100</v>
      </c>
      <c r="C4893" s="1" t="str">
        <f>"1014585074"</f>
        <v>1014585074</v>
      </c>
      <c r="D4893" s="1" t="str">
        <f>"152326195501250428"</f>
        <v>152326195501250428</v>
      </c>
      <c r="E4893" s="1" t="s">
        <v>4809</v>
      </c>
      <c r="F4893" s="1" t="s">
        <v>16</v>
      </c>
      <c r="G4893" s="1" t="s">
        <v>17</v>
      </c>
      <c r="H4893" s="1" t="str">
        <f t="shared" ref="H4893:H4898" si="2964">"69"</f>
        <v>69</v>
      </c>
      <c r="I4893" s="1" t="str">
        <f>"155.09"</f>
        <v>155.09</v>
      </c>
      <c r="J4893" s="1" t="str">
        <f t="shared" si="2960"/>
        <v>0</v>
      </c>
      <c r="K4893" s="1" t="str">
        <f t="shared" si="2961"/>
        <v>103</v>
      </c>
      <c r="L4893" s="1" t="str">
        <f t="shared" si="2962"/>
        <v>47</v>
      </c>
      <c r="M4893" s="1" t="str">
        <f t="shared" si="2948"/>
        <v>0</v>
      </c>
      <c r="N4893" s="1" t="str">
        <f t="shared" si="2959"/>
        <v>0</v>
      </c>
      <c r="O4893" s="1" t="str">
        <f>"5.09"</f>
        <v>5.09</v>
      </c>
    </row>
    <row r="4894" s="1" customFormat="1" spans="1:15">
      <c r="A4894" s="1" t="str">
        <f t="shared" si="2956"/>
        <v>202406</v>
      </c>
      <c r="B4894" s="1" t="str">
        <f t="shared" si="2957"/>
        <v>150525100</v>
      </c>
      <c r="C4894" s="1" t="str">
        <f>"1014585077"</f>
        <v>1014585077</v>
      </c>
      <c r="D4894" s="1" t="str">
        <f>"152326195501260415"</f>
        <v>152326195501260415</v>
      </c>
      <c r="E4894" s="1" t="s">
        <v>4862</v>
      </c>
      <c r="F4894" s="1" t="s">
        <v>25</v>
      </c>
      <c r="G4894" s="1" t="s">
        <v>17</v>
      </c>
      <c r="H4894" s="1" t="str">
        <f t="shared" si="2964"/>
        <v>69</v>
      </c>
      <c r="I4894" s="1" t="str">
        <f>"155.09"</f>
        <v>155.09</v>
      </c>
      <c r="J4894" s="1" t="str">
        <f t="shared" si="2960"/>
        <v>0</v>
      </c>
      <c r="K4894" s="1" t="str">
        <f t="shared" si="2961"/>
        <v>103</v>
      </c>
      <c r="L4894" s="1" t="str">
        <f t="shared" si="2962"/>
        <v>47</v>
      </c>
      <c r="M4894" s="1" t="str">
        <f t="shared" si="2948"/>
        <v>0</v>
      </c>
      <c r="N4894" s="1" t="str">
        <f t="shared" si="2959"/>
        <v>0</v>
      </c>
      <c r="O4894" s="1" t="str">
        <f>"5.09"</f>
        <v>5.09</v>
      </c>
    </row>
    <row r="4895" s="1" customFormat="1" spans="1:15">
      <c r="A4895" s="1" t="str">
        <f t="shared" si="2956"/>
        <v>202406</v>
      </c>
      <c r="B4895" s="1" t="str">
        <f t="shared" si="2957"/>
        <v>150525100</v>
      </c>
      <c r="C4895" s="1" t="str">
        <f>"1014561228"</f>
        <v>1014561228</v>
      </c>
      <c r="D4895" s="1" t="str">
        <f>"152326195908110419"</f>
        <v>152326195908110419</v>
      </c>
      <c r="E4895" s="1" t="s">
        <v>4863</v>
      </c>
      <c r="F4895" s="1" t="s">
        <v>25</v>
      </c>
      <c r="G4895" s="1" t="s">
        <v>17</v>
      </c>
      <c r="H4895" s="1" t="str">
        <f t="shared" si="2963"/>
        <v>65</v>
      </c>
      <c r="I4895" s="1" t="str">
        <f>"157.05"</f>
        <v>157.05</v>
      </c>
      <c r="J4895" s="1" t="str">
        <f t="shared" si="2960"/>
        <v>0</v>
      </c>
      <c r="K4895" s="1" t="str">
        <f t="shared" si="2961"/>
        <v>103</v>
      </c>
      <c r="L4895" s="1" t="str">
        <f t="shared" si="2962"/>
        <v>47</v>
      </c>
      <c r="M4895" s="1" t="str">
        <f t="shared" si="2948"/>
        <v>0</v>
      </c>
      <c r="N4895" s="1" t="str">
        <f t="shared" si="2959"/>
        <v>0</v>
      </c>
      <c r="O4895" s="1" t="str">
        <f>"7.05"</f>
        <v>7.05</v>
      </c>
    </row>
    <row r="4896" s="1" customFormat="1" spans="1:15">
      <c r="A4896" s="1" t="str">
        <f t="shared" si="2956"/>
        <v>202406</v>
      </c>
      <c r="B4896" s="1" t="str">
        <f t="shared" si="2957"/>
        <v>150525100</v>
      </c>
      <c r="C4896" s="1" t="str">
        <f>"1014561230"</f>
        <v>1014561230</v>
      </c>
      <c r="D4896" s="1" t="str">
        <f>"152326195909280428"</f>
        <v>152326195909280428</v>
      </c>
      <c r="E4896" s="1" t="s">
        <v>4747</v>
      </c>
      <c r="F4896" s="1" t="s">
        <v>16</v>
      </c>
      <c r="G4896" s="1" t="s">
        <v>17</v>
      </c>
      <c r="H4896" s="1" t="str">
        <f t="shared" si="2963"/>
        <v>65</v>
      </c>
      <c r="I4896" s="1" t="str">
        <f>"158.18"</f>
        <v>158.18</v>
      </c>
      <c r="J4896" s="1" t="str">
        <f t="shared" si="2960"/>
        <v>0</v>
      </c>
      <c r="K4896" s="1" t="str">
        <f t="shared" si="2961"/>
        <v>103</v>
      </c>
      <c r="L4896" s="1" t="str">
        <f t="shared" si="2962"/>
        <v>47</v>
      </c>
      <c r="M4896" s="1" t="str">
        <f t="shared" ref="M4896:M4959" si="2965">"0"</f>
        <v>0</v>
      </c>
      <c r="N4896" s="1" t="str">
        <f t="shared" si="2959"/>
        <v>0</v>
      </c>
      <c r="O4896" s="1" t="str">
        <f>"8.18"</f>
        <v>8.18</v>
      </c>
    </row>
    <row r="4897" s="1" customFormat="1" spans="1:15">
      <c r="A4897" s="1" t="str">
        <f t="shared" si="2956"/>
        <v>202406</v>
      </c>
      <c r="B4897" s="1" t="str">
        <f t="shared" si="2957"/>
        <v>150525100</v>
      </c>
      <c r="C4897" s="1" t="str">
        <f>"1014561233"</f>
        <v>1014561233</v>
      </c>
      <c r="D4897" s="1" t="str">
        <f>"152326195911200423"</f>
        <v>152326195911200423</v>
      </c>
      <c r="E4897" s="1" t="s">
        <v>4864</v>
      </c>
      <c r="F4897" s="1" t="s">
        <v>16</v>
      </c>
      <c r="G4897" s="1" t="s">
        <v>19</v>
      </c>
      <c r="H4897" s="1" t="str">
        <f t="shared" si="2963"/>
        <v>65</v>
      </c>
      <c r="I4897" s="1" t="str">
        <f>"157.39"</f>
        <v>157.39</v>
      </c>
      <c r="J4897" s="1" t="str">
        <f t="shared" si="2960"/>
        <v>0</v>
      </c>
      <c r="K4897" s="1" t="str">
        <f t="shared" si="2961"/>
        <v>103</v>
      </c>
      <c r="L4897" s="1" t="str">
        <f t="shared" si="2962"/>
        <v>47</v>
      </c>
      <c r="M4897" s="1" t="str">
        <f t="shared" si="2965"/>
        <v>0</v>
      </c>
      <c r="N4897" s="1" t="str">
        <f t="shared" si="2959"/>
        <v>0</v>
      </c>
      <c r="O4897" s="1" t="str">
        <f>"7.39"</f>
        <v>7.39</v>
      </c>
    </row>
    <row r="4898" s="1" customFormat="1" spans="1:15">
      <c r="A4898" s="1" t="str">
        <f t="shared" si="2956"/>
        <v>202406</v>
      </c>
      <c r="B4898" s="1" t="str">
        <f t="shared" si="2957"/>
        <v>150525100</v>
      </c>
      <c r="C4898" s="1" t="str">
        <f>"1040833149"</f>
        <v>1040833149</v>
      </c>
      <c r="D4898" s="1" t="str">
        <f>"152326195509180022"</f>
        <v>152326195509180022</v>
      </c>
      <c r="E4898" s="1" t="s">
        <v>4865</v>
      </c>
      <c r="F4898" s="1" t="s">
        <v>16</v>
      </c>
      <c r="G4898" s="1" t="s">
        <v>17</v>
      </c>
      <c r="H4898" s="1" t="str">
        <f t="shared" si="2964"/>
        <v>69</v>
      </c>
      <c r="I4898" s="1" t="str">
        <f>"154.51"</f>
        <v>154.51</v>
      </c>
      <c r="J4898" s="1" t="str">
        <f t="shared" si="2960"/>
        <v>0</v>
      </c>
      <c r="K4898" s="1" t="str">
        <f t="shared" si="2961"/>
        <v>103</v>
      </c>
      <c r="L4898" s="1" t="str">
        <f t="shared" si="2962"/>
        <v>47</v>
      </c>
      <c r="M4898" s="1" t="str">
        <f t="shared" si="2965"/>
        <v>0</v>
      </c>
      <c r="N4898" s="1" t="str">
        <f t="shared" si="2959"/>
        <v>0</v>
      </c>
      <c r="O4898" s="1" t="str">
        <f>"4.51"</f>
        <v>4.51</v>
      </c>
    </row>
    <row r="4899" s="1" customFormat="1" spans="1:15">
      <c r="A4899" s="1" t="str">
        <f t="shared" si="2956"/>
        <v>202406</v>
      </c>
      <c r="B4899" s="1" t="str">
        <f t="shared" si="2957"/>
        <v>150525100</v>
      </c>
      <c r="C4899" s="1" t="str">
        <f>"1040833164"</f>
        <v>1040833164</v>
      </c>
      <c r="D4899" s="1" t="str">
        <f>"152326195111020029"</f>
        <v>152326195111020029</v>
      </c>
      <c r="E4899" s="1" t="s">
        <v>4866</v>
      </c>
      <c r="F4899" s="1" t="s">
        <v>16</v>
      </c>
      <c r="G4899" s="1" t="s">
        <v>17</v>
      </c>
      <c r="H4899" s="1" t="str">
        <f>"73"</f>
        <v>73</v>
      </c>
      <c r="I4899" s="1" t="str">
        <f>"160"</f>
        <v>160</v>
      </c>
      <c r="J4899" s="1" t="str">
        <f t="shared" si="2960"/>
        <v>0</v>
      </c>
      <c r="K4899" s="1" t="str">
        <f t="shared" si="2961"/>
        <v>103</v>
      </c>
      <c r="L4899" s="1" t="str">
        <f t="shared" si="2962"/>
        <v>47</v>
      </c>
      <c r="M4899" s="1" t="str">
        <f t="shared" si="2965"/>
        <v>0</v>
      </c>
      <c r="N4899" s="1" t="str">
        <f t="shared" si="2959"/>
        <v>0</v>
      </c>
      <c r="O4899" s="1" t="str">
        <f>"0"</f>
        <v>0</v>
      </c>
    </row>
    <row r="4900" s="1" customFormat="1" spans="1:15">
      <c r="A4900" s="1" t="str">
        <f t="shared" si="2956"/>
        <v>202406</v>
      </c>
      <c r="B4900" s="1" t="str">
        <f t="shared" si="2957"/>
        <v>150525100</v>
      </c>
      <c r="C4900" s="1" t="str">
        <f>"1040833190"</f>
        <v>1040833190</v>
      </c>
      <c r="D4900" s="1" t="str">
        <f>"152326195008030421"</f>
        <v>152326195008030421</v>
      </c>
      <c r="E4900" s="1" t="s">
        <v>4867</v>
      </c>
      <c r="F4900" s="1" t="s">
        <v>16</v>
      </c>
      <c r="G4900" s="1" t="s">
        <v>17</v>
      </c>
      <c r="H4900" s="1" t="str">
        <f>"74"</f>
        <v>74</v>
      </c>
      <c r="I4900" s="1" t="str">
        <f>"160"</f>
        <v>160</v>
      </c>
      <c r="J4900" s="1" t="str">
        <f t="shared" si="2960"/>
        <v>0</v>
      </c>
      <c r="K4900" s="1" t="str">
        <f t="shared" si="2961"/>
        <v>103</v>
      </c>
      <c r="L4900" s="1" t="str">
        <f t="shared" si="2962"/>
        <v>47</v>
      </c>
      <c r="M4900" s="1" t="str">
        <f t="shared" si="2965"/>
        <v>0</v>
      </c>
      <c r="N4900" s="1" t="str">
        <f t="shared" si="2959"/>
        <v>0</v>
      </c>
      <c r="O4900" s="1" t="str">
        <f>"0"</f>
        <v>0</v>
      </c>
    </row>
    <row r="4901" s="1" customFormat="1" spans="1:15">
      <c r="A4901" s="1" t="str">
        <f t="shared" si="2956"/>
        <v>202406</v>
      </c>
      <c r="B4901" s="1" t="str">
        <f t="shared" si="2957"/>
        <v>150525100</v>
      </c>
      <c r="C4901" s="1" t="str">
        <f>"1040833194"</f>
        <v>1040833194</v>
      </c>
      <c r="D4901" s="1" t="str">
        <f>"152326195502023825"</f>
        <v>152326195502023825</v>
      </c>
      <c r="E4901" s="1" t="s">
        <v>4868</v>
      </c>
      <c r="F4901" s="1" t="s">
        <v>16</v>
      </c>
      <c r="G4901" s="1" t="s">
        <v>17</v>
      </c>
      <c r="H4901" s="1" t="str">
        <f>"69"</f>
        <v>69</v>
      </c>
      <c r="I4901" s="1" t="str">
        <f>"154.53"</f>
        <v>154.53</v>
      </c>
      <c r="J4901" s="1" t="str">
        <f t="shared" si="2960"/>
        <v>0</v>
      </c>
      <c r="K4901" s="1" t="str">
        <f t="shared" si="2961"/>
        <v>103</v>
      </c>
      <c r="L4901" s="1" t="str">
        <f t="shared" si="2962"/>
        <v>47</v>
      </c>
      <c r="M4901" s="1" t="str">
        <f t="shared" si="2965"/>
        <v>0</v>
      </c>
      <c r="N4901" s="1" t="str">
        <f t="shared" si="2959"/>
        <v>0</v>
      </c>
      <c r="O4901" s="1" t="str">
        <f>"4.53"</f>
        <v>4.53</v>
      </c>
    </row>
    <row r="4902" s="1" customFormat="1" spans="1:15">
      <c r="A4902" s="1" t="str">
        <f t="shared" si="2956"/>
        <v>202406</v>
      </c>
      <c r="B4902" s="1" t="str">
        <f t="shared" si="2957"/>
        <v>150525100</v>
      </c>
      <c r="C4902" s="1" t="str">
        <f>"1014569758"</f>
        <v>1014569758</v>
      </c>
      <c r="D4902" s="1" t="str">
        <f>"152326195711120410"</f>
        <v>152326195711120410</v>
      </c>
      <c r="E4902" s="1" t="s">
        <v>1791</v>
      </c>
      <c r="F4902" s="1" t="s">
        <v>25</v>
      </c>
      <c r="G4902" s="1" t="s">
        <v>17</v>
      </c>
      <c r="H4902" s="1" t="str">
        <f>"67"</f>
        <v>67</v>
      </c>
      <c r="I4902" s="1" t="str">
        <f>"156.11"</f>
        <v>156.11</v>
      </c>
      <c r="J4902" s="1" t="str">
        <f t="shared" si="2960"/>
        <v>0</v>
      </c>
      <c r="K4902" s="1" t="str">
        <f t="shared" si="2961"/>
        <v>103</v>
      </c>
      <c r="L4902" s="1" t="str">
        <f t="shared" si="2962"/>
        <v>47</v>
      </c>
      <c r="M4902" s="1" t="str">
        <f t="shared" si="2965"/>
        <v>0</v>
      </c>
      <c r="N4902" s="1" t="str">
        <f t="shared" si="2959"/>
        <v>0</v>
      </c>
      <c r="O4902" s="1" t="str">
        <f>"6.11"</f>
        <v>6.11</v>
      </c>
    </row>
    <row r="4903" s="1" customFormat="1" spans="1:15">
      <c r="A4903" s="1" t="str">
        <f t="shared" si="2956"/>
        <v>202406</v>
      </c>
      <c r="B4903" s="1" t="str">
        <f t="shared" si="2957"/>
        <v>150525100</v>
      </c>
      <c r="C4903" s="1" t="str">
        <f>"1014569769"</f>
        <v>1014569769</v>
      </c>
      <c r="D4903" s="1" t="str">
        <f>"152326195809040435"</f>
        <v>152326195809040435</v>
      </c>
      <c r="E4903" s="1" t="s">
        <v>4869</v>
      </c>
      <c r="F4903" s="1" t="s">
        <v>25</v>
      </c>
      <c r="G4903" s="1" t="s">
        <v>17</v>
      </c>
      <c r="H4903" s="1" t="str">
        <f t="shared" ref="H4903:H4907" si="2966">"66"</f>
        <v>66</v>
      </c>
      <c r="I4903" s="1" t="str">
        <f>"157.13"</f>
        <v>157.13</v>
      </c>
      <c r="J4903" s="1" t="str">
        <f t="shared" si="2960"/>
        <v>0</v>
      </c>
      <c r="K4903" s="1" t="str">
        <f t="shared" si="2961"/>
        <v>103</v>
      </c>
      <c r="L4903" s="1" t="str">
        <f t="shared" si="2962"/>
        <v>47</v>
      </c>
      <c r="M4903" s="1" t="str">
        <f t="shared" si="2965"/>
        <v>0</v>
      </c>
      <c r="N4903" s="1" t="str">
        <f t="shared" si="2959"/>
        <v>0</v>
      </c>
      <c r="O4903" s="1" t="str">
        <f>"7.13"</f>
        <v>7.13</v>
      </c>
    </row>
    <row r="4904" s="1" customFormat="1" spans="1:15">
      <c r="A4904" s="1" t="str">
        <f t="shared" si="2956"/>
        <v>202406</v>
      </c>
      <c r="B4904" s="1" t="str">
        <f t="shared" si="2957"/>
        <v>150525100</v>
      </c>
      <c r="C4904" s="1" t="str">
        <f>"1014569784"</f>
        <v>1014569784</v>
      </c>
      <c r="D4904" s="1" t="str">
        <f>"152326196012120416"</f>
        <v>152326196012120416</v>
      </c>
      <c r="E4904" s="1" t="s">
        <v>4870</v>
      </c>
      <c r="F4904" s="1" t="s">
        <v>25</v>
      </c>
      <c r="G4904" s="1" t="s">
        <v>17</v>
      </c>
      <c r="H4904" s="1" t="str">
        <f>"64"</f>
        <v>64</v>
      </c>
      <c r="I4904" s="1" t="str">
        <f>"159.29"</f>
        <v>159.29</v>
      </c>
      <c r="J4904" s="1" t="str">
        <f t="shared" si="2960"/>
        <v>0</v>
      </c>
      <c r="K4904" s="1" t="str">
        <f t="shared" si="2961"/>
        <v>103</v>
      </c>
      <c r="L4904" s="1" t="str">
        <f t="shared" si="2962"/>
        <v>47</v>
      </c>
      <c r="M4904" s="1" t="str">
        <f t="shared" si="2965"/>
        <v>0</v>
      </c>
      <c r="N4904" s="1" t="str">
        <f t="shared" si="2959"/>
        <v>0</v>
      </c>
      <c r="O4904" s="1" t="str">
        <f>"9.29"</f>
        <v>9.29</v>
      </c>
    </row>
    <row r="4905" s="1" customFormat="1" spans="1:15">
      <c r="A4905" s="1" t="str">
        <f t="shared" si="2956"/>
        <v>202406</v>
      </c>
      <c r="B4905" s="1" t="str">
        <f t="shared" si="2957"/>
        <v>150525100</v>
      </c>
      <c r="C4905" s="1" t="str">
        <f>"1014561239"</f>
        <v>1014561239</v>
      </c>
      <c r="D4905" s="1" t="str">
        <f>"152326196002240457"</f>
        <v>152326196002240457</v>
      </c>
      <c r="E4905" s="1" t="s">
        <v>4871</v>
      </c>
      <c r="F4905" s="1" t="s">
        <v>25</v>
      </c>
      <c r="G4905" s="1" t="s">
        <v>19</v>
      </c>
      <c r="H4905" s="1" t="str">
        <f>"64"</f>
        <v>64</v>
      </c>
      <c r="I4905" s="1" t="str">
        <f>"159.95"</f>
        <v>159.95</v>
      </c>
      <c r="J4905" s="1" t="str">
        <f t="shared" si="2960"/>
        <v>0</v>
      </c>
      <c r="K4905" s="1" t="str">
        <f t="shared" si="2961"/>
        <v>103</v>
      </c>
      <c r="L4905" s="1" t="str">
        <f t="shared" si="2962"/>
        <v>47</v>
      </c>
      <c r="M4905" s="1" t="str">
        <f t="shared" si="2965"/>
        <v>0</v>
      </c>
      <c r="N4905" s="1" t="str">
        <f t="shared" si="2959"/>
        <v>0</v>
      </c>
      <c r="O4905" s="1" t="str">
        <f>"9.95"</f>
        <v>9.95</v>
      </c>
    </row>
    <row r="4906" s="1" customFormat="1" spans="1:15">
      <c r="A4906" s="1" t="str">
        <f t="shared" si="2956"/>
        <v>202406</v>
      </c>
      <c r="B4906" s="1" t="str">
        <f t="shared" si="2957"/>
        <v>150525100</v>
      </c>
      <c r="C4906" s="1" t="str">
        <f>"1014561249"</f>
        <v>1014561249</v>
      </c>
      <c r="D4906" s="1" t="str">
        <f>"152326195811060427"</f>
        <v>152326195811060427</v>
      </c>
      <c r="E4906" s="1" t="s">
        <v>4872</v>
      </c>
      <c r="F4906" s="1" t="s">
        <v>16</v>
      </c>
      <c r="G4906" s="1" t="s">
        <v>19</v>
      </c>
      <c r="H4906" s="1" t="str">
        <f t="shared" si="2966"/>
        <v>66</v>
      </c>
      <c r="I4906" s="1" t="str">
        <f>"158.1"</f>
        <v>158.1</v>
      </c>
      <c r="J4906" s="1" t="str">
        <f t="shared" si="2960"/>
        <v>0</v>
      </c>
      <c r="K4906" s="1" t="str">
        <f t="shared" si="2961"/>
        <v>103</v>
      </c>
      <c r="L4906" s="1" t="str">
        <f t="shared" si="2962"/>
        <v>47</v>
      </c>
      <c r="M4906" s="1" t="str">
        <f t="shared" si="2965"/>
        <v>0</v>
      </c>
      <c r="N4906" s="1" t="str">
        <f t="shared" si="2959"/>
        <v>0</v>
      </c>
      <c r="O4906" s="1" t="str">
        <f>"8.1"</f>
        <v>8.1</v>
      </c>
    </row>
    <row r="4907" s="1" customFormat="1" spans="1:15">
      <c r="A4907" s="1" t="str">
        <f t="shared" si="2956"/>
        <v>202406</v>
      </c>
      <c r="B4907" s="1" t="str">
        <f t="shared" si="2957"/>
        <v>150525100</v>
      </c>
      <c r="C4907" s="1" t="str">
        <f>"1014561250"</f>
        <v>1014561250</v>
      </c>
      <c r="D4907" s="1" t="str">
        <f>"152326195811280454"</f>
        <v>152326195811280454</v>
      </c>
      <c r="E4907" s="1" t="s">
        <v>4873</v>
      </c>
      <c r="F4907" s="1" t="s">
        <v>25</v>
      </c>
      <c r="G4907" s="1" t="s">
        <v>17</v>
      </c>
      <c r="H4907" s="1" t="str">
        <f t="shared" si="2966"/>
        <v>66</v>
      </c>
      <c r="I4907" s="1" t="str">
        <f>"158.1"</f>
        <v>158.1</v>
      </c>
      <c r="J4907" s="1" t="str">
        <f t="shared" si="2960"/>
        <v>0</v>
      </c>
      <c r="K4907" s="1" t="str">
        <f t="shared" si="2961"/>
        <v>103</v>
      </c>
      <c r="L4907" s="1" t="str">
        <f t="shared" si="2962"/>
        <v>47</v>
      </c>
      <c r="M4907" s="1" t="str">
        <f t="shared" si="2965"/>
        <v>0</v>
      </c>
      <c r="N4907" s="1" t="str">
        <f t="shared" si="2959"/>
        <v>0</v>
      </c>
      <c r="O4907" s="1" t="str">
        <f>"8.1"</f>
        <v>8.1</v>
      </c>
    </row>
    <row r="4908" s="1" customFormat="1" spans="1:15">
      <c r="A4908" s="1" t="str">
        <f t="shared" si="2956"/>
        <v>202406</v>
      </c>
      <c r="B4908" s="1" t="str">
        <f t="shared" si="2957"/>
        <v>150525100</v>
      </c>
      <c r="C4908" s="1" t="str">
        <f>"1014562484"</f>
        <v>1014562484</v>
      </c>
      <c r="D4908" s="1" t="str">
        <f>"152326196210160451"</f>
        <v>152326196210160451</v>
      </c>
      <c r="E4908" s="1" t="s">
        <v>4874</v>
      </c>
      <c r="F4908" s="1" t="s">
        <v>25</v>
      </c>
      <c r="G4908" s="1" t="s">
        <v>17</v>
      </c>
      <c r="H4908" s="1" t="str">
        <f>"62"</f>
        <v>62</v>
      </c>
      <c r="I4908" s="1" t="str">
        <f>"163.17"</f>
        <v>163.17</v>
      </c>
      <c r="J4908" s="1" t="str">
        <f t="shared" si="2960"/>
        <v>0</v>
      </c>
      <c r="K4908" s="1" t="str">
        <f t="shared" si="2961"/>
        <v>103</v>
      </c>
      <c r="L4908" s="1" t="str">
        <f t="shared" si="2962"/>
        <v>47</v>
      </c>
      <c r="M4908" s="1" t="str">
        <f t="shared" si="2965"/>
        <v>0</v>
      </c>
      <c r="N4908" s="1" t="str">
        <f t="shared" si="2959"/>
        <v>0</v>
      </c>
      <c r="O4908" s="1" t="str">
        <f>"13.17"</f>
        <v>13.17</v>
      </c>
    </row>
    <row r="4909" s="1" customFormat="1" spans="1:15">
      <c r="A4909" s="1" t="str">
        <f t="shared" si="2956"/>
        <v>202406</v>
      </c>
      <c r="B4909" s="1" t="str">
        <f t="shared" si="2957"/>
        <v>150525100</v>
      </c>
      <c r="C4909" s="1" t="str">
        <f>"1014563009"</f>
        <v>1014563009</v>
      </c>
      <c r="D4909" s="1" t="str">
        <f>"152326195506100429"</f>
        <v>152326195506100429</v>
      </c>
      <c r="E4909" s="1" t="s">
        <v>4875</v>
      </c>
      <c r="F4909" s="1" t="s">
        <v>16</v>
      </c>
      <c r="G4909" s="1" t="s">
        <v>17</v>
      </c>
      <c r="H4909" s="1" t="str">
        <f>"69"</f>
        <v>69</v>
      </c>
      <c r="I4909" s="1" t="str">
        <f>"155.12"</f>
        <v>155.12</v>
      </c>
      <c r="J4909" s="1" t="str">
        <f t="shared" si="2960"/>
        <v>0</v>
      </c>
      <c r="K4909" s="1" t="str">
        <f t="shared" si="2961"/>
        <v>103</v>
      </c>
      <c r="L4909" s="1" t="str">
        <f t="shared" si="2962"/>
        <v>47</v>
      </c>
      <c r="M4909" s="1" t="str">
        <f t="shared" si="2965"/>
        <v>0</v>
      </c>
      <c r="N4909" s="1" t="str">
        <f t="shared" si="2959"/>
        <v>0</v>
      </c>
      <c r="O4909" s="1" t="str">
        <f>"5.12"</f>
        <v>5.12</v>
      </c>
    </row>
    <row r="4910" s="1" customFormat="1" spans="1:15">
      <c r="A4910" s="1" t="str">
        <f t="shared" si="2956"/>
        <v>202406</v>
      </c>
      <c r="B4910" s="1" t="str">
        <f t="shared" si="2957"/>
        <v>150525100</v>
      </c>
      <c r="C4910" s="1" t="str">
        <f>"1014563017"</f>
        <v>1014563017</v>
      </c>
      <c r="D4910" s="1" t="str">
        <f>"152326195612240417"</f>
        <v>152326195612240417</v>
      </c>
      <c r="E4910" s="1" t="s">
        <v>4876</v>
      </c>
      <c r="F4910" s="1" t="s">
        <v>25</v>
      </c>
      <c r="G4910" s="1" t="s">
        <v>17</v>
      </c>
      <c r="H4910" s="1" t="str">
        <f t="shared" ref="H4910:H4916" si="2967">"68"</f>
        <v>68</v>
      </c>
      <c r="I4910" s="1" t="str">
        <f>"156.04"</f>
        <v>156.04</v>
      </c>
      <c r="J4910" s="1" t="str">
        <f t="shared" si="2960"/>
        <v>0</v>
      </c>
      <c r="K4910" s="1" t="str">
        <f t="shared" si="2961"/>
        <v>103</v>
      </c>
      <c r="L4910" s="1" t="str">
        <f t="shared" si="2962"/>
        <v>47</v>
      </c>
      <c r="M4910" s="1" t="str">
        <f t="shared" si="2965"/>
        <v>0</v>
      </c>
      <c r="N4910" s="1" t="str">
        <f t="shared" si="2959"/>
        <v>0</v>
      </c>
      <c r="O4910" s="1" t="str">
        <f>"6.04"</f>
        <v>6.04</v>
      </c>
    </row>
    <row r="4911" s="1" customFormat="1" spans="1:15">
      <c r="A4911" s="1" t="str">
        <f t="shared" si="2956"/>
        <v>202406</v>
      </c>
      <c r="B4911" s="1" t="str">
        <f t="shared" si="2957"/>
        <v>150525100</v>
      </c>
      <c r="C4911" s="1" t="str">
        <f>"1014569789"</f>
        <v>1014569789</v>
      </c>
      <c r="D4911" s="1" t="str">
        <f>"152326196108070417"</f>
        <v>152326196108070417</v>
      </c>
      <c r="E4911" s="1" t="s">
        <v>4877</v>
      </c>
      <c r="F4911" s="1" t="s">
        <v>25</v>
      </c>
      <c r="G4911" s="1" t="s">
        <v>17</v>
      </c>
      <c r="H4911" s="1" t="str">
        <f>"63"</f>
        <v>63</v>
      </c>
      <c r="I4911" s="1" t="str">
        <f>"160.85"</f>
        <v>160.85</v>
      </c>
      <c r="J4911" s="1" t="str">
        <f t="shared" si="2960"/>
        <v>0</v>
      </c>
      <c r="K4911" s="1" t="str">
        <f t="shared" si="2961"/>
        <v>103</v>
      </c>
      <c r="L4911" s="1" t="str">
        <f t="shared" si="2962"/>
        <v>47</v>
      </c>
      <c r="M4911" s="1" t="str">
        <f t="shared" si="2965"/>
        <v>0</v>
      </c>
      <c r="N4911" s="1" t="str">
        <f t="shared" si="2959"/>
        <v>0</v>
      </c>
      <c r="O4911" s="1" t="str">
        <f>"10.85"</f>
        <v>10.85</v>
      </c>
    </row>
    <row r="4912" s="1" customFormat="1" spans="1:15">
      <c r="A4912" s="1" t="str">
        <f t="shared" si="2956"/>
        <v>202406</v>
      </c>
      <c r="B4912" s="1" t="str">
        <f t="shared" si="2957"/>
        <v>150525100</v>
      </c>
      <c r="C4912" s="1" t="str">
        <f>"1014549572"</f>
        <v>1014549572</v>
      </c>
      <c r="D4912" s="1" t="s">
        <v>4878</v>
      </c>
      <c r="E4912" s="1" t="s">
        <v>4879</v>
      </c>
      <c r="F4912" s="1" t="s">
        <v>25</v>
      </c>
      <c r="G4912" s="1" t="s">
        <v>17</v>
      </c>
      <c r="H4912" s="1" t="str">
        <f t="shared" si="2967"/>
        <v>68</v>
      </c>
      <c r="I4912" s="1" t="str">
        <f t="shared" ref="I4912:I4916" si="2968">"156.02"</f>
        <v>156.02</v>
      </c>
      <c r="J4912" s="1" t="str">
        <f t="shared" si="2960"/>
        <v>0</v>
      </c>
      <c r="K4912" s="1" t="str">
        <f t="shared" si="2961"/>
        <v>103</v>
      </c>
      <c r="L4912" s="1" t="str">
        <f t="shared" si="2962"/>
        <v>47</v>
      </c>
      <c r="M4912" s="1" t="str">
        <f t="shared" si="2965"/>
        <v>0</v>
      </c>
      <c r="N4912" s="1" t="str">
        <f t="shared" si="2959"/>
        <v>0</v>
      </c>
      <c r="O4912" s="1" t="str">
        <f t="shared" ref="O4912:O4916" si="2969">"6.02"</f>
        <v>6.02</v>
      </c>
    </row>
    <row r="4913" s="1" customFormat="1" spans="1:15">
      <c r="A4913" s="1" t="str">
        <f t="shared" si="2956"/>
        <v>202406</v>
      </c>
      <c r="B4913" s="1" t="str">
        <f t="shared" si="2957"/>
        <v>150525100</v>
      </c>
      <c r="C4913" s="1" t="str">
        <f>"1014549585"</f>
        <v>1014549585</v>
      </c>
      <c r="D4913" s="1" t="str">
        <f>"152326195910173814"</f>
        <v>152326195910173814</v>
      </c>
      <c r="E4913" s="1" t="s">
        <v>4880</v>
      </c>
      <c r="F4913" s="1" t="s">
        <v>25</v>
      </c>
      <c r="G4913" s="1" t="s">
        <v>19</v>
      </c>
      <c r="H4913" s="1" t="str">
        <f>"65"</f>
        <v>65</v>
      </c>
      <c r="I4913" s="1" t="str">
        <f>"158.98"</f>
        <v>158.98</v>
      </c>
      <c r="J4913" s="1" t="str">
        <f t="shared" si="2960"/>
        <v>0</v>
      </c>
      <c r="K4913" s="1" t="str">
        <f t="shared" si="2961"/>
        <v>103</v>
      </c>
      <c r="L4913" s="1" t="str">
        <f t="shared" si="2962"/>
        <v>47</v>
      </c>
      <c r="M4913" s="1" t="str">
        <f t="shared" si="2965"/>
        <v>0</v>
      </c>
      <c r="N4913" s="1" t="str">
        <f t="shared" si="2959"/>
        <v>0</v>
      </c>
      <c r="O4913" s="1" t="str">
        <f>"8.98"</f>
        <v>8.98</v>
      </c>
    </row>
    <row r="4914" s="1" customFormat="1" spans="1:15">
      <c r="A4914" s="1" t="str">
        <f t="shared" si="2956"/>
        <v>202406</v>
      </c>
      <c r="B4914" s="1" t="str">
        <f t="shared" si="2957"/>
        <v>150525100</v>
      </c>
      <c r="C4914" s="1" t="str">
        <f>"1014550082"</f>
        <v>1014550082</v>
      </c>
      <c r="D4914" s="1" t="str">
        <f>"152326195610200681"</f>
        <v>152326195610200681</v>
      </c>
      <c r="E4914" s="1" t="s">
        <v>4881</v>
      </c>
      <c r="F4914" s="1" t="s">
        <v>16</v>
      </c>
      <c r="G4914" s="1" t="s">
        <v>17</v>
      </c>
      <c r="H4914" s="1" t="str">
        <f t="shared" si="2967"/>
        <v>68</v>
      </c>
      <c r="I4914" s="1" t="str">
        <f t="shared" si="2968"/>
        <v>156.02</v>
      </c>
      <c r="J4914" s="1" t="str">
        <f t="shared" si="2960"/>
        <v>0</v>
      </c>
      <c r="K4914" s="1" t="str">
        <f t="shared" si="2961"/>
        <v>103</v>
      </c>
      <c r="L4914" s="1" t="str">
        <f t="shared" si="2962"/>
        <v>47</v>
      </c>
      <c r="M4914" s="1" t="str">
        <f t="shared" si="2965"/>
        <v>0</v>
      </c>
      <c r="N4914" s="1" t="str">
        <f t="shared" si="2959"/>
        <v>0</v>
      </c>
      <c r="O4914" s="1" t="str">
        <f t="shared" si="2969"/>
        <v>6.02</v>
      </c>
    </row>
    <row r="4915" s="1" customFormat="1" spans="1:15">
      <c r="A4915" s="1" t="str">
        <f t="shared" si="2956"/>
        <v>202406</v>
      </c>
      <c r="B4915" s="1" t="str">
        <f t="shared" si="2957"/>
        <v>150525100</v>
      </c>
      <c r="C4915" s="1" t="str">
        <f>"1014550084"</f>
        <v>1014550084</v>
      </c>
      <c r="D4915" s="1" t="str">
        <f>"152326195611010660"</f>
        <v>152326195611010660</v>
      </c>
      <c r="E4915" s="1" t="s">
        <v>4882</v>
      </c>
      <c r="F4915" s="1" t="s">
        <v>16</v>
      </c>
      <c r="G4915" s="1" t="s">
        <v>96</v>
      </c>
      <c r="H4915" s="1" t="str">
        <f t="shared" si="2967"/>
        <v>68</v>
      </c>
      <c r="I4915" s="1" t="str">
        <f>"167.89"</f>
        <v>167.89</v>
      </c>
      <c r="J4915" s="1" t="str">
        <f t="shared" si="2960"/>
        <v>0</v>
      </c>
      <c r="K4915" s="1" t="str">
        <f t="shared" si="2961"/>
        <v>103</v>
      </c>
      <c r="L4915" s="1" t="str">
        <f t="shared" si="2962"/>
        <v>47</v>
      </c>
      <c r="M4915" s="1" t="str">
        <f t="shared" si="2965"/>
        <v>0</v>
      </c>
      <c r="N4915" s="1" t="str">
        <f>"11.87"</f>
        <v>11.87</v>
      </c>
      <c r="O4915" s="1" t="str">
        <f t="shared" si="2969"/>
        <v>6.02</v>
      </c>
    </row>
    <row r="4916" s="1" customFormat="1" spans="1:15">
      <c r="A4916" s="1" t="str">
        <f t="shared" si="2956"/>
        <v>202406</v>
      </c>
      <c r="B4916" s="1" t="str">
        <f t="shared" si="2957"/>
        <v>150525100</v>
      </c>
      <c r="C4916" s="1" t="str">
        <f>"1014550085"</f>
        <v>1014550085</v>
      </c>
      <c r="D4916" s="1" t="str">
        <f>"152326195611143826"</f>
        <v>152326195611143826</v>
      </c>
      <c r="E4916" s="1" t="s">
        <v>1561</v>
      </c>
      <c r="F4916" s="1" t="s">
        <v>16</v>
      </c>
      <c r="G4916" s="1" t="s">
        <v>19</v>
      </c>
      <c r="H4916" s="1" t="str">
        <f t="shared" si="2967"/>
        <v>68</v>
      </c>
      <c r="I4916" s="1" t="str">
        <f t="shared" si="2968"/>
        <v>156.02</v>
      </c>
      <c r="J4916" s="1" t="str">
        <f t="shared" si="2960"/>
        <v>0</v>
      </c>
      <c r="K4916" s="1" t="str">
        <f t="shared" si="2961"/>
        <v>103</v>
      </c>
      <c r="L4916" s="1" t="str">
        <f t="shared" si="2962"/>
        <v>47</v>
      </c>
      <c r="M4916" s="1" t="str">
        <f t="shared" si="2965"/>
        <v>0</v>
      </c>
      <c r="N4916" s="1" t="str">
        <f t="shared" ref="N4916:N4979" si="2970">"0"</f>
        <v>0</v>
      </c>
      <c r="O4916" s="1" t="str">
        <f t="shared" si="2969"/>
        <v>6.02</v>
      </c>
    </row>
    <row r="4917" s="1" customFormat="1" spans="1:15">
      <c r="A4917" s="1" t="str">
        <f t="shared" si="2956"/>
        <v>202406</v>
      </c>
      <c r="B4917" s="1" t="str">
        <f t="shared" si="2957"/>
        <v>150525100</v>
      </c>
      <c r="C4917" s="1" t="str">
        <f>"1014550591"</f>
        <v>1014550591</v>
      </c>
      <c r="D4917" s="1" t="str">
        <f>"152326195212103317"</f>
        <v>152326195212103317</v>
      </c>
      <c r="E4917" s="1" t="s">
        <v>4883</v>
      </c>
      <c r="F4917" s="1" t="s">
        <v>25</v>
      </c>
      <c r="G4917" s="1" t="s">
        <v>17</v>
      </c>
      <c r="H4917" s="1" t="str">
        <f>"72"</f>
        <v>72</v>
      </c>
      <c r="I4917" s="1" t="str">
        <f>"161.92"</f>
        <v>161.92</v>
      </c>
      <c r="J4917" s="1" t="str">
        <f t="shared" si="2960"/>
        <v>0</v>
      </c>
      <c r="K4917" s="1" t="str">
        <f t="shared" si="2961"/>
        <v>103</v>
      </c>
      <c r="L4917" s="1" t="str">
        <f t="shared" si="2962"/>
        <v>47</v>
      </c>
      <c r="M4917" s="1" t="str">
        <f t="shared" si="2965"/>
        <v>0</v>
      </c>
      <c r="N4917" s="1" t="str">
        <f t="shared" si="2970"/>
        <v>0</v>
      </c>
      <c r="O4917" s="1" t="str">
        <f>"1.92"</f>
        <v>1.92</v>
      </c>
    </row>
    <row r="4918" s="1" customFormat="1" spans="1:15">
      <c r="A4918" s="1" t="str">
        <f t="shared" si="2956"/>
        <v>202406</v>
      </c>
      <c r="B4918" s="1" t="str">
        <f t="shared" si="2957"/>
        <v>150525100</v>
      </c>
      <c r="C4918" s="1" t="str">
        <f>"1014550596"</f>
        <v>1014550596</v>
      </c>
      <c r="D4918" s="1" t="str">
        <f>"152326195212250026"</f>
        <v>152326195212250026</v>
      </c>
      <c r="E4918" s="1" t="s">
        <v>4884</v>
      </c>
      <c r="F4918" s="1" t="s">
        <v>16</v>
      </c>
      <c r="G4918" s="1" t="s">
        <v>17</v>
      </c>
      <c r="H4918" s="1" t="str">
        <f>"72"</f>
        <v>72</v>
      </c>
      <c r="I4918" s="1" t="str">
        <f>"162.15"</f>
        <v>162.15</v>
      </c>
      <c r="J4918" s="1" t="str">
        <f t="shared" si="2960"/>
        <v>0</v>
      </c>
      <c r="K4918" s="1" t="str">
        <f t="shared" si="2961"/>
        <v>103</v>
      </c>
      <c r="L4918" s="1" t="str">
        <f t="shared" si="2962"/>
        <v>47</v>
      </c>
      <c r="M4918" s="1" t="str">
        <f t="shared" si="2965"/>
        <v>0</v>
      </c>
      <c r="N4918" s="1" t="str">
        <f t="shared" si="2970"/>
        <v>0</v>
      </c>
      <c r="O4918" s="1" t="str">
        <f>"2.15"</f>
        <v>2.15</v>
      </c>
    </row>
    <row r="4919" s="1" customFormat="1" spans="1:15">
      <c r="A4919" s="1" t="str">
        <f t="shared" si="2956"/>
        <v>202406</v>
      </c>
      <c r="B4919" s="1" t="str">
        <f t="shared" si="2957"/>
        <v>150525100</v>
      </c>
      <c r="C4919" s="1" t="str">
        <f>"1014585135"</f>
        <v>1014585135</v>
      </c>
      <c r="D4919" s="1" t="str">
        <f>"152326195701190423"</f>
        <v>152326195701190423</v>
      </c>
      <c r="E4919" s="1" t="s">
        <v>4396</v>
      </c>
      <c r="F4919" s="1" t="s">
        <v>16</v>
      </c>
      <c r="G4919" s="1" t="s">
        <v>17</v>
      </c>
      <c r="H4919" s="1" t="str">
        <f>"67"</f>
        <v>67</v>
      </c>
      <c r="I4919" s="1" t="str">
        <f>"160.1"</f>
        <v>160.1</v>
      </c>
      <c r="J4919" s="1" t="str">
        <f t="shared" si="2960"/>
        <v>0</v>
      </c>
      <c r="K4919" s="1" t="str">
        <f t="shared" si="2961"/>
        <v>103</v>
      </c>
      <c r="L4919" s="1" t="str">
        <f t="shared" si="2962"/>
        <v>47</v>
      </c>
      <c r="M4919" s="1" t="str">
        <f t="shared" si="2965"/>
        <v>0</v>
      </c>
      <c r="N4919" s="1" t="str">
        <f t="shared" si="2970"/>
        <v>0</v>
      </c>
      <c r="O4919" s="1" t="str">
        <f>"10.1"</f>
        <v>10.1</v>
      </c>
    </row>
    <row r="4920" s="1" customFormat="1" spans="1:15">
      <c r="A4920" s="1" t="str">
        <f t="shared" si="2956"/>
        <v>202406</v>
      </c>
      <c r="B4920" s="1" t="str">
        <f t="shared" si="2957"/>
        <v>150525100</v>
      </c>
      <c r="C4920" s="1" t="str">
        <f>"1014585140"</f>
        <v>1014585140</v>
      </c>
      <c r="D4920" s="1" t="str">
        <f>"152326195906120429"</f>
        <v>152326195906120429</v>
      </c>
      <c r="E4920" s="1" t="s">
        <v>4885</v>
      </c>
      <c r="F4920" s="1" t="s">
        <v>16</v>
      </c>
      <c r="G4920" s="1" t="s">
        <v>17</v>
      </c>
      <c r="H4920" s="1" t="str">
        <f>"65"</f>
        <v>65</v>
      </c>
      <c r="I4920" s="1" t="str">
        <f>"164.09"</f>
        <v>164.09</v>
      </c>
      <c r="J4920" s="1" t="str">
        <f t="shared" si="2960"/>
        <v>0</v>
      </c>
      <c r="K4920" s="1" t="str">
        <f t="shared" si="2961"/>
        <v>103</v>
      </c>
      <c r="L4920" s="1" t="str">
        <f t="shared" si="2962"/>
        <v>47</v>
      </c>
      <c r="M4920" s="1" t="str">
        <f t="shared" si="2965"/>
        <v>0</v>
      </c>
      <c r="N4920" s="1" t="str">
        <f t="shared" si="2970"/>
        <v>0</v>
      </c>
      <c r="O4920" s="1" t="str">
        <f>"14.09"</f>
        <v>14.09</v>
      </c>
    </row>
    <row r="4921" s="1" customFormat="1" spans="1:15">
      <c r="A4921" s="1" t="str">
        <f t="shared" si="2956"/>
        <v>202406</v>
      </c>
      <c r="B4921" s="1" t="str">
        <f t="shared" si="2957"/>
        <v>150525100</v>
      </c>
      <c r="C4921" s="1" t="str">
        <f>"1014561272"</f>
        <v>1014561272</v>
      </c>
      <c r="D4921" s="1" t="str">
        <f>"152326196005290417"</f>
        <v>152326196005290417</v>
      </c>
      <c r="E4921" s="1" t="s">
        <v>4886</v>
      </c>
      <c r="F4921" s="1" t="s">
        <v>25</v>
      </c>
      <c r="G4921" s="1" t="s">
        <v>17</v>
      </c>
      <c r="H4921" s="1" t="str">
        <f>"64"</f>
        <v>64</v>
      </c>
      <c r="I4921" s="1" t="str">
        <f>"159.21"</f>
        <v>159.21</v>
      </c>
      <c r="J4921" s="1" t="str">
        <f t="shared" si="2960"/>
        <v>0</v>
      </c>
      <c r="K4921" s="1" t="str">
        <f t="shared" si="2961"/>
        <v>103</v>
      </c>
      <c r="L4921" s="1" t="str">
        <f t="shared" si="2962"/>
        <v>47</v>
      </c>
      <c r="M4921" s="1" t="str">
        <f t="shared" si="2965"/>
        <v>0</v>
      </c>
      <c r="N4921" s="1" t="str">
        <f t="shared" si="2970"/>
        <v>0</v>
      </c>
      <c r="O4921" s="1" t="str">
        <f>"9.21"</f>
        <v>9.21</v>
      </c>
    </row>
    <row r="4922" s="1" customFormat="1" spans="1:15">
      <c r="A4922" s="1" t="str">
        <f t="shared" si="2956"/>
        <v>202406</v>
      </c>
      <c r="B4922" s="1" t="str">
        <f t="shared" si="2957"/>
        <v>150525100</v>
      </c>
      <c r="C4922" s="1" t="str">
        <f>"1014561284"</f>
        <v>1014561284</v>
      </c>
      <c r="D4922" s="1" t="str">
        <f>"152326196111240413"</f>
        <v>152326196111240413</v>
      </c>
      <c r="E4922" s="1" t="s">
        <v>4887</v>
      </c>
      <c r="F4922" s="1" t="s">
        <v>25</v>
      </c>
      <c r="G4922" s="1" t="s">
        <v>17</v>
      </c>
      <c r="H4922" s="1" t="str">
        <f>"63"</f>
        <v>63</v>
      </c>
      <c r="I4922" s="1" t="str">
        <f>"161.13"</f>
        <v>161.13</v>
      </c>
      <c r="J4922" s="1" t="str">
        <f t="shared" si="2960"/>
        <v>0</v>
      </c>
      <c r="K4922" s="1" t="str">
        <f t="shared" si="2961"/>
        <v>103</v>
      </c>
      <c r="L4922" s="1" t="str">
        <f t="shared" si="2962"/>
        <v>47</v>
      </c>
      <c r="M4922" s="1" t="str">
        <f t="shared" si="2965"/>
        <v>0</v>
      </c>
      <c r="N4922" s="1" t="str">
        <f t="shared" si="2970"/>
        <v>0</v>
      </c>
      <c r="O4922" s="1" t="str">
        <f>"11.13"</f>
        <v>11.13</v>
      </c>
    </row>
    <row r="4923" s="1" customFormat="1" spans="1:15">
      <c r="A4923" s="1" t="str">
        <f t="shared" si="2956"/>
        <v>202406</v>
      </c>
      <c r="B4923" s="1" t="str">
        <f t="shared" si="2957"/>
        <v>150525100</v>
      </c>
      <c r="C4923" s="1" t="str">
        <f>"1014561290"</f>
        <v>1014561290</v>
      </c>
      <c r="D4923" s="1" t="str">
        <f>"152326196207170421"</f>
        <v>152326196207170421</v>
      </c>
      <c r="E4923" s="1" t="s">
        <v>4888</v>
      </c>
      <c r="F4923" s="1" t="s">
        <v>16</v>
      </c>
      <c r="G4923" s="1" t="s">
        <v>17</v>
      </c>
      <c r="H4923" s="1" t="str">
        <f>"62"</f>
        <v>62</v>
      </c>
      <c r="I4923" s="1" t="str">
        <f>"164.87"</f>
        <v>164.87</v>
      </c>
      <c r="J4923" s="1" t="str">
        <f t="shared" si="2960"/>
        <v>0</v>
      </c>
      <c r="K4923" s="1" t="str">
        <f t="shared" si="2961"/>
        <v>103</v>
      </c>
      <c r="L4923" s="1" t="str">
        <f t="shared" si="2962"/>
        <v>47</v>
      </c>
      <c r="M4923" s="1" t="str">
        <f t="shared" si="2965"/>
        <v>0</v>
      </c>
      <c r="N4923" s="1" t="str">
        <f t="shared" si="2970"/>
        <v>0</v>
      </c>
      <c r="O4923" s="1" t="str">
        <f>"14.87"</f>
        <v>14.87</v>
      </c>
    </row>
    <row r="4924" s="1" customFormat="1" spans="1:15">
      <c r="A4924" s="1" t="str">
        <f t="shared" si="2956"/>
        <v>202406</v>
      </c>
      <c r="B4924" s="1" t="str">
        <f t="shared" si="2957"/>
        <v>150525100</v>
      </c>
      <c r="C4924" s="1" t="str">
        <f>"1014562512"</f>
        <v>1014562512</v>
      </c>
      <c r="D4924" s="1" t="str">
        <f>"152326195310290427"</f>
        <v>152326195310290427</v>
      </c>
      <c r="E4924" s="1" t="s">
        <v>4889</v>
      </c>
      <c r="F4924" s="1" t="s">
        <v>16</v>
      </c>
      <c r="G4924" s="1" t="s">
        <v>17</v>
      </c>
      <c r="H4924" s="1" t="str">
        <f>"71"</f>
        <v>71</v>
      </c>
      <c r="I4924" s="1" t="str">
        <f>"163.18"</f>
        <v>163.18</v>
      </c>
      <c r="J4924" s="1" t="str">
        <f t="shared" si="2960"/>
        <v>0</v>
      </c>
      <c r="K4924" s="1" t="str">
        <f t="shared" si="2961"/>
        <v>103</v>
      </c>
      <c r="L4924" s="1" t="str">
        <f t="shared" si="2962"/>
        <v>47</v>
      </c>
      <c r="M4924" s="1" t="str">
        <f t="shared" si="2965"/>
        <v>0</v>
      </c>
      <c r="N4924" s="1" t="str">
        <f t="shared" si="2970"/>
        <v>0</v>
      </c>
      <c r="O4924" s="1" t="str">
        <f>"3.18"</f>
        <v>3.18</v>
      </c>
    </row>
    <row r="4925" s="1" customFormat="1" spans="1:15">
      <c r="A4925" s="1" t="str">
        <f t="shared" si="2956"/>
        <v>202406</v>
      </c>
      <c r="B4925" s="1" t="str">
        <f t="shared" si="2957"/>
        <v>150525100</v>
      </c>
      <c r="C4925" s="1" t="str">
        <f>"1014562521"</f>
        <v>1014562521</v>
      </c>
      <c r="D4925" s="1" t="str">
        <f>"152326195606110421"</f>
        <v>152326195606110421</v>
      </c>
      <c r="E4925" s="1" t="s">
        <v>4890</v>
      </c>
      <c r="F4925" s="1" t="s">
        <v>16</v>
      </c>
      <c r="G4925" s="1" t="s">
        <v>17</v>
      </c>
      <c r="H4925" s="1" t="str">
        <f>"68"</f>
        <v>68</v>
      </c>
      <c r="I4925" s="1" t="str">
        <f>"155.88"</f>
        <v>155.88</v>
      </c>
      <c r="J4925" s="1" t="str">
        <f t="shared" si="2960"/>
        <v>0</v>
      </c>
      <c r="K4925" s="1" t="str">
        <f t="shared" si="2961"/>
        <v>103</v>
      </c>
      <c r="L4925" s="1" t="str">
        <f t="shared" si="2962"/>
        <v>47</v>
      </c>
      <c r="M4925" s="1" t="str">
        <f t="shared" si="2965"/>
        <v>0</v>
      </c>
      <c r="N4925" s="1" t="str">
        <f t="shared" si="2970"/>
        <v>0</v>
      </c>
      <c r="O4925" s="1" t="str">
        <f>"5.88"</f>
        <v>5.88</v>
      </c>
    </row>
    <row r="4926" s="1" customFormat="1" spans="1:15">
      <c r="A4926" s="1" t="str">
        <f t="shared" si="2956"/>
        <v>202406</v>
      </c>
      <c r="B4926" s="1" t="str">
        <f t="shared" si="2957"/>
        <v>150525100</v>
      </c>
      <c r="C4926" s="1" t="str">
        <f>"1014562524"</f>
        <v>1014562524</v>
      </c>
      <c r="D4926" s="1" t="s">
        <v>4891</v>
      </c>
      <c r="E4926" s="1" t="s">
        <v>1315</v>
      </c>
      <c r="F4926" s="1" t="s">
        <v>25</v>
      </c>
      <c r="G4926" s="1" t="s">
        <v>17</v>
      </c>
      <c r="H4926" s="1" t="str">
        <f t="shared" ref="H4926:H4930" si="2971">"64"</f>
        <v>64</v>
      </c>
      <c r="I4926" s="1" t="str">
        <f>"159.22"</f>
        <v>159.22</v>
      </c>
      <c r="J4926" s="1" t="str">
        <f t="shared" si="2960"/>
        <v>0</v>
      </c>
      <c r="K4926" s="1" t="str">
        <f t="shared" si="2961"/>
        <v>103</v>
      </c>
      <c r="L4926" s="1" t="str">
        <f t="shared" si="2962"/>
        <v>47</v>
      </c>
      <c r="M4926" s="1" t="str">
        <f t="shared" si="2965"/>
        <v>0</v>
      </c>
      <c r="N4926" s="1" t="str">
        <f t="shared" si="2970"/>
        <v>0</v>
      </c>
      <c r="O4926" s="1" t="str">
        <f>"9.22"</f>
        <v>9.22</v>
      </c>
    </row>
    <row r="4927" s="1" customFormat="1" spans="1:15">
      <c r="A4927" s="1" t="str">
        <f t="shared" si="2956"/>
        <v>202406</v>
      </c>
      <c r="B4927" s="1" t="str">
        <f t="shared" si="2957"/>
        <v>150525100</v>
      </c>
      <c r="C4927" s="1" t="str">
        <f>"1014562541"</f>
        <v>1014562541</v>
      </c>
      <c r="D4927" s="1" t="str">
        <f>"152326195707110463"</f>
        <v>152326195707110463</v>
      </c>
      <c r="E4927" s="1" t="s">
        <v>4892</v>
      </c>
      <c r="F4927" s="1" t="s">
        <v>16</v>
      </c>
      <c r="G4927" s="1" t="s">
        <v>17</v>
      </c>
      <c r="H4927" s="1" t="str">
        <f>"67"</f>
        <v>67</v>
      </c>
      <c r="I4927" s="1" t="str">
        <f>"156.1"</f>
        <v>156.1</v>
      </c>
      <c r="J4927" s="1" t="str">
        <f t="shared" si="2960"/>
        <v>0</v>
      </c>
      <c r="K4927" s="1" t="str">
        <f t="shared" si="2961"/>
        <v>103</v>
      </c>
      <c r="L4927" s="1" t="str">
        <f t="shared" si="2962"/>
        <v>47</v>
      </c>
      <c r="M4927" s="1" t="str">
        <f t="shared" si="2965"/>
        <v>0</v>
      </c>
      <c r="N4927" s="1" t="str">
        <f t="shared" si="2970"/>
        <v>0</v>
      </c>
      <c r="O4927" s="1" t="str">
        <f>"6.1"</f>
        <v>6.1</v>
      </c>
    </row>
    <row r="4928" s="1" customFormat="1" spans="1:15">
      <c r="A4928" s="1" t="str">
        <f t="shared" si="2956"/>
        <v>202406</v>
      </c>
      <c r="B4928" s="1" t="str">
        <f t="shared" si="2957"/>
        <v>150525100</v>
      </c>
      <c r="C4928" s="1" t="str">
        <f>"1014563426"</f>
        <v>1014563426</v>
      </c>
      <c r="D4928" s="1" t="str">
        <f>"152326196105050429"</f>
        <v>152326196105050429</v>
      </c>
      <c r="E4928" s="1" t="s">
        <v>4893</v>
      </c>
      <c r="F4928" s="1" t="s">
        <v>16</v>
      </c>
      <c r="G4928" s="1" t="s">
        <v>17</v>
      </c>
      <c r="H4928" s="1" t="str">
        <f>"63"</f>
        <v>63</v>
      </c>
      <c r="I4928" s="1" t="str">
        <f>"161.07"</f>
        <v>161.07</v>
      </c>
      <c r="J4928" s="1" t="str">
        <f t="shared" si="2960"/>
        <v>0</v>
      </c>
      <c r="K4928" s="1" t="str">
        <f t="shared" si="2961"/>
        <v>103</v>
      </c>
      <c r="L4928" s="1" t="str">
        <f t="shared" si="2962"/>
        <v>47</v>
      </c>
      <c r="M4928" s="1" t="str">
        <f t="shared" si="2965"/>
        <v>0</v>
      </c>
      <c r="N4928" s="1" t="str">
        <f t="shared" si="2970"/>
        <v>0</v>
      </c>
      <c r="O4928" s="1" t="str">
        <f>"11.07"</f>
        <v>11.07</v>
      </c>
    </row>
    <row r="4929" s="1" customFormat="1" spans="1:15">
      <c r="A4929" s="1" t="str">
        <f t="shared" si="2956"/>
        <v>202406</v>
      </c>
      <c r="B4929" s="1" t="str">
        <f t="shared" si="2957"/>
        <v>150525100</v>
      </c>
      <c r="C4929" s="1" t="str">
        <f>"1014585173"</f>
        <v>1014585173</v>
      </c>
      <c r="D4929" s="1" t="str">
        <f>"152326196004130665"</f>
        <v>152326196004130665</v>
      </c>
      <c r="E4929" s="1" t="s">
        <v>4894</v>
      </c>
      <c r="F4929" s="1" t="s">
        <v>16</v>
      </c>
      <c r="G4929" s="1" t="s">
        <v>17</v>
      </c>
      <c r="H4929" s="1" t="str">
        <f t="shared" si="2971"/>
        <v>64</v>
      </c>
      <c r="I4929" s="1" t="str">
        <f>"161.46"</f>
        <v>161.46</v>
      </c>
      <c r="J4929" s="1" t="str">
        <f t="shared" si="2960"/>
        <v>0</v>
      </c>
      <c r="K4929" s="1" t="str">
        <f t="shared" si="2961"/>
        <v>103</v>
      </c>
      <c r="L4929" s="1" t="str">
        <f t="shared" si="2962"/>
        <v>47</v>
      </c>
      <c r="M4929" s="1" t="str">
        <f t="shared" si="2965"/>
        <v>0</v>
      </c>
      <c r="N4929" s="1" t="str">
        <f t="shared" si="2970"/>
        <v>0</v>
      </c>
      <c r="O4929" s="1" t="str">
        <f>"11.46"</f>
        <v>11.46</v>
      </c>
    </row>
    <row r="4930" s="1" customFormat="1" spans="1:15">
      <c r="A4930" s="1" t="str">
        <f t="shared" ref="A4930:A4993" si="2972">"202406"</f>
        <v>202406</v>
      </c>
      <c r="B4930" s="1" t="str">
        <f t="shared" ref="B4930:B4993" si="2973">"150525100"</f>
        <v>150525100</v>
      </c>
      <c r="C4930" s="1" t="str">
        <f>"1014585177"</f>
        <v>1014585177</v>
      </c>
      <c r="D4930" s="1" t="str">
        <f>"152326196101060443"</f>
        <v>152326196101060443</v>
      </c>
      <c r="E4930" s="1" t="s">
        <v>4895</v>
      </c>
      <c r="F4930" s="1" t="s">
        <v>16</v>
      </c>
      <c r="G4930" s="1" t="s">
        <v>17</v>
      </c>
      <c r="H4930" s="1" t="str">
        <f t="shared" si="2971"/>
        <v>64</v>
      </c>
      <c r="I4930" s="1" t="str">
        <f>"160.99"</f>
        <v>160.99</v>
      </c>
      <c r="J4930" s="1" t="str">
        <f t="shared" si="2960"/>
        <v>0</v>
      </c>
      <c r="K4930" s="1" t="str">
        <f t="shared" si="2961"/>
        <v>103</v>
      </c>
      <c r="L4930" s="1" t="str">
        <f t="shared" si="2962"/>
        <v>47</v>
      </c>
      <c r="M4930" s="1" t="str">
        <f t="shared" si="2965"/>
        <v>0</v>
      </c>
      <c r="N4930" s="1" t="str">
        <f t="shared" si="2970"/>
        <v>0</v>
      </c>
      <c r="O4930" s="1" t="str">
        <f>"10.99"</f>
        <v>10.99</v>
      </c>
    </row>
    <row r="4931" s="1" customFormat="1" spans="1:15">
      <c r="A4931" s="1" t="str">
        <f t="shared" si="2972"/>
        <v>202406</v>
      </c>
      <c r="B4931" s="1" t="str">
        <f t="shared" si="2973"/>
        <v>150525100</v>
      </c>
      <c r="C4931" s="1" t="str">
        <f>"1015311305"</f>
        <v>1015311305</v>
      </c>
      <c r="D4931" s="1" t="str">
        <f>"152326195204080928"</f>
        <v>152326195204080928</v>
      </c>
      <c r="E4931" s="1" t="s">
        <v>4896</v>
      </c>
      <c r="F4931" s="1" t="s">
        <v>16</v>
      </c>
      <c r="G4931" s="1" t="s">
        <v>19</v>
      </c>
      <c r="H4931" s="1" t="str">
        <f t="shared" ref="H4931:H4936" si="2974">"72"</f>
        <v>72</v>
      </c>
      <c r="I4931" s="1" t="str">
        <f>"161.53"</f>
        <v>161.53</v>
      </c>
      <c r="J4931" s="1" t="str">
        <f t="shared" si="2960"/>
        <v>0</v>
      </c>
      <c r="K4931" s="1" t="str">
        <f t="shared" si="2961"/>
        <v>103</v>
      </c>
      <c r="L4931" s="1" t="str">
        <f t="shared" si="2962"/>
        <v>47</v>
      </c>
      <c r="M4931" s="1" t="str">
        <f t="shared" si="2965"/>
        <v>0</v>
      </c>
      <c r="N4931" s="1" t="str">
        <f t="shared" si="2970"/>
        <v>0</v>
      </c>
      <c r="O4931" s="1" t="str">
        <f>"1.53"</f>
        <v>1.53</v>
      </c>
    </row>
    <row r="4932" s="1" customFormat="1" spans="1:15">
      <c r="A4932" s="1" t="str">
        <f t="shared" si="2972"/>
        <v>202406</v>
      </c>
      <c r="B4932" s="1" t="str">
        <f t="shared" si="2973"/>
        <v>150525100</v>
      </c>
      <c r="C4932" s="1" t="str">
        <f>"1015311310"</f>
        <v>1015311310</v>
      </c>
      <c r="D4932" s="1" t="str">
        <f>"152326195201180923"</f>
        <v>152326195201180923</v>
      </c>
      <c r="E4932" s="1" t="s">
        <v>4897</v>
      </c>
      <c r="F4932" s="1" t="s">
        <v>16</v>
      </c>
      <c r="G4932" s="1" t="s">
        <v>19</v>
      </c>
      <c r="H4932" s="1" t="str">
        <f t="shared" si="2974"/>
        <v>72</v>
      </c>
      <c r="I4932" s="1" t="str">
        <f>"163.06"</f>
        <v>163.06</v>
      </c>
      <c r="J4932" s="1" t="str">
        <f t="shared" si="2960"/>
        <v>0</v>
      </c>
      <c r="K4932" s="1" t="str">
        <f t="shared" si="2961"/>
        <v>103</v>
      </c>
      <c r="L4932" s="1" t="str">
        <f t="shared" si="2962"/>
        <v>47</v>
      </c>
      <c r="M4932" s="1" t="str">
        <f t="shared" si="2965"/>
        <v>0</v>
      </c>
      <c r="N4932" s="1" t="str">
        <f t="shared" si="2970"/>
        <v>0</v>
      </c>
      <c r="O4932" s="1" t="str">
        <f>"3.06"</f>
        <v>3.06</v>
      </c>
    </row>
    <row r="4933" s="1" customFormat="1" spans="1:15">
      <c r="A4933" s="1" t="str">
        <f t="shared" si="2972"/>
        <v>202406</v>
      </c>
      <c r="B4933" s="1" t="str">
        <f t="shared" si="2973"/>
        <v>150525100</v>
      </c>
      <c r="C4933" s="1" t="str">
        <f>"1015311321"</f>
        <v>1015311321</v>
      </c>
      <c r="D4933" s="1" t="str">
        <f>"152326195303153811"</f>
        <v>152326195303153811</v>
      </c>
      <c r="E4933" s="1" t="s">
        <v>1962</v>
      </c>
      <c r="F4933" s="1" t="s">
        <v>25</v>
      </c>
      <c r="G4933" s="1" t="s">
        <v>19</v>
      </c>
      <c r="H4933" s="1" t="str">
        <f>"71"</f>
        <v>71</v>
      </c>
      <c r="I4933" s="1" t="str">
        <f>"162.57"</f>
        <v>162.57</v>
      </c>
      <c r="J4933" s="1" t="str">
        <f t="shared" si="2960"/>
        <v>0</v>
      </c>
      <c r="K4933" s="1" t="str">
        <f t="shared" si="2961"/>
        <v>103</v>
      </c>
      <c r="L4933" s="1" t="str">
        <f t="shared" si="2962"/>
        <v>47</v>
      </c>
      <c r="M4933" s="1" t="str">
        <f t="shared" si="2965"/>
        <v>0</v>
      </c>
      <c r="N4933" s="1" t="str">
        <f t="shared" si="2970"/>
        <v>0</v>
      </c>
      <c r="O4933" s="1" t="str">
        <f>"2.57"</f>
        <v>2.57</v>
      </c>
    </row>
    <row r="4934" s="1" customFormat="1" spans="1:15">
      <c r="A4934" s="1" t="str">
        <f t="shared" si="2972"/>
        <v>202406</v>
      </c>
      <c r="B4934" s="1" t="str">
        <f t="shared" si="2973"/>
        <v>150525100</v>
      </c>
      <c r="C4934" s="1" t="str">
        <f>"1015311505"</f>
        <v>1015311505</v>
      </c>
      <c r="D4934" s="1" t="str">
        <f>"152326195207203321"</f>
        <v>152326195207203321</v>
      </c>
      <c r="E4934" s="1" t="s">
        <v>4898</v>
      </c>
      <c r="F4934" s="1" t="s">
        <v>16</v>
      </c>
      <c r="G4934" s="1" t="s">
        <v>19</v>
      </c>
      <c r="H4934" s="1" t="str">
        <f t="shared" si="2974"/>
        <v>72</v>
      </c>
      <c r="I4934" s="1" t="str">
        <f>"162.57"</f>
        <v>162.57</v>
      </c>
      <c r="J4934" s="1" t="str">
        <f t="shared" si="2960"/>
        <v>0</v>
      </c>
      <c r="K4934" s="1" t="str">
        <f t="shared" si="2961"/>
        <v>103</v>
      </c>
      <c r="L4934" s="1" t="str">
        <f t="shared" si="2962"/>
        <v>47</v>
      </c>
      <c r="M4934" s="1" t="str">
        <f t="shared" si="2965"/>
        <v>0</v>
      </c>
      <c r="N4934" s="1" t="str">
        <f t="shared" si="2970"/>
        <v>0</v>
      </c>
      <c r="O4934" s="1" t="str">
        <f>"2.57"</f>
        <v>2.57</v>
      </c>
    </row>
    <row r="4935" s="1" customFormat="1" spans="1:15">
      <c r="A4935" s="1" t="str">
        <f t="shared" si="2972"/>
        <v>202406</v>
      </c>
      <c r="B4935" s="1" t="str">
        <f t="shared" si="2973"/>
        <v>150525100</v>
      </c>
      <c r="C4935" s="1" t="str">
        <f>"1015311515"</f>
        <v>1015311515</v>
      </c>
      <c r="D4935" s="1" t="str">
        <f>"152326195211253815"</f>
        <v>152326195211253815</v>
      </c>
      <c r="E4935" s="1" t="s">
        <v>4899</v>
      </c>
      <c r="F4935" s="1" t="s">
        <v>25</v>
      </c>
      <c r="G4935" s="1" t="s">
        <v>19</v>
      </c>
      <c r="H4935" s="1" t="str">
        <f t="shared" si="2974"/>
        <v>72</v>
      </c>
      <c r="I4935" s="1" t="str">
        <f>"161.56"</f>
        <v>161.56</v>
      </c>
      <c r="J4935" s="1" t="str">
        <f t="shared" si="2960"/>
        <v>0</v>
      </c>
      <c r="K4935" s="1" t="str">
        <f t="shared" si="2961"/>
        <v>103</v>
      </c>
      <c r="L4935" s="1" t="str">
        <f t="shared" si="2962"/>
        <v>47</v>
      </c>
      <c r="M4935" s="1" t="str">
        <f t="shared" si="2965"/>
        <v>0</v>
      </c>
      <c r="N4935" s="1" t="str">
        <f t="shared" si="2970"/>
        <v>0</v>
      </c>
      <c r="O4935" s="1" t="str">
        <f>"1.56"</f>
        <v>1.56</v>
      </c>
    </row>
    <row r="4936" s="1" customFormat="1" spans="1:15">
      <c r="A4936" s="1" t="str">
        <f t="shared" si="2972"/>
        <v>202406</v>
      </c>
      <c r="B4936" s="1" t="str">
        <f t="shared" si="2973"/>
        <v>150525100</v>
      </c>
      <c r="C4936" s="1" t="str">
        <f>"1015311695"</f>
        <v>1015311695</v>
      </c>
      <c r="D4936" s="1" t="str">
        <f>"152326195209220416"</f>
        <v>152326195209220416</v>
      </c>
      <c r="E4936" s="1" t="s">
        <v>4900</v>
      </c>
      <c r="F4936" s="1" t="s">
        <v>25</v>
      </c>
      <c r="G4936" s="1" t="s">
        <v>17</v>
      </c>
      <c r="H4936" s="1" t="str">
        <f t="shared" si="2974"/>
        <v>72</v>
      </c>
      <c r="I4936" s="1" t="str">
        <f>"161.54"</f>
        <v>161.54</v>
      </c>
      <c r="J4936" s="1" t="str">
        <f t="shared" si="2960"/>
        <v>0</v>
      </c>
      <c r="K4936" s="1" t="str">
        <f t="shared" si="2961"/>
        <v>103</v>
      </c>
      <c r="L4936" s="1" t="str">
        <f t="shared" si="2962"/>
        <v>47</v>
      </c>
      <c r="M4936" s="1" t="str">
        <f t="shared" si="2965"/>
        <v>0</v>
      </c>
      <c r="N4936" s="1" t="str">
        <f t="shared" si="2970"/>
        <v>0</v>
      </c>
      <c r="O4936" s="1" t="str">
        <f>"1.54"</f>
        <v>1.54</v>
      </c>
    </row>
    <row r="4937" s="1" customFormat="1" spans="1:15">
      <c r="A4937" s="1" t="str">
        <f t="shared" si="2972"/>
        <v>202406</v>
      </c>
      <c r="B4937" s="1" t="str">
        <f t="shared" si="2973"/>
        <v>150525100</v>
      </c>
      <c r="C4937" s="1" t="str">
        <f>"1015311354"</f>
        <v>1015311354</v>
      </c>
      <c r="D4937" s="1" t="s">
        <v>4901</v>
      </c>
      <c r="E4937" s="1" t="s">
        <v>4902</v>
      </c>
      <c r="F4937" s="1" t="s">
        <v>25</v>
      </c>
      <c r="G4937" s="1" t="s">
        <v>96</v>
      </c>
      <c r="H4937" s="1" t="str">
        <f t="shared" ref="H4937:H4941" si="2975">"71"</f>
        <v>71</v>
      </c>
      <c r="I4937" s="1" t="str">
        <f>"162.3"</f>
        <v>162.3</v>
      </c>
      <c r="J4937" s="1" t="str">
        <f t="shared" si="2960"/>
        <v>0</v>
      </c>
      <c r="K4937" s="1" t="str">
        <f t="shared" si="2961"/>
        <v>103</v>
      </c>
      <c r="L4937" s="1" t="str">
        <f t="shared" si="2962"/>
        <v>47</v>
      </c>
      <c r="M4937" s="1" t="str">
        <f t="shared" si="2965"/>
        <v>0</v>
      </c>
      <c r="N4937" s="1" t="str">
        <f t="shared" si="2970"/>
        <v>0</v>
      </c>
      <c r="O4937" s="1" t="str">
        <f>"2.3"</f>
        <v>2.3</v>
      </c>
    </row>
    <row r="4938" s="1" customFormat="1" spans="1:15">
      <c r="A4938" s="1" t="str">
        <f t="shared" si="2972"/>
        <v>202406</v>
      </c>
      <c r="B4938" s="1" t="str">
        <f t="shared" si="2973"/>
        <v>150525100</v>
      </c>
      <c r="C4938" s="1" t="str">
        <f>"1015311360"</f>
        <v>1015311360</v>
      </c>
      <c r="D4938" s="1" t="s">
        <v>4903</v>
      </c>
      <c r="E4938" s="1" t="s">
        <v>4904</v>
      </c>
      <c r="F4938" s="1" t="s">
        <v>16</v>
      </c>
      <c r="G4938" s="1" t="s">
        <v>19</v>
      </c>
      <c r="H4938" s="1" t="str">
        <f t="shared" ref="H4938:H4942" si="2976">"72"</f>
        <v>72</v>
      </c>
      <c r="I4938" s="1" t="str">
        <f>"161.53"</f>
        <v>161.53</v>
      </c>
      <c r="J4938" s="1" t="str">
        <f t="shared" si="2960"/>
        <v>0</v>
      </c>
      <c r="K4938" s="1" t="str">
        <f t="shared" si="2961"/>
        <v>103</v>
      </c>
      <c r="L4938" s="1" t="str">
        <f t="shared" si="2962"/>
        <v>47</v>
      </c>
      <c r="M4938" s="1" t="str">
        <f t="shared" si="2965"/>
        <v>0</v>
      </c>
      <c r="N4938" s="1" t="str">
        <f t="shared" si="2970"/>
        <v>0</v>
      </c>
      <c r="O4938" s="1" t="str">
        <f>"1.53"</f>
        <v>1.53</v>
      </c>
    </row>
    <row r="4939" s="1" customFormat="1" spans="1:15">
      <c r="A4939" s="1" t="str">
        <f t="shared" si="2972"/>
        <v>202406</v>
      </c>
      <c r="B4939" s="1" t="str">
        <f t="shared" si="2973"/>
        <v>150525100</v>
      </c>
      <c r="C4939" s="1" t="str">
        <f>"1015311366"</f>
        <v>1015311366</v>
      </c>
      <c r="D4939" s="1" t="str">
        <f>"152326195303293822"</f>
        <v>152326195303293822</v>
      </c>
      <c r="E4939" s="1" t="s">
        <v>4250</v>
      </c>
      <c r="F4939" s="1" t="s">
        <v>16</v>
      </c>
      <c r="G4939" s="1" t="s">
        <v>17</v>
      </c>
      <c r="H4939" s="1" t="str">
        <f t="shared" si="2975"/>
        <v>71</v>
      </c>
      <c r="I4939" s="1" t="str">
        <f>"162.57"</f>
        <v>162.57</v>
      </c>
      <c r="J4939" s="1" t="str">
        <f t="shared" si="2960"/>
        <v>0</v>
      </c>
      <c r="K4939" s="1" t="str">
        <f t="shared" si="2961"/>
        <v>103</v>
      </c>
      <c r="L4939" s="1" t="str">
        <f t="shared" si="2962"/>
        <v>47</v>
      </c>
      <c r="M4939" s="1" t="str">
        <f t="shared" si="2965"/>
        <v>0</v>
      </c>
      <c r="N4939" s="1" t="str">
        <f t="shared" si="2970"/>
        <v>0</v>
      </c>
      <c r="O4939" s="1" t="str">
        <f>"2.57"</f>
        <v>2.57</v>
      </c>
    </row>
    <row r="4940" s="1" customFormat="1" spans="1:15">
      <c r="A4940" s="1" t="str">
        <f t="shared" si="2972"/>
        <v>202406</v>
      </c>
      <c r="B4940" s="1" t="str">
        <f t="shared" si="2973"/>
        <v>150525100</v>
      </c>
      <c r="C4940" s="1" t="str">
        <f>"1015311824"</f>
        <v>1015311824</v>
      </c>
      <c r="D4940" s="1" t="str">
        <f>"152326195210103321"</f>
        <v>152326195210103321</v>
      </c>
      <c r="E4940" s="1" t="s">
        <v>2535</v>
      </c>
      <c r="F4940" s="1" t="s">
        <v>16</v>
      </c>
      <c r="G4940" s="1" t="s">
        <v>19</v>
      </c>
      <c r="H4940" s="1" t="str">
        <f t="shared" si="2976"/>
        <v>72</v>
      </c>
      <c r="I4940" s="1" t="str">
        <f>"161.56"</f>
        <v>161.56</v>
      </c>
      <c r="J4940" s="1" t="str">
        <f t="shared" si="2960"/>
        <v>0</v>
      </c>
      <c r="K4940" s="1" t="str">
        <f t="shared" si="2961"/>
        <v>103</v>
      </c>
      <c r="L4940" s="1" t="str">
        <f t="shared" si="2962"/>
        <v>47</v>
      </c>
      <c r="M4940" s="1" t="str">
        <f t="shared" si="2965"/>
        <v>0</v>
      </c>
      <c r="N4940" s="1" t="str">
        <f t="shared" si="2970"/>
        <v>0</v>
      </c>
      <c r="O4940" s="1" t="str">
        <f>"1.56"</f>
        <v>1.56</v>
      </c>
    </row>
    <row r="4941" s="1" customFormat="1" spans="1:15">
      <c r="A4941" s="1" t="str">
        <f t="shared" si="2972"/>
        <v>202406</v>
      </c>
      <c r="B4941" s="1" t="str">
        <f t="shared" si="2973"/>
        <v>150525100</v>
      </c>
      <c r="C4941" s="1" t="str">
        <f>"1015311631"</f>
        <v>1015311631</v>
      </c>
      <c r="D4941" s="1" t="str">
        <f>"152326195308243824"</f>
        <v>152326195308243824</v>
      </c>
      <c r="E4941" s="1" t="s">
        <v>4905</v>
      </c>
      <c r="F4941" s="1" t="s">
        <v>16</v>
      </c>
      <c r="G4941" s="1" t="s">
        <v>19</v>
      </c>
      <c r="H4941" s="1" t="str">
        <f t="shared" si="2975"/>
        <v>71</v>
      </c>
      <c r="I4941" s="1" t="str">
        <f>"162.31"</f>
        <v>162.31</v>
      </c>
      <c r="J4941" s="1" t="str">
        <f t="shared" si="2960"/>
        <v>0</v>
      </c>
      <c r="K4941" s="1" t="str">
        <f t="shared" si="2961"/>
        <v>103</v>
      </c>
      <c r="L4941" s="1" t="str">
        <f t="shared" si="2962"/>
        <v>47</v>
      </c>
      <c r="M4941" s="1" t="str">
        <f t="shared" si="2965"/>
        <v>0</v>
      </c>
      <c r="N4941" s="1" t="str">
        <f t="shared" si="2970"/>
        <v>0</v>
      </c>
      <c r="O4941" s="1" t="str">
        <f>"2.31"</f>
        <v>2.31</v>
      </c>
    </row>
    <row r="4942" s="1" customFormat="1" spans="1:15">
      <c r="A4942" s="1" t="str">
        <f t="shared" si="2972"/>
        <v>202406</v>
      </c>
      <c r="B4942" s="1" t="str">
        <f t="shared" si="2973"/>
        <v>150525100</v>
      </c>
      <c r="C4942" s="1" t="str">
        <f>"1015311424"</f>
        <v>1015311424</v>
      </c>
      <c r="D4942" s="1" t="str">
        <f>"152326195204100669"</f>
        <v>152326195204100669</v>
      </c>
      <c r="E4942" s="1" t="s">
        <v>4906</v>
      </c>
      <c r="F4942" s="1" t="s">
        <v>16</v>
      </c>
      <c r="G4942" s="1" t="s">
        <v>17</v>
      </c>
      <c r="H4942" s="1" t="str">
        <f t="shared" si="2976"/>
        <v>72</v>
      </c>
      <c r="I4942" s="1" t="str">
        <f>"161.53"</f>
        <v>161.53</v>
      </c>
      <c r="J4942" s="1" t="str">
        <f t="shared" ref="J4942:J4951" si="2977">"0"</f>
        <v>0</v>
      </c>
      <c r="K4942" s="1" t="str">
        <f t="shared" ref="K4942:K4951" si="2978">"103"</f>
        <v>103</v>
      </c>
      <c r="L4942" s="1" t="str">
        <f t="shared" ref="L4942:L4951" si="2979">"47"</f>
        <v>47</v>
      </c>
      <c r="M4942" s="1" t="str">
        <f t="shared" si="2965"/>
        <v>0</v>
      </c>
      <c r="N4942" s="1" t="str">
        <f t="shared" si="2970"/>
        <v>0</v>
      </c>
      <c r="O4942" s="1" t="str">
        <f>"1.53"</f>
        <v>1.53</v>
      </c>
    </row>
    <row r="4943" s="1" customFormat="1" spans="1:15">
      <c r="A4943" s="1" t="str">
        <f t="shared" si="2972"/>
        <v>202406</v>
      </c>
      <c r="B4943" s="1" t="str">
        <f t="shared" si="2973"/>
        <v>150525100</v>
      </c>
      <c r="C4943" s="1" t="str">
        <f>"1015311784"</f>
        <v>1015311784</v>
      </c>
      <c r="D4943" s="1" t="str">
        <f>"152326195311180676"</f>
        <v>152326195311180676</v>
      </c>
      <c r="E4943" s="1" t="s">
        <v>4907</v>
      </c>
      <c r="F4943" s="1" t="s">
        <v>25</v>
      </c>
      <c r="G4943" s="1" t="s">
        <v>17</v>
      </c>
      <c r="H4943" s="1" t="str">
        <f>"71"</f>
        <v>71</v>
      </c>
      <c r="I4943" s="1" t="str">
        <f>"162.57"</f>
        <v>162.57</v>
      </c>
      <c r="J4943" s="1" t="str">
        <f t="shared" si="2977"/>
        <v>0</v>
      </c>
      <c r="K4943" s="1" t="str">
        <f t="shared" si="2978"/>
        <v>103</v>
      </c>
      <c r="L4943" s="1" t="str">
        <f t="shared" si="2979"/>
        <v>47</v>
      </c>
      <c r="M4943" s="1" t="str">
        <f t="shared" si="2965"/>
        <v>0</v>
      </c>
      <c r="N4943" s="1" t="str">
        <f t="shared" si="2970"/>
        <v>0</v>
      </c>
      <c r="O4943" s="1" t="str">
        <f>"2.57"</f>
        <v>2.57</v>
      </c>
    </row>
    <row r="4944" s="1" customFormat="1" spans="1:15">
      <c r="A4944" s="1" t="str">
        <f t="shared" si="2972"/>
        <v>202406</v>
      </c>
      <c r="B4944" s="1" t="str">
        <f t="shared" si="2973"/>
        <v>150525100</v>
      </c>
      <c r="C4944" s="1" t="str">
        <f>"1015311803"</f>
        <v>1015311803</v>
      </c>
      <c r="D4944" s="1" t="str">
        <f>"152326195212270676"</f>
        <v>152326195212270676</v>
      </c>
      <c r="E4944" s="1" t="s">
        <v>4908</v>
      </c>
      <c r="F4944" s="1" t="s">
        <v>25</v>
      </c>
      <c r="G4944" s="1" t="s">
        <v>19</v>
      </c>
      <c r="H4944" s="1" t="str">
        <f>"72"</f>
        <v>72</v>
      </c>
      <c r="I4944" s="1" t="str">
        <f>"161.56"</f>
        <v>161.56</v>
      </c>
      <c r="J4944" s="1" t="str">
        <f t="shared" si="2977"/>
        <v>0</v>
      </c>
      <c r="K4944" s="1" t="str">
        <f t="shared" si="2978"/>
        <v>103</v>
      </c>
      <c r="L4944" s="1" t="str">
        <f t="shared" si="2979"/>
        <v>47</v>
      </c>
      <c r="M4944" s="1" t="str">
        <f t="shared" si="2965"/>
        <v>0</v>
      </c>
      <c r="N4944" s="1" t="str">
        <f t="shared" si="2970"/>
        <v>0</v>
      </c>
      <c r="O4944" s="1" t="str">
        <f>"1.56"</f>
        <v>1.56</v>
      </c>
    </row>
    <row r="4945" s="1" customFormat="1" spans="1:15">
      <c r="A4945" s="1" t="str">
        <f t="shared" si="2972"/>
        <v>202406</v>
      </c>
      <c r="B4945" s="1" t="str">
        <f t="shared" si="2973"/>
        <v>150525100</v>
      </c>
      <c r="C4945" s="1" t="str">
        <f>"1015311805"</f>
        <v>1015311805</v>
      </c>
      <c r="D4945" s="1" t="s">
        <v>4909</v>
      </c>
      <c r="E4945" s="1" t="s">
        <v>4910</v>
      </c>
      <c r="F4945" s="1" t="s">
        <v>16</v>
      </c>
      <c r="G4945" s="1" t="s">
        <v>17</v>
      </c>
      <c r="H4945" s="1" t="str">
        <f>"71"</f>
        <v>71</v>
      </c>
      <c r="I4945" s="1" t="str">
        <f>"162.57"</f>
        <v>162.57</v>
      </c>
      <c r="J4945" s="1" t="str">
        <f t="shared" si="2977"/>
        <v>0</v>
      </c>
      <c r="K4945" s="1" t="str">
        <f t="shared" si="2978"/>
        <v>103</v>
      </c>
      <c r="L4945" s="1" t="str">
        <f t="shared" si="2979"/>
        <v>47</v>
      </c>
      <c r="M4945" s="1" t="str">
        <f t="shared" si="2965"/>
        <v>0</v>
      </c>
      <c r="N4945" s="1" t="str">
        <f t="shared" si="2970"/>
        <v>0</v>
      </c>
      <c r="O4945" s="1" t="str">
        <f>"2.57"</f>
        <v>2.57</v>
      </c>
    </row>
    <row r="4946" s="1" customFormat="1" spans="1:15">
      <c r="A4946" s="1" t="str">
        <f t="shared" si="2972"/>
        <v>202406</v>
      </c>
      <c r="B4946" s="1" t="str">
        <f t="shared" si="2973"/>
        <v>150525100</v>
      </c>
      <c r="C4946" s="1" t="str">
        <f>"1041008325"</f>
        <v>1041008325</v>
      </c>
      <c r="D4946" s="1" t="str">
        <f>"152326195809253078"</f>
        <v>152326195809253078</v>
      </c>
      <c r="E4946" s="1" t="s">
        <v>4911</v>
      </c>
      <c r="F4946" s="1" t="s">
        <v>25</v>
      </c>
      <c r="G4946" s="1" t="s">
        <v>19</v>
      </c>
      <c r="H4946" s="1" t="str">
        <f>"66"</f>
        <v>66</v>
      </c>
      <c r="I4946" s="1" t="str">
        <f>"155.33"</f>
        <v>155.33</v>
      </c>
      <c r="J4946" s="1" t="str">
        <f t="shared" si="2977"/>
        <v>0</v>
      </c>
      <c r="K4946" s="1" t="str">
        <f t="shared" si="2978"/>
        <v>103</v>
      </c>
      <c r="L4946" s="1" t="str">
        <f t="shared" si="2979"/>
        <v>47</v>
      </c>
      <c r="M4946" s="1" t="str">
        <f t="shared" si="2965"/>
        <v>0</v>
      </c>
      <c r="N4946" s="1" t="str">
        <f t="shared" si="2970"/>
        <v>0</v>
      </c>
      <c r="O4946" s="1" t="str">
        <f>"5.33"</f>
        <v>5.33</v>
      </c>
    </row>
    <row r="4947" s="1" customFormat="1" spans="1:15">
      <c r="A4947" s="1" t="str">
        <f t="shared" si="2972"/>
        <v>202406</v>
      </c>
      <c r="B4947" s="1" t="str">
        <f t="shared" si="2973"/>
        <v>150525100</v>
      </c>
      <c r="C4947" s="1" t="str">
        <f>"1041065262"</f>
        <v>1041065262</v>
      </c>
      <c r="D4947" s="1" t="s">
        <v>4912</v>
      </c>
      <c r="E4947" s="1" t="s">
        <v>4913</v>
      </c>
      <c r="F4947" s="1" t="s">
        <v>25</v>
      </c>
      <c r="G4947" s="1" t="s">
        <v>17</v>
      </c>
      <c r="H4947" s="1" t="str">
        <f>"67"</f>
        <v>67</v>
      </c>
      <c r="I4947" s="1" t="str">
        <f>"154.32"</f>
        <v>154.32</v>
      </c>
      <c r="J4947" s="1" t="str">
        <f t="shared" si="2977"/>
        <v>0</v>
      </c>
      <c r="K4947" s="1" t="str">
        <f t="shared" si="2978"/>
        <v>103</v>
      </c>
      <c r="L4947" s="1" t="str">
        <f t="shared" si="2979"/>
        <v>47</v>
      </c>
      <c r="M4947" s="1" t="str">
        <f t="shared" si="2965"/>
        <v>0</v>
      </c>
      <c r="N4947" s="1" t="str">
        <f t="shared" si="2970"/>
        <v>0</v>
      </c>
      <c r="O4947" s="1" t="str">
        <f>"4.32"</f>
        <v>4.32</v>
      </c>
    </row>
    <row r="4948" s="1" customFormat="1" spans="1:15">
      <c r="A4948" s="1" t="str">
        <f t="shared" si="2972"/>
        <v>202406</v>
      </c>
      <c r="B4948" s="1" t="str">
        <f t="shared" si="2973"/>
        <v>150525100</v>
      </c>
      <c r="C4948" s="1" t="str">
        <f>"1040760424"</f>
        <v>1040760424</v>
      </c>
      <c r="D4948" s="1" t="str">
        <f>"152326195507190665"</f>
        <v>152326195507190665</v>
      </c>
      <c r="E4948" s="1" t="s">
        <v>3418</v>
      </c>
      <c r="F4948" s="1" t="s">
        <v>16</v>
      </c>
      <c r="G4948" s="1" t="s">
        <v>19</v>
      </c>
      <c r="H4948" s="1" t="str">
        <f>"69"</f>
        <v>69</v>
      </c>
      <c r="I4948" s="1" t="str">
        <f>"153.6"</f>
        <v>153.6</v>
      </c>
      <c r="J4948" s="1" t="str">
        <f t="shared" si="2977"/>
        <v>0</v>
      </c>
      <c r="K4948" s="1" t="str">
        <f t="shared" si="2978"/>
        <v>103</v>
      </c>
      <c r="L4948" s="1" t="str">
        <f t="shared" si="2979"/>
        <v>47</v>
      </c>
      <c r="M4948" s="1" t="str">
        <f t="shared" si="2965"/>
        <v>0</v>
      </c>
      <c r="N4948" s="1" t="str">
        <f t="shared" si="2970"/>
        <v>0</v>
      </c>
      <c r="O4948" s="1" t="str">
        <f>"3.6"</f>
        <v>3.6</v>
      </c>
    </row>
    <row r="4949" s="1" customFormat="1" spans="1:15">
      <c r="A4949" s="1" t="str">
        <f t="shared" si="2972"/>
        <v>202406</v>
      </c>
      <c r="B4949" s="1" t="str">
        <f t="shared" si="2973"/>
        <v>150525100</v>
      </c>
      <c r="C4949" s="1" t="str">
        <f>"1040755731"</f>
        <v>1040755731</v>
      </c>
      <c r="D4949" s="1" t="str">
        <f>"152326195911060432"</f>
        <v>152326195911060432</v>
      </c>
      <c r="E4949" s="1" t="s">
        <v>4914</v>
      </c>
      <c r="F4949" s="1" t="s">
        <v>25</v>
      </c>
      <c r="G4949" s="1" t="s">
        <v>17</v>
      </c>
      <c r="H4949" s="1" t="str">
        <f>"65"</f>
        <v>65</v>
      </c>
      <c r="I4949" s="1" t="str">
        <f>"156.67"</f>
        <v>156.67</v>
      </c>
      <c r="J4949" s="1" t="str">
        <f t="shared" si="2977"/>
        <v>0</v>
      </c>
      <c r="K4949" s="1" t="str">
        <f t="shared" si="2978"/>
        <v>103</v>
      </c>
      <c r="L4949" s="1" t="str">
        <f t="shared" si="2979"/>
        <v>47</v>
      </c>
      <c r="M4949" s="1" t="str">
        <f t="shared" si="2965"/>
        <v>0</v>
      </c>
      <c r="N4949" s="1" t="str">
        <f t="shared" si="2970"/>
        <v>0</v>
      </c>
      <c r="O4949" s="1" t="str">
        <f>"6.67"</f>
        <v>6.67</v>
      </c>
    </row>
    <row r="4950" s="1" customFormat="1" spans="1:15">
      <c r="A4950" s="1" t="str">
        <f t="shared" si="2972"/>
        <v>202406</v>
      </c>
      <c r="B4950" s="1" t="str">
        <f t="shared" si="2973"/>
        <v>150525100</v>
      </c>
      <c r="C4950" s="1" t="str">
        <f>"1040647647"</f>
        <v>1040647647</v>
      </c>
      <c r="D4950" s="1" t="str">
        <f>"152326196009140678"</f>
        <v>152326196009140678</v>
      </c>
      <c r="E4950" s="1" t="s">
        <v>4915</v>
      </c>
      <c r="F4950" s="1" t="s">
        <v>25</v>
      </c>
      <c r="G4950" s="1" t="s">
        <v>19</v>
      </c>
      <c r="H4950" s="1" t="str">
        <f>"64"</f>
        <v>64</v>
      </c>
      <c r="I4950" s="1" t="str">
        <f>"158.63"</f>
        <v>158.63</v>
      </c>
      <c r="J4950" s="1" t="str">
        <f t="shared" si="2977"/>
        <v>0</v>
      </c>
      <c r="K4950" s="1" t="str">
        <f t="shared" si="2978"/>
        <v>103</v>
      </c>
      <c r="L4950" s="1" t="str">
        <f t="shared" si="2979"/>
        <v>47</v>
      </c>
      <c r="M4950" s="1" t="str">
        <f t="shared" si="2965"/>
        <v>0</v>
      </c>
      <c r="N4950" s="1" t="str">
        <f t="shared" si="2970"/>
        <v>0</v>
      </c>
      <c r="O4950" s="1" t="str">
        <f>"8.63"</f>
        <v>8.63</v>
      </c>
    </row>
    <row r="4951" s="1" customFormat="1" spans="1:15">
      <c r="A4951" s="1" t="str">
        <f t="shared" si="2972"/>
        <v>202406</v>
      </c>
      <c r="B4951" s="1" t="str">
        <f t="shared" si="2973"/>
        <v>150525100</v>
      </c>
      <c r="C4951" s="1" t="str">
        <f>"1040695076"</f>
        <v>1040695076</v>
      </c>
      <c r="D4951" s="1" t="str">
        <f>"152326195205153324"</f>
        <v>152326195205153324</v>
      </c>
      <c r="E4951" s="1" t="s">
        <v>4916</v>
      </c>
      <c r="F4951" s="1" t="s">
        <v>16</v>
      </c>
      <c r="G4951" s="1" t="s">
        <v>19</v>
      </c>
      <c r="H4951" s="1" t="str">
        <f>"72"</f>
        <v>72</v>
      </c>
      <c r="I4951" s="1" t="str">
        <f>"161.44"</f>
        <v>161.44</v>
      </c>
      <c r="J4951" s="1" t="str">
        <f t="shared" si="2977"/>
        <v>0</v>
      </c>
      <c r="K4951" s="1" t="str">
        <f t="shared" si="2978"/>
        <v>103</v>
      </c>
      <c r="L4951" s="1" t="str">
        <f t="shared" si="2979"/>
        <v>47</v>
      </c>
      <c r="M4951" s="1" t="str">
        <f t="shared" si="2965"/>
        <v>0</v>
      </c>
      <c r="N4951" s="1" t="str">
        <f t="shared" si="2970"/>
        <v>0</v>
      </c>
      <c r="O4951" s="1" t="str">
        <f>"1.44"</f>
        <v>1.44</v>
      </c>
    </row>
    <row r="4952" s="1" customFormat="1" spans="1:15">
      <c r="A4952" s="1" t="str">
        <f t="shared" si="2972"/>
        <v>202406</v>
      </c>
      <c r="B4952" s="1" t="str">
        <f t="shared" si="2973"/>
        <v>150525100</v>
      </c>
      <c r="C4952" s="1" t="str">
        <f>"1040653652"</f>
        <v>1040653652</v>
      </c>
      <c r="D4952" s="1" t="str">
        <f>"152326196208210923"</f>
        <v>152326196208210923</v>
      </c>
      <c r="E4952" s="1" t="s">
        <v>4917</v>
      </c>
      <c r="F4952" s="1" t="s">
        <v>16</v>
      </c>
      <c r="G4952" s="1" t="s">
        <v>19</v>
      </c>
      <c r="H4952" s="1" t="str">
        <f>"62"</f>
        <v>62</v>
      </c>
      <c r="I4952" s="1" t="str">
        <f>"649.88"</f>
        <v>649.88</v>
      </c>
      <c r="J4952" s="1" t="str">
        <f>"487.41"</f>
        <v>487.41</v>
      </c>
      <c r="K4952" s="1" t="str">
        <f>"412"</f>
        <v>412</v>
      </c>
      <c r="L4952" s="1" t="str">
        <f>"188"</f>
        <v>188</v>
      </c>
      <c r="M4952" s="1" t="str">
        <f t="shared" si="2965"/>
        <v>0</v>
      </c>
      <c r="N4952" s="1" t="str">
        <f t="shared" si="2970"/>
        <v>0</v>
      </c>
      <c r="O4952" s="1" t="str">
        <f>"49.88"</f>
        <v>49.88</v>
      </c>
    </row>
    <row r="4953" s="1" customFormat="1" spans="1:15">
      <c r="A4953" s="1" t="str">
        <f t="shared" si="2972"/>
        <v>202406</v>
      </c>
      <c r="B4953" s="1" t="str">
        <f t="shared" si="2973"/>
        <v>150525100</v>
      </c>
      <c r="C4953" s="1" t="str">
        <f>"1040647669"</f>
        <v>1040647669</v>
      </c>
      <c r="D4953" s="1" t="str">
        <f>"152326195906210678"</f>
        <v>152326195906210678</v>
      </c>
      <c r="E4953" s="1" t="s">
        <v>4918</v>
      </c>
      <c r="F4953" s="1" t="s">
        <v>25</v>
      </c>
      <c r="G4953" s="1" t="s">
        <v>17</v>
      </c>
      <c r="H4953" s="1" t="str">
        <f t="shared" ref="H4953:H4958" si="2980">"65"</f>
        <v>65</v>
      </c>
      <c r="I4953" s="1" t="str">
        <f>"157.54"</f>
        <v>157.54</v>
      </c>
      <c r="J4953" s="1" t="str">
        <f t="shared" ref="J4953:J5017" si="2981">"0"</f>
        <v>0</v>
      </c>
      <c r="K4953" s="1" t="str">
        <f t="shared" ref="K4953:K5017" si="2982">"103"</f>
        <v>103</v>
      </c>
      <c r="L4953" s="1" t="str">
        <f t="shared" ref="L4953:L5017" si="2983">"47"</f>
        <v>47</v>
      </c>
      <c r="M4953" s="1" t="str">
        <f t="shared" si="2965"/>
        <v>0</v>
      </c>
      <c r="N4953" s="1" t="str">
        <f t="shared" si="2970"/>
        <v>0</v>
      </c>
      <c r="O4953" s="1" t="str">
        <f>"7.54"</f>
        <v>7.54</v>
      </c>
    </row>
    <row r="4954" s="1" customFormat="1" spans="1:15">
      <c r="A4954" s="1" t="str">
        <f t="shared" si="2972"/>
        <v>202406</v>
      </c>
      <c r="B4954" s="1" t="str">
        <f t="shared" si="2973"/>
        <v>150525100</v>
      </c>
      <c r="C4954" s="1" t="str">
        <f>"1040647703"</f>
        <v>1040647703</v>
      </c>
      <c r="D4954" s="1" t="str">
        <f>"152326195602150661"</f>
        <v>152326195602150661</v>
      </c>
      <c r="E4954" s="1" t="s">
        <v>4919</v>
      </c>
      <c r="F4954" s="1" t="s">
        <v>16</v>
      </c>
      <c r="G4954" s="1" t="s">
        <v>19</v>
      </c>
      <c r="H4954" s="1" t="str">
        <f>"68"</f>
        <v>68</v>
      </c>
      <c r="I4954" s="1" t="str">
        <f>"1554.3"</f>
        <v>1554.3</v>
      </c>
      <c r="J4954" s="1" t="str">
        <f>"1398.87"</f>
        <v>1398.87</v>
      </c>
      <c r="K4954" s="1" t="str">
        <f>"1030"</f>
        <v>1030</v>
      </c>
      <c r="L4954" s="1" t="str">
        <f>"470"</f>
        <v>470</v>
      </c>
      <c r="M4954" s="1" t="str">
        <f t="shared" si="2965"/>
        <v>0</v>
      </c>
      <c r="N4954" s="1" t="str">
        <f t="shared" si="2970"/>
        <v>0</v>
      </c>
      <c r="O4954" s="1" t="str">
        <f>"54.3"</f>
        <v>54.3</v>
      </c>
    </row>
    <row r="4955" s="1" customFormat="1" spans="1:15">
      <c r="A4955" s="1" t="str">
        <f t="shared" si="2972"/>
        <v>202406</v>
      </c>
      <c r="B4955" s="1" t="str">
        <f t="shared" si="2973"/>
        <v>150525100</v>
      </c>
      <c r="C4955" s="1" t="str">
        <f>"1040647705"</f>
        <v>1040647705</v>
      </c>
      <c r="D4955" s="1" t="str">
        <f>"152326195910100674"</f>
        <v>152326195910100674</v>
      </c>
      <c r="E4955" s="1" t="s">
        <v>4920</v>
      </c>
      <c r="F4955" s="1" t="s">
        <v>25</v>
      </c>
      <c r="G4955" s="1" t="s">
        <v>17</v>
      </c>
      <c r="H4955" s="1" t="str">
        <f t="shared" si="2980"/>
        <v>65</v>
      </c>
      <c r="I4955" s="1" t="str">
        <f>"157.57"</f>
        <v>157.57</v>
      </c>
      <c r="J4955" s="1" t="str">
        <f t="shared" si="2981"/>
        <v>0</v>
      </c>
      <c r="K4955" s="1" t="str">
        <f t="shared" si="2982"/>
        <v>103</v>
      </c>
      <c r="L4955" s="1" t="str">
        <f t="shared" si="2983"/>
        <v>47</v>
      </c>
      <c r="M4955" s="1" t="str">
        <f t="shared" si="2965"/>
        <v>0</v>
      </c>
      <c r="N4955" s="1" t="str">
        <f t="shared" si="2970"/>
        <v>0</v>
      </c>
      <c r="O4955" s="1" t="str">
        <f>"7.57"</f>
        <v>7.57</v>
      </c>
    </row>
    <row r="4956" s="1" customFormat="1" spans="1:15">
      <c r="A4956" s="1" t="str">
        <f t="shared" si="2972"/>
        <v>202406</v>
      </c>
      <c r="B4956" s="1" t="str">
        <f t="shared" si="2973"/>
        <v>150525100</v>
      </c>
      <c r="C4956" s="1" t="str">
        <f>"1040646036"</f>
        <v>1040646036</v>
      </c>
      <c r="D4956" s="1" t="str">
        <f>"152326195805090689"</f>
        <v>152326195805090689</v>
      </c>
      <c r="E4956" s="1" t="s">
        <v>4921</v>
      </c>
      <c r="F4956" s="1" t="s">
        <v>16</v>
      </c>
      <c r="G4956" s="1" t="s">
        <v>17</v>
      </c>
      <c r="H4956" s="1" t="str">
        <f>"66"</f>
        <v>66</v>
      </c>
      <c r="I4956" s="1" t="str">
        <f>"156.5"</f>
        <v>156.5</v>
      </c>
      <c r="J4956" s="1" t="str">
        <f t="shared" si="2981"/>
        <v>0</v>
      </c>
      <c r="K4956" s="1" t="str">
        <f t="shared" si="2982"/>
        <v>103</v>
      </c>
      <c r="L4956" s="1" t="str">
        <f t="shared" si="2983"/>
        <v>47</v>
      </c>
      <c r="M4956" s="1" t="str">
        <f t="shared" si="2965"/>
        <v>0</v>
      </c>
      <c r="N4956" s="1" t="str">
        <f t="shared" si="2970"/>
        <v>0</v>
      </c>
      <c r="O4956" s="1" t="str">
        <f>"6.5"</f>
        <v>6.5</v>
      </c>
    </row>
    <row r="4957" s="1" customFormat="1" spans="1:15">
      <c r="A4957" s="1" t="str">
        <f t="shared" si="2972"/>
        <v>202406</v>
      </c>
      <c r="B4957" s="1" t="str">
        <f t="shared" si="2973"/>
        <v>150525100</v>
      </c>
      <c r="C4957" s="1" t="str">
        <f>"1040646038"</f>
        <v>1040646038</v>
      </c>
      <c r="D4957" s="1" t="str">
        <f>"152326195809170678"</f>
        <v>152326195809170678</v>
      </c>
      <c r="E4957" s="1" t="s">
        <v>4922</v>
      </c>
      <c r="F4957" s="1" t="s">
        <v>25</v>
      </c>
      <c r="G4957" s="1" t="s">
        <v>17</v>
      </c>
      <c r="H4957" s="1" t="str">
        <f>"66"</f>
        <v>66</v>
      </c>
      <c r="I4957" s="1" t="str">
        <f>"156.53"</f>
        <v>156.53</v>
      </c>
      <c r="J4957" s="1" t="str">
        <f t="shared" si="2981"/>
        <v>0</v>
      </c>
      <c r="K4957" s="1" t="str">
        <f t="shared" si="2982"/>
        <v>103</v>
      </c>
      <c r="L4957" s="1" t="str">
        <f t="shared" si="2983"/>
        <v>47</v>
      </c>
      <c r="M4957" s="1" t="str">
        <f t="shared" si="2965"/>
        <v>0</v>
      </c>
      <c r="N4957" s="1" t="str">
        <f t="shared" si="2970"/>
        <v>0</v>
      </c>
      <c r="O4957" s="1" t="str">
        <f>"6.53"</f>
        <v>6.53</v>
      </c>
    </row>
    <row r="4958" s="1" customFormat="1" spans="1:15">
      <c r="A4958" s="1" t="str">
        <f t="shared" si="2972"/>
        <v>202406</v>
      </c>
      <c r="B4958" s="1" t="str">
        <f t="shared" si="2973"/>
        <v>150525100</v>
      </c>
      <c r="C4958" s="1" t="str">
        <f>"1040646040"</f>
        <v>1040646040</v>
      </c>
      <c r="D4958" s="1" t="s">
        <v>4923</v>
      </c>
      <c r="E4958" s="1" t="s">
        <v>4924</v>
      </c>
      <c r="F4958" s="1" t="s">
        <v>16</v>
      </c>
      <c r="G4958" s="1" t="s">
        <v>19</v>
      </c>
      <c r="H4958" s="1" t="str">
        <f t="shared" si="2980"/>
        <v>65</v>
      </c>
      <c r="I4958" s="1" t="str">
        <f>"158.55"</f>
        <v>158.55</v>
      </c>
      <c r="J4958" s="1" t="str">
        <f t="shared" si="2981"/>
        <v>0</v>
      </c>
      <c r="K4958" s="1" t="str">
        <f t="shared" si="2982"/>
        <v>103</v>
      </c>
      <c r="L4958" s="1" t="str">
        <f t="shared" si="2983"/>
        <v>47</v>
      </c>
      <c r="M4958" s="1" t="str">
        <f t="shared" si="2965"/>
        <v>0</v>
      </c>
      <c r="N4958" s="1" t="str">
        <f t="shared" si="2970"/>
        <v>0</v>
      </c>
      <c r="O4958" s="1" t="str">
        <f>"8.55"</f>
        <v>8.55</v>
      </c>
    </row>
    <row r="4959" s="1" customFormat="1" spans="1:15">
      <c r="A4959" s="1" t="str">
        <f t="shared" si="2972"/>
        <v>202406</v>
      </c>
      <c r="B4959" s="1" t="str">
        <f t="shared" si="2973"/>
        <v>150525100</v>
      </c>
      <c r="C4959" s="1" t="str">
        <f>"1040646052"</f>
        <v>1040646052</v>
      </c>
      <c r="D4959" s="1" t="str">
        <f>"152326196303020669"</f>
        <v>152326196303020669</v>
      </c>
      <c r="E4959" s="1" t="s">
        <v>4925</v>
      </c>
      <c r="F4959" s="1" t="s">
        <v>16</v>
      </c>
      <c r="G4959" s="1" t="s">
        <v>17</v>
      </c>
      <c r="H4959" s="1" t="str">
        <f t="shared" ref="H4959:H4962" si="2984">"61"</f>
        <v>61</v>
      </c>
      <c r="I4959" s="1" t="str">
        <f>"163.75"</f>
        <v>163.75</v>
      </c>
      <c r="J4959" s="1" t="str">
        <f t="shared" si="2981"/>
        <v>0</v>
      </c>
      <c r="K4959" s="1" t="str">
        <f t="shared" si="2982"/>
        <v>103</v>
      </c>
      <c r="L4959" s="1" t="str">
        <f t="shared" si="2983"/>
        <v>47</v>
      </c>
      <c r="M4959" s="1" t="str">
        <f t="shared" si="2965"/>
        <v>0</v>
      </c>
      <c r="N4959" s="1" t="str">
        <f t="shared" si="2970"/>
        <v>0</v>
      </c>
      <c r="O4959" s="1" t="str">
        <f>"13.75"</f>
        <v>13.75</v>
      </c>
    </row>
    <row r="4960" s="1" customFormat="1" spans="1:15">
      <c r="A4960" s="1" t="str">
        <f t="shared" si="2972"/>
        <v>202406</v>
      </c>
      <c r="B4960" s="1" t="str">
        <f t="shared" si="2973"/>
        <v>150525100</v>
      </c>
      <c r="C4960" s="1" t="str">
        <f>"1040646053"</f>
        <v>1040646053</v>
      </c>
      <c r="D4960" s="1" t="str">
        <f>"152326196307010660"</f>
        <v>152326196307010660</v>
      </c>
      <c r="E4960" s="1" t="s">
        <v>4926</v>
      </c>
      <c r="F4960" s="1" t="s">
        <v>16</v>
      </c>
      <c r="G4960" s="1" t="s">
        <v>17</v>
      </c>
      <c r="H4960" s="1" t="str">
        <f t="shared" si="2984"/>
        <v>61</v>
      </c>
      <c r="I4960" s="1" t="str">
        <f>"164.39"</f>
        <v>164.39</v>
      </c>
      <c r="J4960" s="1" t="str">
        <f t="shared" si="2981"/>
        <v>0</v>
      </c>
      <c r="K4960" s="1" t="str">
        <f t="shared" si="2982"/>
        <v>103</v>
      </c>
      <c r="L4960" s="1" t="str">
        <f t="shared" si="2983"/>
        <v>47</v>
      </c>
      <c r="M4960" s="1" t="str">
        <f t="shared" ref="M4960:M5023" si="2985">"0"</f>
        <v>0</v>
      </c>
      <c r="N4960" s="1" t="str">
        <f t="shared" si="2970"/>
        <v>0</v>
      </c>
      <c r="O4960" s="1" t="str">
        <f>"14.39"</f>
        <v>14.39</v>
      </c>
    </row>
    <row r="4961" s="1" customFormat="1" spans="1:15">
      <c r="A4961" s="1" t="str">
        <f t="shared" si="2972"/>
        <v>202406</v>
      </c>
      <c r="B4961" s="1" t="str">
        <f t="shared" si="2973"/>
        <v>150525100</v>
      </c>
      <c r="C4961" s="1" t="str">
        <f>"1040646054"</f>
        <v>1040646054</v>
      </c>
      <c r="D4961" s="1" t="str">
        <f>"152326196307100666"</f>
        <v>152326196307100666</v>
      </c>
      <c r="E4961" s="1" t="s">
        <v>4927</v>
      </c>
      <c r="F4961" s="1" t="s">
        <v>16</v>
      </c>
      <c r="G4961" s="1" t="s">
        <v>17</v>
      </c>
      <c r="H4961" s="1" t="str">
        <f t="shared" si="2984"/>
        <v>61</v>
      </c>
      <c r="I4961" s="1" t="str">
        <f>"167"</f>
        <v>167</v>
      </c>
      <c r="J4961" s="1" t="str">
        <f t="shared" si="2981"/>
        <v>0</v>
      </c>
      <c r="K4961" s="1" t="str">
        <f t="shared" si="2982"/>
        <v>103</v>
      </c>
      <c r="L4961" s="1" t="str">
        <f t="shared" si="2983"/>
        <v>47</v>
      </c>
      <c r="M4961" s="1" t="str">
        <f t="shared" si="2985"/>
        <v>0</v>
      </c>
      <c r="N4961" s="1" t="str">
        <f t="shared" si="2970"/>
        <v>0</v>
      </c>
      <c r="O4961" s="1" t="str">
        <f>"17"</f>
        <v>17</v>
      </c>
    </row>
    <row r="4962" s="1" customFormat="1" spans="1:15">
      <c r="A4962" s="1" t="str">
        <f t="shared" si="2972"/>
        <v>202406</v>
      </c>
      <c r="B4962" s="1" t="str">
        <f t="shared" si="2973"/>
        <v>150525100</v>
      </c>
      <c r="C4962" s="1" t="str">
        <f>"1040646055"</f>
        <v>1040646055</v>
      </c>
      <c r="D4962" s="1" t="str">
        <f>"152326196309160718"</f>
        <v>152326196309160718</v>
      </c>
      <c r="E4962" s="1" t="s">
        <v>4928</v>
      </c>
      <c r="F4962" s="1" t="s">
        <v>25</v>
      </c>
      <c r="G4962" s="1" t="s">
        <v>17</v>
      </c>
      <c r="H4962" s="1" t="str">
        <f t="shared" si="2984"/>
        <v>61</v>
      </c>
      <c r="I4962" s="1" t="str">
        <f>"166.14"</f>
        <v>166.14</v>
      </c>
      <c r="J4962" s="1" t="str">
        <f t="shared" si="2981"/>
        <v>0</v>
      </c>
      <c r="K4962" s="1" t="str">
        <f t="shared" si="2982"/>
        <v>103</v>
      </c>
      <c r="L4962" s="1" t="str">
        <f t="shared" si="2983"/>
        <v>47</v>
      </c>
      <c r="M4962" s="1" t="str">
        <f t="shared" si="2985"/>
        <v>0</v>
      </c>
      <c r="N4962" s="1" t="str">
        <f t="shared" si="2970"/>
        <v>0</v>
      </c>
      <c r="O4962" s="1" t="str">
        <f>"16.14"</f>
        <v>16.14</v>
      </c>
    </row>
    <row r="4963" s="1" customFormat="1" spans="1:15">
      <c r="A4963" s="1" t="str">
        <f t="shared" si="2972"/>
        <v>202406</v>
      </c>
      <c r="B4963" s="1" t="str">
        <f t="shared" si="2973"/>
        <v>150525100</v>
      </c>
      <c r="C4963" s="1" t="str">
        <f>"1040646060"</f>
        <v>1040646060</v>
      </c>
      <c r="D4963" s="1" t="str">
        <f>"152326196401190661"</f>
        <v>152326196401190661</v>
      </c>
      <c r="E4963" s="1" t="s">
        <v>4929</v>
      </c>
      <c r="F4963" s="1" t="s">
        <v>16</v>
      </c>
      <c r="G4963" s="1" t="s">
        <v>19</v>
      </c>
      <c r="H4963" s="1" t="str">
        <f>"60"</f>
        <v>60</v>
      </c>
      <c r="I4963" s="1" t="str">
        <f>"166.16"</f>
        <v>166.16</v>
      </c>
      <c r="J4963" s="1" t="str">
        <f t="shared" si="2981"/>
        <v>0</v>
      </c>
      <c r="K4963" s="1" t="str">
        <f t="shared" si="2982"/>
        <v>103</v>
      </c>
      <c r="L4963" s="1" t="str">
        <f t="shared" si="2983"/>
        <v>47</v>
      </c>
      <c r="M4963" s="1" t="str">
        <f t="shared" si="2985"/>
        <v>0</v>
      </c>
      <c r="N4963" s="1" t="str">
        <f t="shared" si="2970"/>
        <v>0</v>
      </c>
      <c r="O4963" s="1" t="str">
        <f>"16.16"</f>
        <v>16.16</v>
      </c>
    </row>
    <row r="4964" s="1" customFormat="1" spans="1:15">
      <c r="A4964" s="1" t="str">
        <f t="shared" si="2972"/>
        <v>202406</v>
      </c>
      <c r="B4964" s="1" t="str">
        <f t="shared" si="2973"/>
        <v>150525100</v>
      </c>
      <c r="C4964" s="1" t="str">
        <f>"1040646063"</f>
        <v>1040646063</v>
      </c>
      <c r="D4964" s="1" t="str">
        <f>"152326196404190691"</f>
        <v>152326196404190691</v>
      </c>
      <c r="E4964" s="1" t="s">
        <v>4930</v>
      </c>
      <c r="F4964" s="1" t="s">
        <v>25</v>
      </c>
      <c r="G4964" s="1" t="s">
        <v>17</v>
      </c>
      <c r="H4964" s="1" t="str">
        <f>"60"</f>
        <v>60</v>
      </c>
      <c r="I4964" s="1" t="str">
        <f>"166.19"</f>
        <v>166.19</v>
      </c>
      <c r="J4964" s="1" t="str">
        <f t="shared" si="2981"/>
        <v>0</v>
      </c>
      <c r="K4964" s="1" t="str">
        <f t="shared" si="2982"/>
        <v>103</v>
      </c>
      <c r="L4964" s="1" t="str">
        <f t="shared" si="2983"/>
        <v>47</v>
      </c>
      <c r="M4964" s="1" t="str">
        <f t="shared" si="2985"/>
        <v>0</v>
      </c>
      <c r="N4964" s="1" t="str">
        <f t="shared" si="2970"/>
        <v>0</v>
      </c>
      <c r="O4964" s="1" t="str">
        <f>"16.19"</f>
        <v>16.19</v>
      </c>
    </row>
    <row r="4965" s="1" customFormat="1" spans="1:15">
      <c r="A4965" s="1" t="str">
        <f t="shared" si="2972"/>
        <v>202406</v>
      </c>
      <c r="B4965" s="1" t="str">
        <f t="shared" si="2973"/>
        <v>150525100</v>
      </c>
      <c r="C4965" s="1" t="str">
        <f>"1040695098"</f>
        <v>1040695098</v>
      </c>
      <c r="D4965" s="1" t="str">
        <f>"152326195908083326"</f>
        <v>152326195908083326</v>
      </c>
      <c r="E4965" s="1" t="s">
        <v>4931</v>
      </c>
      <c r="F4965" s="1" t="s">
        <v>16</v>
      </c>
      <c r="G4965" s="1" t="s">
        <v>19</v>
      </c>
      <c r="H4965" s="1" t="str">
        <f>"65"</f>
        <v>65</v>
      </c>
      <c r="I4965" s="1" t="str">
        <f>"156.64"</f>
        <v>156.64</v>
      </c>
      <c r="J4965" s="1" t="str">
        <f t="shared" si="2981"/>
        <v>0</v>
      </c>
      <c r="K4965" s="1" t="str">
        <f t="shared" si="2982"/>
        <v>103</v>
      </c>
      <c r="L4965" s="1" t="str">
        <f t="shared" si="2983"/>
        <v>47</v>
      </c>
      <c r="M4965" s="1" t="str">
        <f t="shared" si="2985"/>
        <v>0</v>
      </c>
      <c r="N4965" s="1" t="str">
        <f t="shared" si="2970"/>
        <v>0</v>
      </c>
      <c r="O4965" s="1" t="str">
        <f>"6.64"</f>
        <v>6.64</v>
      </c>
    </row>
    <row r="4966" s="1" customFormat="1" spans="1:15">
      <c r="A4966" s="1" t="str">
        <f t="shared" si="2972"/>
        <v>202406</v>
      </c>
      <c r="B4966" s="1" t="str">
        <f t="shared" si="2973"/>
        <v>150525100</v>
      </c>
      <c r="C4966" s="1" t="str">
        <f>"1040686002"</f>
        <v>1040686002</v>
      </c>
      <c r="D4966" s="1" t="str">
        <f>"152326195807203085"</f>
        <v>152326195807203085</v>
      </c>
      <c r="E4966" s="1" t="s">
        <v>4932</v>
      </c>
      <c r="F4966" s="1" t="s">
        <v>16</v>
      </c>
      <c r="G4966" s="1" t="s">
        <v>17</v>
      </c>
      <c r="H4966" s="1" t="str">
        <f>"66"</f>
        <v>66</v>
      </c>
      <c r="I4966" s="1" t="str">
        <f>"155.61"</f>
        <v>155.61</v>
      </c>
      <c r="J4966" s="1" t="str">
        <f t="shared" si="2981"/>
        <v>0</v>
      </c>
      <c r="K4966" s="1" t="str">
        <f t="shared" si="2982"/>
        <v>103</v>
      </c>
      <c r="L4966" s="1" t="str">
        <f t="shared" si="2983"/>
        <v>47</v>
      </c>
      <c r="M4966" s="1" t="str">
        <f t="shared" si="2985"/>
        <v>0</v>
      </c>
      <c r="N4966" s="1" t="str">
        <f t="shared" si="2970"/>
        <v>0</v>
      </c>
      <c r="O4966" s="1" t="str">
        <f>"5.61"</f>
        <v>5.61</v>
      </c>
    </row>
    <row r="4967" s="1" customFormat="1" spans="1:15">
      <c r="A4967" s="1" t="str">
        <f t="shared" si="2972"/>
        <v>202406</v>
      </c>
      <c r="B4967" s="1" t="str">
        <f t="shared" si="2973"/>
        <v>150525100</v>
      </c>
      <c r="C4967" s="1" t="str">
        <f>"1040692114"</f>
        <v>1040692114</v>
      </c>
      <c r="D4967" s="1" t="str">
        <f>"152326196208123088"</f>
        <v>152326196208123088</v>
      </c>
      <c r="E4967" s="1" t="s">
        <v>4933</v>
      </c>
      <c r="F4967" s="1" t="s">
        <v>16</v>
      </c>
      <c r="G4967" s="1" t="s">
        <v>17</v>
      </c>
      <c r="H4967" s="1" t="str">
        <f>"62"</f>
        <v>62</v>
      </c>
      <c r="I4967" s="1" t="str">
        <f>"161.47"</f>
        <v>161.47</v>
      </c>
      <c r="J4967" s="1" t="str">
        <f t="shared" si="2981"/>
        <v>0</v>
      </c>
      <c r="K4967" s="1" t="str">
        <f t="shared" si="2982"/>
        <v>103</v>
      </c>
      <c r="L4967" s="1" t="str">
        <f t="shared" si="2983"/>
        <v>47</v>
      </c>
      <c r="M4967" s="1" t="str">
        <f t="shared" si="2985"/>
        <v>0</v>
      </c>
      <c r="N4967" s="1" t="str">
        <f t="shared" si="2970"/>
        <v>0</v>
      </c>
      <c r="O4967" s="1" t="str">
        <f>"11.47"</f>
        <v>11.47</v>
      </c>
    </row>
    <row r="4968" s="1" customFormat="1" spans="1:15">
      <c r="A4968" s="1" t="str">
        <f t="shared" si="2972"/>
        <v>202406</v>
      </c>
      <c r="B4968" s="1" t="str">
        <f t="shared" si="2973"/>
        <v>150525100</v>
      </c>
      <c r="C4968" s="1" t="str">
        <f>"1040697178"</f>
        <v>1040697178</v>
      </c>
      <c r="D4968" s="1" t="str">
        <f>"152326196302103825"</f>
        <v>152326196302103825</v>
      </c>
      <c r="E4968" s="1" t="s">
        <v>4934</v>
      </c>
      <c r="F4968" s="1" t="s">
        <v>16</v>
      </c>
      <c r="G4968" s="1" t="s">
        <v>19</v>
      </c>
      <c r="H4968" s="1" t="str">
        <f>"61"</f>
        <v>61</v>
      </c>
      <c r="I4968" s="1" t="str">
        <f>"163.29"</f>
        <v>163.29</v>
      </c>
      <c r="J4968" s="1" t="str">
        <f t="shared" si="2981"/>
        <v>0</v>
      </c>
      <c r="K4968" s="1" t="str">
        <f t="shared" si="2982"/>
        <v>103</v>
      </c>
      <c r="L4968" s="1" t="str">
        <f t="shared" si="2983"/>
        <v>47</v>
      </c>
      <c r="M4968" s="1" t="str">
        <f t="shared" si="2985"/>
        <v>0</v>
      </c>
      <c r="N4968" s="1" t="str">
        <f t="shared" si="2970"/>
        <v>0</v>
      </c>
      <c r="O4968" s="1" t="str">
        <f>"13.29"</f>
        <v>13.29</v>
      </c>
    </row>
    <row r="4969" s="1" customFormat="1" spans="1:15">
      <c r="A4969" s="1" t="str">
        <f t="shared" si="2972"/>
        <v>202406</v>
      </c>
      <c r="B4969" s="1" t="str">
        <f t="shared" si="2973"/>
        <v>150525100</v>
      </c>
      <c r="C4969" s="1" t="str">
        <f>"1040695128"</f>
        <v>1040695128</v>
      </c>
      <c r="D4969" s="1" t="str">
        <f>"152326195405203322"</f>
        <v>152326195405203322</v>
      </c>
      <c r="E4969" s="1" t="s">
        <v>4935</v>
      </c>
      <c r="F4969" s="1" t="s">
        <v>16</v>
      </c>
      <c r="G4969" s="1" t="s">
        <v>19</v>
      </c>
      <c r="H4969" s="1" t="str">
        <f>"70"</f>
        <v>70</v>
      </c>
      <c r="I4969" s="1" t="str">
        <f>"162.88"</f>
        <v>162.88</v>
      </c>
      <c r="J4969" s="1" t="str">
        <f t="shared" si="2981"/>
        <v>0</v>
      </c>
      <c r="K4969" s="1" t="str">
        <f t="shared" si="2982"/>
        <v>103</v>
      </c>
      <c r="L4969" s="1" t="str">
        <f t="shared" si="2983"/>
        <v>47</v>
      </c>
      <c r="M4969" s="1" t="str">
        <f t="shared" si="2985"/>
        <v>0</v>
      </c>
      <c r="N4969" s="1" t="str">
        <f t="shared" si="2970"/>
        <v>0</v>
      </c>
      <c r="O4969" s="1" t="str">
        <f>"2.88"</f>
        <v>2.88</v>
      </c>
    </row>
    <row r="4970" s="1" customFormat="1" spans="1:15">
      <c r="A4970" s="1" t="str">
        <f t="shared" si="2972"/>
        <v>202406</v>
      </c>
      <c r="B4970" s="1" t="str">
        <f t="shared" si="2973"/>
        <v>150525100</v>
      </c>
      <c r="C4970" s="1" t="str">
        <f>"1040733485"</f>
        <v>1040733485</v>
      </c>
      <c r="D4970" s="1" t="str">
        <f>"152326196306123321"</f>
        <v>152326196306123321</v>
      </c>
      <c r="E4970" s="1" t="s">
        <v>4936</v>
      </c>
      <c r="F4970" s="1" t="s">
        <v>16</v>
      </c>
      <c r="G4970" s="1" t="s">
        <v>17</v>
      </c>
      <c r="H4970" s="1" t="str">
        <f>"61"</f>
        <v>61</v>
      </c>
      <c r="I4970" s="1" t="str">
        <f>"163.36"</f>
        <v>163.36</v>
      </c>
      <c r="J4970" s="1" t="str">
        <f t="shared" si="2981"/>
        <v>0</v>
      </c>
      <c r="K4970" s="1" t="str">
        <f t="shared" si="2982"/>
        <v>103</v>
      </c>
      <c r="L4970" s="1" t="str">
        <f t="shared" si="2983"/>
        <v>47</v>
      </c>
      <c r="M4970" s="1" t="str">
        <f t="shared" si="2985"/>
        <v>0</v>
      </c>
      <c r="N4970" s="1" t="str">
        <f t="shared" si="2970"/>
        <v>0</v>
      </c>
      <c r="O4970" s="1" t="str">
        <f>"13.36"</f>
        <v>13.36</v>
      </c>
    </row>
    <row r="4971" s="1" customFormat="1" spans="1:15">
      <c r="A4971" s="1" t="str">
        <f t="shared" si="2972"/>
        <v>202406</v>
      </c>
      <c r="B4971" s="1" t="str">
        <f t="shared" si="2973"/>
        <v>150525100</v>
      </c>
      <c r="C4971" s="1" t="str">
        <f>"1040751556"</f>
        <v>1040751556</v>
      </c>
      <c r="D4971" s="1" t="str">
        <f>"152326195908083086"</f>
        <v>152326195908083086</v>
      </c>
      <c r="E4971" s="1" t="s">
        <v>4937</v>
      </c>
      <c r="F4971" s="1" t="s">
        <v>16</v>
      </c>
      <c r="G4971" s="1" t="s">
        <v>17</v>
      </c>
      <c r="H4971" s="1" t="str">
        <f>"65"</f>
        <v>65</v>
      </c>
      <c r="I4971" s="1" t="str">
        <f>"156.65"</f>
        <v>156.65</v>
      </c>
      <c r="J4971" s="1" t="str">
        <f t="shared" si="2981"/>
        <v>0</v>
      </c>
      <c r="K4971" s="1" t="str">
        <f t="shared" si="2982"/>
        <v>103</v>
      </c>
      <c r="L4971" s="1" t="str">
        <f t="shared" si="2983"/>
        <v>47</v>
      </c>
      <c r="M4971" s="1" t="str">
        <f t="shared" si="2985"/>
        <v>0</v>
      </c>
      <c r="N4971" s="1" t="str">
        <f t="shared" si="2970"/>
        <v>0</v>
      </c>
      <c r="O4971" s="1" t="str">
        <f>"6.65"</f>
        <v>6.65</v>
      </c>
    </row>
    <row r="4972" s="1" customFormat="1" spans="1:15">
      <c r="A4972" s="1" t="str">
        <f t="shared" si="2972"/>
        <v>202406</v>
      </c>
      <c r="B4972" s="1" t="str">
        <f t="shared" si="2973"/>
        <v>150525100</v>
      </c>
      <c r="C4972" s="1" t="str">
        <f>"1040647255"</f>
        <v>1040647255</v>
      </c>
      <c r="D4972" s="1" t="str">
        <f>"152326195808240443"</f>
        <v>152326195808240443</v>
      </c>
      <c r="E4972" s="1" t="s">
        <v>4938</v>
      </c>
      <c r="F4972" s="1" t="s">
        <v>16</v>
      </c>
      <c r="G4972" s="1" t="s">
        <v>19</v>
      </c>
      <c r="H4972" s="1" t="str">
        <f>"66"</f>
        <v>66</v>
      </c>
      <c r="I4972" s="1" t="str">
        <f>"156.52"</f>
        <v>156.52</v>
      </c>
      <c r="J4972" s="1" t="str">
        <f t="shared" si="2981"/>
        <v>0</v>
      </c>
      <c r="K4972" s="1" t="str">
        <f t="shared" si="2982"/>
        <v>103</v>
      </c>
      <c r="L4972" s="1" t="str">
        <f t="shared" si="2983"/>
        <v>47</v>
      </c>
      <c r="M4972" s="1" t="str">
        <f t="shared" si="2985"/>
        <v>0</v>
      </c>
      <c r="N4972" s="1" t="str">
        <f t="shared" si="2970"/>
        <v>0</v>
      </c>
      <c r="O4972" s="1" t="str">
        <f>"6.52"</f>
        <v>6.52</v>
      </c>
    </row>
    <row r="4973" s="1" customFormat="1" spans="1:15">
      <c r="A4973" s="1" t="str">
        <f t="shared" si="2972"/>
        <v>202406</v>
      </c>
      <c r="B4973" s="1" t="str">
        <f t="shared" si="2973"/>
        <v>150525100</v>
      </c>
      <c r="C4973" s="1" t="str">
        <f>"1040647263"</f>
        <v>1040647263</v>
      </c>
      <c r="D4973" s="1" t="str">
        <f>"152326195512230414"</f>
        <v>152326195512230414</v>
      </c>
      <c r="E4973" s="1" t="s">
        <v>4939</v>
      </c>
      <c r="F4973" s="1" t="s">
        <v>25</v>
      </c>
      <c r="G4973" s="1" t="s">
        <v>17</v>
      </c>
      <c r="H4973" s="1" t="str">
        <f>"69"</f>
        <v>69</v>
      </c>
      <c r="I4973" s="1" t="str">
        <f>"154.51"</f>
        <v>154.51</v>
      </c>
      <c r="J4973" s="1" t="str">
        <f t="shared" si="2981"/>
        <v>0</v>
      </c>
      <c r="K4973" s="1" t="str">
        <f t="shared" si="2982"/>
        <v>103</v>
      </c>
      <c r="L4973" s="1" t="str">
        <f t="shared" si="2983"/>
        <v>47</v>
      </c>
      <c r="M4973" s="1" t="str">
        <f t="shared" si="2985"/>
        <v>0</v>
      </c>
      <c r="N4973" s="1" t="str">
        <f t="shared" si="2970"/>
        <v>0</v>
      </c>
      <c r="O4973" s="1" t="str">
        <f>"4.51"</f>
        <v>4.51</v>
      </c>
    </row>
    <row r="4974" s="1" customFormat="1" spans="1:15">
      <c r="A4974" s="1" t="str">
        <f t="shared" si="2972"/>
        <v>202406</v>
      </c>
      <c r="B4974" s="1" t="str">
        <f t="shared" si="2973"/>
        <v>150525100</v>
      </c>
      <c r="C4974" s="1" t="str">
        <f>"1040735658"</f>
        <v>1040735658</v>
      </c>
      <c r="D4974" s="1" t="str">
        <f>"152326195805030678"</f>
        <v>152326195805030678</v>
      </c>
      <c r="E4974" s="1" t="s">
        <v>4940</v>
      </c>
      <c r="F4974" s="1" t="s">
        <v>25</v>
      </c>
      <c r="G4974" s="1" t="s">
        <v>17</v>
      </c>
      <c r="H4974" s="1" t="str">
        <f>"66"</f>
        <v>66</v>
      </c>
      <c r="I4974" s="1" t="str">
        <f>"155.58"</f>
        <v>155.58</v>
      </c>
      <c r="J4974" s="1" t="str">
        <f t="shared" si="2981"/>
        <v>0</v>
      </c>
      <c r="K4974" s="1" t="str">
        <f t="shared" si="2982"/>
        <v>103</v>
      </c>
      <c r="L4974" s="1" t="str">
        <f t="shared" si="2983"/>
        <v>47</v>
      </c>
      <c r="M4974" s="1" t="str">
        <f t="shared" si="2985"/>
        <v>0</v>
      </c>
      <c r="N4974" s="1" t="str">
        <f t="shared" si="2970"/>
        <v>0</v>
      </c>
      <c r="O4974" s="1" t="str">
        <f>"5.58"</f>
        <v>5.58</v>
      </c>
    </row>
    <row r="4975" s="1" customFormat="1" spans="1:15">
      <c r="A4975" s="1" t="str">
        <f t="shared" si="2972"/>
        <v>202406</v>
      </c>
      <c r="B4975" s="1" t="str">
        <f t="shared" si="2973"/>
        <v>150525100</v>
      </c>
      <c r="C4975" s="1" t="str">
        <f>"1040699487"</f>
        <v>1040699487</v>
      </c>
      <c r="D4975" s="1" t="s">
        <v>4941</v>
      </c>
      <c r="E4975" s="1" t="s">
        <v>4942</v>
      </c>
      <c r="F4975" s="1" t="s">
        <v>16</v>
      </c>
      <c r="G4975" s="1" t="s">
        <v>17</v>
      </c>
      <c r="H4975" s="1" t="str">
        <f>"62"</f>
        <v>62</v>
      </c>
      <c r="I4975" s="1" t="str">
        <f>"161.5"</f>
        <v>161.5</v>
      </c>
      <c r="J4975" s="1" t="str">
        <f t="shared" si="2981"/>
        <v>0</v>
      </c>
      <c r="K4975" s="1" t="str">
        <f t="shared" si="2982"/>
        <v>103</v>
      </c>
      <c r="L4975" s="1" t="str">
        <f t="shared" si="2983"/>
        <v>47</v>
      </c>
      <c r="M4975" s="1" t="str">
        <f t="shared" si="2985"/>
        <v>0</v>
      </c>
      <c r="N4975" s="1" t="str">
        <f t="shared" si="2970"/>
        <v>0</v>
      </c>
      <c r="O4975" s="1" t="str">
        <f>"11.5"</f>
        <v>11.5</v>
      </c>
    </row>
    <row r="4976" s="1" customFormat="1" spans="1:15">
      <c r="A4976" s="1" t="str">
        <f t="shared" si="2972"/>
        <v>202406</v>
      </c>
      <c r="B4976" s="1" t="str">
        <f t="shared" si="2973"/>
        <v>150525100</v>
      </c>
      <c r="C4976" s="1" t="str">
        <f>"1040646531"</f>
        <v>1040646531</v>
      </c>
      <c r="D4976" s="1" t="str">
        <f>"152326196312120661"</f>
        <v>152326196312120661</v>
      </c>
      <c r="E4976" s="1" t="s">
        <v>3721</v>
      </c>
      <c r="F4976" s="1" t="s">
        <v>16</v>
      </c>
      <c r="G4976" s="1" t="s">
        <v>17</v>
      </c>
      <c r="H4976" s="1" t="str">
        <f>"61"</f>
        <v>61</v>
      </c>
      <c r="I4976" s="1" t="str">
        <f>"166.17"</f>
        <v>166.17</v>
      </c>
      <c r="J4976" s="1" t="str">
        <f t="shared" si="2981"/>
        <v>0</v>
      </c>
      <c r="K4976" s="1" t="str">
        <f t="shared" si="2982"/>
        <v>103</v>
      </c>
      <c r="L4976" s="1" t="str">
        <f t="shared" si="2983"/>
        <v>47</v>
      </c>
      <c r="M4976" s="1" t="str">
        <f t="shared" si="2985"/>
        <v>0</v>
      </c>
      <c r="N4976" s="1" t="str">
        <f t="shared" si="2970"/>
        <v>0</v>
      </c>
      <c r="O4976" s="1" t="str">
        <f>"16.17"</f>
        <v>16.17</v>
      </c>
    </row>
    <row r="4977" s="1" customFormat="1" spans="1:15">
      <c r="A4977" s="1" t="str">
        <f t="shared" si="2972"/>
        <v>202406</v>
      </c>
      <c r="B4977" s="1" t="str">
        <f t="shared" si="2973"/>
        <v>150525100</v>
      </c>
      <c r="C4977" s="1" t="str">
        <f>"1040646581"</f>
        <v>1040646581</v>
      </c>
      <c r="D4977" s="1" t="str">
        <f>"152326196109270664"</f>
        <v>152326196109270664</v>
      </c>
      <c r="E4977" s="1" t="s">
        <v>4943</v>
      </c>
      <c r="F4977" s="1" t="s">
        <v>16</v>
      </c>
      <c r="G4977" s="1" t="s">
        <v>19</v>
      </c>
      <c r="H4977" s="1" t="str">
        <f>"63"</f>
        <v>63</v>
      </c>
      <c r="I4977" s="1" t="str">
        <f>"160.97"</f>
        <v>160.97</v>
      </c>
      <c r="J4977" s="1" t="str">
        <f t="shared" si="2981"/>
        <v>0</v>
      </c>
      <c r="K4977" s="1" t="str">
        <f t="shared" si="2982"/>
        <v>103</v>
      </c>
      <c r="L4977" s="1" t="str">
        <f t="shared" si="2983"/>
        <v>47</v>
      </c>
      <c r="M4977" s="1" t="str">
        <f t="shared" si="2985"/>
        <v>0</v>
      </c>
      <c r="N4977" s="1" t="str">
        <f t="shared" si="2970"/>
        <v>0</v>
      </c>
      <c r="O4977" s="1" t="str">
        <f>"10.97"</f>
        <v>10.97</v>
      </c>
    </row>
    <row r="4978" s="1" customFormat="1" spans="1:15">
      <c r="A4978" s="1" t="str">
        <f t="shared" si="2972"/>
        <v>202406</v>
      </c>
      <c r="B4978" s="1" t="str">
        <f t="shared" si="2973"/>
        <v>150525100</v>
      </c>
      <c r="C4978" s="1" t="str">
        <f>"1040647357"</f>
        <v>1040647357</v>
      </c>
      <c r="D4978" s="1" t="str">
        <f>"152326195812240673"</f>
        <v>152326195812240673</v>
      </c>
      <c r="E4978" s="1" t="s">
        <v>4944</v>
      </c>
      <c r="F4978" s="1" t="s">
        <v>25</v>
      </c>
      <c r="G4978" s="1" t="s">
        <v>19</v>
      </c>
      <c r="H4978" s="1" t="str">
        <f>"66"</f>
        <v>66</v>
      </c>
      <c r="I4978" s="1" t="str">
        <f>"156.31"</f>
        <v>156.31</v>
      </c>
      <c r="J4978" s="1" t="str">
        <f t="shared" si="2981"/>
        <v>0</v>
      </c>
      <c r="K4978" s="1" t="str">
        <f t="shared" si="2982"/>
        <v>103</v>
      </c>
      <c r="L4978" s="1" t="str">
        <f t="shared" si="2983"/>
        <v>47</v>
      </c>
      <c r="M4978" s="1" t="str">
        <f t="shared" si="2985"/>
        <v>0</v>
      </c>
      <c r="N4978" s="1" t="str">
        <f t="shared" si="2970"/>
        <v>0</v>
      </c>
      <c r="O4978" s="1" t="str">
        <f>"6.31"</f>
        <v>6.31</v>
      </c>
    </row>
    <row r="4979" s="1" customFormat="1" spans="1:15">
      <c r="A4979" s="1" t="str">
        <f t="shared" si="2972"/>
        <v>202406</v>
      </c>
      <c r="B4979" s="1" t="str">
        <f t="shared" si="2973"/>
        <v>150525100</v>
      </c>
      <c r="C4979" s="1" t="str">
        <f>"1040647904"</f>
        <v>1040647904</v>
      </c>
      <c r="D4979" s="1" t="str">
        <f>"152326195711110685"</f>
        <v>152326195711110685</v>
      </c>
      <c r="E4979" s="1" t="s">
        <v>4945</v>
      </c>
      <c r="F4979" s="1" t="s">
        <v>16</v>
      </c>
      <c r="G4979" s="1" t="s">
        <v>17</v>
      </c>
      <c r="H4979" s="1" t="str">
        <f>"67"</f>
        <v>67</v>
      </c>
      <c r="I4979" s="1" t="str">
        <f>"155.52"</f>
        <v>155.52</v>
      </c>
      <c r="J4979" s="1" t="str">
        <f t="shared" si="2981"/>
        <v>0</v>
      </c>
      <c r="K4979" s="1" t="str">
        <f t="shared" si="2982"/>
        <v>103</v>
      </c>
      <c r="L4979" s="1" t="str">
        <f t="shared" si="2983"/>
        <v>47</v>
      </c>
      <c r="M4979" s="1" t="str">
        <f t="shared" si="2985"/>
        <v>0</v>
      </c>
      <c r="N4979" s="1" t="str">
        <f t="shared" si="2970"/>
        <v>0</v>
      </c>
      <c r="O4979" s="1" t="str">
        <f>"5.52"</f>
        <v>5.52</v>
      </c>
    </row>
    <row r="4980" s="1" customFormat="1" spans="1:15">
      <c r="A4980" s="1" t="str">
        <f t="shared" si="2972"/>
        <v>202406</v>
      </c>
      <c r="B4980" s="1" t="str">
        <f t="shared" si="2973"/>
        <v>150525100</v>
      </c>
      <c r="C4980" s="1" t="str">
        <f>"1040647911"</f>
        <v>1040647911</v>
      </c>
      <c r="D4980" s="1" t="str">
        <f>"152326196110250660"</f>
        <v>152326196110250660</v>
      </c>
      <c r="E4980" s="1" t="s">
        <v>4946</v>
      </c>
      <c r="F4980" s="1" t="s">
        <v>16</v>
      </c>
      <c r="G4980" s="1" t="s">
        <v>19</v>
      </c>
      <c r="H4980" s="1" t="str">
        <f>"63"</f>
        <v>63</v>
      </c>
      <c r="I4980" s="1" t="str">
        <f>"160.5"</f>
        <v>160.5</v>
      </c>
      <c r="J4980" s="1" t="str">
        <f t="shared" si="2981"/>
        <v>0</v>
      </c>
      <c r="K4980" s="1" t="str">
        <f t="shared" si="2982"/>
        <v>103</v>
      </c>
      <c r="L4980" s="1" t="str">
        <f t="shared" si="2983"/>
        <v>47</v>
      </c>
      <c r="M4980" s="1" t="str">
        <f t="shared" si="2985"/>
        <v>0</v>
      </c>
      <c r="N4980" s="1" t="str">
        <f t="shared" ref="N4980:N5043" si="2986">"0"</f>
        <v>0</v>
      </c>
      <c r="O4980" s="1" t="str">
        <f>"10.5"</f>
        <v>10.5</v>
      </c>
    </row>
    <row r="4981" s="1" customFormat="1" spans="1:15">
      <c r="A4981" s="1" t="str">
        <f t="shared" si="2972"/>
        <v>202406</v>
      </c>
      <c r="B4981" s="1" t="str">
        <f t="shared" si="2973"/>
        <v>150525100</v>
      </c>
      <c r="C4981" s="1" t="str">
        <f>"1040647912"</f>
        <v>1040647912</v>
      </c>
      <c r="D4981" s="1" t="str">
        <f>"152326195812270661"</f>
        <v>152326195812270661</v>
      </c>
      <c r="E4981" s="1" t="s">
        <v>4947</v>
      </c>
      <c r="F4981" s="1" t="s">
        <v>16</v>
      </c>
      <c r="G4981" s="1" t="s">
        <v>17</v>
      </c>
      <c r="H4981" s="1" t="str">
        <f>"66"</f>
        <v>66</v>
      </c>
      <c r="I4981" s="1" t="str">
        <f>"156.56"</f>
        <v>156.56</v>
      </c>
      <c r="J4981" s="1" t="str">
        <f t="shared" si="2981"/>
        <v>0</v>
      </c>
      <c r="K4981" s="1" t="str">
        <f t="shared" si="2982"/>
        <v>103</v>
      </c>
      <c r="L4981" s="1" t="str">
        <f t="shared" si="2983"/>
        <v>47</v>
      </c>
      <c r="M4981" s="1" t="str">
        <f t="shared" si="2985"/>
        <v>0</v>
      </c>
      <c r="N4981" s="1" t="str">
        <f t="shared" si="2986"/>
        <v>0</v>
      </c>
      <c r="O4981" s="1" t="str">
        <f>"6.56"</f>
        <v>6.56</v>
      </c>
    </row>
    <row r="4982" s="1" customFormat="1" spans="1:15">
      <c r="A4982" s="1" t="str">
        <f t="shared" si="2972"/>
        <v>202406</v>
      </c>
      <c r="B4982" s="1" t="str">
        <f t="shared" si="2973"/>
        <v>150525100</v>
      </c>
      <c r="C4982" s="1" t="str">
        <f>"1040655189"</f>
        <v>1040655189</v>
      </c>
      <c r="D4982" s="1" t="str">
        <f>"152326196212050424"</f>
        <v>152326196212050424</v>
      </c>
      <c r="E4982" s="1" t="s">
        <v>4948</v>
      </c>
      <c r="F4982" s="1" t="s">
        <v>16</v>
      </c>
      <c r="G4982" s="1" t="s">
        <v>17</v>
      </c>
      <c r="H4982" s="1" t="str">
        <f>"62"</f>
        <v>62</v>
      </c>
      <c r="I4982" s="1" t="str">
        <f>"161.58"</f>
        <v>161.58</v>
      </c>
      <c r="J4982" s="1" t="str">
        <f t="shared" si="2981"/>
        <v>0</v>
      </c>
      <c r="K4982" s="1" t="str">
        <f t="shared" si="2982"/>
        <v>103</v>
      </c>
      <c r="L4982" s="1" t="str">
        <f t="shared" si="2983"/>
        <v>47</v>
      </c>
      <c r="M4982" s="1" t="str">
        <f t="shared" si="2985"/>
        <v>0</v>
      </c>
      <c r="N4982" s="1" t="str">
        <f t="shared" si="2986"/>
        <v>0</v>
      </c>
      <c r="O4982" s="1" t="str">
        <f>"11.58"</f>
        <v>11.58</v>
      </c>
    </row>
    <row r="4983" s="1" customFormat="1" spans="1:15">
      <c r="A4983" s="1" t="str">
        <f t="shared" si="2972"/>
        <v>202406</v>
      </c>
      <c r="B4983" s="1" t="str">
        <f t="shared" si="2973"/>
        <v>150525100</v>
      </c>
      <c r="C4983" s="1" t="str">
        <f>"1040685980"</f>
        <v>1040685980</v>
      </c>
      <c r="D4983" s="1" t="str">
        <f>"152326196110163073"</f>
        <v>152326196110163073</v>
      </c>
      <c r="E4983" s="1" t="s">
        <v>4949</v>
      </c>
      <c r="F4983" s="1" t="s">
        <v>25</v>
      </c>
      <c r="G4983" s="1" t="s">
        <v>17</v>
      </c>
      <c r="H4983" s="1" t="str">
        <f>"63"</f>
        <v>63</v>
      </c>
      <c r="I4983" s="1" t="str">
        <f>"159.54"</f>
        <v>159.54</v>
      </c>
      <c r="J4983" s="1" t="str">
        <f t="shared" si="2981"/>
        <v>0</v>
      </c>
      <c r="K4983" s="1" t="str">
        <f t="shared" si="2982"/>
        <v>103</v>
      </c>
      <c r="L4983" s="1" t="str">
        <f t="shared" si="2983"/>
        <v>47</v>
      </c>
      <c r="M4983" s="1" t="str">
        <f t="shared" si="2985"/>
        <v>0</v>
      </c>
      <c r="N4983" s="1" t="str">
        <f t="shared" si="2986"/>
        <v>0</v>
      </c>
      <c r="O4983" s="1" t="str">
        <f>"9.54"</f>
        <v>9.54</v>
      </c>
    </row>
    <row r="4984" s="1" customFormat="1" spans="1:15">
      <c r="A4984" s="1" t="str">
        <f t="shared" si="2972"/>
        <v>202406</v>
      </c>
      <c r="B4984" s="1" t="str">
        <f t="shared" si="2973"/>
        <v>150525100</v>
      </c>
      <c r="C4984" s="1" t="str">
        <f>"1040647939"</f>
        <v>1040647939</v>
      </c>
      <c r="D4984" s="1" t="str">
        <f>"152326196012070674"</f>
        <v>152326196012070674</v>
      </c>
      <c r="E4984" s="1" t="s">
        <v>4950</v>
      </c>
      <c r="F4984" s="1" t="s">
        <v>25</v>
      </c>
      <c r="G4984" s="1" t="s">
        <v>19</v>
      </c>
      <c r="H4984" s="1" t="str">
        <f t="shared" ref="H4984:H4989" si="2987">"64"</f>
        <v>64</v>
      </c>
      <c r="I4984" s="1" t="str">
        <f>"160.37"</f>
        <v>160.37</v>
      </c>
      <c r="J4984" s="1" t="str">
        <f t="shared" si="2981"/>
        <v>0</v>
      </c>
      <c r="K4984" s="1" t="str">
        <f t="shared" si="2982"/>
        <v>103</v>
      </c>
      <c r="L4984" s="1" t="str">
        <f t="shared" si="2983"/>
        <v>47</v>
      </c>
      <c r="M4984" s="1" t="str">
        <f t="shared" si="2985"/>
        <v>0</v>
      </c>
      <c r="N4984" s="1" t="str">
        <f t="shared" si="2986"/>
        <v>0</v>
      </c>
      <c r="O4984" s="1" t="str">
        <f>"10.37"</f>
        <v>10.37</v>
      </c>
    </row>
    <row r="4985" s="1" customFormat="1" spans="1:15">
      <c r="A4985" s="1" t="str">
        <f t="shared" si="2972"/>
        <v>202406</v>
      </c>
      <c r="B4985" s="1" t="str">
        <f t="shared" si="2973"/>
        <v>150525100</v>
      </c>
      <c r="C4985" s="1" t="str">
        <f>"1040691660"</f>
        <v>1040691660</v>
      </c>
      <c r="D4985" s="1" t="str">
        <f>"152326195907150427"</f>
        <v>152326195907150427</v>
      </c>
      <c r="E4985" s="1" t="s">
        <v>4951</v>
      </c>
      <c r="F4985" s="1" t="s">
        <v>16</v>
      </c>
      <c r="G4985" s="1" t="s">
        <v>17</v>
      </c>
      <c r="H4985" s="1" t="str">
        <f>"65"</f>
        <v>65</v>
      </c>
      <c r="I4985" s="1" t="str">
        <f>"156.63"</f>
        <v>156.63</v>
      </c>
      <c r="J4985" s="1" t="str">
        <f t="shared" si="2981"/>
        <v>0</v>
      </c>
      <c r="K4985" s="1" t="str">
        <f t="shared" si="2982"/>
        <v>103</v>
      </c>
      <c r="L4985" s="1" t="str">
        <f t="shared" si="2983"/>
        <v>47</v>
      </c>
      <c r="M4985" s="1" t="str">
        <f t="shared" si="2985"/>
        <v>0</v>
      </c>
      <c r="N4985" s="1" t="str">
        <f t="shared" si="2986"/>
        <v>0</v>
      </c>
      <c r="O4985" s="1" t="str">
        <f>"6.63"</f>
        <v>6.63</v>
      </c>
    </row>
    <row r="4986" s="1" customFormat="1" spans="1:15">
      <c r="A4986" s="1" t="str">
        <f t="shared" si="2972"/>
        <v>202406</v>
      </c>
      <c r="B4986" s="1" t="str">
        <f t="shared" si="2973"/>
        <v>150525100</v>
      </c>
      <c r="C4986" s="1" t="str">
        <f>"1040693080"</f>
        <v>1040693080</v>
      </c>
      <c r="D4986" s="1" t="str">
        <f>"152326195709303082"</f>
        <v>152326195709303082</v>
      </c>
      <c r="E4986" s="1" t="s">
        <v>4952</v>
      </c>
      <c r="F4986" s="1" t="s">
        <v>16</v>
      </c>
      <c r="G4986" s="1" t="s">
        <v>17</v>
      </c>
      <c r="H4986" s="1" t="str">
        <f>"67"</f>
        <v>67</v>
      </c>
      <c r="I4986" s="1" t="str">
        <f>"154.59"</f>
        <v>154.59</v>
      </c>
      <c r="J4986" s="1" t="str">
        <f t="shared" si="2981"/>
        <v>0</v>
      </c>
      <c r="K4986" s="1" t="str">
        <f t="shared" si="2982"/>
        <v>103</v>
      </c>
      <c r="L4986" s="1" t="str">
        <f t="shared" si="2983"/>
        <v>47</v>
      </c>
      <c r="M4986" s="1" t="str">
        <f t="shared" si="2985"/>
        <v>0</v>
      </c>
      <c r="N4986" s="1" t="str">
        <f t="shared" si="2986"/>
        <v>0</v>
      </c>
      <c r="O4986" s="1" t="str">
        <f>"4.59"</f>
        <v>4.59</v>
      </c>
    </row>
    <row r="4987" s="1" customFormat="1" spans="1:15">
      <c r="A4987" s="1" t="str">
        <f t="shared" si="2972"/>
        <v>202406</v>
      </c>
      <c r="B4987" s="1" t="str">
        <f t="shared" si="2973"/>
        <v>150525100</v>
      </c>
      <c r="C4987" s="1" t="str">
        <f>"1040688395"</f>
        <v>1040688395</v>
      </c>
      <c r="D4987" s="1" t="str">
        <f>"152326196206183810"</f>
        <v>152326196206183810</v>
      </c>
      <c r="E4987" s="1" t="s">
        <v>4953</v>
      </c>
      <c r="F4987" s="1" t="s">
        <v>25</v>
      </c>
      <c r="G4987" s="1" t="s">
        <v>17</v>
      </c>
      <c r="H4987" s="1" t="str">
        <f>"62"</f>
        <v>62</v>
      </c>
      <c r="I4987" s="1" t="str">
        <f>"161.05"</f>
        <v>161.05</v>
      </c>
      <c r="J4987" s="1" t="str">
        <f t="shared" si="2981"/>
        <v>0</v>
      </c>
      <c r="K4987" s="1" t="str">
        <f t="shared" si="2982"/>
        <v>103</v>
      </c>
      <c r="L4987" s="1" t="str">
        <f t="shared" si="2983"/>
        <v>47</v>
      </c>
      <c r="M4987" s="1" t="str">
        <f t="shared" si="2985"/>
        <v>0</v>
      </c>
      <c r="N4987" s="1" t="str">
        <f t="shared" si="2986"/>
        <v>0</v>
      </c>
      <c r="O4987" s="1" t="str">
        <f>"11.05"</f>
        <v>11.05</v>
      </c>
    </row>
    <row r="4988" s="1" customFormat="1" spans="1:15">
      <c r="A4988" s="1" t="str">
        <f t="shared" si="2972"/>
        <v>202406</v>
      </c>
      <c r="B4988" s="1" t="str">
        <f t="shared" si="2973"/>
        <v>150525100</v>
      </c>
      <c r="C4988" s="1" t="str">
        <f>"1040647960"</f>
        <v>1040647960</v>
      </c>
      <c r="D4988" s="1" t="str">
        <f>"152326196010170663"</f>
        <v>152326196010170663</v>
      </c>
      <c r="E4988" s="1" t="s">
        <v>4954</v>
      </c>
      <c r="F4988" s="1" t="s">
        <v>16</v>
      </c>
      <c r="G4988" s="1" t="s">
        <v>17</v>
      </c>
      <c r="H4988" s="1" t="str">
        <f t="shared" si="2987"/>
        <v>64</v>
      </c>
      <c r="I4988" s="1" t="str">
        <f>"158.65"</f>
        <v>158.65</v>
      </c>
      <c r="J4988" s="1" t="str">
        <f t="shared" si="2981"/>
        <v>0</v>
      </c>
      <c r="K4988" s="1" t="str">
        <f t="shared" si="2982"/>
        <v>103</v>
      </c>
      <c r="L4988" s="1" t="str">
        <f t="shared" si="2983"/>
        <v>47</v>
      </c>
      <c r="M4988" s="1" t="str">
        <f t="shared" si="2985"/>
        <v>0</v>
      </c>
      <c r="N4988" s="1" t="str">
        <f t="shared" si="2986"/>
        <v>0</v>
      </c>
      <c r="O4988" s="1" t="str">
        <f>"8.65"</f>
        <v>8.65</v>
      </c>
    </row>
    <row r="4989" s="1" customFormat="1" spans="1:15">
      <c r="A4989" s="1" t="str">
        <f t="shared" si="2972"/>
        <v>202406</v>
      </c>
      <c r="B4989" s="1" t="str">
        <f t="shared" si="2973"/>
        <v>150525100</v>
      </c>
      <c r="C4989" s="1" t="str">
        <f>"1040647993"</f>
        <v>1040647993</v>
      </c>
      <c r="D4989" s="1" t="str">
        <f>"152326196006160411"</f>
        <v>152326196006160411</v>
      </c>
      <c r="E4989" s="1" t="s">
        <v>4955</v>
      </c>
      <c r="F4989" s="1" t="s">
        <v>25</v>
      </c>
      <c r="G4989" s="1" t="s">
        <v>19</v>
      </c>
      <c r="H4989" s="1" t="str">
        <f t="shared" si="2987"/>
        <v>64</v>
      </c>
      <c r="I4989" s="1" t="str">
        <f>"158.61"</f>
        <v>158.61</v>
      </c>
      <c r="J4989" s="1" t="str">
        <f t="shared" si="2981"/>
        <v>0</v>
      </c>
      <c r="K4989" s="1" t="str">
        <f t="shared" si="2982"/>
        <v>103</v>
      </c>
      <c r="L4989" s="1" t="str">
        <f t="shared" si="2983"/>
        <v>47</v>
      </c>
      <c r="M4989" s="1" t="str">
        <f t="shared" si="2985"/>
        <v>0</v>
      </c>
      <c r="N4989" s="1" t="str">
        <f t="shared" si="2986"/>
        <v>0</v>
      </c>
      <c r="O4989" s="1" t="str">
        <f>"8.61"</f>
        <v>8.61</v>
      </c>
    </row>
    <row r="4990" s="1" customFormat="1" spans="1:15">
      <c r="A4990" s="1" t="str">
        <f t="shared" si="2972"/>
        <v>202406</v>
      </c>
      <c r="B4990" s="1" t="str">
        <f t="shared" si="2973"/>
        <v>150525100</v>
      </c>
      <c r="C4990" s="1" t="str">
        <f>"1040653003"</f>
        <v>1040653003</v>
      </c>
      <c r="D4990" s="1" t="str">
        <f>"152326195911143078"</f>
        <v>152326195911143078</v>
      </c>
      <c r="E4990" s="1" t="s">
        <v>4956</v>
      </c>
      <c r="F4990" s="1" t="s">
        <v>25</v>
      </c>
      <c r="G4990" s="1" t="s">
        <v>17</v>
      </c>
      <c r="H4990" s="1" t="str">
        <f>"65"</f>
        <v>65</v>
      </c>
      <c r="I4990" s="1" t="str">
        <f>"157.6"</f>
        <v>157.6</v>
      </c>
      <c r="J4990" s="1" t="str">
        <f t="shared" si="2981"/>
        <v>0</v>
      </c>
      <c r="K4990" s="1" t="str">
        <f t="shared" si="2982"/>
        <v>103</v>
      </c>
      <c r="L4990" s="1" t="str">
        <f t="shared" si="2983"/>
        <v>47</v>
      </c>
      <c r="M4990" s="1" t="str">
        <f t="shared" si="2985"/>
        <v>0</v>
      </c>
      <c r="N4990" s="1" t="str">
        <f t="shared" si="2986"/>
        <v>0</v>
      </c>
      <c r="O4990" s="1" t="str">
        <f>"7.6"</f>
        <v>7.6</v>
      </c>
    </row>
    <row r="4991" s="1" customFormat="1" spans="1:15">
      <c r="A4991" s="1" t="str">
        <f t="shared" si="2972"/>
        <v>202406</v>
      </c>
      <c r="B4991" s="1" t="str">
        <f t="shared" si="2973"/>
        <v>150525100</v>
      </c>
      <c r="C4991" s="1" t="str">
        <f>"1040653033"</f>
        <v>1040653033</v>
      </c>
      <c r="D4991" s="1" t="str">
        <f>"152326195404123072"</f>
        <v>152326195404123072</v>
      </c>
      <c r="E4991" s="1" t="s">
        <v>4957</v>
      </c>
      <c r="F4991" s="1" t="s">
        <v>25</v>
      </c>
      <c r="G4991" s="1" t="s">
        <v>17</v>
      </c>
      <c r="H4991" s="1" t="str">
        <f>"70"</f>
        <v>70</v>
      </c>
      <c r="I4991" s="1" t="str">
        <f>"163.56"</f>
        <v>163.56</v>
      </c>
      <c r="J4991" s="1" t="str">
        <f t="shared" si="2981"/>
        <v>0</v>
      </c>
      <c r="K4991" s="1" t="str">
        <f t="shared" si="2982"/>
        <v>103</v>
      </c>
      <c r="L4991" s="1" t="str">
        <f t="shared" si="2983"/>
        <v>47</v>
      </c>
      <c r="M4991" s="1" t="str">
        <f t="shared" si="2985"/>
        <v>0</v>
      </c>
      <c r="N4991" s="1" t="str">
        <f t="shared" si="2986"/>
        <v>0</v>
      </c>
      <c r="O4991" s="1" t="str">
        <f>"3.56"</f>
        <v>3.56</v>
      </c>
    </row>
    <row r="4992" s="1" customFormat="1" spans="1:15">
      <c r="A4992" s="1" t="str">
        <f t="shared" si="2972"/>
        <v>202406</v>
      </c>
      <c r="B4992" s="1" t="str">
        <f t="shared" si="2973"/>
        <v>150525100</v>
      </c>
      <c r="C4992" s="1" t="str">
        <f>"1040653036"</f>
        <v>1040653036</v>
      </c>
      <c r="D4992" s="1" t="str">
        <f>"152326196205233070"</f>
        <v>152326196205233070</v>
      </c>
      <c r="E4992" s="1" t="s">
        <v>4958</v>
      </c>
      <c r="F4992" s="1" t="s">
        <v>25</v>
      </c>
      <c r="G4992" s="1" t="s">
        <v>19</v>
      </c>
      <c r="H4992" s="1" t="str">
        <f>"62"</f>
        <v>62</v>
      </c>
      <c r="I4992" s="1" t="str">
        <f>"162.37"</f>
        <v>162.37</v>
      </c>
      <c r="J4992" s="1" t="str">
        <f t="shared" si="2981"/>
        <v>0</v>
      </c>
      <c r="K4992" s="1" t="str">
        <f t="shared" si="2982"/>
        <v>103</v>
      </c>
      <c r="L4992" s="1" t="str">
        <f t="shared" si="2983"/>
        <v>47</v>
      </c>
      <c r="M4992" s="1" t="str">
        <f t="shared" si="2985"/>
        <v>0</v>
      </c>
      <c r="N4992" s="1" t="str">
        <f t="shared" si="2986"/>
        <v>0</v>
      </c>
      <c r="O4992" s="1" t="str">
        <f>"12.37"</f>
        <v>12.37</v>
      </c>
    </row>
    <row r="4993" s="1" customFormat="1" spans="1:15">
      <c r="A4993" s="1" t="str">
        <f t="shared" si="2972"/>
        <v>202406</v>
      </c>
      <c r="B4993" s="1" t="str">
        <f t="shared" si="2973"/>
        <v>150525100</v>
      </c>
      <c r="C4993" s="1" t="str">
        <f>"1040688407"</f>
        <v>1040688407</v>
      </c>
      <c r="D4993" s="1" t="s">
        <v>4959</v>
      </c>
      <c r="E4993" s="1" t="s">
        <v>4960</v>
      </c>
      <c r="F4993" s="1" t="s">
        <v>16</v>
      </c>
      <c r="G4993" s="1" t="s">
        <v>17</v>
      </c>
      <c r="H4993" s="1" t="str">
        <f>"62"</f>
        <v>62</v>
      </c>
      <c r="I4993" s="1" t="str">
        <f>"161.01"</f>
        <v>161.01</v>
      </c>
      <c r="J4993" s="1" t="str">
        <f t="shared" si="2981"/>
        <v>0</v>
      </c>
      <c r="K4993" s="1" t="str">
        <f t="shared" si="2982"/>
        <v>103</v>
      </c>
      <c r="L4993" s="1" t="str">
        <f t="shared" si="2983"/>
        <v>47</v>
      </c>
      <c r="M4993" s="1" t="str">
        <f t="shared" si="2985"/>
        <v>0</v>
      </c>
      <c r="N4993" s="1" t="str">
        <f t="shared" si="2986"/>
        <v>0</v>
      </c>
      <c r="O4993" s="1" t="str">
        <f>"11.01"</f>
        <v>11.01</v>
      </c>
    </row>
    <row r="4994" s="1" customFormat="1" spans="1:15">
      <c r="A4994" s="1" t="str">
        <f t="shared" ref="A4994:A5057" si="2988">"202406"</f>
        <v>202406</v>
      </c>
      <c r="B4994" s="1" t="str">
        <f t="shared" ref="B4994:B5057" si="2989">"150525100"</f>
        <v>150525100</v>
      </c>
      <c r="C4994" s="1" t="str">
        <f>"1040688433"</f>
        <v>1040688433</v>
      </c>
      <c r="D4994" s="1" t="str">
        <f>"152326195510040422"</f>
        <v>152326195510040422</v>
      </c>
      <c r="E4994" s="1" t="s">
        <v>4961</v>
      </c>
      <c r="F4994" s="1" t="s">
        <v>16</v>
      </c>
      <c r="G4994" s="1" t="s">
        <v>17</v>
      </c>
      <c r="H4994" s="1" t="str">
        <f t="shared" ref="H4994:H4996" si="2990">"69"</f>
        <v>69</v>
      </c>
      <c r="I4994" s="1" t="str">
        <f t="shared" ref="I4994:I4996" si="2991">"153.96"</f>
        <v>153.96</v>
      </c>
      <c r="J4994" s="1" t="str">
        <f t="shared" si="2981"/>
        <v>0</v>
      </c>
      <c r="K4994" s="1" t="str">
        <f t="shared" si="2982"/>
        <v>103</v>
      </c>
      <c r="L4994" s="1" t="str">
        <f t="shared" si="2983"/>
        <v>47</v>
      </c>
      <c r="M4994" s="1" t="str">
        <f t="shared" si="2985"/>
        <v>0</v>
      </c>
      <c r="N4994" s="1" t="str">
        <f t="shared" si="2986"/>
        <v>0</v>
      </c>
      <c r="O4994" s="1" t="str">
        <f t="shared" ref="O4994:O4996" si="2992">"3.96"</f>
        <v>3.96</v>
      </c>
    </row>
    <row r="4995" s="1" customFormat="1" spans="1:15">
      <c r="A4995" s="1" t="str">
        <f t="shared" si="2988"/>
        <v>202406</v>
      </c>
      <c r="B4995" s="1" t="str">
        <f t="shared" si="2989"/>
        <v>150525100</v>
      </c>
      <c r="C4995" s="1" t="str">
        <f>"1040688469"</f>
        <v>1040688469</v>
      </c>
      <c r="D4995" s="1" t="str">
        <f>"152326195510170446"</f>
        <v>152326195510170446</v>
      </c>
      <c r="E4995" s="1" t="s">
        <v>4962</v>
      </c>
      <c r="F4995" s="1" t="s">
        <v>16</v>
      </c>
      <c r="G4995" s="1" t="s">
        <v>17</v>
      </c>
      <c r="H4995" s="1" t="str">
        <f t="shared" si="2990"/>
        <v>69</v>
      </c>
      <c r="I4995" s="1" t="str">
        <f t="shared" si="2991"/>
        <v>153.96</v>
      </c>
      <c r="J4995" s="1" t="str">
        <f t="shared" si="2981"/>
        <v>0</v>
      </c>
      <c r="K4995" s="1" t="str">
        <f t="shared" si="2982"/>
        <v>103</v>
      </c>
      <c r="L4995" s="1" t="str">
        <f t="shared" si="2983"/>
        <v>47</v>
      </c>
      <c r="M4995" s="1" t="str">
        <f t="shared" si="2985"/>
        <v>0</v>
      </c>
      <c r="N4995" s="1" t="str">
        <f t="shared" si="2986"/>
        <v>0</v>
      </c>
      <c r="O4995" s="1" t="str">
        <f t="shared" si="2992"/>
        <v>3.96</v>
      </c>
    </row>
    <row r="4996" s="1" customFormat="1" spans="1:15">
      <c r="A4996" s="1" t="str">
        <f t="shared" si="2988"/>
        <v>202406</v>
      </c>
      <c r="B4996" s="1" t="str">
        <f t="shared" si="2989"/>
        <v>150525100</v>
      </c>
      <c r="C4996" s="1" t="str">
        <f>"1040688470"</f>
        <v>1040688470</v>
      </c>
      <c r="D4996" s="1" t="str">
        <f>"152326195508080417"</f>
        <v>152326195508080417</v>
      </c>
      <c r="E4996" s="1" t="s">
        <v>4963</v>
      </c>
      <c r="F4996" s="1" t="s">
        <v>25</v>
      </c>
      <c r="G4996" s="1" t="s">
        <v>17</v>
      </c>
      <c r="H4996" s="1" t="str">
        <f t="shared" si="2990"/>
        <v>69</v>
      </c>
      <c r="I4996" s="1" t="str">
        <f t="shared" si="2991"/>
        <v>153.96</v>
      </c>
      <c r="J4996" s="1" t="str">
        <f t="shared" si="2981"/>
        <v>0</v>
      </c>
      <c r="K4996" s="1" t="str">
        <f t="shared" si="2982"/>
        <v>103</v>
      </c>
      <c r="L4996" s="1" t="str">
        <f t="shared" si="2983"/>
        <v>47</v>
      </c>
      <c r="M4996" s="1" t="str">
        <f t="shared" si="2985"/>
        <v>0</v>
      </c>
      <c r="N4996" s="1" t="str">
        <f t="shared" si="2986"/>
        <v>0</v>
      </c>
      <c r="O4996" s="1" t="str">
        <f t="shared" si="2992"/>
        <v>3.96</v>
      </c>
    </row>
    <row r="4997" s="1" customFormat="1" spans="1:15">
      <c r="A4997" s="1" t="str">
        <f t="shared" si="2988"/>
        <v>202406</v>
      </c>
      <c r="B4997" s="1" t="str">
        <f t="shared" si="2989"/>
        <v>150525100</v>
      </c>
      <c r="C4997" s="1" t="str">
        <f>"1040688484"</f>
        <v>1040688484</v>
      </c>
      <c r="D4997" s="1" t="str">
        <f>"152326195904010429"</f>
        <v>152326195904010429</v>
      </c>
      <c r="E4997" s="1" t="s">
        <v>4964</v>
      </c>
      <c r="F4997" s="1" t="s">
        <v>16</v>
      </c>
      <c r="G4997" s="1" t="s">
        <v>17</v>
      </c>
      <c r="H4997" s="1" t="str">
        <f>"65"</f>
        <v>65</v>
      </c>
      <c r="I4997" s="1" t="str">
        <f>"156.96"</f>
        <v>156.96</v>
      </c>
      <c r="J4997" s="1" t="str">
        <f t="shared" si="2981"/>
        <v>0</v>
      </c>
      <c r="K4997" s="1" t="str">
        <f t="shared" si="2982"/>
        <v>103</v>
      </c>
      <c r="L4997" s="1" t="str">
        <f t="shared" si="2983"/>
        <v>47</v>
      </c>
      <c r="M4997" s="1" t="str">
        <f t="shared" si="2985"/>
        <v>0</v>
      </c>
      <c r="N4997" s="1" t="str">
        <f t="shared" si="2986"/>
        <v>0</v>
      </c>
      <c r="O4997" s="1" t="str">
        <f>"6.96"</f>
        <v>6.96</v>
      </c>
    </row>
    <row r="4998" s="1" customFormat="1" spans="1:15">
      <c r="A4998" s="1" t="str">
        <f t="shared" si="2988"/>
        <v>202406</v>
      </c>
      <c r="B4998" s="1" t="str">
        <f t="shared" si="2989"/>
        <v>150525100</v>
      </c>
      <c r="C4998" s="1" t="str">
        <f>"1040688487"</f>
        <v>1040688487</v>
      </c>
      <c r="D4998" s="1" t="s">
        <v>4965</v>
      </c>
      <c r="E4998" s="1" t="s">
        <v>852</v>
      </c>
      <c r="F4998" s="1" t="s">
        <v>25</v>
      </c>
      <c r="G4998" s="1" t="s">
        <v>17</v>
      </c>
      <c r="H4998" s="1" t="str">
        <f>"63"</f>
        <v>63</v>
      </c>
      <c r="I4998" s="1" t="str">
        <f>"159.81"</f>
        <v>159.81</v>
      </c>
      <c r="J4998" s="1" t="str">
        <f t="shared" si="2981"/>
        <v>0</v>
      </c>
      <c r="K4998" s="1" t="str">
        <f t="shared" si="2982"/>
        <v>103</v>
      </c>
      <c r="L4998" s="1" t="str">
        <f t="shared" si="2983"/>
        <v>47</v>
      </c>
      <c r="M4998" s="1" t="str">
        <f t="shared" si="2985"/>
        <v>0</v>
      </c>
      <c r="N4998" s="1" t="str">
        <f t="shared" si="2986"/>
        <v>0</v>
      </c>
      <c r="O4998" s="1" t="str">
        <f>"9.81"</f>
        <v>9.81</v>
      </c>
    </row>
    <row r="4999" s="1" customFormat="1" spans="1:15">
      <c r="A4999" s="1" t="str">
        <f t="shared" si="2988"/>
        <v>202406</v>
      </c>
      <c r="B4999" s="1" t="str">
        <f t="shared" si="2989"/>
        <v>150525100</v>
      </c>
      <c r="C4999" s="1" t="str">
        <f>"1040648065"</f>
        <v>1040648065</v>
      </c>
      <c r="D4999" s="1" t="str">
        <f>"152326196205240414"</f>
        <v>152326196205240414</v>
      </c>
      <c r="E4999" s="1" t="s">
        <v>4966</v>
      </c>
      <c r="F4999" s="1" t="s">
        <v>25</v>
      </c>
      <c r="G4999" s="1" t="s">
        <v>19</v>
      </c>
      <c r="H4999" s="1" t="str">
        <f>"62"</f>
        <v>62</v>
      </c>
      <c r="I4999" s="1" t="str">
        <f>"162.36"</f>
        <v>162.36</v>
      </c>
      <c r="J4999" s="1" t="str">
        <f t="shared" si="2981"/>
        <v>0</v>
      </c>
      <c r="K4999" s="1" t="str">
        <f t="shared" si="2982"/>
        <v>103</v>
      </c>
      <c r="L4999" s="1" t="str">
        <f t="shared" si="2983"/>
        <v>47</v>
      </c>
      <c r="M4999" s="1" t="str">
        <f t="shared" si="2985"/>
        <v>0</v>
      </c>
      <c r="N4999" s="1" t="str">
        <f t="shared" si="2986"/>
        <v>0</v>
      </c>
      <c r="O4999" s="1" t="str">
        <f>"12.36"</f>
        <v>12.36</v>
      </c>
    </row>
    <row r="5000" s="1" customFormat="1" spans="1:15">
      <c r="A5000" s="1" t="str">
        <f t="shared" si="2988"/>
        <v>202406</v>
      </c>
      <c r="B5000" s="1" t="str">
        <f t="shared" si="2989"/>
        <v>150525100</v>
      </c>
      <c r="C5000" s="1" t="str">
        <f>"1040688509"</f>
        <v>1040688509</v>
      </c>
      <c r="D5000" s="1" t="s">
        <v>4967</v>
      </c>
      <c r="E5000" s="1" t="s">
        <v>2875</v>
      </c>
      <c r="F5000" s="1" t="s">
        <v>16</v>
      </c>
      <c r="G5000" s="1" t="s">
        <v>17</v>
      </c>
      <c r="H5000" s="1" t="str">
        <f t="shared" ref="H5000:H5005" si="2993">"67"</f>
        <v>67</v>
      </c>
      <c r="I5000" s="1" t="str">
        <f>"154.93"</f>
        <v>154.93</v>
      </c>
      <c r="J5000" s="1" t="str">
        <f t="shared" si="2981"/>
        <v>0</v>
      </c>
      <c r="K5000" s="1" t="str">
        <f t="shared" si="2982"/>
        <v>103</v>
      </c>
      <c r="L5000" s="1" t="str">
        <f t="shared" si="2983"/>
        <v>47</v>
      </c>
      <c r="M5000" s="1" t="str">
        <f t="shared" si="2985"/>
        <v>0</v>
      </c>
      <c r="N5000" s="1" t="str">
        <f t="shared" si="2986"/>
        <v>0</v>
      </c>
      <c r="O5000" s="1" t="str">
        <f>"4.93"</f>
        <v>4.93</v>
      </c>
    </row>
    <row r="5001" s="1" customFormat="1" spans="1:15">
      <c r="A5001" s="1" t="str">
        <f t="shared" si="2988"/>
        <v>202406</v>
      </c>
      <c r="B5001" s="1" t="str">
        <f t="shared" si="2989"/>
        <v>150525100</v>
      </c>
      <c r="C5001" s="1" t="str">
        <f>"1040653201"</f>
        <v>1040653201</v>
      </c>
      <c r="D5001" s="1" t="str">
        <f>"152326196010263317"</f>
        <v>152326196010263317</v>
      </c>
      <c r="E5001" s="1" t="s">
        <v>4968</v>
      </c>
      <c r="F5001" s="1" t="s">
        <v>25</v>
      </c>
      <c r="G5001" s="1" t="s">
        <v>17</v>
      </c>
      <c r="H5001" s="1" t="str">
        <f>"64"</f>
        <v>64</v>
      </c>
      <c r="I5001" s="1" t="str">
        <f>"158.66"</f>
        <v>158.66</v>
      </c>
      <c r="J5001" s="1" t="str">
        <f t="shared" si="2981"/>
        <v>0</v>
      </c>
      <c r="K5001" s="1" t="str">
        <f t="shared" si="2982"/>
        <v>103</v>
      </c>
      <c r="L5001" s="1" t="str">
        <f t="shared" si="2983"/>
        <v>47</v>
      </c>
      <c r="M5001" s="1" t="str">
        <f t="shared" si="2985"/>
        <v>0</v>
      </c>
      <c r="N5001" s="1" t="str">
        <f t="shared" si="2986"/>
        <v>0</v>
      </c>
      <c r="O5001" s="1" t="str">
        <f>"8.66"</f>
        <v>8.66</v>
      </c>
    </row>
    <row r="5002" s="1" customFormat="1" spans="1:15">
      <c r="A5002" s="1" t="str">
        <f t="shared" si="2988"/>
        <v>202406</v>
      </c>
      <c r="B5002" s="1" t="str">
        <f t="shared" si="2989"/>
        <v>150525100</v>
      </c>
      <c r="C5002" s="1" t="str">
        <f>"1040653235"</f>
        <v>1040653235</v>
      </c>
      <c r="D5002" s="1" t="str">
        <f>"152326195612183328"</f>
        <v>152326195612183328</v>
      </c>
      <c r="E5002" s="1" t="s">
        <v>4969</v>
      </c>
      <c r="F5002" s="1" t="s">
        <v>16</v>
      </c>
      <c r="G5002" s="1" t="s">
        <v>19</v>
      </c>
      <c r="H5002" s="1" t="str">
        <f>"68"</f>
        <v>68</v>
      </c>
      <c r="I5002" s="1" t="str">
        <f>"155.45"</f>
        <v>155.45</v>
      </c>
      <c r="J5002" s="1" t="str">
        <f t="shared" si="2981"/>
        <v>0</v>
      </c>
      <c r="K5002" s="1" t="str">
        <f t="shared" si="2982"/>
        <v>103</v>
      </c>
      <c r="L5002" s="1" t="str">
        <f t="shared" si="2983"/>
        <v>47</v>
      </c>
      <c r="M5002" s="1" t="str">
        <f t="shared" si="2985"/>
        <v>0</v>
      </c>
      <c r="N5002" s="1" t="str">
        <f t="shared" si="2986"/>
        <v>0</v>
      </c>
      <c r="O5002" s="1" t="str">
        <f>"5.45"</f>
        <v>5.45</v>
      </c>
    </row>
    <row r="5003" s="1" customFormat="1" spans="1:15">
      <c r="A5003" s="1" t="str">
        <f t="shared" si="2988"/>
        <v>202406</v>
      </c>
      <c r="B5003" s="1" t="str">
        <f t="shared" si="2989"/>
        <v>150525100</v>
      </c>
      <c r="C5003" s="1" t="str">
        <f>"1040653243"</f>
        <v>1040653243</v>
      </c>
      <c r="D5003" s="1" t="str">
        <f>"152326195707013321"</f>
        <v>152326195707013321</v>
      </c>
      <c r="E5003" s="1" t="s">
        <v>4970</v>
      </c>
      <c r="F5003" s="1" t="s">
        <v>16</v>
      </c>
      <c r="G5003" s="1" t="s">
        <v>17</v>
      </c>
      <c r="H5003" s="1" t="str">
        <f t="shared" si="2993"/>
        <v>67</v>
      </c>
      <c r="I5003" s="1" t="str">
        <f>"155.5"</f>
        <v>155.5</v>
      </c>
      <c r="J5003" s="1" t="str">
        <f t="shared" si="2981"/>
        <v>0</v>
      </c>
      <c r="K5003" s="1" t="str">
        <f t="shared" si="2982"/>
        <v>103</v>
      </c>
      <c r="L5003" s="1" t="str">
        <f t="shared" si="2983"/>
        <v>47</v>
      </c>
      <c r="M5003" s="1" t="str">
        <f t="shared" si="2985"/>
        <v>0</v>
      </c>
      <c r="N5003" s="1" t="str">
        <f t="shared" si="2986"/>
        <v>0</v>
      </c>
      <c r="O5003" s="1" t="str">
        <f>"5.5"</f>
        <v>5.5</v>
      </c>
    </row>
    <row r="5004" s="1" customFormat="1" spans="1:15">
      <c r="A5004" s="1" t="str">
        <f t="shared" si="2988"/>
        <v>202406</v>
      </c>
      <c r="B5004" s="1" t="str">
        <f t="shared" si="2989"/>
        <v>150525100</v>
      </c>
      <c r="C5004" s="1" t="str">
        <f>"1040653262"</f>
        <v>1040653262</v>
      </c>
      <c r="D5004" s="1" t="str">
        <f>"152326195402063328"</f>
        <v>152326195402063328</v>
      </c>
      <c r="E5004" s="1" t="s">
        <v>4971</v>
      </c>
      <c r="F5004" s="1" t="s">
        <v>16</v>
      </c>
      <c r="G5004" s="1" t="s">
        <v>17</v>
      </c>
      <c r="H5004" s="1" t="str">
        <f>"70"</f>
        <v>70</v>
      </c>
      <c r="I5004" s="1" t="str">
        <f>"163.56"</f>
        <v>163.56</v>
      </c>
      <c r="J5004" s="1" t="str">
        <f t="shared" si="2981"/>
        <v>0</v>
      </c>
      <c r="K5004" s="1" t="str">
        <f t="shared" si="2982"/>
        <v>103</v>
      </c>
      <c r="L5004" s="1" t="str">
        <f t="shared" si="2983"/>
        <v>47</v>
      </c>
      <c r="M5004" s="1" t="str">
        <f t="shared" si="2985"/>
        <v>0</v>
      </c>
      <c r="N5004" s="1" t="str">
        <f t="shared" si="2986"/>
        <v>0</v>
      </c>
      <c r="O5004" s="1" t="str">
        <f>"3.56"</f>
        <v>3.56</v>
      </c>
    </row>
    <row r="5005" s="1" customFormat="1" spans="1:15">
      <c r="A5005" s="1" t="str">
        <f t="shared" si="2988"/>
        <v>202406</v>
      </c>
      <c r="B5005" s="1" t="str">
        <f t="shared" si="2989"/>
        <v>150525100</v>
      </c>
      <c r="C5005" s="1" t="str">
        <f>"1040653291"</f>
        <v>1040653291</v>
      </c>
      <c r="D5005" s="1" t="str">
        <f>"152326195708063347"</f>
        <v>152326195708063347</v>
      </c>
      <c r="E5005" s="1" t="s">
        <v>4972</v>
      </c>
      <c r="F5005" s="1" t="s">
        <v>16</v>
      </c>
      <c r="G5005" s="1" t="s">
        <v>17</v>
      </c>
      <c r="H5005" s="1" t="str">
        <f t="shared" si="2993"/>
        <v>67</v>
      </c>
      <c r="I5005" s="1" t="str">
        <f>"155.5"</f>
        <v>155.5</v>
      </c>
      <c r="J5005" s="1" t="str">
        <f t="shared" si="2981"/>
        <v>0</v>
      </c>
      <c r="K5005" s="1" t="str">
        <f t="shared" si="2982"/>
        <v>103</v>
      </c>
      <c r="L5005" s="1" t="str">
        <f t="shared" si="2983"/>
        <v>47</v>
      </c>
      <c r="M5005" s="1" t="str">
        <f t="shared" si="2985"/>
        <v>0</v>
      </c>
      <c r="N5005" s="1" t="str">
        <f t="shared" si="2986"/>
        <v>0</v>
      </c>
      <c r="O5005" s="1" t="str">
        <f>"5.5"</f>
        <v>5.5</v>
      </c>
    </row>
    <row r="5006" s="1" customFormat="1" spans="1:15">
      <c r="A5006" s="1" t="str">
        <f t="shared" si="2988"/>
        <v>202406</v>
      </c>
      <c r="B5006" s="1" t="str">
        <f t="shared" si="2989"/>
        <v>150525100</v>
      </c>
      <c r="C5006" s="1" t="str">
        <f>"1040653308"</f>
        <v>1040653308</v>
      </c>
      <c r="D5006" s="1" t="str">
        <f>"152326195402283312"</f>
        <v>152326195402283312</v>
      </c>
      <c r="E5006" s="1" t="s">
        <v>4973</v>
      </c>
      <c r="F5006" s="1" t="s">
        <v>25</v>
      </c>
      <c r="G5006" s="1" t="s">
        <v>17</v>
      </c>
      <c r="H5006" s="1" t="str">
        <f>"70"</f>
        <v>70</v>
      </c>
      <c r="I5006" s="1" t="str">
        <f>"163.56"</f>
        <v>163.56</v>
      </c>
      <c r="J5006" s="1" t="str">
        <f t="shared" si="2981"/>
        <v>0</v>
      </c>
      <c r="K5006" s="1" t="str">
        <f t="shared" si="2982"/>
        <v>103</v>
      </c>
      <c r="L5006" s="1" t="str">
        <f t="shared" si="2983"/>
        <v>47</v>
      </c>
      <c r="M5006" s="1" t="str">
        <f t="shared" si="2985"/>
        <v>0</v>
      </c>
      <c r="N5006" s="1" t="str">
        <f t="shared" si="2986"/>
        <v>0</v>
      </c>
      <c r="O5006" s="1" t="str">
        <f>"3.56"</f>
        <v>3.56</v>
      </c>
    </row>
    <row r="5007" s="1" customFormat="1" spans="1:15">
      <c r="A5007" s="1" t="str">
        <f t="shared" si="2988"/>
        <v>202406</v>
      </c>
      <c r="B5007" s="1" t="str">
        <f t="shared" si="2989"/>
        <v>150525100</v>
      </c>
      <c r="C5007" s="1" t="str">
        <f>"1040653351"</f>
        <v>1040653351</v>
      </c>
      <c r="D5007" s="1" t="str">
        <f>"152326195610163323"</f>
        <v>152326195610163323</v>
      </c>
      <c r="E5007" s="1" t="s">
        <v>4974</v>
      </c>
      <c r="F5007" s="1" t="s">
        <v>16</v>
      </c>
      <c r="G5007" s="1" t="s">
        <v>17</v>
      </c>
      <c r="H5007" s="1" t="str">
        <f>"68"</f>
        <v>68</v>
      </c>
      <c r="I5007" s="1" t="str">
        <f>"155.44"</f>
        <v>155.44</v>
      </c>
      <c r="J5007" s="1" t="str">
        <f t="shared" si="2981"/>
        <v>0</v>
      </c>
      <c r="K5007" s="1" t="str">
        <f t="shared" si="2982"/>
        <v>103</v>
      </c>
      <c r="L5007" s="1" t="str">
        <f t="shared" si="2983"/>
        <v>47</v>
      </c>
      <c r="M5007" s="1" t="str">
        <f t="shared" si="2985"/>
        <v>0</v>
      </c>
      <c r="N5007" s="1" t="str">
        <f t="shared" si="2986"/>
        <v>0</v>
      </c>
      <c r="O5007" s="1" t="str">
        <f>"5.44"</f>
        <v>5.44</v>
      </c>
    </row>
    <row r="5008" s="1" customFormat="1" spans="1:15">
      <c r="A5008" s="1" t="str">
        <f t="shared" si="2988"/>
        <v>202406</v>
      </c>
      <c r="B5008" s="1" t="str">
        <f t="shared" si="2989"/>
        <v>150525100</v>
      </c>
      <c r="C5008" s="1" t="str">
        <f>"1040653411"</f>
        <v>1040653411</v>
      </c>
      <c r="D5008" s="1" t="str">
        <f>"152326195702263313"</f>
        <v>152326195702263313</v>
      </c>
      <c r="E5008" s="1" t="s">
        <v>4975</v>
      </c>
      <c r="F5008" s="1" t="s">
        <v>25</v>
      </c>
      <c r="G5008" s="1" t="s">
        <v>17</v>
      </c>
      <c r="H5008" s="1" t="str">
        <f>"67"</f>
        <v>67</v>
      </c>
      <c r="I5008" s="1" t="str">
        <f>"155.46"</f>
        <v>155.46</v>
      </c>
      <c r="J5008" s="1" t="str">
        <f t="shared" si="2981"/>
        <v>0</v>
      </c>
      <c r="K5008" s="1" t="str">
        <f t="shared" si="2982"/>
        <v>103</v>
      </c>
      <c r="L5008" s="1" t="str">
        <f t="shared" si="2983"/>
        <v>47</v>
      </c>
      <c r="M5008" s="1" t="str">
        <f t="shared" si="2985"/>
        <v>0</v>
      </c>
      <c r="N5008" s="1" t="str">
        <f t="shared" si="2986"/>
        <v>0</v>
      </c>
      <c r="O5008" s="1" t="str">
        <f>"5.46"</f>
        <v>5.46</v>
      </c>
    </row>
    <row r="5009" s="1" customFormat="1" spans="1:15">
      <c r="A5009" s="1" t="str">
        <f t="shared" si="2988"/>
        <v>202406</v>
      </c>
      <c r="B5009" s="1" t="str">
        <f t="shared" si="2989"/>
        <v>150525100</v>
      </c>
      <c r="C5009" s="1" t="str">
        <f>"1040653415"</f>
        <v>1040653415</v>
      </c>
      <c r="D5009" s="1" t="str">
        <f>"152326195708233326"</f>
        <v>152326195708233326</v>
      </c>
      <c r="E5009" s="1" t="s">
        <v>4976</v>
      </c>
      <c r="F5009" s="1" t="s">
        <v>16</v>
      </c>
      <c r="G5009" s="1" t="s">
        <v>19</v>
      </c>
      <c r="H5009" s="1" t="str">
        <f>"67"</f>
        <v>67</v>
      </c>
      <c r="I5009" s="1" t="str">
        <f>"155.5"</f>
        <v>155.5</v>
      </c>
      <c r="J5009" s="1" t="str">
        <f t="shared" si="2981"/>
        <v>0</v>
      </c>
      <c r="K5009" s="1" t="str">
        <f t="shared" si="2982"/>
        <v>103</v>
      </c>
      <c r="L5009" s="1" t="str">
        <f t="shared" si="2983"/>
        <v>47</v>
      </c>
      <c r="M5009" s="1" t="str">
        <f t="shared" si="2985"/>
        <v>0</v>
      </c>
      <c r="N5009" s="1" t="str">
        <f t="shared" si="2986"/>
        <v>0</v>
      </c>
      <c r="O5009" s="1" t="str">
        <f>"5.5"</f>
        <v>5.5</v>
      </c>
    </row>
    <row r="5010" s="1" customFormat="1" spans="1:15">
      <c r="A5010" s="1" t="str">
        <f t="shared" si="2988"/>
        <v>202406</v>
      </c>
      <c r="B5010" s="1" t="str">
        <f t="shared" si="2989"/>
        <v>150525100</v>
      </c>
      <c r="C5010" s="1" t="str">
        <f>"1040653506"</f>
        <v>1040653506</v>
      </c>
      <c r="D5010" s="1" t="str">
        <f>"152326195412083322"</f>
        <v>152326195412083322</v>
      </c>
      <c r="E5010" s="1" t="s">
        <v>4977</v>
      </c>
      <c r="F5010" s="1" t="s">
        <v>16</v>
      </c>
      <c r="G5010" s="1" t="s">
        <v>19</v>
      </c>
      <c r="H5010" s="1" t="str">
        <f>"70"</f>
        <v>70</v>
      </c>
      <c r="I5010" s="1" t="str">
        <f>"153.56"</f>
        <v>153.56</v>
      </c>
      <c r="J5010" s="1" t="str">
        <f t="shared" si="2981"/>
        <v>0</v>
      </c>
      <c r="K5010" s="1" t="str">
        <f t="shared" si="2982"/>
        <v>103</v>
      </c>
      <c r="L5010" s="1" t="str">
        <f t="shared" si="2983"/>
        <v>47</v>
      </c>
      <c r="M5010" s="1" t="str">
        <f t="shared" si="2985"/>
        <v>0</v>
      </c>
      <c r="N5010" s="1" t="str">
        <f t="shared" si="2986"/>
        <v>0</v>
      </c>
      <c r="O5010" s="1" t="str">
        <f>"3.56"</f>
        <v>3.56</v>
      </c>
    </row>
    <row r="5011" s="1" customFormat="1" spans="1:15">
      <c r="A5011" s="1" t="str">
        <f t="shared" si="2988"/>
        <v>202406</v>
      </c>
      <c r="B5011" s="1" t="str">
        <f t="shared" si="2989"/>
        <v>150525100</v>
      </c>
      <c r="C5011" s="1" t="str">
        <f>"1040759409"</f>
        <v>1040759409</v>
      </c>
      <c r="D5011" s="1" t="str">
        <f>"152326196002160019"</f>
        <v>152326196002160019</v>
      </c>
      <c r="E5011" s="1" t="s">
        <v>4978</v>
      </c>
      <c r="F5011" s="1" t="s">
        <v>25</v>
      </c>
      <c r="G5011" s="1" t="s">
        <v>17</v>
      </c>
      <c r="H5011" s="1" t="str">
        <f>"64"</f>
        <v>64</v>
      </c>
      <c r="I5011" s="1" t="str">
        <f>"219.81"</f>
        <v>219.81</v>
      </c>
      <c r="J5011" s="1" t="str">
        <f t="shared" si="2981"/>
        <v>0</v>
      </c>
      <c r="K5011" s="1" t="str">
        <f t="shared" si="2982"/>
        <v>103</v>
      </c>
      <c r="L5011" s="1" t="str">
        <f t="shared" si="2983"/>
        <v>47</v>
      </c>
      <c r="M5011" s="1" t="str">
        <f t="shared" si="2985"/>
        <v>0</v>
      </c>
      <c r="N5011" s="1" t="str">
        <f t="shared" si="2986"/>
        <v>0</v>
      </c>
      <c r="O5011" s="1" t="str">
        <f>"69.81"</f>
        <v>69.81</v>
      </c>
    </row>
    <row r="5012" s="1" customFormat="1" spans="1:15">
      <c r="A5012" s="1" t="str">
        <f t="shared" si="2988"/>
        <v>202406</v>
      </c>
      <c r="B5012" s="1" t="str">
        <f t="shared" si="2989"/>
        <v>150525100</v>
      </c>
      <c r="C5012" s="1" t="str">
        <f>"1040653525"</f>
        <v>1040653525</v>
      </c>
      <c r="D5012" s="1" t="str">
        <f>"152326195510183319"</f>
        <v>152326195510183319</v>
      </c>
      <c r="E5012" s="1" t="s">
        <v>4979</v>
      </c>
      <c r="F5012" s="1" t="s">
        <v>25</v>
      </c>
      <c r="G5012" s="1" t="s">
        <v>19</v>
      </c>
      <c r="H5012" s="1" t="str">
        <f>"69"</f>
        <v>69</v>
      </c>
      <c r="I5012" s="1" t="str">
        <f>"154.52"</f>
        <v>154.52</v>
      </c>
      <c r="J5012" s="1" t="str">
        <f t="shared" si="2981"/>
        <v>0</v>
      </c>
      <c r="K5012" s="1" t="str">
        <f t="shared" si="2982"/>
        <v>103</v>
      </c>
      <c r="L5012" s="1" t="str">
        <f t="shared" si="2983"/>
        <v>47</v>
      </c>
      <c r="M5012" s="1" t="str">
        <f t="shared" si="2985"/>
        <v>0</v>
      </c>
      <c r="N5012" s="1" t="str">
        <f t="shared" si="2986"/>
        <v>0</v>
      </c>
      <c r="O5012" s="1" t="str">
        <f>"4.52"</f>
        <v>4.52</v>
      </c>
    </row>
    <row r="5013" s="1" customFormat="1" spans="1:15">
      <c r="A5013" s="1" t="str">
        <f t="shared" si="2988"/>
        <v>202406</v>
      </c>
      <c r="B5013" s="1" t="str">
        <f t="shared" si="2989"/>
        <v>150525100</v>
      </c>
      <c r="C5013" s="1" t="str">
        <f>"1040653527"</f>
        <v>1040653527</v>
      </c>
      <c r="D5013" s="1" t="str">
        <f>"152326195802103333"</f>
        <v>152326195802103333</v>
      </c>
      <c r="E5013" s="1" t="s">
        <v>4980</v>
      </c>
      <c r="F5013" s="1" t="s">
        <v>25</v>
      </c>
      <c r="G5013" s="1" t="s">
        <v>17</v>
      </c>
      <c r="H5013" s="1" t="str">
        <f>"66"</f>
        <v>66</v>
      </c>
      <c r="I5013" s="1" t="str">
        <f>"157.49"</f>
        <v>157.49</v>
      </c>
      <c r="J5013" s="1" t="str">
        <f t="shared" si="2981"/>
        <v>0</v>
      </c>
      <c r="K5013" s="1" t="str">
        <f t="shared" si="2982"/>
        <v>103</v>
      </c>
      <c r="L5013" s="1" t="str">
        <f t="shared" si="2983"/>
        <v>47</v>
      </c>
      <c r="M5013" s="1" t="str">
        <f t="shared" si="2985"/>
        <v>0</v>
      </c>
      <c r="N5013" s="1" t="str">
        <f t="shared" si="2986"/>
        <v>0</v>
      </c>
      <c r="O5013" s="1" t="str">
        <f>"7.49"</f>
        <v>7.49</v>
      </c>
    </row>
    <row r="5014" s="1" customFormat="1" spans="1:15">
      <c r="A5014" s="1" t="str">
        <f t="shared" si="2988"/>
        <v>202406</v>
      </c>
      <c r="B5014" s="1" t="str">
        <f t="shared" si="2989"/>
        <v>150525100</v>
      </c>
      <c r="C5014" s="1" t="str">
        <f>"1040653551"</f>
        <v>1040653551</v>
      </c>
      <c r="D5014" s="1" t="str">
        <f>"152326195412273329"</f>
        <v>152326195412273329</v>
      </c>
      <c r="E5014" s="1" t="s">
        <v>4981</v>
      </c>
      <c r="F5014" s="1" t="s">
        <v>16</v>
      </c>
      <c r="G5014" s="1" t="s">
        <v>19</v>
      </c>
      <c r="H5014" s="1" t="str">
        <f>"70"</f>
        <v>70</v>
      </c>
      <c r="I5014" s="1" t="str">
        <f>"153.56"</f>
        <v>153.56</v>
      </c>
      <c r="J5014" s="1" t="str">
        <f t="shared" si="2981"/>
        <v>0</v>
      </c>
      <c r="K5014" s="1" t="str">
        <f t="shared" si="2982"/>
        <v>103</v>
      </c>
      <c r="L5014" s="1" t="str">
        <f t="shared" si="2983"/>
        <v>47</v>
      </c>
      <c r="M5014" s="1" t="str">
        <f t="shared" si="2985"/>
        <v>0</v>
      </c>
      <c r="N5014" s="1" t="str">
        <f t="shared" si="2986"/>
        <v>0</v>
      </c>
      <c r="O5014" s="1" t="str">
        <f>"3.56"</f>
        <v>3.56</v>
      </c>
    </row>
    <row r="5015" s="1" customFormat="1" spans="1:15">
      <c r="A5015" s="1" t="str">
        <f t="shared" si="2988"/>
        <v>202406</v>
      </c>
      <c r="B5015" s="1" t="str">
        <f t="shared" si="2989"/>
        <v>150525100</v>
      </c>
      <c r="C5015" s="1" t="str">
        <f>"1040695146"</f>
        <v>1040695146</v>
      </c>
      <c r="D5015" s="1" t="str">
        <f>"152326196105073081"</f>
        <v>152326196105073081</v>
      </c>
      <c r="E5015" s="1" t="s">
        <v>4982</v>
      </c>
      <c r="F5015" s="1" t="s">
        <v>16</v>
      </c>
      <c r="G5015" s="1" t="s">
        <v>17</v>
      </c>
      <c r="H5015" s="1" t="str">
        <f>"63"</f>
        <v>63</v>
      </c>
      <c r="I5015" s="1" t="str">
        <f>"159.47"</f>
        <v>159.47</v>
      </c>
      <c r="J5015" s="1" t="str">
        <f t="shared" si="2981"/>
        <v>0</v>
      </c>
      <c r="K5015" s="1" t="str">
        <f t="shared" si="2982"/>
        <v>103</v>
      </c>
      <c r="L5015" s="1" t="str">
        <f t="shared" si="2983"/>
        <v>47</v>
      </c>
      <c r="M5015" s="1" t="str">
        <f t="shared" si="2985"/>
        <v>0</v>
      </c>
      <c r="N5015" s="1" t="str">
        <f t="shared" si="2986"/>
        <v>0</v>
      </c>
      <c r="O5015" s="1" t="str">
        <f>"9.47"</f>
        <v>9.47</v>
      </c>
    </row>
    <row r="5016" s="1" customFormat="1" spans="1:15">
      <c r="A5016" s="1" t="str">
        <f t="shared" si="2988"/>
        <v>202406</v>
      </c>
      <c r="B5016" s="1" t="str">
        <f t="shared" si="2989"/>
        <v>150525100</v>
      </c>
      <c r="C5016" s="1" t="str">
        <f>"1040760422"</f>
        <v>1040760422</v>
      </c>
      <c r="D5016" s="1" t="str">
        <f>"152326195407030664"</f>
        <v>152326195407030664</v>
      </c>
      <c r="E5016" s="1" t="s">
        <v>4983</v>
      </c>
      <c r="F5016" s="1" t="s">
        <v>16</v>
      </c>
      <c r="G5016" s="1" t="s">
        <v>19</v>
      </c>
      <c r="H5016" s="1" t="str">
        <f>"70"</f>
        <v>70</v>
      </c>
      <c r="I5016" s="1" t="str">
        <f>"152.88"</f>
        <v>152.88</v>
      </c>
      <c r="J5016" s="1" t="str">
        <f t="shared" si="2981"/>
        <v>0</v>
      </c>
      <c r="K5016" s="1" t="str">
        <f t="shared" si="2982"/>
        <v>103</v>
      </c>
      <c r="L5016" s="1" t="str">
        <f t="shared" si="2983"/>
        <v>47</v>
      </c>
      <c r="M5016" s="1" t="str">
        <f t="shared" si="2985"/>
        <v>0</v>
      </c>
      <c r="N5016" s="1" t="str">
        <f t="shared" si="2986"/>
        <v>0</v>
      </c>
      <c r="O5016" s="1" t="str">
        <f>"2.88"</f>
        <v>2.88</v>
      </c>
    </row>
    <row r="5017" s="1" customFormat="1" spans="1:15">
      <c r="A5017" s="1" t="str">
        <f t="shared" si="2988"/>
        <v>202406</v>
      </c>
      <c r="B5017" s="1" t="str">
        <f t="shared" si="2989"/>
        <v>150525100</v>
      </c>
      <c r="C5017" s="1" t="str">
        <f>"1040646361"</f>
        <v>1040646361</v>
      </c>
      <c r="D5017" s="1" t="str">
        <f>"152326195503090413"</f>
        <v>152326195503090413</v>
      </c>
      <c r="E5017" s="1" t="s">
        <v>4984</v>
      </c>
      <c r="F5017" s="1" t="s">
        <v>25</v>
      </c>
      <c r="G5017" s="1" t="s">
        <v>17</v>
      </c>
      <c r="H5017" s="1" t="str">
        <f>"69"</f>
        <v>69</v>
      </c>
      <c r="I5017" s="1" t="str">
        <f>"154.51"</f>
        <v>154.51</v>
      </c>
      <c r="J5017" s="1" t="str">
        <f t="shared" si="2981"/>
        <v>0</v>
      </c>
      <c r="K5017" s="1" t="str">
        <f t="shared" si="2982"/>
        <v>103</v>
      </c>
      <c r="L5017" s="1" t="str">
        <f t="shared" si="2983"/>
        <v>47</v>
      </c>
      <c r="M5017" s="1" t="str">
        <f t="shared" si="2985"/>
        <v>0</v>
      </c>
      <c r="N5017" s="1" t="str">
        <f t="shared" si="2986"/>
        <v>0</v>
      </c>
      <c r="O5017" s="1" t="str">
        <f>"4.51"</f>
        <v>4.51</v>
      </c>
    </row>
    <row r="5018" s="1" customFormat="1" spans="1:15">
      <c r="A5018" s="1" t="str">
        <f t="shared" si="2988"/>
        <v>202406</v>
      </c>
      <c r="B5018" s="1" t="str">
        <f t="shared" si="2989"/>
        <v>150525100</v>
      </c>
      <c r="C5018" s="1" t="str">
        <f>"1040646376"</f>
        <v>1040646376</v>
      </c>
      <c r="D5018" s="1" t="str">
        <f>"152326196310290421"</f>
        <v>152326196310290421</v>
      </c>
      <c r="E5018" s="1" t="s">
        <v>4985</v>
      </c>
      <c r="F5018" s="1" t="s">
        <v>16</v>
      </c>
      <c r="G5018" s="1" t="s">
        <v>19</v>
      </c>
      <c r="H5018" s="1" t="str">
        <f>"61"</f>
        <v>61</v>
      </c>
      <c r="I5018" s="1" t="str">
        <f>"164.43"</f>
        <v>164.43</v>
      </c>
      <c r="J5018" s="1" t="str">
        <f t="shared" ref="J5018:J5049" si="2994">"0"</f>
        <v>0</v>
      </c>
      <c r="K5018" s="1" t="str">
        <f t="shared" ref="K5018:K5049" si="2995">"103"</f>
        <v>103</v>
      </c>
      <c r="L5018" s="1" t="str">
        <f t="shared" ref="L5018:L5049" si="2996">"47"</f>
        <v>47</v>
      </c>
      <c r="M5018" s="1" t="str">
        <f t="shared" si="2985"/>
        <v>0</v>
      </c>
      <c r="N5018" s="1" t="str">
        <f t="shared" si="2986"/>
        <v>0</v>
      </c>
      <c r="O5018" s="1" t="str">
        <f>"14.43"</f>
        <v>14.43</v>
      </c>
    </row>
    <row r="5019" s="1" customFormat="1" spans="1:15">
      <c r="A5019" s="1" t="str">
        <f t="shared" si="2988"/>
        <v>202406</v>
      </c>
      <c r="B5019" s="1" t="str">
        <f t="shared" si="2989"/>
        <v>150525100</v>
      </c>
      <c r="C5019" s="1" t="str">
        <f>"1040646421"</f>
        <v>1040646421</v>
      </c>
      <c r="D5019" s="1" t="str">
        <f>"152326195607240420"</f>
        <v>152326195607240420</v>
      </c>
      <c r="E5019" s="1" t="s">
        <v>4986</v>
      </c>
      <c r="F5019" s="1" t="s">
        <v>16</v>
      </c>
      <c r="G5019" s="1" t="s">
        <v>17</v>
      </c>
      <c r="H5019" s="1" t="str">
        <f>"68"</f>
        <v>68</v>
      </c>
      <c r="I5019" s="1" t="str">
        <f>"155.43"</f>
        <v>155.43</v>
      </c>
      <c r="J5019" s="1" t="str">
        <f t="shared" si="2994"/>
        <v>0</v>
      </c>
      <c r="K5019" s="1" t="str">
        <f t="shared" si="2995"/>
        <v>103</v>
      </c>
      <c r="L5019" s="1" t="str">
        <f t="shared" si="2996"/>
        <v>47</v>
      </c>
      <c r="M5019" s="1" t="str">
        <f t="shared" si="2985"/>
        <v>0</v>
      </c>
      <c r="N5019" s="1" t="str">
        <f t="shared" si="2986"/>
        <v>0</v>
      </c>
      <c r="O5019" s="1" t="str">
        <f>"5.43"</f>
        <v>5.43</v>
      </c>
    </row>
    <row r="5020" s="1" customFormat="1" spans="1:15">
      <c r="A5020" s="1" t="str">
        <f t="shared" si="2988"/>
        <v>202406</v>
      </c>
      <c r="B5020" s="1" t="str">
        <f t="shared" si="2989"/>
        <v>150525100</v>
      </c>
      <c r="C5020" s="1" t="str">
        <f>"1040646435"</f>
        <v>1040646435</v>
      </c>
      <c r="D5020" s="1" t="s">
        <v>4987</v>
      </c>
      <c r="E5020" s="1" t="s">
        <v>4988</v>
      </c>
      <c r="F5020" s="1" t="s">
        <v>25</v>
      </c>
      <c r="G5020" s="1" t="s">
        <v>17</v>
      </c>
      <c r="H5020" s="1" t="str">
        <f>"65"</f>
        <v>65</v>
      </c>
      <c r="I5020" s="1" t="str">
        <f>"157.6"</f>
        <v>157.6</v>
      </c>
      <c r="J5020" s="1" t="str">
        <f t="shared" si="2994"/>
        <v>0</v>
      </c>
      <c r="K5020" s="1" t="str">
        <f t="shared" si="2995"/>
        <v>103</v>
      </c>
      <c r="L5020" s="1" t="str">
        <f t="shared" si="2996"/>
        <v>47</v>
      </c>
      <c r="M5020" s="1" t="str">
        <f t="shared" si="2985"/>
        <v>0</v>
      </c>
      <c r="N5020" s="1" t="str">
        <f t="shared" si="2986"/>
        <v>0</v>
      </c>
      <c r="O5020" s="1" t="str">
        <f>"7.6"</f>
        <v>7.6</v>
      </c>
    </row>
    <row r="5021" s="1" customFormat="1" spans="1:15">
      <c r="A5021" s="1" t="str">
        <f t="shared" si="2988"/>
        <v>202406</v>
      </c>
      <c r="B5021" s="1" t="str">
        <f t="shared" si="2989"/>
        <v>150525100</v>
      </c>
      <c r="C5021" s="1" t="str">
        <f>"1040647139"</f>
        <v>1040647139</v>
      </c>
      <c r="D5021" s="1" t="s">
        <v>4989</v>
      </c>
      <c r="E5021" s="1" t="s">
        <v>4990</v>
      </c>
      <c r="F5021" s="1" t="s">
        <v>25</v>
      </c>
      <c r="G5021" s="1" t="s">
        <v>17</v>
      </c>
      <c r="H5021" s="1" t="str">
        <f>"72"</f>
        <v>72</v>
      </c>
      <c r="I5021" s="1" t="str">
        <f>"161.54"</f>
        <v>161.54</v>
      </c>
      <c r="J5021" s="1" t="str">
        <f t="shared" si="2994"/>
        <v>0</v>
      </c>
      <c r="K5021" s="1" t="str">
        <f t="shared" si="2995"/>
        <v>103</v>
      </c>
      <c r="L5021" s="1" t="str">
        <f t="shared" si="2996"/>
        <v>47</v>
      </c>
      <c r="M5021" s="1" t="str">
        <f t="shared" si="2985"/>
        <v>0</v>
      </c>
      <c r="N5021" s="1" t="str">
        <f t="shared" si="2986"/>
        <v>0</v>
      </c>
      <c r="O5021" s="1" t="str">
        <f>"1.54"</f>
        <v>1.54</v>
      </c>
    </row>
    <row r="5022" s="1" customFormat="1" spans="1:15">
      <c r="A5022" s="1" t="str">
        <f t="shared" si="2988"/>
        <v>202406</v>
      </c>
      <c r="B5022" s="1" t="str">
        <f t="shared" si="2989"/>
        <v>150525100</v>
      </c>
      <c r="C5022" s="1" t="str">
        <f>"1040647273"</f>
        <v>1040647273</v>
      </c>
      <c r="D5022" s="1" t="str">
        <f>"152326195610270911"</f>
        <v>152326195610270911</v>
      </c>
      <c r="E5022" s="1" t="s">
        <v>4991</v>
      </c>
      <c r="F5022" s="1" t="s">
        <v>25</v>
      </c>
      <c r="G5022" s="1" t="s">
        <v>19</v>
      </c>
      <c r="H5022" s="1" t="str">
        <f>"68"</f>
        <v>68</v>
      </c>
      <c r="I5022" s="1" t="str">
        <f>"158.53"</f>
        <v>158.53</v>
      </c>
      <c r="J5022" s="1" t="str">
        <f t="shared" si="2994"/>
        <v>0</v>
      </c>
      <c r="K5022" s="1" t="str">
        <f t="shared" si="2995"/>
        <v>103</v>
      </c>
      <c r="L5022" s="1" t="str">
        <f t="shared" si="2996"/>
        <v>47</v>
      </c>
      <c r="M5022" s="1" t="str">
        <f t="shared" si="2985"/>
        <v>0</v>
      </c>
      <c r="N5022" s="1" t="str">
        <f t="shared" si="2986"/>
        <v>0</v>
      </c>
      <c r="O5022" s="1" t="str">
        <f>"8.53"</f>
        <v>8.53</v>
      </c>
    </row>
    <row r="5023" s="1" customFormat="1" spans="1:15">
      <c r="A5023" s="1" t="str">
        <f t="shared" si="2988"/>
        <v>202406</v>
      </c>
      <c r="B5023" s="1" t="str">
        <f t="shared" si="2989"/>
        <v>150525100</v>
      </c>
      <c r="C5023" s="1" t="str">
        <f>"1040647275"</f>
        <v>1040647275</v>
      </c>
      <c r="D5023" s="1" t="str">
        <f>"152326195411140911"</f>
        <v>152326195411140911</v>
      </c>
      <c r="E5023" s="1" t="s">
        <v>4992</v>
      </c>
      <c r="F5023" s="1" t="s">
        <v>25</v>
      </c>
      <c r="G5023" s="1" t="s">
        <v>19</v>
      </c>
      <c r="H5023" s="1" t="str">
        <f>"70"</f>
        <v>70</v>
      </c>
      <c r="I5023" s="1" t="str">
        <f>"153.52"</f>
        <v>153.52</v>
      </c>
      <c r="J5023" s="1" t="str">
        <f t="shared" si="2994"/>
        <v>0</v>
      </c>
      <c r="K5023" s="1" t="str">
        <f t="shared" si="2995"/>
        <v>103</v>
      </c>
      <c r="L5023" s="1" t="str">
        <f t="shared" si="2996"/>
        <v>47</v>
      </c>
      <c r="M5023" s="1" t="str">
        <f t="shared" si="2985"/>
        <v>0</v>
      </c>
      <c r="N5023" s="1" t="str">
        <f t="shared" si="2986"/>
        <v>0</v>
      </c>
      <c r="O5023" s="1" t="str">
        <f>"3.52"</f>
        <v>3.52</v>
      </c>
    </row>
    <row r="5024" s="1" customFormat="1" spans="1:15">
      <c r="A5024" s="1" t="str">
        <f t="shared" si="2988"/>
        <v>202406</v>
      </c>
      <c r="B5024" s="1" t="str">
        <f t="shared" si="2989"/>
        <v>150525100</v>
      </c>
      <c r="C5024" s="1" t="str">
        <f>"1040647282"</f>
        <v>1040647282</v>
      </c>
      <c r="D5024" s="1" t="str">
        <f>"152326195411110915"</f>
        <v>152326195411110915</v>
      </c>
      <c r="E5024" s="1" t="s">
        <v>4993</v>
      </c>
      <c r="F5024" s="1" t="s">
        <v>25</v>
      </c>
      <c r="G5024" s="1" t="s">
        <v>19</v>
      </c>
      <c r="H5024" s="1" t="str">
        <f>"70"</f>
        <v>70</v>
      </c>
      <c r="I5024" s="1" t="str">
        <f>"153.52"</f>
        <v>153.52</v>
      </c>
      <c r="J5024" s="1" t="str">
        <f t="shared" si="2994"/>
        <v>0</v>
      </c>
      <c r="K5024" s="1" t="str">
        <f t="shared" si="2995"/>
        <v>103</v>
      </c>
      <c r="L5024" s="1" t="str">
        <f t="shared" si="2996"/>
        <v>47</v>
      </c>
      <c r="M5024" s="1" t="str">
        <f t="shared" ref="M5024:M5087" si="2997">"0"</f>
        <v>0</v>
      </c>
      <c r="N5024" s="1" t="str">
        <f t="shared" si="2986"/>
        <v>0</v>
      </c>
      <c r="O5024" s="1" t="str">
        <f>"3.52"</f>
        <v>3.52</v>
      </c>
    </row>
    <row r="5025" s="1" customFormat="1" spans="1:15">
      <c r="A5025" s="1" t="str">
        <f t="shared" si="2988"/>
        <v>202406</v>
      </c>
      <c r="B5025" s="1" t="str">
        <f t="shared" si="2989"/>
        <v>150525100</v>
      </c>
      <c r="C5025" s="1" t="str">
        <f>"1040647286"</f>
        <v>1040647286</v>
      </c>
      <c r="D5025" s="1" t="s">
        <v>4994</v>
      </c>
      <c r="E5025" s="1" t="s">
        <v>4995</v>
      </c>
      <c r="F5025" s="1" t="s">
        <v>25</v>
      </c>
      <c r="G5025" s="1" t="s">
        <v>19</v>
      </c>
      <c r="H5025" s="1" t="str">
        <f>"69"</f>
        <v>69</v>
      </c>
      <c r="I5025" s="1" t="str">
        <f>"154.48"</f>
        <v>154.48</v>
      </c>
      <c r="J5025" s="1" t="str">
        <f t="shared" si="2994"/>
        <v>0</v>
      </c>
      <c r="K5025" s="1" t="str">
        <f t="shared" si="2995"/>
        <v>103</v>
      </c>
      <c r="L5025" s="1" t="str">
        <f t="shared" si="2996"/>
        <v>47</v>
      </c>
      <c r="M5025" s="1" t="str">
        <f t="shared" si="2997"/>
        <v>0</v>
      </c>
      <c r="N5025" s="1" t="str">
        <f t="shared" si="2986"/>
        <v>0</v>
      </c>
      <c r="O5025" s="1" t="str">
        <f>"4.48"</f>
        <v>4.48</v>
      </c>
    </row>
    <row r="5026" s="1" customFormat="1" spans="1:15">
      <c r="A5026" s="1" t="str">
        <f t="shared" si="2988"/>
        <v>202406</v>
      </c>
      <c r="B5026" s="1" t="str">
        <f t="shared" si="2989"/>
        <v>150525100</v>
      </c>
      <c r="C5026" s="1" t="str">
        <f>"1040647296"</f>
        <v>1040647296</v>
      </c>
      <c r="D5026" s="1" t="str">
        <f>"152326195307100928"</f>
        <v>152326195307100928</v>
      </c>
      <c r="E5026" s="1" t="s">
        <v>4996</v>
      </c>
      <c r="F5026" s="1" t="s">
        <v>16</v>
      </c>
      <c r="G5026" s="1" t="s">
        <v>19</v>
      </c>
      <c r="H5026" s="1" t="str">
        <f>"71"</f>
        <v>71</v>
      </c>
      <c r="I5026" s="1" t="str">
        <f>"162.54"</f>
        <v>162.54</v>
      </c>
      <c r="J5026" s="1" t="str">
        <f t="shared" si="2994"/>
        <v>0</v>
      </c>
      <c r="K5026" s="1" t="str">
        <f t="shared" si="2995"/>
        <v>103</v>
      </c>
      <c r="L5026" s="1" t="str">
        <f t="shared" si="2996"/>
        <v>47</v>
      </c>
      <c r="M5026" s="1" t="str">
        <f t="shared" si="2997"/>
        <v>0</v>
      </c>
      <c r="N5026" s="1" t="str">
        <f t="shared" si="2986"/>
        <v>0</v>
      </c>
      <c r="O5026" s="1" t="str">
        <f>"2.54"</f>
        <v>2.54</v>
      </c>
    </row>
    <row r="5027" s="1" customFormat="1" spans="1:15">
      <c r="A5027" s="1" t="str">
        <f t="shared" si="2988"/>
        <v>202406</v>
      </c>
      <c r="B5027" s="1" t="str">
        <f t="shared" si="2989"/>
        <v>150525100</v>
      </c>
      <c r="C5027" s="1" t="str">
        <f>"1040647310"</f>
        <v>1040647310</v>
      </c>
      <c r="D5027" s="1" t="str">
        <f>"152326196302100923"</f>
        <v>152326196302100923</v>
      </c>
      <c r="E5027" s="1" t="s">
        <v>4997</v>
      </c>
      <c r="F5027" s="1" t="s">
        <v>16</v>
      </c>
      <c r="G5027" s="1" t="s">
        <v>19</v>
      </c>
      <c r="H5027" s="1" t="str">
        <f>"61"</f>
        <v>61</v>
      </c>
      <c r="I5027" s="1" t="str">
        <f>"164.92"</f>
        <v>164.92</v>
      </c>
      <c r="J5027" s="1" t="str">
        <f t="shared" si="2994"/>
        <v>0</v>
      </c>
      <c r="K5027" s="1" t="str">
        <f t="shared" si="2995"/>
        <v>103</v>
      </c>
      <c r="L5027" s="1" t="str">
        <f t="shared" si="2996"/>
        <v>47</v>
      </c>
      <c r="M5027" s="1" t="str">
        <f t="shared" si="2997"/>
        <v>0</v>
      </c>
      <c r="N5027" s="1" t="str">
        <f t="shared" si="2986"/>
        <v>0</v>
      </c>
      <c r="O5027" s="1" t="str">
        <f>"14.92"</f>
        <v>14.92</v>
      </c>
    </row>
    <row r="5028" s="1" customFormat="1" spans="1:15">
      <c r="A5028" s="1" t="str">
        <f t="shared" si="2988"/>
        <v>202406</v>
      </c>
      <c r="B5028" s="1" t="str">
        <f t="shared" si="2989"/>
        <v>150525100</v>
      </c>
      <c r="C5028" s="1" t="str">
        <f>"1040647375"</f>
        <v>1040647375</v>
      </c>
      <c r="D5028" s="1" t="str">
        <f>"152326195508203827"</f>
        <v>152326195508203827</v>
      </c>
      <c r="E5028" s="1" t="s">
        <v>4998</v>
      </c>
      <c r="F5028" s="1" t="s">
        <v>16</v>
      </c>
      <c r="G5028" s="1" t="s">
        <v>19</v>
      </c>
      <c r="H5028" s="1" t="str">
        <f>"69"</f>
        <v>69</v>
      </c>
      <c r="I5028" s="1" t="str">
        <f>"154.51"</f>
        <v>154.51</v>
      </c>
      <c r="J5028" s="1" t="str">
        <f t="shared" si="2994"/>
        <v>0</v>
      </c>
      <c r="K5028" s="1" t="str">
        <f t="shared" si="2995"/>
        <v>103</v>
      </c>
      <c r="L5028" s="1" t="str">
        <f t="shared" si="2996"/>
        <v>47</v>
      </c>
      <c r="M5028" s="1" t="str">
        <f t="shared" si="2997"/>
        <v>0</v>
      </c>
      <c r="N5028" s="1" t="str">
        <f t="shared" si="2986"/>
        <v>0</v>
      </c>
      <c r="O5028" s="1" t="str">
        <f>"4.51"</f>
        <v>4.51</v>
      </c>
    </row>
    <row r="5029" s="1" customFormat="1" spans="1:15">
      <c r="A5029" s="1" t="str">
        <f t="shared" si="2988"/>
        <v>202406</v>
      </c>
      <c r="B5029" s="1" t="str">
        <f t="shared" si="2989"/>
        <v>150525100</v>
      </c>
      <c r="C5029" s="1" t="str">
        <f>"1040647385"</f>
        <v>1040647385</v>
      </c>
      <c r="D5029" s="1" t="str">
        <f>"152326196111043831"</f>
        <v>152326196111043831</v>
      </c>
      <c r="E5029" s="1" t="s">
        <v>4999</v>
      </c>
      <c r="F5029" s="1" t="s">
        <v>25</v>
      </c>
      <c r="G5029" s="1" t="s">
        <v>17</v>
      </c>
      <c r="H5029" s="1" t="str">
        <f>"63"</f>
        <v>63</v>
      </c>
      <c r="I5029" s="1" t="str">
        <f>"160.51"</f>
        <v>160.51</v>
      </c>
      <c r="J5029" s="1" t="str">
        <f t="shared" si="2994"/>
        <v>0</v>
      </c>
      <c r="K5029" s="1" t="str">
        <f t="shared" si="2995"/>
        <v>103</v>
      </c>
      <c r="L5029" s="1" t="str">
        <f t="shared" si="2996"/>
        <v>47</v>
      </c>
      <c r="M5029" s="1" t="str">
        <f t="shared" si="2997"/>
        <v>0</v>
      </c>
      <c r="N5029" s="1" t="str">
        <f t="shared" si="2986"/>
        <v>0</v>
      </c>
      <c r="O5029" s="1" t="str">
        <f>"10.51"</f>
        <v>10.51</v>
      </c>
    </row>
    <row r="5030" s="1" customFormat="1" spans="1:15">
      <c r="A5030" s="1" t="str">
        <f t="shared" si="2988"/>
        <v>202406</v>
      </c>
      <c r="B5030" s="1" t="str">
        <f t="shared" si="2989"/>
        <v>150525100</v>
      </c>
      <c r="C5030" s="1" t="str">
        <f>"1040647398"</f>
        <v>1040647398</v>
      </c>
      <c r="D5030" s="1" t="str">
        <f>"152326196211280666"</f>
        <v>152326196211280666</v>
      </c>
      <c r="E5030" s="1" t="s">
        <v>5000</v>
      </c>
      <c r="F5030" s="1" t="s">
        <v>16</v>
      </c>
      <c r="G5030" s="1" t="s">
        <v>19</v>
      </c>
      <c r="H5030" s="1" t="str">
        <f>"62"</f>
        <v>62</v>
      </c>
      <c r="I5030" s="1" t="str">
        <f>"164.24"</f>
        <v>164.24</v>
      </c>
      <c r="J5030" s="1" t="str">
        <f t="shared" si="2994"/>
        <v>0</v>
      </c>
      <c r="K5030" s="1" t="str">
        <f t="shared" si="2995"/>
        <v>103</v>
      </c>
      <c r="L5030" s="1" t="str">
        <f t="shared" si="2996"/>
        <v>47</v>
      </c>
      <c r="M5030" s="1" t="str">
        <f t="shared" si="2997"/>
        <v>0</v>
      </c>
      <c r="N5030" s="1" t="str">
        <f t="shared" si="2986"/>
        <v>0</v>
      </c>
      <c r="O5030" s="1" t="str">
        <f>"14.24"</f>
        <v>14.24</v>
      </c>
    </row>
    <row r="5031" s="1" customFormat="1" spans="1:15">
      <c r="A5031" s="1" t="str">
        <f t="shared" si="2988"/>
        <v>202406</v>
      </c>
      <c r="B5031" s="1" t="str">
        <f t="shared" si="2989"/>
        <v>150525100</v>
      </c>
      <c r="C5031" s="1" t="str">
        <f>"1040647419"</f>
        <v>1040647419</v>
      </c>
      <c r="D5031" s="1" t="str">
        <f>"152326196312236373"</f>
        <v>152326196312236373</v>
      </c>
      <c r="E5031" s="1" t="s">
        <v>5001</v>
      </c>
      <c r="F5031" s="1" t="s">
        <v>25</v>
      </c>
      <c r="G5031" s="1" t="s">
        <v>17</v>
      </c>
      <c r="H5031" s="1" t="str">
        <f>"61"</f>
        <v>61</v>
      </c>
      <c r="I5031" s="1" t="str">
        <f>"163.57"</f>
        <v>163.57</v>
      </c>
      <c r="J5031" s="1" t="str">
        <f t="shared" si="2994"/>
        <v>0</v>
      </c>
      <c r="K5031" s="1" t="str">
        <f t="shared" si="2995"/>
        <v>103</v>
      </c>
      <c r="L5031" s="1" t="str">
        <f t="shared" si="2996"/>
        <v>47</v>
      </c>
      <c r="M5031" s="1" t="str">
        <f t="shared" si="2997"/>
        <v>0</v>
      </c>
      <c r="N5031" s="1" t="str">
        <f t="shared" si="2986"/>
        <v>0</v>
      </c>
      <c r="O5031" s="1" t="str">
        <f>"13.57"</f>
        <v>13.57</v>
      </c>
    </row>
    <row r="5032" s="1" customFormat="1" spans="1:15">
      <c r="A5032" s="1" t="str">
        <f t="shared" si="2988"/>
        <v>202406</v>
      </c>
      <c r="B5032" s="1" t="str">
        <f t="shared" si="2989"/>
        <v>150525100</v>
      </c>
      <c r="C5032" s="1" t="str">
        <f>"1040647439"</f>
        <v>1040647439</v>
      </c>
      <c r="D5032" s="1" t="str">
        <f>"152326195501080676"</f>
        <v>152326195501080676</v>
      </c>
      <c r="E5032" s="1" t="s">
        <v>5002</v>
      </c>
      <c r="F5032" s="1" t="s">
        <v>25</v>
      </c>
      <c r="G5032" s="1" t="s">
        <v>19</v>
      </c>
      <c r="H5032" s="1" t="str">
        <f>"69"</f>
        <v>69</v>
      </c>
      <c r="I5032" s="1" t="str">
        <f>"154.52"</f>
        <v>154.52</v>
      </c>
      <c r="J5032" s="1" t="str">
        <f t="shared" si="2994"/>
        <v>0</v>
      </c>
      <c r="K5032" s="1" t="str">
        <f t="shared" si="2995"/>
        <v>103</v>
      </c>
      <c r="L5032" s="1" t="str">
        <f t="shared" si="2996"/>
        <v>47</v>
      </c>
      <c r="M5032" s="1" t="str">
        <f t="shared" si="2997"/>
        <v>0</v>
      </c>
      <c r="N5032" s="1" t="str">
        <f t="shared" si="2986"/>
        <v>0</v>
      </c>
      <c r="O5032" s="1" t="str">
        <f>"4.52"</f>
        <v>4.52</v>
      </c>
    </row>
    <row r="5033" s="1" customFormat="1" spans="1:15">
      <c r="A5033" s="1" t="str">
        <f t="shared" si="2988"/>
        <v>202406</v>
      </c>
      <c r="B5033" s="1" t="str">
        <f t="shared" si="2989"/>
        <v>150525100</v>
      </c>
      <c r="C5033" s="1" t="str">
        <f>"1040647472"</f>
        <v>1040647472</v>
      </c>
      <c r="D5033" s="1" t="str">
        <f>"152326196106200660"</f>
        <v>152326196106200660</v>
      </c>
      <c r="E5033" s="1" t="s">
        <v>5003</v>
      </c>
      <c r="F5033" s="1" t="s">
        <v>16</v>
      </c>
      <c r="G5033" s="1" t="s">
        <v>17</v>
      </c>
      <c r="H5033" s="1" t="str">
        <f>"63"</f>
        <v>63</v>
      </c>
      <c r="I5033" s="1" t="str">
        <f>"161.21"</f>
        <v>161.21</v>
      </c>
      <c r="J5033" s="1" t="str">
        <f t="shared" si="2994"/>
        <v>0</v>
      </c>
      <c r="K5033" s="1" t="str">
        <f t="shared" si="2995"/>
        <v>103</v>
      </c>
      <c r="L5033" s="1" t="str">
        <f t="shared" si="2996"/>
        <v>47</v>
      </c>
      <c r="M5033" s="1" t="str">
        <f t="shared" si="2997"/>
        <v>0</v>
      </c>
      <c r="N5033" s="1" t="str">
        <f t="shared" si="2986"/>
        <v>0</v>
      </c>
      <c r="O5033" s="1" t="str">
        <f>"11.21"</f>
        <v>11.21</v>
      </c>
    </row>
    <row r="5034" s="1" customFormat="1" spans="1:15">
      <c r="A5034" s="1" t="str">
        <f t="shared" si="2988"/>
        <v>202406</v>
      </c>
      <c r="B5034" s="1" t="str">
        <f t="shared" si="2989"/>
        <v>150525100</v>
      </c>
      <c r="C5034" s="1" t="str">
        <f>"1040647534"</f>
        <v>1040647534</v>
      </c>
      <c r="D5034" s="1" t="str">
        <f>"152326196205170671"</f>
        <v>152326196205170671</v>
      </c>
      <c r="E5034" s="1" t="s">
        <v>5004</v>
      </c>
      <c r="F5034" s="1" t="s">
        <v>25</v>
      </c>
      <c r="G5034" s="1" t="s">
        <v>19</v>
      </c>
      <c r="H5034" s="1" t="str">
        <f>"62"</f>
        <v>62</v>
      </c>
      <c r="I5034" s="1" t="str">
        <f>"162.38"</f>
        <v>162.38</v>
      </c>
      <c r="J5034" s="1" t="str">
        <f t="shared" si="2994"/>
        <v>0</v>
      </c>
      <c r="K5034" s="1" t="str">
        <f t="shared" si="2995"/>
        <v>103</v>
      </c>
      <c r="L5034" s="1" t="str">
        <f t="shared" si="2996"/>
        <v>47</v>
      </c>
      <c r="M5034" s="1" t="str">
        <f t="shared" si="2997"/>
        <v>0</v>
      </c>
      <c r="N5034" s="1" t="str">
        <f t="shared" si="2986"/>
        <v>0</v>
      </c>
      <c r="O5034" s="1" t="str">
        <f>"12.38"</f>
        <v>12.38</v>
      </c>
    </row>
    <row r="5035" s="1" customFormat="1" spans="1:15">
      <c r="A5035" s="1" t="str">
        <f t="shared" si="2988"/>
        <v>202406</v>
      </c>
      <c r="B5035" s="1" t="str">
        <f t="shared" si="2989"/>
        <v>150525100</v>
      </c>
      <c r="C5035" s="1" t="str">
        <f>"1040647551"</f>
        <v>1040647551</v>
      </c>
      <c r="D5035" s="1" t="str">
        <f>"152326195410076380"</f>
        <v>152326195410076380</v>
      </c>
      <c r="E5035" s="1" t="s">
        <v>5005</v>
      </c>
      <c r="F5035" s="1" t="s">
        <v>16</v>
      </c>
      <c r="G5035" s="1" t="s">
        <v>19</v>
      </c>
      <c r="H5035" s="1" t="str">
        <f>"70"</f>
        <v>70</v>
      </c>
      <c r="I5035" s="1" t="str">
        <f>"153.55"</f>
        <v>153.55</v>
      </c>
      <c r="J5035" s="1" t="str">
        <f t="shared" si="2994"/>
        <v>0</v>
      </c>
      <c r="K5035" s="1" t="str">
        <f t="shared" si="2995"/>
        <v>103</v>
      </c>
      <c r="L5035" s="1" t="str">
        <f t="shared" si="2996"/>
        <v>47</v>
      </c>
      <c r="M5035" s="1" t="str">
        <f t="shared" si="2997"/>
        <v>0</v>
      </c>
      <c r="N5035" s="1" t="str">
        <f t="shared" si="2986"/>
        <v>0</v>
      </c>
      <c r="O5035" s="1" t="str">
        <f>"3.55"</f>
        <v>3.55</v>
      </c>
    </row>
    <row r="5036" s="1" customFormat="1" spans="1:15">
      <c r="A5036" s="1" t="str">
        <f t="shared" si="2988"/>
        <v>202406</v>
      </c>
      <c r="B5036" s="1" t="str">
        <f t="shared" si="2989"/>
        <v>150525100</v>
      </c>
      <c r="C5036" s="1" t="str">
        <f>"1040647594"</f>
        <v>1040647594</v>
      </c>
      <c r="D5036" s="1" t="str">
        <f>"152326195903236119"</f>
        <v>152326195903236119</v>
      </c>
      <c r="E5036" s="1" t="s">
        <v>5006</v>
      </c>
      <c r="F5036" s="1" t="s">
        <v>25</v>
      </c>
      <c r="G5036" s="1" t="s">
        <v>19</v>
      </c>
      <c r="H5036" s="1" t="str">
        <f>"65"</f>
        <v>65</v>
      </c>
      <c r="I5036" s="1" t="str">
        <f>"158.46"</f>
        <v>158.46</v>
      </c>
      <c r="J5036" s="1" t="str">
        <f t="shared" si="2994"/>
        <v>0</v>
      </c>
      <c r="K5036" s="1" t="str">
        <f t="shared" si="2995"/>
        <v>103</v>
      </c>
      <c r="L5036" s="1" t="str">
        <f t="shared" si="2996"/>
        <v>47</v>
      </c>
      <c r="M5036" s="1" t="str">
        <f t="shared" si="2997"/>
        <v>0</v>
      </c>
      <c r="N5036" s="1" t="str">
        <f t="shared" si="2986"/>
        <v>0</v>
      </c>
      <c r="O5036" s="1" t="str">
        <f>"8.46"</f>
        <v>8.46</v>
      </c>
    </row>
    <row r="5037" s="1" customFormat="1" spans="1:15">
      <c r="A5037" s="1" t="str">
        <f t="shared" si="2988"/>
        <v>202406</v>
      </c>
      <c r="B5037" s="1" t="str">
        <f t="shared" si="2989"/>
        <v>150525100</v>
      </c>
      <c r="C5037" s="1" t="str">
        <f>"1040647612"</f>
        <v>1040647612</v>
      </c>
      <c r="D5037" s="1" t="str">
        <f>"152326195606116372"</f>
        <v>152326195606116372</v>
      </c>
      <c r="E5037" s="1" t="s">
        <v>5007</v>
      </c>
      <c r="F5037" s="1" t="s">
        <v>25</v>
      </c>
      <c r="G5037" s="1" t="s">
        <v>19</v>
      </c>
      <c r="H5037" s="1" t="str">
        <f>"68"</f>
        <v>68</v>
      </c>
      <c r="I5037" s="1" t="str">
        <f>"155.43"</f>
        <v>155.43</v>
      </c>
      <c r="J5037" s="1" t="str">
        <f t="shared" si="2994"/>
        <v>0</v>
      </c>
      <c r="K5037" s="1" t="str">
        <f t="shared" si="2995"/>
        <v>103</v>
      </c>
      <c r="L5037" s="1" t="str">
        <f t="shared" si="2996"/>
        <v>47</v>
      </c>
      <c r="M5037" s="1" t="str">
        <f t="shared" si="2997"/>
        <v>0</v>
      </c>
      <c r="N5037" s="1" t="str">
        <f t="shared" si="2986"/>
        <v>0</v>
      </c>
      <c r="O5037" s="1" t="str">
        <f>"5.43"</f>
        <v>5.43</v>
      </c>
    </row>
    <row r="5038" s="1" customFormat="1" spans="1:15">
      <c r="A5038" s="1" t="str">
        <f t="shared" si="2988"/>
        <v>202406</v>
      </c>
      <c r="B5038" s="1" t="str">
        <f t="shared" si="2989"/>
        <v>150525100</v>
      </c>
      <c r="C5038" s="1" t="str">
        <f>"1040687606"</f>
        <v>1040687606</v>
      </c>
      <c r="D5038" s="1" t="str">
        <f>"152326196310200684"</f>
        <v>152326196310200684</v>
      </c>
      <c r="E5038" s="1" t="s">
        <v>5008</v>
      </c>
      <c r="F5038" s="1" t="s">
        <v>16</v>
      </c>
      <c r="G5038" s="1" t="s">
        <v>17</v>
      </c>
      <c r="H5038" s="1" t="str">
        <f>"61"</f>
        <v>61</v>
      </c>
      <c r="I5038" s="1" t="str">
        <f>"164.17"</f>
        <v>164.17</v>
      </c>
      <c r="J5038" s="1" t="str">
        <f t="shared" si="2994"/>
        <v>0</v>
      </c>
      <c r="K5038" s="1" t="str">
        <f t="shared" si="2995"/>
        <v>103</v>
      </c>
      <c r="L5038" s="1" t="str">
        <f t="shared" si="2996"/>
        <v>47</v>
      </c>
      <c r="M5038" s="1" t="str">
        <f t="shared" si="2997"/>
        <v>0</v>
      </c>
      <c r="N5038" s="1" t="str">
        <f t="shared" si="2986"/>
        <v>0</v>
      </c>
      <c r="O5038" s="1" t="str">
        <f>"14.17"</f>
        <v>14.17</v>
      </c>
    </row>
    <row r="5039" s="1" customFormat="1" spans="1:15">
      <c r="A5039" s="1" t="str">
        <f t="shared" si="2988"/>
        <v>202406</v>
      </c>
      <c r="B5039" s="1" t="str">
        <f t="shared" si="2989"/>
        <v>150525100</v>
      </c>
      <c r="C5039" s="1" t="str">
        <f>"1040687612"</f>
        <v>1040687612</v>
      </c>
      <c r="D5039" s="1" t="str">
        <f>"152326196404100692"</f>
        <v>152326196404100692</v>
      </c>
      <c r="E5039" s="1" t="s">
        <v>5009</v>
      </c>
      <c r="F5039" s="1" t="s">
        <v>25</v>
      </c>
      <c r="G5039" s="1" t="s">
        <v>17</v>
      </c>
      <c r="H5039" s="1" t="str">
        <f>"60"</f>
        <v>60</v>
      </c>
      <c r="I5039" s="1" t="str">
        <f>"165.82"</f>
        <v>165.82</v>
      </c>
      <c r="J5039" s="1" t="str">
        <f t="shared" si="2994"/>
        <v>0</v>
      </c>
      <c r="K5039" s="1" t="str">
        <f t="shared" si="2995"/>
        <v>103</v>
      </c>
      <c r="L5039" s="1" t="str">
        <f t="shared" si="2996"/>
        <v>47</v>
      </c>
      <c r="M5039" s="1" t="str">
        <f t="shared" si="2997"/>
        <v>0</v>
      </c>
      <c r="N5039" s="1" t="str">
        <f t="shared" si="2986"/>
        <v>0</v>
      </c>
      <c r="O5039" s="1" t="str">
        <f>"15.82"</f>
        <v>15.82</v>
      </c>
    </row>
    <row r="5040" s="1" customFormat="1" spans="1:15">
      <c r="A5040" s="1" t="str">
        <f t="shared" si="2988"/>
        <v>202406</v>
      </c>
      <c r="B5040" s="1" t="str">
        <f t="shared" si="2989"/>
        <v>150525100</v>
      </c>
      <c r="C5040" s="1" t="str">
        <f>"1040647625"</f>
        <v>1040647625</v>
      </c>
      <c r="D5040" s="1" t="str">
        <f>"152326195706226376"</f>
        <v>152326195706226376</v>
      </c>
      <c r="E5040" s="1" t="s">
        <v>5010</v>
      </c>
      <c r="F5040" s="1" t="s">
        <v>25</v>
      </c>
      <c r="G5040" s="1" t="s">
        <v>17</v>
      </c>
      <c r="H5040" s="1" t="str">
        <f>"67"</f>
        <v>67</v>
      </c>
      <c r="I5040" s="1" t="str">
        <f>"155.47"</f>
        <v>155.47</v>
      </c>
      <c r="J5040" s="1" t="str">
        <f t="shared" si="2994"/>
        <v>0</v>
      </c>
      <c r="K5040" s="1" t="str">
        <f t="shared" si="2995"/>
        <v>103</v>
      </c>
      <c r="L5040" s="1" t="str">
        <f t="shared" si="2996"/>
        <v>47</v>
      </c>
      <c r="M5040" s="1" t="str">
        <f t="shared" si="2997"/>
        <v>0</v>
      </c>
      <c r="N5040" s="1" t="str">
        <f t="shared" si="2986"/>
        <v>0</v>
      </c>
      <c r="O5040" s="1" t="str">
        <f>"5.47"</f>
        <v>5.47</v>
      </c>
    </row>
    <row r="5041" s="1" customFormat="1" spans="1:15">
      <c r="A5041" s="1" t="str">
        <f t="shared" si="2988"/>
        <v>202406</v>
      </c>
      <c r="B5041" s="1" t="str">
        <f t="shared" si="2989"/>
        <v>150525100</v>
      </c>
      <c r="C5041" s="1" t="str">
        <f>"1040647745"</f>
        <v>1040647745</v>
      </c>
      <c r="D5041" s="1" t="str">
        <f>"152326195601293337"</f>
        <v>152326195601293337</v>
      </c>
      <c r="E5041" s="1" t="s">
        <v>5011</v>
      </c>
      <c r="F5041" s="1" t="s">
        <v>25</v>
      </c>
      <c r="G5041" s="1" t="s">
        <v>19</v>
      </c>
      <c r="H5041" s="1" t="str">
        <f>"68"</f>
        <v>68</v>
      </c>
      <c r="I5041" s="1" t="str">
        <f>"155.43"</f>
        <v>155.43</v>
      </c>
      <c r="J5041" s="1" t="str">
        <f t="shared" si="2994"/>
        <v>0</v>
      </c>
      <c r="K5041" s="1" t="str">
        <f t="shared" si="2995"/>
        <v>103</v>
      </c>
      <c r="L5041" s="1" t="str">
        <f t="shared" si="2996"/>
        <v>47</v>
      </c>
      <c r="M5041" s="1" t="str">
        <f t="shared" si="2997"/>
        <v>0</v>
      </c>
      <c r="N5041" s="1" t="str">
        <f t="shared" si="2986"/>
        <v>0</v>
      </c>
      <c r="O5041" s="1" t="str">
        <f>"5.43"</f>
        <v>5.43</v>
      </c>
    </row>
    <row r="5042" s="1" customFormat="1" spans="1:15">
      <c r="A5042" s="1" t="str">
        <f t="shared" si="2988"/>
        <v>202406</v>
      </c>
      <c r="B5042" s="1" t="str">
        <f t="shared" si="2989"/>
        <v>150525100</v>
      </c>
      <c r="C5042" s="1" t="str">
        <f>"1040647746"</f>
        <v>1040647746</v>
      </c>
      <c r="D5042" s="1" t="str">
        <f>"152326195712243340"</f>
        <v>152326195712243340</v>
      </c>
      <c r="E5042" s="1" t="s">
        <v>940</v>
      </c>
      <c r="F5042" s="1" t="s">
        <v>16</v>
      </c>
      <c r="G5042" s="1" t="s">
        <v>17</v>
      </c>
      <c r="H5042" s="1" t="str">
        <f>"67"</f>
        <v>67</v>
      </c>
      <c r="I5042" s="1" t="str">
        <f>"155.52"</f>
        <v>155.52</v>
      </c>
      <c r="J5042" s="1" t="str">
        <f t="shared" si="2994"/>
        <v>0</v>
      </c>
      <c r="K5042" s="1" t="str">
        <f t="shared" si="2995"/>
        <v>103</v>
      </c>
      <c r="L5042" s="1" t="str">
        <f t="shared" si="2996"/>
        <v>47</v>
      </c>
      <c r="M5042" s="1" t="str">
        <f t="shared" si="2997"/>
        <v>0</v>
      </c>
      <c r="N5042" s="1" t="str">
        <f t="shared" si="2986"/>
        <v>0</v>
      </c>
      <c r="O5042" s="1" t="str">
        <f>"5.52"</f>
        <v>5.52</v>
      </c>
    </row>
    <row r="5043" s="1" customFormat="1" spans="1:15">
      <c r="A5043" s="1" t="str">
        <f t="shared" si="2988"/>
        <v>202406</v>
      </c>
      <c r="B5043" s="1" t="str">
        <f t="shared" si="2989"/>
        <v>150525100</v>
      </c>
      <c r="C5043" s="1" t="str">
        <f>"1040687679"</f>
        <v>1040687679</v>
      </c>
      <c r="D5043" s="1" t="str">
        <f>"152326196210060688"</f>
        <v>152326196210060688</v>
      </c>
      <c r="E5043" s="1" t="s">
        <v>5012</v>
      </c>
      <c r="F5043" s="1" t="s">
        <v>16</v>
      </c>
      <c r="G5043" s="1" t="s">
        <v>19</v>
      </c>
      <c r="H5043" s="1" t="str">
        <f>"62"</f>
        <v>62</v>
      </c>
      <c r="I5043" s="1" t="str">
        <f>"162.19"</f>
        <v>162.19</v>
      </c>
      <c r="J5043" s="1" t="str">
        <f t="shared" si="2994"/>
        <v>0</v>
      </c>
      <c r="K5043" s="1" t="str">
        <f t="shared" si="2995"/>
        <v>103</v>
      </c>
      <c r="L5043" s="1" t="str">
        <f t="shared" si="2996"/>
        <v>47</v>
      </c>
      <c r="M5043" s="1" t="str">
        <f t="shared" si="2997"/>
        <v>0</v>
      </c>
      <c r="N5043" s="1" t="str">
        <f t="shared" si="2986"/>
        <v>0</v>
      </c>
      <c r="O5043" s="1" t="str">
        <f>"12.19"</f>
        <v>12.19</v>
      </c>
    </row>
    <row r="5044" s="1" customFormat="1" spans="1:15">
      <c r="A5044" s="1" t="str">
        <f t="shared" si="2988"/>
        <v>202406</v>
      </c>
      <c r="B5044" s="1" t="str">
        <f t="shared" si="2989"/>
        <v>150525100</v>
      </c>
      <c r="C5044" s="1" t="str">
        <f>"1040687691"</f>
        <v>1040687691</v>
      </c>
      <c r="D5044" s="1" t="str">
        <f>"152326195502170665"</f>
        <v>152326195502170665</v>
      </c>
      <c r="E5044" s="1" t="s">
        <v>5013</v>
      </c>
      <c r="F5044" s="1" t="s">
        <v>16</v>
      </c>
      <c r="G5044" s="1" t="s">
        <v>17</v>
      </c>
      <c r="H5044" s="1" t="str">
        <f>"69"</f>
        <v>69</v>
      </c>
      <c r="I5044" s="1" t="str">
        <f>"154.21"</f>
        <v>154.21</v>
      </c>
      <c r="J5044" s="1" t="str">
        <f t="shared" si="2994"/>
        <v>0</v>
      </c>
      <c r="K5044" s="1" t="str">
        <f t="shared" si="2995"/>
        <v>103</v>
      </c>
      <c r="L5044" s="1" t="str">
        <f t="shared" si="2996"/>
        <v>47</v>
      </c>
      <c r="M5044" s="1" t="str">
        <f t="shared" si="2997"/>
        <v>0</v>
      </c>
      <c r="N5044" s="1" t="str">
        <f t="shared" ref="N5044:N5107" si="2998">"0"</f>
        <v>0</v>
      </c>
      <c r="O5044" s="1" t="str">
        <f>"4.21"</f>
        <v>4.21</v>
      </c>
    </row>
    <row r="5045" s="1" customFormat="1" spans="1:15">
      <c r="A5045" s="1" t="str">
        <f t="shared" si="2988"/>
        <v>202406</v>
      </c>
      <c r="B5045" s="1" t="str">
        <f t="shared" si="2989"/>
        <v>150525100</v>
      </c>
      <c r="C5045" s="1" t="str">
        <f>"1040644362"</f>
        <v>1040644362</v>
      </c>
      <c r="D5045" s="1" t="str">
        <f>"152326196010183085"</f>
        <v>152326196010183085</v>
      </c>
      <c r="E5045" s="1" t="s">
        <v>5014</v>
      </c>
      <c r="F5045" s="1" t="s">
        <v>16</v>
      </c>
      <c r="G5045" s="1" t="s">
        <v>19</v>
      </c>
      <c r="H5045" s="1" t="str">
        <f>"64"</f>
        <v>64</v>
      </c>
      <c r="I5045" s="1" t="str">
        <f>"158.64"</f>
        <v>158.64</v>
      </c>
      <c r="J5045" s="1" t="str">
        <f t="shared" si="2994"/>
        <v>0</v>
      </c>
      <c r="K5045" s="1" t="str">
        <f t="shared" si="2995"/>
        <v>103</v>
      </c>
      <c r="L5045" s="1" t="str">
        <f t="shared" si="2996"/>
        <v>47</v>
      </c>
      <c r="M5045" s="1" t="str">
        <f t="shared" si="2997"/>
        <v>0</v>
      </c>
      <c r="N5045" s="1" t="str">
        <f t="shared" si="2998"/>
        <v>0</v>
      </c>
      <c r="O5045" s="1" t="str">
        <f>"8.64"</f>
        <v>8.64</v>
      </c>
    </row>
    <row r="5046" s="1" customFormat="1" spans="1:15">
      <c r="A5046" s="1" t="str">
        <f t="shared" si="2988"/>
        <v>202406</v>
      </c>
      <c r="B5046" s="1" t="str">
        <f t="shared" si="2989"/>
        <v>150525100</v>
      </c>
      <c r="C5046" s="1" t="str">
        <f>"1040647797"</f>
        <v>1040647797</v>
      </c>
      <c r="D5046" s="1" t="str">
        <f>"152326196302283328"</f>
        <v>152326196302283328</v>
      </c>
      <c r="E5046" s="1" t="s">
        <v>364</v>
      </c>
      <c r="F5046" s="1" t="s">
        <v>16</v>
      </c>
      <c r="G5046" s="1" t="s">
        <v>17</v>
      </c>
      <c r="H5046" s="1" t="str">
        <f>"61"</f>
        <v>61</v>
      </c>
      <c r="I5046" s="1" t="str">
        <f>"164.04"</f>
        <v>164.04</v>
      </c>
      <c r="J5046" s="1" t="str">
        <f t="shared" si="2994"/>
        <v>0</v>
      </c>
      <c r="K5046" s="1" t="str">
        <f t="shared" si="2995"/>
        <v>103</v>
      </c>
      <c r="L5046" s="1" t="str">
        <f t="shared" si="2996"/>
        <v>47</v>
      </c>
      <c r="M5046" s="1" t="str">
        <f t="shared" si="2997"/>
        <v>0</v>
      </c>
      <c r="N5046" s="1" t="str">
        <f t="shared" si="2998"/>
        <v>0</v>
      </c>
      <c r="O5046" s="1" t="str">
        <f>"14.04"</f>
        <v>14.04</v>
      </c>
    </row>
    <row r="5047" s="1" customFormat="1" spans="1:15">
      <c r="A5047" s="1" t="str">
        <f t="shared" si="2988"/>
        <v>202406</v>
      </c>
      <c r="B5047" s="1" t="str">
        <f t="shared" si="2989"/>
        <v>150525100</v>
      </c>
      <c r="C5047" s="1" t="str">
        <f>"1040648124"</f>
        <v>1040648124</v>
      </c>
      <c r="D5047" s="1" t="str">
        <f>"152326196210020424"</f>
        <v>152326196210020424</v>
      </c>
      <c r="E5047" s="1" t="s">
        <v>5015</v>
      </c>
      <c r="F5047" s="1" t="s">
        <v>16</v>
      </c>
      <c r="G5047" s="1" t="s">
        <v>17</v>
      </c>
      <c r="H5047" s="1" t="str">
        <f>"62"</f>
        <v>62</v>
      </c>
      <c r="I5047" s="1" t="str">
        <f>"162.52"</f>
        <v>162.52</v>
      </c>
      <c r="J5047" s="1" t="str">
        <f t="shared" si="2994"/>
        <v>0</v>
      </c>
      <c r="K5047" s="1" t="str">
        <f t="shared" si="2995"/>
        <v>103</v>
      </c>
      <c r="L5047" s="1" t="str">
        <f t="shared" si="2996"/>
        <v>47</v>
      </c>
      <c r="M5047" s="1" t="str">
        <f t="shared" si="2997"/>
        <v>0</v>
      </c>
      <c r="N5047" s="1" t="str">
        <f t="shared" si="2998"/>
        <v>0</v>
      </c>
      <c r="O5047" s="1" t="str">
        <f>"12.52"</f>
        <v>12.52</v>
      </c>
    </row>
    <row r="5048" s="1" customFormat="1" spans="1:15">
      <c r="A5048" s="1" t="str">
        <f t="shared" si="2988"/>
        <v>202406</v>
      </c>
      <c r="B5048" s="1" t="str">
        <f t="shared" si="2989"/>
        <v>150525100</v>
      </c>
      <c r="C5048" s="1" t="str">
        <f>"1040648144"</f>
        <v>1040648144</v>
      </c>
      <c r="D5048" s="1" t="str">
        <f>"152326195706070412"</f>
        <v>152326195706070412</v>
      </c>
      <c r="E5048" s="1" t="s">
        <v>1569</v>
      </c>
      <c r="F5048" s="1" t="s">
        <v>25</v>
      </c>
      <c r="G5048" s="1" t="s">
        <v>17</v>
      </c>
      <c r="H5048" s="1" t="str">
        <f>"67"</f>
        <v>67</v>
      </c>
      <c r="I5048" s="1" t="str">
        <f>"155.22"</f>
        <v>155.22</v>
      </c>
      <c r="J5048" s="1" t="str">
        <f t="shared" si="2994"/>
        <v>0</v>
      </c>
      <c r="K5048" s="1" t="str">
        <f t="shared" si="2995"/>
        <v>103</v>
      </c>
      <c r="L5048" s="1" t="str">
        <f t="shared" si="2996"/>
        <v>47</v>
      </c>
      <c r="M5048" s="1" t="str">
        <f t="shared" si="2997"/>
        <v>0</v>
      </c>
      <c r="N5048" s="1" t="str">
        <f t="shared" si="2998"/>
        <v>0</v>
      </c>
      <c r="O5048" s="1" t="str">
        <f>"5.22"</f>
        <v>5.22</v>
      </c>
    </row>
    <row r="5049" s="1" customFormat="1" spans="1:15">
      <c r="A5049" s="1" t="str">
        <f t="shared" si="2988"/>
        <v>202406</v>
      </c>
      <c r="B5049" s="1" t="str">
        <f t="shared" si="2989"/>
        <v>150525100</v>
      </c>
      <c r="C5049" s="1" t="str">
        <f>"1040648146"</f>
        <v>1040648146</v>
      </c>
      <c r="D5049" s="1" t="str">
        <f>"152326196005250423"</f>
        <v>152326196005250423</v>
      </c>
      <c r="E5049" s="1" t="s">
        <v>5016</v>
      </c>
      <c r="F5049" s="1" t="s">
        <v>16</v>
      </c>
      <c r="G5049" s="1" t="s">
        <v>19</v>
      </c>
      <c r="H5049" s="1" t="str">
        <f>"64"</f>
        <v>64</v>
      </c>
      <c r="I5049" s="1" t="str">
        <f>"158.59"</f>
        <v>158.59</v>
      </c>
      <c r="J5049" s="1" t="str">
        <f t="shared" si="2994"/>
        <v>0</v>
      </c>
      <c r="K5049" s="1" t="str">
        <f t="shared" si="2995"/>
        <v>103</v>
      </c>
      <c r="L5049" s="1" t="str">
        <f t="shared" si="2996"/>
        <v>47</v>
      </c>
      <c r="M5049" s="1" t="str">
        <f t="shared" si="2997"/>
        <v>0</v>
      </c>
      <c r="N5049" s="1" t="str">
        <f t="shared" si="2998"/>
        <v>0</v>
      </c>
      <c r="O5049" s="1" t="str">
        <f>"8.59"</f>
        <v>8.59</v>
      </c>
    </row>
    <row r="5050" s="1" customFormat="1" spans="1:15">
      <c r="A5050" s="1" t="str">
        <f t="shared" si="2988"/>
        <v>202406</v>
      </c>
      <c r="B5050" s="1" t="str">
        <f t="shared" si="2989"/>
        <v>150525100</v>
      </c>
      <c r="C5050" s="1" t="str">
        <f>"1040648150"</f>
        <v>1040648150</v>
      </c>
      <c r="D5050" s="1" t="str">
        <f>"152326195407140433"</f>
        <v>152326195407140433</v>
      </c>
      <c r="E5050" s="1" t="s">
        <v>5017</v>
      </c>
      <c r="F5050" s="1" t="s">
        <v>25</v>
      </c>
      <c r="G5050" s="1" t="s">
        <v>19</v>
      </c>
      <c r="H5050" s="1" t="str">
        <f>"70"</f>
        <v>70</v>
      </c>
      <c r="I5050" s="1" t="str">
        <f>"639.56"</f>
        <v>639.56</v>
      </c>
      <c r="J5050" s="1" t="str">
        <f>"479.67"</f>
        <v>479.67</v>
      </c>
      <c r="K5050" s="1" t="str">
        <f>"412"</f>
        <v>412</v>
      </c>
      <c r="L5050" s="1" t="str">
        <f>"188"</f>
        <v>188</v>
      </c>
      <c r="M5050" s="1" t="str">
        <f t="shared" si="2997"/>
        <v>0</v>
      </c>
      <c r="N5050" s="1" t="str">
        <f t="shared" si="2998"/>
        <v>0</v>
      </c>
      <c r="O5050" s="1" t="str">
        <f>"39.56"</f>
        <v>39.56</v>
      </c>
    </row>
    <row r="5051" s="1" customFormat="1" spans="1:15">
      <c r="A5051" s="1" t="str">
        <f t="shared" si="2988"/>
        <v>202406</v>
      </c>
      <c r="B5051" s="1" t="str">
        <f t="shared" si="2989"/>
        <v>150525100</v>
      </c>
      <c r="C5051" s="1" t="str">
        <f>"1040648152"</f>
        <v>1040648152</v>
      </c>
      <c r="D5051" s="1" t="str">
        <f>"152326196209260439"</f>
        <v>152326196209260439</v>
      </c>
      <c r="E5051" s="1" t="s">
        <v>5018</v>
      </c>
      <c r="F5051" s="1" t="s">
        <v>25</v>
      </c>
      <c r="G5051" s="1" t="s">
        <v>17</v>
      </c>
      <c r="H5051" s="1" t="str">
        <f>"62"</f>
        <v>62</v>
      </c>
      <c r="I5051" s="1" t="str">
        <f>"649.88"</f>
        <v>649.88</v>
      </c>
      <c r="J5051" s="1" t="str">
        <f>"487.41"</f>
        <v>487.41</v>
      </c>
      <c r="K5051" s="1" t="str">
        <f>"412"</f>
        <v>412</v>
      </c>
      <c r="L5051" s="1" t="str">
        <f>"188"</f>
        <v>188</v>
      </c>
      <c r="M5051" s="1" t="str">
        <f t="shared" si="2997"/>
        <v>0</v>
      </c>
      <c r="N5051" s="1" t="str">
        <f t="shared" si="2998"/>
        <v>0</v>
      </c>
      <c r="O5051" s="1" t="str">
        <f>"49.88"</f>
        <v>49.88</v>
      </c>
    </row>
    <row r="5052" s="1" customFormat="1" spans="1:15">
      <c r="A5052" s="1" t="str">
        <f t="shared" si="2988"/>
        <v>202406</v>
      </c>
      <c r="B5052" s="1" t="str">
        <f t="shared" si="2989"/>
        <v>150525100</v>
      </c>
      <c r="C5052" s="1" t="str">
        <f>"1040687743"</f>
        <v>1040687743</v>
      </c>
      <c r="D5052" s="1" t="str">
        <f>"152326195911163335"</f>
        <v>152326195911163335</v>
      </c>
      <c r="E5052" s="1" t="s">
        <v>5019</v>
      </c>
      <c r="F5052" s="1" t="s">
        <v>25</v>
      </c>
      <c r="G5052" s="1" t="s">
        <v>19</v>
      </c>
      <c r="H5052" s="1" t="str">
        <f>"65"</f>
        <v>65</v>
      </c>
      <c r="I5052" s="1" t="str">
        <f>"159.01"</f>
        <v>159.01</v>
      </c>
      <c r="J5052" s="1" t="str">
        <f t="shared" ref="J5052:J5086" si="2999">"0"</f>
        <v>0</v>
      </c>
      <c r="K5052" s="1" t="str">
        <f t="shared" ref="K5052:K5086" si="3000">"103"</f>
        <v>103</v>
      </c>
      <c r="L5052" s="1" t="str">
        <f t="shared" ref="L5052:L5086" si="3001">"47"</f>
        <v>47</v>
      </c>
      <c r="M5052" s="1" t="str">
        <f t="shared" si="2997"/>
        <v>0</v>
      </c>
      <c r="N5052" s="1" t="str">
        <f t="shared" si="2998"/>
        <v>0</v>
      </c>
      <c r="O5052" s="1" t="str">
        <f>"9.01"</f>
        <v>9.01</v>
      </c>
    </row>
    <row r="5053" s="1" customFormat="1" spans="1:15">
      <c r="A5053" s="1" t="str">
        <f t="shared" si="2988"/>
        <v>202406</v>
      </c>
      <c r="B5053" s="1" t="str">
        <f t="shared" si="2989"/>
        <v>150525100</v>
      </c>
      <c r="C5053" s="1" t="str">
        <f>"1040687746"</f>
        <v>1040687746</v>
      </c>
      <c r="D5053" s="1" t="str">
        <f>"152326195612033311"</f>
        <v>152326195612033311</v>
      </c>
      <c r="E5053" s="1" t="s">
        <v>5020</v>
      </c>
      <c r="F5053" s="1" t="s">
        <v>25</v>
      </c>
      <c r="G5053" s="1" t="s">
        <v>17</v>
      </c>
      <c r="H5053" s="1" t="str">
        <f>"68"</f>
        <v>68</v>
      </c>
      <c r="I5053" s="1" t="str">
        <f>"155.13"</f>
        <v>155.13</v>
      </c>
      <c r="J5053" s="1" t="str">
        <f t="shared" si="2999"/>
        <v>0</v>
      </c>
      <c r="K5053" s="1" t="str">
        <f t="shared" si="3000"/>
        <v>103</v>
      </c>
      <c r="L5053" s="1" t="str">
        <f t="shared" si="3001"/>
        <v>47</v>
      </c>
      <c r="M5053" s="1" t="str">
        <f t="shared" si="2997"/>
        <v>0</v>
      </c>
      <c r="N5053" s="1" t="str">
        <f t="shared" si="2998"/>
        <v>0</v>
      </c>
      <c r="O5053" s="1" t="str">
        <f>"5.13"</f>
        <v>5.13</v>
      </c>
    </row>
    <row r="5054" s="1" customFormat="1" spans="1:15">
      <c r="A5054" s="1" t="str">
        <f t="shared" si="2988"/>
        <v>202406</v>
      </c>
      <c r="B5054" s="1" t="str">
        <f t="shared" si="2989"/>
        <v>150525100</v>
      </c>
      <c r="C5054" s="1" t="str">
        <f>"1040687761"</f>
        <v>1040687761</v>
      </c>
      <c r="D5054" s="1" t="str">
        <f>"152326195509113313"</f>
        <v>152326195509113313</v>
      </c>
      <c r="E5054" s="1" t="s">
        <v>5021</v>
      </c>
      <c r="F5054" s="1" t="s">
        <v>25</v>
      </c>
      <c r="G5054" s="1" t="s">
        <v>19</v>
      </c>
      <c r="H5054" s="1" t="str">
        <f>"69"</f>
        <v>69</v>
      </c>
      <c r="I5054" s="1" t="str">
        <f>"154.2"</f>
        <v>154.2</v>
      </c>
      <c r="J5054" s="1" t="str">
        <f t="shared" si="2999"/>
        <v>0</v>
      </c>
      <c r="K5054" s="1" t="str">
        <f t="shared" si="3000"/>
        <v>103</v>
      </c>
      <c r="L5054" s="1" t="str">
        <f t="shared" si="3001"/>
        <v>47</v>
      </c>
      <c r="M5054" s="1" t="str">
        <f t="shared" si="2997"/>
        <v>0</v>
      </c>
      <c r="N5054" s="1" t="str">
        <f t="shared" si="2998"/>
        <v>0</v>
      </c>
      <c r="O5054" s="1" t="str">
        <f>"4.2"</f>
        <v>4.2</v>
      </c>
    </row>
    <row r="5055" s="1" customFormat="1" spans="1:15">
      <c r="A5055" s="1" t="str">
        <f t="shared" si="2988"/>
        <v>202406</v>
      </c>
      <c r="B5055" s="1" t="str">
        <f t="shared" si="2989"/>
        <v>150525100</v>
      </c>
      <c r="C5055" s="1" t="str">
        <f>"1040687796"</f>
        <v>1040687796</v>
      </c>
      <c r="D5055" s="1" t="str">
        <f>"152326196301270701"</f>
        <v>152326196301270701</v>
      </c>
      <c r="E5055" s="1" t="s">
        <v>5022</v>
      </c>
      <c r="F5055" s="1" t="s">
        <v>16</v>
      </c>
      <c r="G5055" s="1" t="s">
        <v>17</v>
      </c>
      <c r="H5055" s="1" t="str">
        <f>"61"</f>
        <v>61</v>
      </c>
      <c r="I5055" s="1" t="str">
        <f>"164.5"</f>
        <v>164.5</v>
      </c>
      <c r="J5055" s="1" t="str">
        <f t="shared" si="2999"/>
        <v>0</v>
      </c>
      <c r="K5055" s="1" t="str">
        <f t="shared" si="3000"/>
        <v>103</v>
      </c>
      <c r="L5055" s="1" t="str">
        <f t="shared" si="3001"/>
        <v>47</v>
      </c>
      <c r="M5055" s="1" t="str">
        <f t="shared" si="2997"/>
        <v>0</v>
      </c>
      <c r="N5055" s="1" t="str">
        <f t="shared" si="2998"/>
        <v>0</v>
      </c>
      <c r="O5055" s="1" t="str">
        <f>"14.5"</f>
        <v>14.5</v>
      </c>
    </row>
    <row r="5056" s="1" customFormat="1" spans="1:15">
      <c r="A5056" s="1" t="str">
        <f t="shared" si="2988"/>
        <v>202406</v>
      </c>
      <c r="B5056" s="1" t="str">
        <f t="shared" si="2989"/>
        <v>150525100</v>
      </c>
      <c r="C5056" s="1" t="str">
        <f>"1040687802"</f>
        <v>1040687802</v>
      </c>
      <c r="D5056" s="1" t="str">
        <f>"152326195411130668"</f>
        <v>152326195411130668</v>
      </c>
      <c r="E5056" s="1" t="s">
        <v>5023</v>
      </c>
      <c r="F5056" s="1" t="s">
        <v>16</v>
      </c>
      <c r="G5056" s="1" t="s">
        <v>17</v>
      </c>
      <c r="H5056" s="1" t="str">
        <f>"70"</f>
        <v>70</v>
      </c>
      <c r="I5056" s="1" t="str">
        <f>"153.25"</f>
        <v>153.25</v>
      </c>
      <c r="J5056" s="1" t="str">
        <f t="shared" si="2999"/>
        <v>0</v>
      </c>
      <c r="K5056" s="1" t="str">
        <f t="shared" si="3000"/>
        <v>103</v>
      </c>
      <c r="L5056" s="1" t="str">
        <f t="shared" si="3001"/>
        <v>47</v>
      </c>
      <c r="M5056" s="1" t="str">
        <f t="shared" si="2997"/>
        <v>0</v>
      </c>
      <c r="N5056" s="1" t="str">
        <f t="shared" si="2998"/>
        <v>0</v>
      </c>
      <c r="O5056" s="1" t="str">
        <f>"3.25"</f>
        <v>3.25</v>
      </c>
    </row>
    <row r="5057" s="1" customFormat="1" spans="1:15">
      <c r="A5057" s="1" t="str">
        <f t="shared" si="2988"/>
        <v>202406</v>
      </c>
      <c r="B5057" s="1" t="str">
        <f t="shared" si="2989"/>
        <v>150525100</v>
      </c>
      <c r="C5057" s="1" t="str">
        <f>"1040687837"</f>
        <v>1040687837</v>
      </c>
      <c r="D5057" s="1" t="str">
        <f>"152326196310043826"</f>
        <v>152326196310043826</v>
      </c>
      <c r="E5057" s="1" t="s">
        <v>385</v>
      </c>
      <c r="F5057" s="1" t="s">
        <v>16</v>
      </c>
      <c r="G5057" s="1" t="s">
        <v>17</v>
      </c>
      <c r="H5057" s="1" t="str">
        <f>"61"</f>
        <v>61</v>
      </c>
      <c r="I5057" s="1" t="str">
        <f>"164.12"</f>
        <v>164.12</v>
      </c>
      <c r="J5057" s="1" t="str">
        <f t="shared" si="2999"/>
        <v>0</v>
      </c>
      <c r="K5057" s="1" t="str">
        <f t="shared" si="3000"/>
        <v>103</v>
      </c>
      <c r="L5057" s="1" t="str">
        <f t="shared" si="3001"/>
        <v>47</v>
      </c>
      <c r="M5057" s="1" t="str">
        <f t="shared" si="2997"/>
        <v>0</v>
      </c>
      <c r="N5057" s="1" t="str">
        <f t="shared" si="2998"/>
        <v>0</v>
      </c>
      <c r="O5057" s="1" t="str">
        <f>"14.12"</f>
        <v>14.12</v>
      </c>
    </row>
    <row r="5058" s="1" customFormat="1" spans="1:15">
      <c r="A5058" s="1" t="str">
        <f t="shared" ref="A5058:A5121" si="3002">"202406"</f>
        <v>202406</v>
      </c>
      <c r="B5058" s="1" t="str">
        <f t="shared" ref="B5058:B5121" si="3003">"150525100"</f>
        <v>150525100</v>
      </c>
      <c r="C5058" s="1" t="str">
        <f>"1040687879"</f>
        <v>1040687879</v>
      </c>
      <c r="D5058" s="1" t="str">
        <f>"152326195608120412"</f>
        <v>152326195608120412</v>
      </c>
      <c r="E5058" s="1" t="s">
        <v>5024</v>
      </c>
      <c r="F5058" s="1" t="s">
        <v>25</v>
      </c>
      <c r="G5058" s="1" t="s">
        <v>17</v>
      </c>
      <c r="H5058" s="1" t="str">
        <f>"68"</f>
        <v>68</v>
      </c>
      <c r="I5058" s="1" t="str">
        <f>"155.12"</f>
        <v>155.12</v>
      </c>
      <c r="J5058" s="1" t="str">
        <f t="shared" si="2999"/>
        <v>0</v>
      </c>
      <c r="K5058" s="1" t="str">
        <f t="shared" si="3000"/>
        <v>103</v>
      </c>
      <c r="L5058" s="1" t="str">
        <f t="shared" si="3001"/>
        <v>47</v>
      </c>
      <c r="M5058" s="1" t="str">
        <f t="shared" si="2997"/>
        <v>0</v>
      </c>
      <c r="N5058" s="1" t="str">
        <f t="shared" si="2998"/>
        <v>0</v>
      </c>
      <c r="O5058" s="1" t="str">
        <f>"5.12"</f>
        <v>5.12</v>
      </c>
    </row>
    <row r="5059" s="1" customFormat="1" spans="1:15">
      <c r="A5059" s="1" t="str">
        <f t="shared" si="3002"/>
        <v>202406</v>
      </c>
      <c r="B5059" s="1" t="str">
        <f t="shared" si="3003"/>
        <v>150525100</v>
      </c>
      <c r="C5059" s="1" t="str">
        <f>"1040653678"</f>
        <v>1040653678</v>
      </c>
      <c r="D5059" s="1" t="str">
        <f>"150525195511150028"</f>
        <v>150525195511150028</v>
      </c>
      <c r="E5059" s="1" t="s">
        <v>5025</v>
      </c>
      <c r="F5059" s="1" t="s">
        <v>16</v>
      </c>
      <c r="G5059" s="1" t="s">
        <v>19</v>
      </c>
      <c r="H5059" s="1" t="str">
        <f>"69"</f>
        <v>69</v>
      </c>
      <c r="I5059" s="1" t="str">
        <f>"154.74"</f>
        <v>154.74</v>
      </c>
      <c r="J5059" s="1" t="str">
        <f t="shared" si="2999"/>
        <v>0</v>
      </c>
      <c r="K5059" s="1" t="str">
        <f t="shared" si="3000"/>
        <v>103</v>
      </c>
      <c r="L5059" s="1" t="str">
        <f t="shared" si="3001"/>
        <v>47</v>
      </c>
      <c r="M5059" s="1" t="str">
        <f t="shared" si="2997"/>
        <v>0</v>
      </c>
      <c r="N5059" s="1" t="str">
        <f t="shared" si="2998"/>
        <v>0</v>
      </c>
      <c r="O5059" s="1" t="str">
        <f>"4.74"</f>
        <v>4.74</v>
      </c>
    </row>
    <row r="5060" s="1" customFormat="1" spans="1:15">
      <c r="A5060" s="1" t="str">
        <f t="shared" si="3002"/>
        <v>202406</v>
      </c>
      <c r="B5060" s="1" t="str">
        <f t="shared" si="3003"/>
        <v>150525100</v>
      </c>
      <c r="C5060" s="1" t="str">
        <f>"1040687896"</f>
        <v>1040687896</v>
      </c>
      <c r="D5060" s="1" t="str">
        <f>"152326195607250426"</f>
        <v>152326195607250426</v>
      </c>
      <c r="E5060" s="1" t="s">
        <v>5026</v>
      </c>
      <c r="F5060" s="1" t="s">
        <v>16</v>
      </c>
      <c r="G5060" s="1" t="s">
        <v>17</v>
      </c>
      <c r="H5060" s="1" t="str">
        <f>"68"</f>
        <v>68</v>
      </c>
      <c r="I5060" s="1" t="str">
        <f>"155.12"</f>
        <v>155.12</v>
      </c>
      <c r="J5060" s="1" t="str">
        <f t="shared" si="2999"/>
        <v>0</v>
      </c>
      <c r="K5060" s="1" t="str">
        <f t="shared" si="3000"/>
        <v>103</v>
      </c>
      <c r="L5060" s="1" t="str">
        <f t="shared" si="3001"/>
        <v>47</v>
      </c>
      <c r="M5060" s="1" t="str">
        <f t="shared" si="2997"/>
        <v>0</v>
      </c>
      <c r="N5060" s="1" t="str">
        <f t="shared" si="2998"/>
        <v>0</v>
      </c>
      <c r="O5060" s="1" t="str">
        <f>"5.12"</f>
        <v>5.12</v>
      </c>
    </row>
    <row r="5061" s="1" customFormat="1" spans="1:15">
      <c r="A5061" s="1" t="str">
        <f t="shared" si="3002"/>
        <v>202406</v>
      </c>
      <c r="B5061" s="1" t="str">
        <f t="shared" si="3003"/>
        <v>150525100</v>
      </c>
      <c r="C5061" s="1" t="str">
        <f>"1040687902"</f>
        <v>1040687902</v>
      </c>
      <c r="D5061" s="1" t="str">
        <f>"152326195903150411"</f>
        <v>152326195903150411</v>
      </c>
      <c r="E5061" s="1" t="s">
        <v>4323</v>
      </c>
      <c r="F5061" s="1" t="s">
        <v>25</v>
      </c>
      <c r="G5061" s="1" t="s">
        <v>17</v>
      </c>
      <c r="H5061" s="1" t="str">
        <f>"65"</f>
        <v>65</v>
      </c>
      <c r="I5061" s="1" t="str">
        <f>"157.2"</f>
        <v>157.2</v>
      </c>
      <c r="J5061" s="1" t="str">
        <f t="shared" si="2999"/>
        <v>0</v>
      </c>
      <c r="K5061" s="1" t="str">
        <f t="shared" si="3000"/>
        <v>103</v>
      </c>
      <c r="L5061" s="1" t="str">
        <f t="shared" si="3001"/>
        <v>47</v>
      </c>
      <c r="M5061" s="1" t="str">
        <f t="shared" si="2997"/>
        <v>0</v>
      </c>
      <c r="N5061" s="1" t="str">
        <f t="shared" si="2998"/>
        <v>0</v>
      </c>
      <c r="O5061" s="1" t="str">
        <f>"7.2"</f>
        <v>7.2</v>
      </c>
    </row>
    <row r="5062" s="1" customFormat="1" spans="1:15">
      <c r="A5062" s="1" t="str">
        <f t="shared" si="3002"/>
        <v>202406</v>
      </c>
      <c r="B5062" s="1" t="str">
        <f t="shared" si="3003"/>
        <v>150525100</v>
      </c>
      <c r="C5062" s="1" t="str">
        <f>"1040688107"</f>
        <v>1040688107</v>
      </c>
      <c r="D5062" s="1" t="str">
        <f>"152326195510010426"</f>
        <v>152326195510010426</v>
      </c>
      <c r="E5062" s="1" t="s">
        <v>2343</v>
      </c>
      <c r="F5062" s="1" t="s">
        <v>16</v>
      </c>
      <c r="G5062" s="1" t="s">
        <v>17</v>
      </c>
      <c r="H5062" s="1" t="str">
        <f>"69"</f>
        <v>69</v>
      </c>
      <c r="I5062" s="1" t="str">
        <f>"169.58"</f>
        <v>169.58</v>
      </c>
      <c r="J5062" s="1" t="str">
        <f t="shared" si="2999"/>
        <v>0</v>
      </c>
      <c r="K5062" s="1" t="str">
        <f t="shared" si="3000"/>
        <v>103</v>
      </c>
      <c r="L5062" s="1" t="str">
        <f t="shared" si="3001"/>
        <v>47</v>
      </c>
      <c r="M5062" s="1" t="str">
        <f t="shared" si="2997"/>
        <v>0</v>
      </c>
      <c r="N5062" s="1" t="str">
        <f t="shared" si="2998"/>
        <v>0</v>
      </c>
      <c r="O5062" s="1" t="str">
        <f>"19.58"</f>
        <v>19.58</v>
      </c>
    </row>
    <row r="5063" s="1" customFormat="1" spans="1:15">
      <c r="A5063" s="1" t="str">
        <f t="shared" si="3002"/>
        <v>202406</v>
      </c>
      <c r="B5063" s="1" t="str">
        <f t="shared" si="3003"/>
        <v>150525100</v>
      </c>
      <c r="C5063" s="1" t="str">
        <f>"1040688125"</f>
        <v>1040688125</v>
      </c>
      <c r="D5063" s="1" t="str">
        <f>"152326195804200444"</f>
        <v>152326195804200444</v>
      </c>
      <c r="E5063" s="1" t="s">
        <v>5027</v>
      </c>
      <c r="F5063" s="1" t="s">
        <v>16</v>
      </c>
      <c r="G5063" s="1" t="s">
        <v>17</v>
      </c>
      <c r="H5063" s="1" t="str">
        <f>"66"</f>
        <v>66</v>
      </c>
      <c r="I5063" s="1" t="str">
        <f>"156.17"</f>
        <v>156.17</v>
      </c>
      <c r="J5063" s="1" t="str">
        <f t="shared" si="2999"/>
        <v>0</v>
      </c>
      <c r="K5063" s="1" t="str">
        <f t="shared" si="3000"/>
        <v>103</v>
      </c>
      <c r="L5063" s="1" t="str">
        <f t="shared" si="3001"/>
        <v>47</v>
      </c>
      <c r="M5063" s="1" t="str">
        <f t="shared" si="2997"/>
        <v>0</v>
      </c>
      <c r="N5063" s="1" t="str">
        <f t="shared" si="2998"/>
        <v>0</v>
      </c>
      <c r="O5063" s="1" t="str">
        <f>"6.17"</f>
        <v>6.17</v>
      </c>
    </row>
    <row r="5064" s="1" customFormat="1" spans="1:15">
      <c r="A5064" s="1" t="str">
        <f t="shared" si="3002"/>
        <v>202406</v>
      </c>
      <c r="B5064" s="1" t="str">
        <f t="shared" si="3003"/>
        <v>150525100</v>
      </c>
      <c r="C5064" s="1" t="str">
        <f>"1040688133"</f>
        <v>1040688133</v>
      </c>
      <c r="D5064" s="1" t="str">
        <f>"152326196212030415"</f>
        <v>152326196212030415</v>
      </c>
      <c r="E5064" s="1" t="s">
        <v>5028</v>
      </c>
      <c r="F5064" s="1" t="s">
        <v>25</v>
      </c>
      <c r="G5064" s="1" t="s">
        <v>17</v>
      </c>
      <c r="H5064" s="1" t="str">
        <f>"62"</f>
        <v>62</v>
      </c>
      <c r="I5064" s="1" t="str">
        <f>"171.03"</f>
        <v>171.03</v>
      </c>
      <c r="J5064" s="1" t="str">
        <f t="shared" si="2999"/>
        <v>0</v>
      </c>
      <c r="K5064" s="1" t="str">
        <f t="shared" si="3000"/>
        <v>103</v>
      </c>
      <c r="L5064" s="1" t="str">
        <f t="shared" si="3001"/>
        <v>47</v>
      </c>
      <c r="M5064" s="1" t="str">
        <f t="shared" si="2997"/>
        <v>0</v>
      </c>
      <c r="N5064" s="1" t="str">
        <f t="shared" si="2998"/>
        <v>0</v>
      </c>
      <c r="O5064" s="1" t="str">
        <f>"21.03"</f>
        <v>21.03</v>
      </c>
    </row>
    <row r="5065" s="1" customFormat="1" spans="1:15">
      <c r="A5065" s="1" t="str">
        <f t="shared" si="3002"/>
        <v>202406</v>
      </c>
      <c r="B5065" s="1" t="str">
        <f t="shared" si="3003"/>
        <v>150525100</v>
      </c>
      <c r="C5065" s="1" t="str">
        <f>"1040688135"</f>
        <v>1040688135</v>
      </c>
      <c r="D5065" s="1" t="str">
        <f>"152326195506230442"</f>
        <v>152326195506230442</v>
      </c>
      <c r="E5065" s="1" t="s">
        <v>5029</v>
      </c>
      <c r="F5065" s="1" t="s">
        <v>16</v>
      </c>
      <c r="G5065" s="1" t="s">
        <v>17</v>
      </c>
      <c r="H5065" s="1" t="str">
        <f>"69"</f>
        <v>69</v>
      </c>
      <c r="I5065" s="1" t="str">
        <f>"154.2"</f>
        <v>154.2</v>
      </c>
      <c r="J5065" s="1" t="str">
        <f t="shared" si="2999"/>
        <v>0</v>
      </c>
      <c r="K5065" s="1" t="str">
        <f t="shared" si="3000"/>
        <v>103</v>
      </c>
      <c r="L5065" s="1" t="str">
        <f t="shared" si="3001"/>
        <v>47</v>
      </c>
      <c r="M5065" s="1" t="str">
        <f t="shared" si="2997"/>
        <v>0</v>
      </c>
      <c r="N5065" s="1" t="str">
        <f t="shared" si="2998"/>
        <v>0</v>
      </c>
      <c r="O5065" s="1" t="str">
        <f>"4.2"</f>
        <v>4.2</v>
      </c>
    </row>
    <row r="5066" s="1" customFormat="1" spans="1:15">
      <c r="A5066" s="1" t="str">
        <f t="shared" si="3002"/>
        <v>202406</v>
      </c>
      <c r="B5066" s="1" t="str">
        <f t="shared" si="3003"/>
        <v>150525100</v>
      </c>
      <c r="C5066" s="1" t="str">
        <f>"1040688157"</f>
        <v>1040688157</v>
      </c>
      <c r="D5066" s="1" t="str">
        <f>"152326195608290411"</f>
        <v>152326195608290411</v>
      </c>
      <c r="E5066" s="1" t="s">
        <v>5030</v>
      </c>
      <c r="F5066" s="1" t="s">
        <v>25</v>
      </c>
      <c r="G5066" s="1" t="s">
        <v>17</v>
      </c>
      <c r="H5066" s="1" t="str">
        <f>"68"</f>
        <v>68</v>
      </c>
      <c r="I5066" s="1" t="str">
        <f>"159.69"</f>
        <v>159.69</v>
      </c>
      <c r="J5066" s="1" t="str">
        <f t="shared" si="2999"/>
        <v>0</v>
      </c>
      <c r="K5066" s="1" t="str">
        <f t="shared" si="3000"/>
        <v>103</v>
      </c>
      <c r="L5066" s="1" t="str">
        <f t="shared" si="3001"/>
        <v>47</v>
      </c>
      <c r="M5066" s="1" t="str">
        <f t="shared" si="2997"/>
        <v>0</v>
      </c>
      <c r="N5066" s="1" t="str">
        <f t="shared" si="2998"/>
        <v>0</v>
      </c>
      <c r="O5066" s="1" t="str">
        <f>"9.69"</f>
        <v>9.69</v>
      </c>
    </row>
    <row r="5067" s="1" customFormat="1" spans="1:15">
      <c r="A5067" s="1" t="str">
        <f t="shared" si="3002"/>
        <v>202406</v>
      </c>
      <c r="B5067" s="1" t="str">
        <f t="shared" si="3003"/>
        <v>150525100</v>
      </c>
      <c r="C5067" s="1" t="str">
        <f>"1040688158"</f>
        <v>1040688158</v>
      </c>
      <c r="D5067" s="1" t="str">
        <f>"152326195912120425"</f>
        <v>152326195912120425</v>
      </c>
      <c r="E5067" s="1" t="s">
        <v>5031</v>
      </c>
      <c r="F5067" s="1" t="s">
        <v>16</v>
      </c>
      <c r="G5067" s="1" t="s">
        <v>17</v>
      </c>
      <c r="H5067" s="1" t="str">
        <f>"65"</f>
        <v>65</v>
      </c>
      <c r="I5067" s="1" t="str">
        <f>"157.28"</f>
        <v>157.28</v>
      </c>
      <c r="J5067" s="1" t="str">
        <f t="shared" si="2999"/>
        <v>0</v>
      </c>
      <c r="K5067" s="1" t="str">
        <f t="shared" si="3000"/>
        <v>103</v>
      </c>
      <c r="L5067" s="1" t="str">
        <f t="shared" si="3001"/>
        <v>47</v>
      </c>
      <c r="M5067" s="1" t="str">
        <f t="shared" si="2997"/>
        <v>0</v>
      </c>
      <c r="N5067" s="1" t="str">
        <f t="shared" si="2998"/>
        <v>0</v>
      </c>
      <c r="O5067" s="1" t="str">
        <f>"7.28"</f>
        <v>7.28</v>
      </c>
    </row>
    <row r="5068" s="1" customFormat="1" spans="1:15">
      <c r="A5068" s="1" t="str">
        <f t="shared" si="3002"/>
        <v>202406</v>
      </c>
      <c r="B5068" s="1" t="str">
        <f t="shared" si="3003"/>
        <v>150525100</v>
      </c>
      <c r="C5068" s="1" t="str">
        <f>"1040688179"</f>
        <v>1040688179</v>
      </c>
      <c r="D5068" s="1" t="str">
        <f>"152326195803290038"</f>
        <v>152326195803290038</v>
      </c>
      <c r="E5068" s="1" t="s">
        <v>5032</v>
      </c>
      <c r="F5068" s="1" t="s">
        <v>25</v>
      </c>
      <c r="G5068" s="1" t="s">
        <v>17</v>
      </c>
      <c r="H5068" s="1" t="str">
        <f>"66"</f>
        <v>66</v>
      </c>
      <c r="I5068" s="1" t="str">
        <f>"157.62"</f>
        <v>157.62</v>
      </c>
      <c r="J5068" s="1" t="str">
        <f t="shared" si="2999"/>
        <v>0</v>
      </c>
      <c r="K5068" s="1" t="str">
        <f t="shared" si="3000"/>
        <v>103</v>
      </c>
      <c r="L5068" s="1" t="str">
        <f t="shared" si="3001"/>
        <v>47</v>
      </c>
      <c r="M5068" s="1" t="str">
        <f t="shared" si="2997"/>
        <v>0</v>
      </c>
      <c r="N5068" s="1" t="str">
        <f t="shared" si="2998"/>
        <v>0</v>
      </c>
      <c r="O5068" s="1" t="str">
        <f>"7.62"</f>
        <v>7.62</v>
      </c>
    </row>
    <row r="5069" s="1" customFormat="1" spans="1:15">
      <c r="A5069" s="1" t="str">
        <f t="shared" si="3002"/>
        <v>202406</v>
      </c>
      <c r="B5069" s="1" t="str">
        <f t="shared" si="3003"/>
        <v>150525100</v>
      </c>
      <c r="C5069" s="1" t="str">
        <f>"1040688192"</f>
        <v>1040688192</v>
      </c>
      <c r="D5069" s="1" t="str">
        <f>"152326195410270087"</f>
        <v>152326195410270087</v>
      </c>
      <c r="E5069" s="1" t="s">
        <v>5033</v>
      </c>
      <c r="F5069" s="1" t="s">
        <v>16</v>
      </c>
      <c r="G5069" s="1" t="s">
        <v>17</v>
      </c>
      <c r="H5069" s="1" t="str">
        <f>"70"</f>
        <v>70</v>
      </c>
      <c r="I5069" s="1" t="str">
        <f>"153.25"</f>
        <v>153.25</v>
      </c>
      <c r="J5069" s="1" t="str">
        <f t="shared" si="2999"/>
        <v>0</v>
      </c>
      <c r="K5069" s="1" t="str">
        <f t="shared" si="3000"/>
        <v>103</v>
      </c>
      <c r="L5069" s="1" t="str">
        <f t="shared" si="3001"/>
        <v>47</v>
      </c>
      <c r="M5069" s="1" t="str">
        <f t="shared" si="2997"/>
        <v>0</v>
      </c>
      <c r="N5069" s="1" t="str">
        <f t="shared" si="2998"/>
        <v>0</v>
      </c>
      <c r="O5069" s="1" t="str">
        <f>"3.25"</f>
        <v>3.25</v>
      </c>
    </row>
    <row r="5070" s="1" customFormat="1" spans="1:15">
      <c r="A5070" s="1" t="str">
        <f t="shared" si="3002"/>
        <v>202406</v>
      </c>
      <c r="B5070" s="1" t="str">
        <f t="shared" si="3003"/>
        <v>150525100</v>
      </c>
      <c r="C5070" s="1" t="str">
        <f>"1040688205"</f>
        <v>1040688205</v>
      </c>
      <c r="D5070" s="1" t="s">
        <v>5034</v>
      </c>
      <c r="E5070" s="1" t="s">
        <v>2804</v>
      </c>
      <c r="F5070" s="1" t="s">
        <v>16</v>
      </c>
      <c r="G5070" s="1" t="s">
        <v>17</v>
      </c>
      <c r="H5070" s="1" t="str">
        <f>"62"</f>
        <v>62</v>
      </c>
      <c r="I5070" s="1" t="str">
        <f>"163.14"</f>
        <v>163.14</v>
      </c>
      <c r="J5070" s="1" t="str">
        <f t="shared" si="2999"/>
        <v>0</v>
      </c>
      <c r="K5070" s="1" t="str">
        <f t="shared" si="3000"/>
        <v>103</v>
      </c>
      <c r="L5070" s="1" t="str">
        <f t="shared" si="3001"/>
        <v>47</v>
      </c>
      <c r="M5070" s="1" t="str">
        <f t="shared" si="2997"/>
        <v>0</v>
      </c>
      <c r="N5070" s="1" t="str">
        <f t="shared" si="2998"/>
        <v>0</v>
      </c>
      <c r="O5070" s="1" t="str">
        <f>"13.14"</f>
        <v>13.14</v>
      </c>
    </row>
    <row r="5071" s="1" customFormat="1" spans="1:15">
      <c r="A5071" s="1" t="str">
        <f t="shared" si="3002"/>
        <v>202406</v>
      </c>
      <c r="B5071" s="1" t="str">
        <f t="shared" si="3003"/>
        <v>150525100</v>
      </c>
      <c r="C5071" s="1" t="str">
        <f>"1040688215"</f>
        <v>1040688215</v>
      </c>
      <c r="D5071" s="1" t="str">
        <f>"152326195404220016"</f>
        <v>152326195404220016</v>
      </c>
      <c r="E5071" s="1" t="s">
        <v>5035</v>
      </c>
      <c r="F5071" s="1" t="s">
        <v>25</v>
      </c>
      <c r="G5071" s="1" t="s">
        <v>17</v>
      </c>
      <c r="H5071" s="1" t="str">
        <f>"70"</f>
        <v>70</v>
      </c>
      <c r="I5071" s="1" t="str">
        <f>"163.25"</f>
        <v>163.25</v>
      </c>
      <c r="J5071" s="1" t="str">
        <f t="shared" si="2999"/>
        <v>0</v>
      </c>
      <c r="K5071" s="1" t="str">
        <f t="shared" si="3000"/>
        <v>103</v>
      </c>
      <c r="L5071" s="1" t="str">
        <f t="shared" si="3001"/>
        <v>47</v>
      </c>
      <c r="M5071" s="1" t="str">
        <f t="shared" si="2997"/>
        <v>0</v>
      </c>
      <c r="N5071" s="1" t="str">
        <f t="shared" si="2998"/>
        <v>0</v>
      </c>
      <c r="O5071" s="1" t="str">
        <f>"3.25"</f>
        <v>3.25</v>
      </c>
    </row>
    <row r="5072" s="1" customFormat="1" spans="1:15">
      <c r="A5072" s="1" t="str">
        <f t="shared" si="3002"/>
        <v>202406</v>
      </c>
      <c r="B5072" s="1" t="str">
        <f t="shared" si="3003"/>
        <v>150525100</v>
      </c>
      <c r="C5072" s="1" t="str">
        <f>"1040688222"</f>
        <v>1040688222</v>
      </c>
      <c r="D5072" s="1" t="str">
        <f>"152326195708170011"</f>
        <v>152326195708170011</v>
      </c>
      <c r="E5072" s="1" t="s">
        <v>5036</v>
      </c>
      <c r="F5072" s="1" t="s">
        <v>25</v>
      </c>
      <c r="G5072" s="1" t="s">
        <v>17</v>
      </c>
      <c r="H5072" s="1" t="str">
        <f t="shared" ref="H5072:H5076" si="3004">"67"</f>
        <v>67</v>
      </c>
      <c r="I5072" s="1" t="str">
        <f>"155.18"</f>
        <v>155.18</v>
      </c>
      <c r="J5072" s="1" t="str">
        <f t="shared" si="2999"/>
        <v>0</v>
      </c>
      <c r="K5072" s="1" t="str">
        <f t="shared" si="3000"/>
        <v>103</v>
      </c>
      <c r="L5072" s="1" t="str">
        <f t="shared" si="3001"/>
        <v>47</v>
      </c>
      <c r="M5072" s="1" t="str">
        <f t="shared" si="2997"/>
        <v>0</v>
      </c>
      <c r="N5072" s="1" t="str">
        <f t="shared" si="2998"/>
        <v>0</v>
      </c>
      <c r="O5072" s="1" t="str">
        <f>"5.18"</f>
        <v>5.18</v>
      </c>
    </row>
    <row r="5073" s="1" customFormat="1" spans="1:15">
      <c r="A5073" s="1" t="str">
        <f t="shared" si="3002"/>
        <v>202406</v>
      </c>
      <c r="B5073" s="1" t="str">
        <f t="shared" si="3003"/>
        <v>150525100</v>
      </c>
      <c r="C5073" s="1" t="str">
        <f>"1040935325"</f>
        <v>1040935325</v>
      </c>
      <c r="D5073" s="1" t="str">
        <f>"152326195612110022"</f>
        <v>152326195612110022</v>
      </c>
      <c r="E5073" s="1" t="s">
        <v>5037</v>
      </c>
      <c r="F5073" s="1" t="s">
        <v>16</v>
      </c>
      <c r="G5073" s="1" t="s">
        <v>17</v>
      </c>
      <c r="H5073" s="1" t="str">
        <f>"68"</f>
        <v>68</v>
      </c>
      <c r="I5073" s="1" t="str">
        <f>"187.32"</f>
        <v>187.32</v>
      </c>
      <c r="J5073" s="1" t="str">
        <f t="shared" si="2999"/>
        <v>0</v>
      </c>
      <c r="K5073" s="1" t="str">
        <f t="shared" si="3000"/>
        <v>103</v>
      </c>
      <c r="L5073" s="1" t="str">
        <f t="shared" si="3001"/>
        <v>47</v>
      </c>
      <c r="M5073" s="1" t="str">
        <f t="shared" si="2997"/>
        <v>0</v>
      </c>
      <c r="N5073" s="1" t="str">
        <f t="shared" si="2998"/>
        <v>0</v>
      </c>
      <c r="O5073" s="1" t="str">
        <f>"37.32"</f>
        <v>37.32</v>
      </c>
    </row>
    <row r="5074" s="1" customFormat="1" spans="1:15">
      <c r="A5074" s="1" t="str">
        <f t="shared" si="3002"/>
        <v>202406</v>
      </c>
      <c r="B5074" s="1" t="str">
        <f t="shared" si="3003"/>
        <v>150525100</v>
      </c>
      <c r="C5074" s="1" t="str">
        <f>"1040935364"</f>
        <v>1040935364</v>
      </c>
      <c r="D5074" s="1" t="s">
        <v>5038</v>
      </c>
      <c r="E5074" s="1" t="s">
        <v>5039</v>
      </c>
      <c r="F5074" s="1" t="s">
        <v>16</v>
      </c>
      <c r="G5074" s="1" t="s">
        <v>17</v>
      </c>
      <c r="H5074" s="1" t="str">
        <f>"68"</f>
        <v>68</v>
      </c>
      <c r="I5074" s="1" t="str">
        <f>"154.54"</f>
        <v>154.54</v>
      </c>
      <c r="J5074" s="1" t="str">
        <f t="shared" si="2999"/>
        <v>0</v>
      </c>
      <c r="K5074" s="1" t="str">
        <f t="shared" si="3000"/>
        <v>103</v>
      </c>
      <c r="L5074" s="1" t="str">
        <f t="shared" si="3001"/>
        <v>47</v>
      </c>
      <c r="M5074" s="1" t="str">
        <f t="shared" si="2997"/>
        <v>0</v>
      </c>
      <c r="N5074" s="1" t="str">
        <f t="shared" si="2998"/>
        <v>0</v>
      </c>
      <c r="O5074" s="1" t="str">
        <f>"4.54"</f>
        <v>4.54</v>
      </c>
    </row>
    <row r="5075" s="1" customFormat="1" spans="1:15">
      <c r="A5075" s="1" t="str">
        <f t="shared" si="3002"/>
        <v>202406</v>
      </c>
      <c r="B5075" s="1" t="str">
        <f t="shared" si="3003"/>
        <v>150525100</v>
      </c>
      <c r="C5075" s="1" t="str">
        <f>"1040935384"</f>
        <v>1040935384</v>
      </c>
      <c r="D5075" s="1" t="str">
        <f>"152326195711220016"</f>
        <v>152326195711220016</v>
      </c>
      <c r="E5075" s="1" t="s">
        <v>5040</v>
      </c>
      <c r="F5075" s="1" t="s">
        <v>25</v>
      </c>
      <c r="G5075" s="1" t="s">
        <v>17</v>
      </c>
      <c r="H5075" s="1" t="str">
        <f t="shared" si="3004"/>
        <v>67</v>
      </c>
      <c r="I5075" s="1" t="str">
        <f>"155.51"</f>
        <v>155.51</v>
      </c>
      <c r="J5075" s="1" t="str">
        <f t="shared" si="2999"/>
        <v>0</v>
      </c>
      <c r="K5075" s="1" t="str">
        <f t="shared" si="3000"/>
        <v>103</v>
      </c>
      <c r="L5075" s="1" t="str">
        <f t="shared" si="3001"/>
        <v>47</v>
      </c>
      <c r="M5075" s="1" t="str">
        <f t="shared" si="2997"/>
        <v>0</v>
      </c>
      <c r="N5075" s="1" t="str">
        <f t="shared" si="2998"/>
        <v>0</v>
      </c>
      <c r="O5075" s="1" t="str">
        <f>"5.51"</f>
        <v>5.51</v>
      </c>
    </row>
    <row r="5076" s="1" customFormat="1" spans="1:15">
      <c r="A5076" s="1" t="str">
        <f t="shared" si="3002"/>
        <v>202406</v>
      </c>
      <c r="B5076" s="1" t="str">
        <f t="shared" si="3003"/>
        <v>150525100</v>
      </c>
      <c r="C5076" s="1" t="str">
        <f>"1040935491"</f>
        <v>1040935491</v>
      </c>
      <c r="D5076" s="1" t="str">
        <f>"152326195701113823"</f>
        <v>152326195701113823</v>
      </c>
      <c r="E5076" s="1" t="s">
        <v>5041</v>
      </c>
      <c r="F5076" s="1" t="s">
        <v>16</v>
      </c>
      <c r="G5076" s="1" t="s">
        <v>17</v>
      </c>
      <c r="H5076" s="1" t="str">
        <f t="shared" si="3004"/>
        <v>67</v>
      </c>
      <c r="I5076" s="1" t="str">
        <f>"155.55"</f>
        <v>155.55</v>
      </c>
      <c r="J5076" s="1" t="str">
        <f t="shared" si="2999"/>
        <v>0</v>
      </c>
      <c r="K5076" s="1" t="str">
        <f t="shared" si="3000"/>
        <v>103</v>
      </c>
      <c r="L5076" s="1" t="str">
        <f t="shared" si="3001"/>
        <v>47</v>
      </c>
      <c r="M5076" s="1" t="str">
        <f t="shared" si="2997"/>
        <v>0</v>
      </c>
      <c r="N5076" s="1" t="str">
        <f t="shared" si="2998"/>
        <v>0</v>
      </c>
      <c r="O5076" s="1" t="str">
        <f>"5.55"</f>
        <v>5.55</v>
      </c>
    </row>
    <row r="5077" s="1" customFormat="1" spans="1:15">
      <c r="A5077" s="1" t="str">
        <f t="shared" si="3002"/>
        <v>202406</v>
      </c>
      <c r="B5077" s="1" t="str">
        <f t="shared" si="3003"/>
        <v>150525100</v>
      </c>
      <c r="C5077" s="1" t="str">
        <f>"1040910912"</f>
        <v>1040910912</v>
      </c>
      <c r="D5077" s="1" t="str">
        <f>"152326196002253346"</f>
        <v>152326196002253346</v>
      </c>
      <c r="E5077" s="1" t="s">
        <v>5042</v>
      </c>
      <c r="F5077" s="1" t="s">
        <v>16</v>
      </c>
      <c r="G5077" s="1" t="s">
        <v>17</v>
      </c>
      <c r="H5077" s="1" t="str">
        <f>"64"</f>
        <v>64</v>
      </c>
      <c r="I5077" s="1" t="str">
        <f>"157.34"</f>
        <v>157.34</v>
      </c>
      <c r="J5077" s="1" t="str">
        <f t="shared" si="2999"/>
        <v>0</v>
      </c>
      <c r="K5077" s="1" t="str">
        <f t="shared" si="3000"/>
        <v>103</v>
      </c>
      <c r="L5077" s="1" t="str">
        <f t="shared" si="3001"/>
        <v>47</v>
      </c>
      <c r="M5077" s="1" t="str">
        <f t="shared" si="2997"/>
        <v>0</v>
      </c>
      <c r="N5077" s="1" t="str">
        <f t="shared" si="2998"/>
        <v>0</v>
      </c>
      <c r="O5077" s="1" t="str">
        <f>"7.34"</f>
        <v>7.34</v>
      </c>
    </row>
    <row r="5078" s="1" customFormat="1" spans="1:15">
      <c r="A5078" s="1" t="str">
        <f t="shared" si="3002"/>
        <v>202406</v>
      </c>
      <c r="B5078" s="1" t="str">
        <f t="shared" si="3003"/>
        <v>150525100</v>
      </c>
      <c r="C5078" s="1" t="str">
        <f>"1040920589"</f>
        <v>1040920589</v>
      </c>
      <c r="D5078" s="1" t="str">
        <f>"152326195810053823"</f>
        <v>152326195810053823</v>
      </c>
      <c r="E5078" s="1" t="s">
        <v>5043</v>
      </c>
      <c r="F5078" s="1" t="s">
        <v>16</v>
      </c>
      <c r="G5078" s="1" t="s">
        <v>17</v>
      </c>
      <c r="H5078" s="1" t="str">
        <f>"66"</f>
        <v>66</v>
      </c>
      <c r="I5078" s="1" t="str">
        <f>"155.34"</f>
        <v>155.34</v>
      </c>
      <c r="J5078" s="1" t="str">
        <f t="shared" si="2999"/>
        <v>0</v>
      </c>
      <c r="K5078" s="1" t="str">
        <f t="shared" si="3000"/>
        <v>103</v>
      </c>
      <c r="L5078" s="1" t="str">
        <f t="shared" si="3001"/>
        <v>47</v>
      </c>
      <c r="M5078" s="1" t="str">
        <f t="shared" si="2997"/>
        <v>0</v>
      </c>
      <c r="N5078" s="1" t="str">
        <f t="shared" si="2998"/>
        <v>0</v>
      </c>
      <c r="O5078" s="1" t="str">
        <f>"5.34"</f>
        <v>5.34</v>
      </c>
    </row>
    <row r="5079" s="1" customFormat="1" spans="1:15">
      <c r="A5079" s="1" t="str">
        <f t="shared" si="3002"/>
        <v>202406</v>
      </c>
      <c r="B5079" s="1" t="str">
        <f t="shared" si="3003"/>
        <v>150525100</v>
      </c>
      <c r="C5079" s="1" t="str">
        <f>"1040978813"</f>
        <v>1040978813</v>
      </c>
      <c r="D5079" s="1" t="str">
        <f>"152326195606023811"</f>
        <v>152326195606023811</v>
      </c>
      <c r="E5079" s="1" t="s">
        <v>5044</v>
      </c>
      <c r="F5079" s="1" t="s">
        <v>25</v>
      </c>
      <c r="G5079" s="1" t="s">
        <v>19</v>
      </c>
      <c r="H5079" s="1" t="str">
        <f>"68"</f>
        <v>68</v>
      </c>
      <c r="I5079" s="1" t="str">
        <f>"154.32"</f>
        <v>154.32</v>
      </c>
      <c r="J5079" s="1" t="str">
        <f t="shared" si="2999"/>
        <v>0</v>
      </c>
      <c r="K5079" s="1" t="str">
        <f t="shared" si="3000"/>
        <v>103</v>
      </c>
      <c r="L5079" s="1" t="str">
        <f t="shared" si="3001"/>
        <v>47</v>
      </c>
      <c r="M5079" s="1" t="str">
        <f t="shared" si="2997"/>
        <v>0</v>
      </c>
      <c r="N5079" s="1" t="str">
        <f t="shared" si="2998"/>
        <v>0</v>
      </c>
      <c r="O5079" s="1" t="str">
        <f>"4.32"</f>
        <v>4.32</v>
      </c>
    </row>
    <row r="5080" s="1" customFormat="1" spans="1:15">
      <c r="A5080" s="1" t="str">
        <f t="shared" si="3002"/>
        <v>202406</v>
      </c>
      <c r="B5080" s="1" t="str">
        <f t="shared" si="3003"/>
        <v>150525100</v>
      </c>
      <c r="C5080" s="1" t="str">
        <f>"1040989077"</f>
        <v>1040989077</v>
      </c>
      <c r="D5080" s="1" t="str">
        <f>"152326196309120679"</f>
        <v>152326196309120679</v>
      </c>
      <c r="E5080" s="1" t="s">
        <v>5045</v>
      </c>
      <c r="F5080" s="1" t="s">
        <v>25</v>
      </c>
      <c r="G5080" s="1" t="s">
        <v>17</v>
      </c>
      <c r="H5080" s="1" t="str">
        <f t="shared" ref="H5080:H5082" si="3005">"61"</f>
        <v>61</v>
      </c>
      <c r="I5080" s="1" t="str">
        <f>"163.09"</f>
        <v>163.09</v>
      </c>
      <c r="J5080" s="1" t="str">
        <f t="shared" si="2999"/>
        <v>0</v>
      </c>
      <c r="K5080" s="1" t="str">
        <f t="shared" si="3000"/>
        <v>103</v>
      </c>
      <c r="L5080" s="1" t="str">
        <f t="shared" si="3001"/>
        <v>47</v>
      </c>
      <c r="M5080" s="1" t="str">
        <f t="shared" si="2997"/>
        <v>0</v>
      </c>
      <c r="N5080" s="1" t="str">
        <f t="shared" si="2998"/>
        <v>0</v>
      </c>
      <c r="O5080" s="1" t="str">
        <f>"13.09"</f>
        <v>13.09</v>
      </c>
    </row>
    <row r="5081" s="1" customFormat="1" spans="1:15">
      <c r="A5081" s="1" t="str">
        <f t="shared" si="3002"/>
        <v>202406</v>
      </c>
      <c r="B5081" s="1" t="str">
        <f t="shared" si="3003"/>
        <v>150525100</v>
      </c>
      <c r="C5081" s="1" t="str">
        <f>"1040991378"</f>
        <v>1040991378</v>
      </c>
      <c r="D5081" s="1" t="str">
        <f>"152326196311224274"</f>
        <v>152326196311224274</v>
      </c>
      <c r="E5081" s="1" t="s">
        <v>5046</v>
      </c>
      <c r="F5081" s="1" t="s">
        <v>25</v>
      </c>
      <c r="G5081" s="1" t="s">
        <v>17</v>
      </c>
      <c r="H5081" s="1" t="str">
        <f t="shared" si="3005"/>
        <v>61</v>
      </c>
      <c r="I5081" s="1" t="str">
        <f>"180.02"</f>
        <v>180.02</v>
      </c>
      <c r="J5081" s="1" t="str">
        <f t="shared" si="2999"/>
        <v>0</v>
      </c>
      <c r="K5081" s="1" t="str">
        <f t="shared" si="3000"/>
        <v>103</v>
      </c>
      <c r="L5081" s="1" t="str">
        <f t="shared" si="3001"/>
        <v>47</v>
      </c>
      <c r="M5081" s="1" t="str">
        <f t="shared" si="2997"/>
        <v>0</v>
      </c>
      <c r="N5081" s="1" t="str">
        <f t="shared" si="2998"/>
        <v>0</v>
      </c>
      <c r="O5081" s="1" t="str">
        <f>"30.02"</f>
        <v>30.02</v>
      </c>
    </row>
    <row r="5082" s="1" customFormat="1" spans="1:15">
      <c r="A5082" s="1" t="str">
        <f t="shared" si="3002"/>
        <v>202406</v>
      </c>
      <c r="B5082" s="1" t="str">
        <f t="shared" si="3003"/>
        <v>150525100</v>
      </c>
      <c r="C5082" s="1" t="str">
        <f>"1041077743"</f>
        <v>1041077743</v>
      </c>
      <c r="D5082" s="1" t="str">
        <f>"152326196302273322"</f>
        <v>152326196302273322</v>
      </c>
      <c r="E5082" s="1" t="s">
        <v>5047</v>
      </c>
      <c r="F5082" s="1" t="s">
        <v>16</v>
      </c>
      <c r="G5082" s="1" t="s">
        <v>17</v>
      </c>
      <c r="H5082" s="1" t="str">
        <f t="shared" si="3005"/>
        <v>61</v>
      </c>
      <c r="I5082" s="1" t="str">
        <f>"166.21"</f>
        <v>166.21</v>
      </c>
      <c r="J5082" s="1" t="str">
        <f t="shared" si="2999"/>
        <v>0</v>
      </c>
      <c r="K5082" s="1" t="str">
        <f t="shared" si="3000"/>
        <v>103</v>
      </c>
      <c r="L5082" s="1" t="str">
        <f t="shared" si="3001"/>
        <v>47</v>
      </c>
      <c r="M5082" s="1" t="str">
        <f t="shared" si="2997"/>
        <v>0</v>
      </c>
      <c r="N5082" s="1" t="str">
        <f t="shared" si="2998"/>
        <v>0</v>
      </c>
      <c r="O5082" s="1" t="str">
        <f>"16.21"</f>
        <v>16.21</v>
      </c>
    </row>
    <row r="5083" s="1" customFormat="1" spans="1:15">
      <c r="A5083" s="1" t="str">
        <f t="shared" si="3002"/>
        <v>202406</v>
      </c>
      <c r="B5083" s="1" t="str">
        <f t="shared" si="3003"/>
        <v>150525100</v>
      </c>
      <c r="C5083" s="1" t="str">
        <f>"1040832565"</f>
        <v>1040832565</v>
      </c>
      <c r="D5083" s="1" t="str">
        <f>"152326194706172588"</f>
        <v>152326194706172588</v>
      </c>
      <c r="E5083" s="1" t="s">
        <v>1798</v>
      </c>
      <c r="F5083" s="1" t="s">
        <v>16</v>
      </c>
      <c r="G5083" s="1" t="s">
        <v>17</v>
      </c>
      <c r="H5083" s="1" t="str">
        <f>"77"</f>
        <v>77</v>
      </c>
      <c r="I5083" s="1" t="str">
        <f>"160"</f>
        <v>160</v>
      </c>
      <c r="J5083" s="1" t="str">
        <f t="shared" si="2999"/>
        <v>0</v>
      </c>
      <c r="K5083" s="1" t="str">
        <f t="shared" si="3000"/>
        <v>103</v>
      </c>
      <c r="L5083" s="1" t="str">
        <f t="shared" si="3001"/>
        <v>47</v>
      </c>
      <c r="M5083" s="1" t="str">
        <f t="shared" si="2997"/>
        <v>0</v>
      </c>
      <c r="N5083" s="1" t="str">
        <f t="shared" si="2998"/>
        <v>0</v>
      </c>
      <c r="O5083" s="1" t="str">
        <f t="shared" ref="O5083:O5095" si="3006">"0"</f>
        <v>0</v>
      </c>
    </row>
    <row r="5084" s="1" customFormat="1" spans="1:15">
      <c r="A5084" s="1" t="str">
        <f t="shared" si="3002"/>
        <v>202406</v>
      </c>
      <c r="B5084" s="1" t="str">
        <f t="shared" si="3003"/>
        <v>150525100</v>
      </c>
      <c r="C5084" s="1" t="str">
        <f>"1040832584"</f>
        <v>1040832584</v>
      </c>
      <c r="D5084" s="1" t="str">
        <f>"152326193212230026"</f>
        <v>152326193212230026</v>
      </c>
      <c r="E5084" s="1" t="s">
        <v>3161</v>
      </c>
      <c r="F5084" s="1" t="s">
        <v>16</v>
      </c>
      <c r="G5084" s="1" t="s">
        <v>17</v>
      </c>
      <c r="H5084" s="1" t="str">
        <f>"92"</f>
        <v>92</v>
      </c>
      <c r="I5084" s="1" t="str">
        <f t="shared" ref="I5084:I5086" si="3007">"170"</f>
        <v>170</v>
      </c>
      <c r="J5084" s="1" t="str">
        <f t="shared" si="2999"/>
        <v>0</v>
      </c>
      <c r="K5084" s="1" t="str">
        <f t="shared" si="3000"/>
        <v>103</v>
      </c>
      <c r="L5084" s="1" t="str">
        <f t="shared" si="3001"/>
        <v>47</v>
      </c>
      <c r="M5084" s="1" t="str">
        <f t="shared" si="2997"/>
        <v>0</v>
      </c>
      <c r="N5084" s="1" t="str">
        <f t="shared" si="2998"/>
        <v>0</v>
      </c>
      <c r="O5084" s="1" t="str">
        <f t="shared" si="3006"/>
        <v>0</v>
      </c>
    </row>
    <row r="5085" s="1" customFormat="1" spans="1:15">
      <c r="A5085" s="1" t="str">
        <f t="shared" si="3002"/>
        <v>202406</v>
      </c>
      <c r="B5085" s="1" t="str">
        <f t="shared" si="3003"/>
        <v>150525100</v>
      </c>
      <c r="C5085" s="1" t="str">
        <f>"1040832604"</f>
        <v>1040832604</v>
      </c>
      <c r="D5085" s="1" t="str">
        <f>"152326193506100040"</f>
        <v>152326193506100040</v>
      </c>
      <c r="E5085" s="1" t="s">
        <v>5048</v>
      </c>
      <c r="F5085" s="1" t="s">
        <v>16</v>
      </c>
      <c r="G5085" s="1" t="s">
        <v>17</v>
      </c>
      <c r="H5085" s="1" t="str">
        <f>"89"</f>
        <v>89</v>
      </c>
      <c r="I5085" s="1" t="str">
        <f t="shared" si="3007"/>
        <v>170</v>
      </c>
      <c r="J5085" s="1" t="str">
        <f t="shared" si="2999"/>
        <v>0</v>
      </c>
      <c r="K5085" s="1" t="str">
        <f t="shared" si="3000"/>
        <v>103</v>
      </c>
      <c r="L5085" s="1" t="str">
        <f t="shared" si="3001"/>
        <v>47</v>
      </c>
      <c r="M5085" s="1" t="str">
        <f t="shared" si="2997"/>
        <v>0</v>
      </c>
      <c r="N5085" s="1" t="str">
        <f t="shared" si="2998"/>
        <v>0</v>
      </c>
      <c r="O5085" s="1" t="str">
        <f t="shared" si="3006"/>
        <v>0</v>
      </c>
    </row>
    <row r="5086" s="1" customFormat="1" spans="1:15">
      <c r="A5086" s="1" t="str">
        <f t="shared" si="3002"/>
        <v>202406</v>
      </c>
      <c r="B5086" s="1" t="str">
        <f t="shared" si="3003"/>
        <v>150525100</v>
      </c>
      <c r="C5086" s="1" t="str">
        <f>"1040832635"</f>
        <v>1040832635</v>
      </c>
      <c r="D5086" s="1" t="str">
        <f>"152326194003030049"</f>
        <v>152326194003030049</v>
      </c>
      <c r="E5086" s="1" t="s">
        <v>2406</v>
      </c>
      <c r="F5086" s="1" t="s">
        <v>16</v>
      </c>
      <c r="G5086" s="1" t="s">
        <v>17</v>
      </c>
      <c r="H5086" s="1" t="str">
        <f>"84"</f>
        <v>84</v>
      </c>
      <c r="I5086" s="1" t="str">
        <f t="shared" si="3007"/>
        <v>170</v>
      </c>
      <c r="J5086" s="1" t="str">
        <f t="shared" si="2999"/>
        <v>0</v>
      </c>
      <c r="K5086" s="1" t="str">
        <f t="shared" si="3000"/>
        <v>103</v>
      </c>
      <c r="L5086" s="1" t="str">
        <f t="shared" si="3001"/>
        <v>47</v>
      </c>
      <c r="M5086" s="1" t="str">
        <f t="shared" si="2997"/>
        <v>0</v>
      </c>
      <c r="N5086" s="1" t="str">
        <f t="shared" si="2998"/>
        <v>0</v>
      </c>
      <c r="O5086" s="1" t="str">
        <f t="shared" si="3006"/>
        <v>0</v>
      </c>
    </row>
    <row r="5087" s="1" customFormat="1" spans="1:15">
      <c r="A5087" s="1" t="str">
        <f t="shared" si="3002"/>
        <v>202406</v>
      </c>
      <c r="B5087" s="1" t="str">
        <f t="shared" si="3003"/>
        <v>150525100</v>
      </c>
      <c r="C5087" s="1" t="str">
        <f>"1040832644"</f>
        <v>1040832644</v>
      </c>
      <c r="D5087" s="1" t="s">
        <v>5049</v>
      </c>
      <c r="E5087" s="1" t="s">
        <v>1011</v>
      </c>
      <c r="F5087" s="1" t="s">
        <v>16</v>
      </c>
      <c r="G5087" s="1" t="s">
        <v>17</v>
      </c>
      <c r="H5087" s="1" t="str">
        <f>"83"</f>
        <v>83</v>
      </c>
      <c r="I5087" s="1" t="str">
        <f>"1020"</f>
        <v>1020</v>
      </c>
      <c r="J5087" s="1" t="str">
        <f>"850"</f>
        <v>850</v>
      </c>
      <c r="K5087" s="1" t="str">
        <f>"618"</f>
        <v>618</v>
      </c>
      <c r="L5087" s="1" t="str">
        <f>"282"</f>
        <v>282</v>
      </c>
      <c r="M5087" s="1" t="str">
        <f t="shared" si="2997"/>
        <v>0</v>
      </c>
      <c r="N5087" s="1" t="str">
        <f t="shared" si="2998"/>
        <v>0</v>
      </c>
      <c r="O5087" s="1" t="str">
        <f t="shared" si="3006"/>
        <v>0</v>
      </c>
    </row>
    <row r="5088" s="1" customFormat="1" spans="1:15">
      <c r="A5088" s="1" t="str">
        <f t="shared" si="3002"/>
        <v>202406</v>
      </c>
      <c r="B5088" s="1" t="str">
        <f t="shared" si="3003"/>
        <v>150525100</v>
      </c>
      <c r="C5088" s="1" t="str">
        <f>"1040832684"</f>
        <v>1040832684</v>
      </c>
      <c r="D5088" s="1" t="str">
        <f>"152326194609100021"</f>
        <v>152326194609100021</v>
      </c>
      <c r="E5088" s="1" t="s">
        <v>5050</v>
      </c>
      <c r="F5088" s="1" t="s">
        <v>16</v>
      </c>
      <c r="G5088" s="1" t="s">
        <v>17</v>
      </c>
      <c r="H5088" s="1" t="str">
        <f>"78"</f>
        <v>78</v>
      </c>
      <c r="I5088" s="1" t="str">
        <f t="shared" ref="I5088:I5095" si="3008">"160"</f>
        <v>160</v>
      </c>
      <c r="J5088" s="1" t="str">
        <f t="shared" ref="J5088:J5111" si="3009">"0"</f>
        <v>0</v>
      </c>
      <c r="K5088" s="1" t="str">
        <f t="shared" ref="K5088:K5111" si="3010">"103"</f>
        <v>103</v>
      </c>
      <c r="L5088" s="1" t="str">
        <f t="shared" ref="L5088:L5111" si="3011">"47"</f>
        <v>47</v>
      </c>
      <c r="M5088" s="1" t="str">
        <f t="shared" ref="M5088:M5151" si="3012">"0"</f>
        <v>0</v>
      </c>
      <c r="N5088" s="1" t="str">
        <f t="shared" si="2998"/>
        <v>0</v>
      </c>
      <c r="O5088" s="1" t="str">
        <f t="shared" si="3006"/>
        <v>0</v>
      </c>
    </row>
    <row r="5089" s="1" customFormat="1" spans="1:15">
      <c r="A5089" s="1" t="str">
        <f t="shared" si="3002"/>
        <v>202406</v>
      </c>
      <c r="B5089" s="1" t="str">
        <f t="shared" si="3003"/>
        <v>150525100</v>
      </c>
      <c r="C5089" s="1" t="str">
        <f>"1040832703"</f>
        <v>1040832703</v>
      </c>
      <c r="D5089" s="1" t="str">
        <f>"152326194809205629"</f>
        <v>152326194809205629</v>
      </c>
      <c r="E5089" s="1" t="s">
        <v>5051</v>
      </c>
      <c r="F5089" s="1" t="s">
        <v>16</v>
      </c>
      <c r="G5089" s="1" t="s">
        <v>19</v>
      </c>
      <c r="H5089" s="1" t="str">
        <f>"76"</f>
        <v>76</v>
      </c>
      <c r="I5089" s="1" t="str">
        <f t="shared" si="3008"/>
        <v>160</v>
      </c>
      <c r="J5089" s="1" t="str">
        <f t="shared" si="3009"/>
        <v>0</v>
      </c>
      <c r="K5089" s="1" t="str">
        <f t="shared" si="3010"/>
        <v>103</v>
      </c>
      <c r="L5089" s="1" t="str">
        <f t="shared" si="3011"/>
        <v>47</v>
      </c>
      <c r="M5089" s="1" t="str">
        <f t="shared" si="3012"/>
        <v>0</v>
      </c>
      <c r="N5089" s="1" t="str">
        <f t="shared" si="2998"/>
        <v>0</v>
      </c>
      <c r="O5089" s="1" t="str">
        <f t="shared" si="3006"/>
        <v>0</v>
      </c>
    </row>
    <row r="5090" s="1" customFormat="1" spans="1:15">
      <c r="A5090" s="1" t="str">
        <f t="shared" si="3002"/>
        <v>202406</v>
      </c>
      <c r="B5090" s="1" t="str">
        <f t="shared" si="3003"/>
        <v>150525100</v>
      </c>
      <c r="C5090" s="1" t="str">
        <f>"1040832707"</f>
        <v>1040832707</v>
      </c>
      <c r="D5090" s="1" t="str">
        <f>"152326194810250021"</f>
        <v>152326194810250021</v>
      </c>
      <c r="E5090" s="1" t="s">
        <v>5052</v>
      </c>
      <c r="F5090" s="1" t="s">
        <v>16</v>
      </c>
      <c r="G5090" s="1" t="s">
        <v>17</v>
      </c>
      <c r="H5090" s="1" t="str">
        <f>"76"</f>
        <v>76</v>
      </c>
      <c r="I5090" s="1" t="str">
        <f t="shared" si="3008"/>
        <v>160</v>
      </c>
      <c r="J5090" s="1" t="str">
        <f t="shared" si="3009"/>
        <v>0</v>
      </c>
      <c r="K5090" s="1" t="str">
        <f t="shared" si="3010"/>
        <v>103</v>
      </c>
      <c r="L5090" s="1" t="str">
        <f t="shared" si="3011"/>
        <v>47</v>
      </c>
      <c r="M5090" s="1" t="str">
        <f t="shared" si="3012"/>
        <v>0</v>
      </c>
      <c r="N5090" s="1" t="str">
        <f t="shared" si="2998"/>
        <v>0</v>
      </c>
      <c r="O5090" s="1" t="str">
        <f t="shared" si="3006"/>
        <v>0</v>
      </c>
    </row>
    <row r="5091" s="1" customFormat="1" spans="1:15">
      <c r="A5091" s="1" t="str">
        <f t="shared" si="3002"/>
        <v>202406</v>
      </c>
      <c r="B5091" s="1" t="str">
        <f t="shared" si="3003"/>
        <v>150525100</v>
      </c>
      <c r="C5091" s="1" t="str">
        <f>"1040832717"</f>
        <v>1040832717</v>
      </c>
      <c r="D5091" s="1" t="str">
        <f>"152326194904220026"</f>
        <v>152326194904220026</v>
      </c>
      <c r="E5091" s="1" t="s">
        <v>5053</v>
      </c>
      <c r="F5091" s="1" t="s">
        <v>16</v>
      </c>
      <c r="G5091" s="1" t="s">
        <v>17</v>
      </c>
      <c r="H5091" s="1" t="str">
        <f t="shared" ref="H5091:H5093" si="3013">"75"</f>
        <v>75</v>
      </c>
      <c r="I5091" s="1" t="str">
        <f t="shared" si="3008"/>
        <v>160</v>
      </c>
      <c r="J5091" s="1" t="str">
        <f t="shared" si="3009"/>
        <v>0</v>
      </c>
      <c r="K5091" s="1" t="str">
        <f t="shared" si="3010"/>
        <v>103</v>
      </c>
      <c r="L5091" s="1" t="str">
        <f t="shared" si="3011"/>
        <v>47</v>
      </c>
      <c r="M5091" s="1" t="str">
        <f t="shared" si="3012"/>
        <v>0</v>
      </c>
      <c r="N5091" s="1" t="str">
        <f t="shared" si="2998"/>
        <v>0</v>
      </c>
      <c r="O5091" s="1" t="str">
        <f t="shared" si="3006"/>
        <v>0</v>
      </c>
    </row>
    <row r="5092" s="1" customFormat="1" spans="1:15">
      <c r="A5092" s="1" t="str">
        <f t="shared" si="3002"/>
        <v>202406</v>
      </c>
      <c r="B5092" s="1" t="str">
        <f t="shared" si="3003"/>
        <v>150525100</v>
      </c>
      <c r="C5092" s="1" t="str">
        <f>"1040832721"</f>
        <v>1040832721</v>
      </c>
      <c r="D5092" s="1" t="str">
        <f>"152326194907010040"</f>
        <v>152326194907010040</v>
      </c>
      <c r="E5092" s="1" t="s">
        <v>4465</v>
      </c>
      <c r="F5092" s="1" t="s">
        <v>16</v>
      </c>
      <c r="G5092" s="1" t="s">
        <v>17</v>
      </c>
      <c r="H5092" s="1" t="str">
        <f t="shared" si="3013"/>
        <v>75</v>
      </c>
      <c r="I5092" s="1" t="str">
        <f t="shared" si="3008"/>
        <v>160</v>
      </c>
      <c r="J5092" s="1" t="str">
        <f t="shared" si="3009"/>
        <v>0</v>
      </c>
      <c r="K5092" s="1" t="str">
        <f t="shared" si="3010"/>
        <v>103</v>
      </c>
      <c r="L5092" s="1" t="str">
        <f t="shared" si="3011"/>
        <v>47</v>
      </c>
      <c r="M5092" s="1" t="str">
        <f t="shared" si="3012"/>
        <v>0</v>
      </c>
      <c r="N5092" s="1" t="str">
        <f t="shared" si="2998"/>
        <v>0</v>
      </c>
      <c r="O5092" s="1" t="str">
        <f t="shared" si="3006"/>
        <v>0</v>
      </c>
    </row>
    <row r="5093" s="1" customFormat="1" spans="1:15">
      <c r="A5093" s="1" t="str">
        <f t="shared" si="3002"/>
        <v>202406</v>
      </c>
      <c r="B5093" s="1" t="str">
        <f t="shared" si="3003"/>
        <v>150525100</v>
      </c>
      <c r="C5093" s="1" t="str">
        <f>"1040832725"</f>
        <v>1040832725</v>
      </c>
      <c r="D5093" s="1" t="str">
        <f>"152326194909250056"</f>
        <v>152326194909250056</v>
      </c>
      <c r="E5093" s="1" t="s">
        <v>5054</v>
      </c>
      <c r="F5093" s="1" t="s">
        <v>25</v>
      </c>
      <c r="G5093" s="1" t="s">
        <v>17</v>
      </c>
      <c r="H5093" s="1" t="str">
        <f t="shared" si="3013"/>
        <v>75</v>
      </c>
      <c r="I5093" s="1" t="str">
        <f t="shared" si="3008"/>
        <v>160</v>
      </c>
      <c r="J5093" s="1" t="str">
        <f t="shared" si="3009"/>
        <v>0</v>
      </c>
      <c r="K5093" s="1" t="str">
        <f t="shared" si="3010"/>
        <v>103</v>
      </c>
      <c r="L5093" s="1" t="str">
        <f t="shared" si="3011"/>
        <v>47</v>
      </c>
      <c r="M5093" s="1" t="str">
        <f t="shared" si="3012"/>
        <v>0</v>
      </c>
      <c r="N5093" s="1" t="str">
        <f t="shared" si="2998"/>
        <v>0</v>
      </c>
      <c r="O5093" s="1" t="str">
        <f t="shared" si="3006"/>
        <v>0</v>
      </c>
    </row>
    <row r="5094" s="1" customFormat="1" spans="1:15">
      <c r="A5094" s="1" t="str">
        <f t="shared" si="3002"/>
        <v>202406</v>
      </c>
      <c r="B5094" s="1" t="str">
        <f t="shared" si="3003"/>
        <v>150525100</v>
      </c>
      <c r="C5094" s="1" t="str">
        <f>"1040832745"</f>
        <v>1040832745</v>
      </c>
      <c r="D5094" s="1" t="str">
        <f>"152326195101230022"</f>
        <v>152326195101230022</v>
      </c>
      <c r="E5094" s="1" t="s">
        <v>5055</v>
      </c>
      <c r="F5094" s="1" t="s">
        <v>16</v>
      </c>
      <c r="G5094" s="1" t="s">
        <v>17</v>
      </c>
      <c r="H5094" s="1" t="str">
        <f>"73"</f>
        <v>73</v>
      </c>
      <c r="I5094" s="1" t="str">
        <f t="shared" si="3008"/>
        <v>160</v>
      </c>
      <c r="J5094" s="1" t="str">
        <f t="shared" si="3009"/>
        <v>0</v>
      </c>
      <c r="K5094" s="1" t="str">
        <f t="shared" si="3010"/>
        <v>103</v>
      </c>
      <c r="L5094" s="1" t="str">
        <f t="shared" si="3011"/>
        <v>47</v>
      </c>
      <c r="M5094" s="1" t="str">
        <f t="shared" si="3012"/>
        <v>0</v>
      </c>
      <c r="N5094" s="1" t="str">
        <f t="shared" si="2998"/>
        <v>0</v>
      </c>
      <c r="O5094" s="1" t="str">
        <f t="shared" si="3006"/>
        <v>0</v>
      </c>
    </row>
    <row r="5095" s="1" customFormat="1" spans="1:15">
      <c r="A5095" s="1" t="str">
        <f t="shared" si="3002"/>
        <v>202406</v>
      </c>
      <c r="B5095" s="1" t="str">
        <f t="shared" si="3003"/>
        <v>150525100</v>
      </c>
      <c r="C5095" s="1" t="str">
        <f>"1040832749"</f>
        <v>1040832749</v>
      </c>
      <c r="D5095" s="1" t="str">
        <f>"152326195104057624"</f>
        <v>152326195104057624</v>
      </c>
      <c r="E5095" s="1" t="s">
        <v>5056</v>
      </c>
      <c r="F5095" s="1" t="s">
        <v>16</v>
      </c>
      <c r="G5095" s="1" t="s">
        <v>17</v>
      </c>
      <c r="H5095" s="1" t="str">
        <f>"73"</f>
        <v>73</v>
      </c>
      <c r="I5095" s="1" t="str">
        <f t="shared" si="3008"/>
        <v>160</v>
      </c>
      <c r="J5095" s="1" t="str">
        <f t="shared" si="3009"/>
        <v>0</v>
      </c>
      <c r="K5095" s="1" t="str">
        <f t="shared" si="3010"/>
        <v>103</v>
      </c>
      <c r="L5095" s="1" t="str">
        <f t="shared" si="3011"/>
        <v>47</v>
      </c>
      <c r="M5095" s="1" t="str">
        <f t="shared" si="3012"/>
        <v>0</v>
      </c>
      <c r="N5095" s="1" t="str">
        <f t="shared" si="2998"/>
        <v>0</v>
      </c>
      <c r="O5095" s="1" t="str">
        <f t="shared" si="3006"/>
        <v>0</v>
      </c>
    </row>
    <row r="5096" s="1" customFormat="1" spans="1:15">
      <c r="A5096" s="1" t="str">
        <f t="shared" si="3002"/>
        <v>202406</v>
      </c>
      <c r="B5096" s="1" t="str">
        <f t="shared" si="3003"/>
        <v>150525100</v>
      </c>
      <c r="C5096" s="1" t="str">
        <f>"1040965957"</f>
        <v>1040965957</v>
      </c>
      <c r="D5096" s="1" t="str">
        <f>"152326196210050439"</f>
        <v>152326196210050439</v>
      </c>
      <c r="E5096" s="1" t="s">
        <v>5057</v>
      </c>
      <c r="F5096" s="1" t="s">
        <v>25</v>
      </c>
      <c r="G5096" s="1" t="s">
        <v>17</v>
      </c>
      <c r="H5096" s="1" t="str">
        <f t="shared" ref="H5096:H5101" si="3014">"62"</f>
        <v>62</v>
      </c>
      <c r="I5096" s="1" t="str">
        <f>"161.22"</f>
        <v>161.22</v>
      </c>
      <c r="J5096" s="1" t="str">
        <f t="shared" si="3009"/>
        <v>0</v>
      </c>
      <c r="K5096" s="1" t="str">
        <f t="shared" si="3010"/>
        <v>103</v>
      </c>
      <c r="L5096" s="1" t="str">
        <f t="shared" si="3011"/>
        <v>47</v>
      </c>
      <c r="M5096" s="1" t="str">
        <f t="shared" si="3012"/>
        <v>0</v>
      </c>
      <c r="N5096" s="1" t="str">
        <f t="shared" si="2998"/>
        <v>0</v>
      </c>
      <c r="O5096" s="1" t="str">
        <f>"11.22"</f>
        <v>11.22</v>
      </c>
    </row>
    <row r="5097" s="1" customFormat="1" spans="1:15">
      <c r="A5097" s="1" t="str">
        <f t="shared" si="3002"/>
        <v>202406</v>
      </c>
      <c r="B5097" s="1" t="str">
        <f t="shared" si="3003"/>
        <v>150525100</v>
      </c>
      <c r="C5097" s="1" t="str">
        <f>"1040948658"</f>
        <v>1040948658</v>
      </c>
      <c r="D5097" s="1" t="str">
        <f>"152326196208163346"</f>
        <v>152326196208163346</v>
      </c>
      <c r="E5097" s="1" t="s">
        <v>5058</v>
      </c>
      <c r="F5097" s="1" t="s">
        <v>16</v>
      </c>
      <c r="G5097" s="1" t="s">
        <v>19</v>
      </c>
      <c r="H5097" s="1" t="str">
        <f t="shared" si="3014"/>
        <v>62</v>
      </c>
      <c r="I5097" s="1" t="str">
        <f>"161.16"</f>
        <v>161.16</v>
      </c>
      <c r="J5097" s="1" t="str">
        <f t="shared" si="3009"/>
        <v>0</v>
      </c>
      <c r="K5097" s="1" t="str">
        <f t="shared" si="3010"/>
        <v>103</v>
      </c>
      <c r="L5097" s="1" t="str">
        <f t="shared" si="3011"/>
        <v>47</v>
      </c>
      <c r="M5097" s="1" t="str">
        <f t="shared" si="3012"/>
        <v>0</v>
      </c>
      <c r="N5097" s="1" t="str">
        <f t="shared" si="2998"/>
        <v>0</v>
      </c>
      <c r="O5097" s="1" t="str">
        <f>"11.16"</f>
        <v>11.16</v>
      </c>
    </row>
    <row r="5098" s="1" customFormat="1" spans="1:15">
      <c r="A5098" s="1" t="str">
        <f t="shared" si="3002"/>
        <v>202406</v>
      </c>
      <c r="B5098" s="1" t="str">
        <f t="shared" si="3003"/>
        <v>150525100</v>
      </c>
      <c r="C5098" s="1" t="str">
        <f>"1040948657"</f>
        <v>1040948657</v>
      </c>
      <c r="D5098" s="1" t="str">
        <f>"152326195611143324"</f>
        <v>152326195611143324</v>
      </c>
      <c r="E5098" s="1" t="s">
        <v>5059</v>
      </c>
      <c r="F5098" s="1" t="s">
        <v>16</v>
      </c>
      <c r="G5098" s="1" t="s">
        <v>19</v>
      </c>
      <c r="H5098" s="1" t="str">
        <f>"68"</f>
        <v>68</v>
      </c>
      <c r="I5098" s="1" t="str">
        <f>"154.32"</f>
        <v>154.32</v>
      </c>
      <c r="J5098" s="1" t="str">
        <f t="shared" si="3009"/>
        <v>0</v>
      </c>
      <c r="K5098" s="1" t="str">
        <f t="shared" si="3010"/>
        <v>103</v>
      </c>
      <c r="L5098" s="1" t="str">
        <f t="shared" si="3011"/>
        <v>47</v>
      </c>
      <c r="M5098" s="1" t="str">
        <f t="shared" si="3012"/>
        <v>0</v>
      </c>
      <c r="N5098" s="1" t="str">
        <f t="shared" si="2998"/>
        <v>0</v>
      </c>
      <c r="O5098" s="1" t="str">
        <f>"4.32"</f>
        <v>4.32</v>
      </c>
    </row>
    <row r="5099" s="1" customFormat="1" spans="1:15">
      <c r="A5099" s="1" t="str">
        <f t="shared" si="3002"/>
        <v>202406</v>
      </c>
      <c r="B5099" s="1" t="str">
        <f t="shared" si="3003"/>
        <v>150525100</v>
      </c>
      <c r="C5099" s="1" t="str">
        <f>"1041153417"</f>
        <v>1041153417</v>
      </c>
      <c r="D5099" s="1" t="str">
        <f>"152326196403270016"</f>
        <v>152326196403270016</v>
      </c>
      <c r="E5099" s="1" t="s">
        <v>5060</v>
      </c>
      <c r="F5099" s="1" t="s">
        <v>25</v>
      </c>
      <c r="G5099" s="1" t="s">
        <v>17</v>
      </c>
      <c r="H5099" s="1" t="str">
        <f>"60"</f>
        <v>60</v>
      </c>
      <c r="I5099" s="1" t="str">
        <f>"166.12"</f>
        <v>166.12</v>
      </c>
      <c r="J5099" s="1" t="str">
        <f t="shared" si="3009"/>
        <v>0</v>
      </c>
      <c r="K5099" s="1" t="str">
        <f t="shared" si="3010"/>
        <v>103</v>
      </c>
      <c r="L5099" s="1" t="str">
        <f t="shared" si="3011"/>
        <v>47</v>
      </c>
      <c r="M5099" s="1" t="str">
        <f t="shared" si="3012"/>
        <v>0</v>
      </c>
      <c r="N5099" s="1" t="str">
        <f t="shared" si="2998"/>
        <v>0</v>
      </c>
      <c r="O5099" s="1" t="str">
        <f>"16.12"</f>
        <v>16.12</v>
      </c>
    </row>
    <row r="5100" s="1" customFormat="1" spans="1:15">
      <c r="A5100" s="1" t="str">
        <f t="shared" si="3002"/>
        <v>202406</v>
      </c>
      <c r="B5100" s="1" t="str">
        <f t="shared" si="3003"/>
        <v>150525100</v>
      </c>
      <c r="C5100" s="1" t="str">
        <f>"1041153441"</f>
        <v>1041153441</v>
      </c>
      <c r="D5100" s="1" t="str">
        <f>"152326196208210667"</f>
        <v>152326196208210667</v>
      </c>
      <c r="E5100" s="1" t="s">
        <v>5061</v>
      </c>
      <c r="F5100" s="1" t="s">
        <v>16</v>
      </c>
      <c r="G5100" s="1" t="s">
        <v>17</v>
      </c>
      <c r="H5100" s="1" t="str">
        <f t="shared" si="3014"/>
        <v>62</v>
      </c>
      <c r="I5100" s="1" t="str">
        <f>"170.02"</f>
        <v>170.02</v>
      </c>
      <c r="J5100" s="1" t="str">
        <f t="shared" si="3009"/>
        <v>0</v>
      </c>
      <c r="K5100" s="1" t="str">
        <f t="shared" si="3010"/>
        <v>103</v>
      </c>
      <c r="L5100" s="1" t="str">
        <f t="shared" si="3011"/>
        <v>47</v>
      </c>
      <c r="M5100" s="1" t="str">
        <f t="shared" si="3012"/>
        <v>0</v>
      </c>
      <c r="N5100" s="1" t="str">
        <f t="shared" si="2998"/>
        <v>0</v>
      </c>
      <c r="O5100" s="1" t="str">
        <f>"20.02"</f>
        <v>20.02</v>
      </c>
    </row>
    <row r="5101" s="1" customFormat="1" spans="1:15">
      <c r="A5101" s="1" t="str">
        <f t="shared" si="3002"/>
        <v>202406</v>
      </c>
      <c r="B5101" s="1" t="str">
        <f t="shared" si="3003"/>
        <v>150525100</v>
      </c>
      <c r="C5101" s="1" t="str">
        <f>"1041153458"</f>
        <v>1041153458</v>
      </c>
      <c r="D5101" s="1" t="str">
        <f>"152326196212070070"</f>
        <v>152326196212070070</v>
      </c>
      <c r="E5101" s="1" t="s">
        <v>5062</v>
      </c>
      <c r="F5101" s="1" t="s">
        <v>25</v>
      </c>
      <c r="G5101" s="1" t="s">
        <v>17</v>
      </c>
      <c r="H5101" s="1" t="str">
        <f t="shared" si="3014"/>
        <v>62</v>
      </c>
      <c r="I5101" s="1" t="str">
        <f>"223.9"</f>
        <v>223.9</v>
      </c>
      <c r="J5101" s="1" t="str">
        <f t="shared" si="3009"/>
        <v>0</v>
      </c>
      <c r="K5101" s="1" t="str">
        <f t="shared" si="3010"/>
        <v>103</v>
      </c>
      <c r="L5101" s="1" t="str">
        <f t="shared" si="3011"/>
        <v>47</v>
      </c>
      <c r="M5101" s="1" t="str">
        <f t="shared" si="3012"/>
        <v>0</v>
      </c>
      <c r="N5101" s="1" t="str">
        <f t="shared" si="2998"/>
        <v>0</v>
      </c>
      <c r="O5101" s="1" t="str">
        <f>"73.9"</f>
        <v>73.9</v>
      </c>
    </row>
    <row r="5102" s="1" customFormat="1" spans="1:15">
      <c r="A5102" s="1" t="str">
        <f t="shared" si="3002"/>
        <v>202406</v>
      </c>
      <c r="B5102" s="1" t="str">
        <f t="shared" si="3003"/>
        <v>150525100</v>
      </c>
      <c r="C5102" s="1" t="str">
        <f>"1041153474"</f>
        <v>1041153474</v>
      </c>
      <c r="D5102" s="1" t="str">
        <f>"152326196102100013"</f>
        <v>152326196102100013</v>
      </c>
      <c r="E5102" s="1" t="s">
        <v>5063</v>
      </c>
      <c r="F5102" s="1" t="s">
        <v>25</v>
      </c>
      <c r="G5102" s="1" t="s">
        <v>17</v>
      </c>
      <c r="H5102" s="1" t="str">
        <f>"63"</f>
        <v>63</v>
      </c>
      <c r="I5102" s="1" t="str">
        <f>"232.95"</f>
        <v>232.95</v>
      </c>
      <c r="J5102" s="1" t="str">
        <f t="shared" si="3009"/>
        <v>0</v>
      </c>
      <c r="K5102" s="1" t="str">
        <f t="shared" si="3010"/>
        <v>103</v>
      </c>
      <c r="L5102" s="1" t="str">
        <f t="shared" si="3011"/>
        <v>47</v>
      </c>
      <c r="M5102" s="1" t="str">
        <f t="shared" si="3012"/>
        <v>0</v>
      </c>
      <c r="N5102" s="1" t="str">
        <f t="shared" si="2998"/>
        <v>0</v>
      </c>
      <c r="O5102" s="1" t="str">
        <f>"82.95"</f>
        <v>82.95</v>
      </c>
    </row>
    <row r="5103" s="1" customFormat="1" spans="1:15">
      <c r="A5103" s="1" t="str">
        <f t="shared" si="3002"/>
        <v>202406</v>
      </c>
      <c r="B5103" s="1" t="str">
        <f t="shared" si="3003"/>
        <v>150525100</v>
      </c>
      <c r="C5103" s="1" t="str">
        <f>"1041153478"</f>
        <v>1041153478</v>
      </c>
      <c r="D5103" s="1" t="str">
        <f>"152326196209030043"</f>
        <v>152326196209030043</v>
      </c>
      <c r="E5103" s="1" t="s">
        <v>5064</v>
      </c>
      <c r="F5103" s="1" t="s">
        <v>16</v>
      </c>
      <c r="G5103" s="1" t="s">
        <v>17</v>
      </c>
      <c r="H5103" s="1" t="str">
        <f>"62"</f>
        <v>62</v>
      </c>
      <c r="I5103" s="1" t="str">
        <f>"243.67"</f>
        <v>243.67</v>
      </c>
      <c r="J5103" s="1" t="str">
        <f t="shared" si="3009"/>
        <v>0</v>
      </c>
      <c r="K5103" s="1" t="str">
        <f t="shared" si="3010"/>
        <v>103</v>
      </c>
      <c r="L5103" s="1" t="str">
        <f t="shared" si="3011"/>
        <v>47</v>
      </c>
      <c r="M5103" s="1" t="str">
        <f t="shared" si="3012"/>
        <v>0</v>
      </c>
      <c r="N5103" s="1" t="str">
        <f t="shared" si="2998"/>
        <v>0</v>
      </c>
      <c r="O5103" s="1" t="str">
        <f>"93.67"</f>
        <v>93.67</v>
      </c>
    </row>
    <row r="5104" s="1" customFormat="1" spans="1:15">
      <c r="A5104" s="1" t="str">
        <f t="shared" si="3002"/>
        <v>202406</v>
      </c>
      <c r="B5104" s="1" t="str">
        <f t="shared" si="3003"/>
        <v>150525100</v>
      </c>
      <c r="C5104" s="1" t="str">
        <f>"1040990035"</f>
        <v>1040990035</v>
      </c>
      <c r="D5104" s="1" t="str">
        <f>"152326196301083818"</f>
        <v>152326196301083818</v>
      </c>
      <c r="E5104" s="1" t="s">
        <v>5065</v>
      </c>
      <c r="F5104" s="1" t="s">
        <v>25</v>
      </c>
      <c r="G5104" s="1" t="s">
        <v>17</v>
      </c>
      <c r="H5104" s="1" t="str">
        <f>"61"</f>
        <v>61</v>
      </c>
      <c r="I5104" s="1" t="str">
        <f>"170.96"</f>
        <v>170.96</v>
      </c>
      <c r="J5104" s="1" t="str">
        <f t="shared" si="3009"/>
        <v>0</v>
      </c>
      <c r="K5104" s="1" t="str">
        <f t="shared" si="3010"/>
        <v>103</v>
      </c>
      <c r="L5104" s="1" t="str">
        <f t="shared" si="3011"/>
        <v>47</v>
      </c>
      <c r="M5104" s="1" t="str">
        <f t="shared" si="3012"/>
        <v>0</v>
      </c>
      <c r="N5104" s="1" t="str">
        <f t="shared" si="2998"/>
        <v>0</v>
      </c>
      <c r="O5104" s="1" t="str">
        <f>"20.96"</f>
        <v>20.96</v>
      </c>
    </row>
    <row r="5105" s="1" customFormat="1" spans="1:15">
      <c r="A5105" s="1" t="str">
        <f t="shared" si="3002"/>
        <v>202406</v>
      </c>
      <c r="B5105" s="1" t="str">
        <f t="shared" si="3003"/>
        <v>150525100</v>
      </c>
      <c r="C5105" s="1" t="str">
        <f>"1040937270"</f>
        <v>1040937270</v>
      </c>
      <c r="D5105" s="1" t="str">
        <f>"152326195604080660"</f>
        <v>152326195604080660</v>
      </c>
      <c r="E5105" s="1" t="s">
        <v>3340</v>
      </c>
      <c r="F5105" s="1" t="s">
        <v>16</v>
      </c>
      <c r="G5105" s="1" t="s">
        <v>17</v>
      </c>
      <c r="H5105" s="1" t="str">
        <f>"68"</f>
        <v>68</v>
      </c>
      <c r="I5105" s="1" t="str">
        <f>"155.43"</f>
        <v>155.43</v>
      </c>
      <c r="J5105" s="1" t="str">
        <f t="shared" si="3009"/>
        <v>0</v>
      </c>
      <c r="K5105" s="1" t="str">
        <f t="shared" si="3010"/>
        <v>103</v>
      </c>
      <c r="L5105" s="1" t="str">
        <f t="shared" si="3011"/>
        <v>47</v>
      </c>
      <c r="M5105" s="1" t="str">
        <f t="shared" si="3012"/>
        <v>0</v>
      </c>
      <c r="N5105" s="1" t="str">
        <f t="shared" si="2998"/>
        <v>0</v>
      </c>
      <c r="O5105" s="1" t="str">
        <f>"5.43"</f>
        <v>5.43</v>
      </c>
    </row>
    <row r="5106" s="1" customFormat="1" spans="1:15">
      <c r="A5106" s="1" t="str">
        <f t="shared" si="3002"/>
        <v>202406</v>
      </c>
      <c r="B5106" s="1" t="str">
        <f t="shared" si="3003"/>
        <v>150525100</v>
      </c>
      <c r="C5106" s="1" t="str">
        <f>"1040937284"</f>
        <v>1040937284</v>
      </c>
      <c r="D5106" s="1" t="str">
        <f>"152326195607230679"</f>
        <v>152326195607230679</v>
      </c>
      <c r="E5106" s="1" t="s">
        <v>5066</v>
      </c>
      <c r="F5106" s="1" t="s">
        <v>25</v>
      </c>
      <c r="G5106" s="1" t="s">
        <v>17</v>
      </c>
      <c r="H5106" s="1" t="str">
        <f>"68"</f>
        <v>68</v>
      </c>
      <c r="I5106" s="1" t="str">
        <f>"155.43"</f>
        <v>155.43</v>
      </c>
      <c r="J5106" s="1" t="str">
        <f t="shared" si="3009"/>
        <v>0</v>
      </c>
      <c r="K5106" s="1" t="str">
        <f t="shared" si="3010"/>
        <v>103</v>
      </c>
      <c r="L5106" s="1" t="str">
        <f t="shared" si="3011"/>
        <v>47</v>
      </c>
      <c r="M5106" s="1" t="str">
        <f t="shared" si="3012"/>
        <v>0</v>
      </c>
      <c r="N5106" s="1" t="str">
        <f t="shared" si="2998"/>
        <v>0</v>
      </c>
      <c r="O5106" s="1" t="str">
        <f>"5.43"</f>
        <v>5.43</v>
      </c>
    </row>
    <row r="5107" s="1" customFormat="1" spans="1:15">
      <c r="A5107" s="1" t="str">
        <f t="shared" si="3002"/>
        <v>202406</v>
      </c>
      <c r="B5107" s="1" t="str">
        <f t="shared" si="3003"/>
        <v>150525100</v>
      </c>
      <c r="C5107" s="1" t="str">
        <f>"1040953634"</f>
        <v>1040953634</v>
      </c>
      <c r="D5107" s="1" t="str">
        <f>"152326196211180913"</f>
        <v>152326196211180913</v>
      </c>
      <c r="E5107" s="1" t="s">
        <v>5067</v>
      </c>
      <c r="F5107" s="1" t="s">
        <v>25</v>
      </c>
      <c r="G5107" s="1" t="s">
        <v>19</v>
      </c>
      <c r="H5107" s="1" t="str">
        <f>"62"</f>
        <v>62</v>
      </c>
      <c r="I5107" s="1" t="str">
        <f>"161.22"</f>
        <v>161.22</v>
      </c>
      <c r="J5107" s="1" t="str">
        <f t="shared" si="3009"/>
        <v>0</v>
      </c>
      <c r="K5107" s="1" t="str">
        <f t="shared" si="3010"/>
        <v>103</v>
      </c>
      <c r="L5107" s="1" t="str">
        <f t="shared" si="3011"/>
        <v>47</v>
      </c>
      <c r="M5107" s="1" t="str">
        <f t="shared" si="3012"/>
        <v>0</v>
      </c>
      <c r="N5107" s="1" t="str">
        <f t="shared" si="2998"/>
        <v>0</v>
      </c>
      <c r="O5107" s="1" t="str">
        <f>"11.22"</f>
        <v>11.22</v>
      </c>
    </row>
    <row r="5108" s="1" customFormat="1" spans="1:15">
      <c r="A5108" s="1" t="str">
        <f t="shared" si="3002"/>
        <v>202406</v>
      </c>
      <c r="B5108" s="1" t="str">
        <f t="shared" si="3003"/>
        <v>150525100</v>
      </c>
      <c r="C5108" s="1" t="str">
        <f>"1040953647"</f>
        <v>1040953647</v>
      </c>
      <c r="D5108" s="1" t="str">
        <f>"152326196010140923"</f>
        <v>152326196010140923</v>
      </c>
      <c r="E5108" s="1" t="s">
        <v>5068</v>
      </c>
      <c r="F5108" s="1" t="s">
        <v>16</v>
      </c>
      <c r="G5108" s="1" t="s">
        <v>19</v>
      </c>
      <c r="H5108" s="1" t="str">
        <f>"64"</f>
        <v>64</v>
      </c>
      <c r="I5108" s="1" t="str">
        <f>"152.91"</f>
        <v>152.91</v>
      </c>
      <c r="J5108" s="1" t="str">
        <f t="shared" si="3009"/>
        <v>0</v>
      </c>
      <c r="K5108" s="1" t="str">
        <f t="shared" si="3010"/>
        <v>103</v>
      </c>
      <c r="L5108" s="1" t="str">
        <f t="shared" si="3011"/>
        <v>47</v>
      </c>
      <c r="M5108" s="1" t="str">
        <f t="shared" si="3012"/>
        <v>0</v>
      </c>
      <c r="N5108" s="1" t="str">
        <f t="shared" ref="N5108:N5171" si="3015">"0"</f>
        <v>0</v>
      </c>
      <c r="O5108" s="1" t="str">
        <f>"2.91"</f>
        <v>2.91</v>
      </c>
    </row>
    <row r="5109" s="1" customFormat="1" spans="1:15">
      <c r="A5109" s="1" t="str">
        <f t="shared" si="3002"/>
        <v>202406</v>
      </c>
      <c r="B5109" s="1" t="str">
        <f t="shared" si="3003"/>
        <v>150525100</v>
      </c>
      <c r="C5109" s="1" t="str">
        <f>"1040984000"</f>
        <v>1040984000</v>
      </c>
      <c r="D5109" s="1" t="str">
        <f>"152326195706263070"</f>
        <v>152326195706263070</v>
      </c>
      <c r="E5109" s="1" t="s">
        <v>5069</v>
      </c>
      <c r="F5109" s="1" t="s">
        <v>25</v>
      </c>
      <c r="G5109" s="1" t="s">
        <v>17</v>
      </c>
      <c r="H5109" s="1" t="str">
        <f>"67"</f>
        <v>67</v>
      </c>
      <c r="I5109" s="1" t="str">
        <f>"154.32"</f>
        <v>154.32</v>
      </c>
      <c r="J5109" s="1" t="str">
        <f t="shared" si="3009"/>
        <v>0</v>
      </c>
      <c r="K5109" s="1" t="str">
        <f t="shared" si="3010"/>
        <v>103</v>
      </c>
      <c r="L5109" s="1" t="str">
        <f t="shared" si="3011"/>
        <v>47</v>
      </c>
      <c r="M5109" s="1" t="str">
        <f t="shared" si="3012"/>
        <v>0</v>
      </c>
      <c r="N5109" s="1" t="str">
        <f t="shared" si="3015"/>
        <v>0</v>
      </c>
      <c r="O5109" s="1" t="str">
        <f>"4.32"</f>
        <v>4.32</v>
      </c>
    </row>
    <row r="5110" s="1" customFormat="1" spans="1:15">
      <c r="A5110" s="1" t="str">
        <f t="shared" si="3002"/>
        <v>202406</v>
      </c>
      <c r="B5110" s="1" t="str">
        <f t="shared" si="3003"/>
        <v>150525100</v>
      </c>
      <c r="C5110" s="1" t="str">
        <f>"1041168949"</f>
        <v>1041168949</v>
      </c>
      <c r="D5110" s="1" t="str">
        <f>"152326195703270662"</f>
        <v>152326195703270662</v>
      </c>
      <c r="E5110" s="1" t="s">
        <v>5070</v>
      </c>
      <c r="F5110" s="1" t="s">
        <v>16</v>
      </c>
      <c r="G5110" s="1" t="s">
        <v>19</v>
      </c>
      <c r="H5110" s="1" t="str">
        <f>"67"</f>
        <v>67</v>
      </c>
      <c r="I5110" s="1" t="str">
        <f>"154.32"</f>
        <v>154.32</v>
      </c>
      <c r="J5110" s="1" t="str">
        <f t="shared" si="3009"/>
        <v>0</v>
      </c>
      <c r="K5110" s="1" t="str">
        <f t="shared" si="3010"/>
        <v>103</v>
      </c>
      <c r="L5110" s="1" t="str">
        <f t="shared" si="3011"/>
        <v>47</v>
      </c>
      <c r="M5110" s="1" t="str">
        <f t="shared" si="3012"/>
        <v>0</v>
      </c>
      <c r="N5110" s="1" t="str">
        <f t="shared" si="3015"/>
        <v>0</v>
      </c>
      <c r="O5110" s="1" t="str">
        <f>"4.32"</f>
        <v>4.32</v>
      </c>
    </row>
    <row r="5111" s="1" customFormat="1" spans="1:15">
      <c r="A5111" s="1" t="str">
        <f t="shared" si="3002"/>
        <v>202406</v>
      </c>
      <c r="B5111" s="1" t="str">
        <f t="shared" si="3003"/>
        <v>150525100</v>
      </c>
      <c r="C5111" s="1" t="str">
        <f>"1041077775"</f>
        <v>1041077775</v>
      </c>
      <c r="D5111" s="1" t="str">
        <f>"152326196010203824"</f>
        <v>152326196010203824</v>
      </c>
      <c r="E5111" s="1" t="s">
        <v>5071</v>
      </c>
      <c r="F5111" s="1" t="s">
        <v>16</v>
      </c>
      <c r="G5111" s="1" t="s">
        <v>19</v>
      </c>
      <c r="H5111" s="1" t="str">
        <f>"64"</f>
        <v>64</v>
      </c>
      <c r="I5111" s="1" t="str">
        <f>"157.73"</f>
        <v>157.73</v>
      </c>
      <c r="J5111" s="1" t="str">
        <f t="shared" si="3009"/>
        <v>0</v>
      </c>
      <c r="K5111" s="1" t="str">
        <f t="shared" si="3010"/>
        <v>103</v>
      </c>
      <c r="L5111" s="1" t="str">
        <f t="shared" si="3011"/>
        <v>47</v>
      </c>
      <c r="M5111" s="1" t="str">
        <f t="shared" si="3012"/>
        <v>0</v>
      </c>
      <c r="N5111" s="1" t="str">
        <f t="shared" si="3015"/>
        <v>0</v>
      </c>
      <c r="O5111" s="1" t="str">
        <f>"7.73"</f>
        <v>7.73</v>
      </c>
    </row>
    <row r="5112" s="1" customFormat="1" spans="1:15">
      <c r="A5112" s="1" t="str">
        <f t="shared" si="3002"/>
        <v>202406</v>
      </c>
      <c r="B5112" s="1" t="str">
        <f t="shared" si="3003"/>
        <v>150525100</v>
      </c>
      <c r="C5112" s="1" t="str">
        <f>"1040833831"</f>
        <v>1040833831</v>
      </c>
      <c r="D5112" s="1" t="s">
        <v>5072</v>
      </c>
      <c r="E5112" s="1" t="s">
        <v>2112</v>
      </c>
      <c r="F5112" s="1" t="s">
        <v>16</v>
      </c>
      <c r="G5112" s="1" t="s">
        <v>17</v>
      </c>
      <c r="H5112" s="1" t="str">
        <f>"70"</f>
        <v>70</v>
      </c>
      <c r="I5112" s="1" t="str">
        <f>"1987.64"</f>
        <v>1987.64</v>
      </c>
      <c r="J5112" s="1" t="str">
        <f>"1834.36"</f>
        <v>1834.36</v>
      </c>
      <c r="K5112" s="1" t="str">
        <f>"1334"</f>
        <v>1334</v>
      </c>
      <c r="L5112" s="1" t="str">
        <f>"611"</f>
        <v>611</v>
      </c>
      <c r="M5112" s="1" t="str">
        <f t="shared" si="3012"/>
        <v>0</v>
      </c>
      <c r="N5112" s="1" t="str">
        <f t="shared" si="3015"/>
        <v>0</v>
      </c>
      <c r="O5112" s="1" t="str">
        <f>"42.64"</f>
        <v>42.64</v>
      </c>
    </row>
    <row r="5113" s="1" customFormat="1" spans="1:15">
      <c r="A5113" s="1" t="str">
        <f t="shared" si="3002"/>
        <v>202406</v>
      </c>
      <c r="B5113" s="1" t="str">
        <f t="shared" si="3003"/>
        <v>150525100</v>
      </c>
      <c r="C5113" s="1" t="str">
        <f>"1040937597"</f>
        <v>1040937597</v>
      </c>
      <c r="D5113" s="1" t="str">
        <f>"152326195412250661"</f>
        <v>152326195412250661</v>
      </c>
      <c r="E5113" s="1" t="s">
        <v>4417</v>
      </c>
      <c r="F5113" s="1" t="s">
        <v>16</v>
      </c>
      <c r="G5113" s="1" t="s">
        <v>19</v>
      </c>
      <c r="H5113" s="1" t="str">
        <f>"70"</f>
        <v>70</v>
      </c>
      <c r="I5113" s="1" t="str">
        <f>"152.88"</f>
        <v>152.88</v>
      </c>
      <c r="J5113" s="1" t="str">
        <f t="shared" ref="J5113:J5140" si="3016">"0"</f>
        <v>0</v>
      </c>
      <c r="K5113" s="1" t="str">
        <f t="shared" ref="K5113:K5135" si="3017">"103"</f>
        <v>103</v>
      </c>
      <c r="L5113" s="1" t="str">
        <f t="shared" ref="L5113:L5135" si="3018">"47"</f>
        <v>47</v>
      </c>
      <c r="M5113" s="1" t="str">
        <f t="shared" si="3012"/>
        <v>0</v>
      </c>
      <c r="N5113" s="1" t="str">
        <f t="shared" si="3015"/>
        <v>0</v>
      </c>
      <c r="O5113" s="1" t="str">
        <f>"2.88"</f>
        <v>2.88</v>
      </c>
    </row>
    <row r="5114" s="1" customFormat="1" spans="1:15">
      <c r="A5114" s="1" t="str">
        <f t="shared" si="3002"/>
        <v>202406</v>
      </c>
      <c r="B5114" s="1" t="str">
        <f t="shared" si="3003"/>
        <v>150525100</v>
      </c>
      <c r="C5114" s="1" t="str">
        <f>"1040937619"</f>
        <v>1040937619</v>
      </c>
      <c r="D5114" s="1" t="str">
        <f>"152325196205073082"</f>
        <v>152325196205073082</v>
      </c>
      <c r="E5114" s="1" t="s">
        <v>3270</v>
      </c>
      <c r="F5114" s="1" t="s">
        <v>16</v>
      </c>
      <c r="G5114" s="1" t="s">
        <v>17</v>
      </c>
      <c r="H5114" s="1" t="str">
        <f>"62"</f>
        <v>62</v>
      </c>
      <c r="I5114" s="1" t="str">
        <f>"162.08"</f>
        <v>162.08</v>
      </c>
      <c r="J5114" s="1" t="str">
        <f t="shared" si="3016"/>
        <v>0</v>
      </c>
      <c r="K5114" s="1" t="str">
        <f t="shared" si="3017"/>
        <v>103</v>
      </c>
      <c r="L5114" s="1" t="str">
        <f t="shared" si="3018"/>
        <v>47</v>
      </c>
      <c r="M5114" s="1" t="str">
        <f t="shared" si="3012"/>
        <v>0</v>
      </c>
      <c r="N5114" s="1" t="str">
        <f t="shared" si="3015"/>
        <v>0</v>
      </c>
      <c r="O5114" s="1" t="str">
        <f>"12.08"</f>
        <v>12.08</v>
      </c>
    </row>
    <row r="5115" s="1" customFormat="1" spans="1:15">
      <c r="A5115" s="1" t="str">
        <f t="shared" si="3002"/>
        <v>202406</v>
      </c>
      <c r="B5115" s="1" t="str">
        <f t="shared" si="3003"/>
        <v>150525100</v>
      </c>
      <c r="C5115" s="1" t="str">
        <f>"1040937636"</f>
        <v>1040937636</v>
      </c>
      <c r="D5115" s="1" t="str">
        <f>"152326196305030414"</f>
        <v>152326196305030414</v>
      </c>
      <c r="E5115" s="1" t="s">
        <v>5073</v>
      </c>
      <c r="F5115" s="1" t="s">
        <v>25</v>
      </c>
      <c r="G5115" s="1" t="s">
        <v>17</v>
      </c>
      <c r="H5115" s="1" t="str">
        <f t="shared" ref="H5115:H5120" si="3019">"61"</f>
        <v>61</v>
      </c>
      <c r="I5115" s="1" t="str">
        <f>"164.08"</f>
        <v>164.08</v>
      </c>
      <c r="J5115" s="1" t="str">
        <f t="shared" si="3016"/>
        <v>0</v>
      </c>
      <c r="K5115" s="1" t="str">
        <f t="shared" si="3017"/>
        <v>103</v>
      </c>
      <c r="L5115" s="1" t="str">
        <f t="shared" si="3018"/>
        <v>47</v>
      </c>
      <c r="M5115" s="1" t="str">
        <f t="shared" si="3012"/>
        <v>0</v>
      </c>
      <c r="N5115" s="1" t="str">
        <f t="shared" si="3015"/>
        <v>0</v>
      </c>
      <c r="O5115" s="1" t="str">
        <f>"14.08"</f>
        <v>14.08</v>
      </c>
    </row>
    <row r="5116" s="1" customFormat="1" spans="1:15">
      <c r="A5116" s="1" t="str">
        <f t="shared" si="3002"/>
        <v>202406</v>
      </c>
      <c r="B5116" s="1" t="str">
        <f t="shared" si="3003"/>
        <v>150525100</v>
      </c>
      <c r="C5116" s="1" t="str">
        <f>"1040990038"</f>
        <v>1040990038</v>
      </c>
      <c r="D5116" s="1" t="str">
        <f>"152326195903223828"</f>
        <v>152326195903223828</v>
      </c>
      <c r="E5116" s="1" t="s">
        <v>870</v>
      </c>
      <c r="F5116" s="1" t="s">
        <v>16</v>
      </c>
      <c r="G5116" s="1" t="s">
        <v>19</v>
      </c>
      <c r="H5116" s="1" t="str">
        <f>"65"</f>
        <v>65</v>
      </c>
      <c r="I5116" s="1" t="str">
        <f>"156.31"</f>
        <v>156.31</v>
      </c>
      <c r="J5116" s="1" t="str">
        <f t="shared" si="3016"/>
        <v>0</v>
      </c>
      <c r="K5116" s="1" t="str">
        <f t="shared" si="3017"/>
        <v>103</v>
      </c>
      <c r="L5116" s="1" t="str">
        <f t="shared" si="3018"/>
        <v>47</v>
      </c>
      <c r="M5116" s="1" t="str">
        <f t="shared" si="3012"/>
        <v>0</v>
      </c>
      <c r="N5116" s="1" t="str">
        <f t="shared" si="3015"/>
        <v>0</v>
      </c>
      <c r="O5116" s="1" t="str">
        <f>"6.31"</f>
        <v>6.31</v>
      </c>
    </row>
    <row r="5117" s="1" customFormat="1" spans="1:15">
      <c r="A5117" s="1" t="str">
        <f t="shared" si="3002"/>
        <v>202406</v>
      </c>
      <c r="B5117" s="1" t="str">
        <f t="shared" si="3003"/>
        <v>150525100</v>
      </c>
      <c r="C5117" s="1" t="str">
        <f>"1041077765"</f>
        <v>1041077765</v>
      </c>
      <c r="D5117" s="1" t="s">
        <v>5074</v>
      </c>
      <c r="E5117" s="1" t="s">
        <v>5075</v>
      </c>
      <c r="F5117" s="1" t="s">
        <v>16</v>
      </c>
      <c r="G5117" s="1" t="s">
        <v>17</v>
      </c>
      <c r="H5117" s="1" t="str">
        <f>"62"</f>
        <v>62</v>
      </c>
      <c r="I5117" s="1" t="str">
        <f>"163.8"</f>
        <v>163.8</v>
      </c>
      <c r="J5117" s="1" t="str">
        <f t="shared" si="3016"/>
        <v>0</v>
      </c>
      <c r="K5117" s="1" t="str">
        <f t="shared" si="3017"/>
        <v>103</v>
      </c>
      <c r="L5117" s="1" t="str">
        <f t="shared" si="3018"/>
        <v>47</v>
      </c>
      <c r="M5117" s="1" t="str">
        <f t="shared" si="3012"/>
        <v>0</v>
      </c>
      <c r="N5117" s="1" t="str">
        <f t="shared" si="3015"/>
        <v>0</v>
      </c>
      <c r="O5117" s="1" t="str">
        <f>"13.8"</f>
        <v>13.8</v>
      </c>
    </row>
    <row r="5118" s="1" customFormat="1" spans="1:15">
      <c r="A5118" s="1" t="str">
        <f t="shared" si="3002"/>
        <v>202406</v>
      </c>
      <c r="B5118" s="1" t="str">
        <f t="shared" si="3003"/>
        <v>150525100</v>
      </c>
      <c r="C5118" s="1" t="str">
        <f>"1040988865"</f>
        <v>1040988865</v>
      </c>
      <c r="D5118" s="1" t="s">
        <v>5076</v>
      </c>
      <c r="E5118" s="1" t="s">
        <v>5077</v>
      </c>
      <c r="F5118" s="1" t="s">
        <v>25</v>
      </c>
      <c r="G5118" s="1" t="s">
        <v>19</v>
      </c>
      <c r="H5118" s="1" t="str">
        <f t="shared" si="3019"/>
        <v>61</v>
      </c>
      <c r="I5118" s="1" t="str">
        <f>"162.84"</f>
        <v>162.84</v>
      </c>
      <c r="J5118" s="1" t="str">
        <f t="shared" si="3016"/>
        <v>0</v>
      </c>
      <c r="K5118" s="1" t="str">
        <f t="shared" si="3017"/>
        <v>103</v>
      </c>
      <c r="L5118" s="1" t="str">
        <f t="shared" si="3018"/>
        <v>47</v>
      </c>
      <c r="M5118" s="1" t="str">
        <f t="shared" si="3012"/>
        <v>0</v>
      </c>
      <c r="N5118" s="1" t="str">
        <f t="shared" si="3015"/>
        <v>0</v>
      </c>
      <c r="O5118" s="1" t="str">
        <f>"12.84"</f>
        <v>12.84</v>
      </c>
    </row>
    <row r="5119" s="1" customFormat="1" spans="1:15">
      <c r="A5119" s="1" t="str">
        <f t="shared" si="3002"/>
        <v>202406</v>
      </c>
      <c r="B5119" s="1" t="str">
        <f t="shared" si="3003"/>
        <v>150525100</v>
      </c>
      <c r="C5119" s="1" t="str">
        <f>"1041135584"</f>
        <v>1041135584</v>
      </c>
      <c r="D5119" s="1" t="str">
        <f>"152326195408020679"</f>
        <v>152326195408020679</v>
      </c>
      <c r="E5119" s="1" t="s">
        <v>5078</v>
      </c>
      <c r="F5119" s="1" t="s">
        <v>25</v>
      </c>
      <c r="G5119" s="1" t="s">
        <v>19</v>
      </c>
      <c r="H5119" s="1" t="str">
        <f>"70"</f>
        <v>70</v>
      </c>
      <c r="I5119" s="1" t="str">
        <f>"152.88"</f>
        <v>152.88</v>
      </c>
      <c r="J5119" s="1" t="str">
        <f t="shared" si="3016"/>
        <v>0</v>
      </c>
      <c r="K5119" s="1" t="str">
        <f t="shared" si="3017"/>
        <v>103</v>
      </c>
      <c r="L5119" s="1" t="str">
        <f t="shared" si="3018"/>
        <v>47</v>
      </c>
      <c r="M5119" s="1" t="str">
        <f t="shared" si="3012"/>
        <v>0</v>
      </c>
      <c r="N5119" s="1" t="str">
        <f t="shared" si="3015"/>
        <v>0</v>
      </c>
      <c r="O5119" s="1" t="str">
        <f>"2.88"</f>
        <v>2.88</v>
      </c>
    </row>
    <row r="5120" s="1" customFormat="1" spans="1:15">
      <c r="A5120" s="1" t="str">
        <f t="shared" si="3002"/>
        <v>202406</v>
      </c>
      <c r="B5120" s="1" t="str">
        <f t="shared" si="3003"/>
        <v>150525100</v>
      </c>
      <c r="C5120" s="1" t="str">
        <f>"1041074741"</f>
        <v>1041074741</v>
      </c>
      <c r="D5120" s="1" t="str">
        <f>"152326196310123092"</f>
        <v>152326196310123092</v>
      </c>
      <c r="E5120" s="1" t="s">
        <v>3893</v>
      </c>
      <c r="F5120" s="1" t="s">
        <v>25</v>
      </c>
      <c r="G5120" s="1" t="s">
        <v>17</v>
      </c>
      <c r="H5120" s="1" t="str">
        <f t="shared" si="3019"/>
        <v>61</v>
      </c>
      <c r="I5120" s="1" t="str">
        <f>"163.3"</f>
        <v>163.3</v>
      </c>
      <c r="J5120" s="1" t="str">
        <f t="shared" si="3016"/>
        <v>0</v>
      </c>
      <c r="K5120" s="1" t="str">
        <f t="shared" si="3017"/>
        <v>103</v>
      </c>
      <c r="L5120" s="1" t="str">
        <f t="shared" si="3018"/>
        <v>47</v>
      </c>
      <c r="M5120" s="1" t="str">
        <f t="shared" si="3012"/>
        <v>0</v>
      </c>
      <c r="N5120" s="1" t="str">
        <f t="shared" si="3015"/>
        <v>0</v>
      </c>
      <c r="O5120" s="1" t="str">
        <f>"13.3"</f>
        <v>13.3</v>
      </c>
    </row>
    <row r="5121" s="1" customFormat="1" spans="1:15">
      <c r="A5121" s="1" t="str">
        <f t="shared" si="3002"/>
        <v>202406</v>
      </c>
      <c r="B5121" s="1" t="str">
        <f t="shared" si="3003"/>
        <v>150525100</v>
      </c>
      <c r="C5121" s="1" t="str">
        <f>"1041078952"</f>
        <v>1041078952</v>
      </c>
      <c r="D5121" s="1" t="str">
        <f>"152326195802223319"</f>
        <v>152326195802223319</v>
      </c>
      <c r="E5121" s="1" t="s">
        <v>5079</v>
      </c>
      <c r="F5121" s="1" t="s">
        <v>25</v>
      </c>
      <c r="G5121" s="1" t="s">
        <v>17</v>
      </c>
      <c r="H5121" s="1" t="str">
        <f>"66"</f>
        <v>66</v>
      </c>
      <c r="I5121" s="1" t="str">
        <f>"157.33"</f>
        <v>157.33</v>
      </c>
      <c r="J5121" s="1" t="str">
        <f t="shared" si="3016"/>
        <v>0</v>
      </c>
      <c r="K5121" s="1" t="str">
        <f t="shared" si="3017"/>
        <v>103</v>
      </c>
      <c r="L5121" s="1" t="str">
        <f t="shared" si="3018"/>
        <v>47</v>
      </c>
      <c r="M5121" s="1" t="str">
        <f t="shared" si="3012"/>
        <v>0</v>
      </c>
      <c r="N5121" s="1" t="str">
        <f t="shared" si="3015"/>
        <v>0</v>
      </c>
      <c r="O5121" s="1" t="str">
        <f>"7.33"</f>
        <v>7.33</v>
      </c>
    </row>
    <row r="5122" s="1" customFormat="1" spans="1:15">
      <c r="A5122" s="1" t="str">
        <f t="shared" ref="A5122:A5185" si="3020">"202406"</f>
        <v>202406</v>
      </c>
      <c r="B5122" s="1" t="str">
        <f t="shared" ref="B5122:B5185" si="3021">"150525100"</f>
        <v>150525100</v>
      </c>
      <c r="C5122" s="1" t="str">
        <f>"1040937065"</f>
        <v>1040937065</v>
      </c>
      <c r="D5122" s="1" t="str">
        <f>"152326196312010665"</f>
        <v>152326196312010665</v>
      </c>
      <c r="E5122" s="1" t="s">
        <v>5080</v>
      </c>
      <c r="F5122" s="1" t="s">
        <v>16</v>
      </c>
      <c r="G5122" s="1" t="s">
        <v>17</v>
      </c>
      <c r="H5122" s="1" t="str">
        <f t="shared" ref="H5122:H5127" si="3022">"61"</f>
        <v>61</v>
      </c>
      <c r="I5122" s="1" t="str">
        <f>"164.47"</f>
        <v>164.47</v>
      </c>
      <c r="J5122" s="1" t="str">
        <f t="shared" si="3016"/>
        <v>0</v>
      </c>
      <c r="K5122" s="1" t="str">
        <f t="shared" si="3017"/>
        <v>103</v>
      </c>
      <c r="L5122" s="1" t="str">
        <f t="shared" si="3018"/>
        <v>47</v>
      </c>
      <c r="M5122" s="1" t="str">
        <f t="shared" si="3012"/>
        <v>0</v>
      </c>
      <c r="N5122" s="1" t="str">
        <f t="shared" si="3015"/>
        <v>0</v>
      </c>
      <c r="O5122" s="1" t="str">
        <f>"14.47"</f>
        <v>14.47</v>
      </c>
    </row>
    <row r="5123" s="1" customFormat="1" spans="1:15">
      <c r="A5123" s="1" t="str">
        <f t="shared" si="3020"/>
        <v>202406</v>
      </c>
      <c r="B5123" s="1" t="str">
        <f t="shared" si="3021"/>
        <v>150525100</v>
      </c>
      <c r="C5123" s="1" t="str">
        <f>"1040937075"</f>
        <v>1040937075</v>
      </c>
      <c r="D5123" s="1" t="str">
        <f>"152326196211200662"</f>
        <v>152326196211200662</v>
      </c>
      <c r="E5123" s="1" t="s">
        <v>5081</v>
      </c>
      <c r="F5123" s="1" t="s">
        <v>16</v>
      </c>
      <c r="G5123" s="1" t="s">
        <v>17</v>
      </c>
      <c r="H5123" s="1" t="str">
        <f>"62"</f>
        <v>62</v>
      </c>
      <c r="I5123" s="1" t="str">
        <f>"162.73"</f>
        <v>162.73</v>
      </c>
      <c r="J5123" s="1" t="str">
        <f t="shared" si="3016"/>
        <v>0</v>
      </c>
      <c r="K5123" s="1" t="str">
        <f t="shared" si="3017"/>
        <v>103</v>
      </c>
      <c r="L5123" s="1" t="str">
        <f t="shared" si="3018"/>
        <v>47</v>
      </c>
      <c r="M5123" s="1" t="str">
        <f t="shared" si="3012"/>
        <v>0</v>
      </c>
      <c r="N5123" s="1" t="str">
        <f t="shared" si="3015"/>
        <v>0</v>
      </c>
      <c r="O5123" s="1" t="str">
        <f>"12.73"</f>
        <v>12.73</v>
      </c>
    </row>
    <row r="5124" s="1" customFormat="1" spans="1:15">
      <c r="A5124" s="1" t="str">
        <f t="shared" si="3020"/>
        <v>202406</v>
      </c>
      <c r="B5124" s="1" t="str">
        <f t="shared" si="3021"/>
        <v>150525100</v>
      </c>
      <c r="C5124" s="1" t="str">
        <f>"1040937095"</f>
        <v>1040937095</v>
      </c>
      <c r="D5124" s="1" t="str">
        <f>"152326196002250671"</f>
        <v>152326196002250671</v>
      </c>
      <c r="E5124" s="1" t="s">
        <v>5082</v>
      </c>
      <c r="F5124" s="1" t="s">
        <v>25</v>
      </c>
      <c r="G5124" s="1" t="s">
        <v>17</v>
      </c>
      <c r="H5124" s="1" t="str">
        <f>"64"</f>
        <v>64</v>
      </c>
      <c r="I5124" s="1" t="str">
        <f>"158.57"</f>
        <v>158.57</v>
      </c>
      <c r="J5124" s="1" t="str">
        <f t="shared" si="3016"/>
        <v>0</v>
      </c>
      <c r="K5124" s="1" t="str">
        <f t="shared" si="3017"/>
        <v>103</v>
      </c>
      <c r="L5124" s="1" t="str">
        <f t="shared" si="3018"/>
        <v>47</v>
      </c>
      <c r="M5124" s="1" t="str">
        <f t="shared" si="3012"/>
        <v>0</v>
      </c>
      <c r="N5124" s="1" t="str">
        <f t="shared" si="3015"/>
        <v>0</v>
      </c>
      <c r="O5124" s="1" t="str">
        <f>"8.57"</f>
        <v>8.57</v>
      </c>
    </row>
    <row r="5125" s="1" customFormat="1" spans="1:15">
      <c r="A5125" s="1" t="str">
        <f t="shared" si="3020"/>
        <v>202406</v>
      </c>
      <c r="B5125" s="1" t="str">
        <f t="shared" si="3021"/>
        <v>150525100</v>
      </c>
      <c r="C5125" s="1" t="str">
        <f>"1040937195"</f>
        <v>1040937195</v>
      </c>
      <c r="D5125" s="1" t="str">
        <f>"152326195902210689"</f>
        <v>152326195902210689</v>
      </c>
      <c r="E5125" s="1" t="s">
        <v>5083</v>
      </c>
      <c r="F5125" s="1" t="s">
        <v>16</v>
      </c>
      <c r="G5125" s="1" t="s">
        <v>19</v>
      </c>
      <c r="H5125" s="1" t="str">
        <f>"65"</f>
        <v>65</v>
      </c>
      <c r="I5125" s="1" t="str">
        <f>"157.52"</f>
        <v>157.52</v>
      </c>
      <c r="J5125" s="1" t="str">
        <f t="shared" si="3016"/>
        <v>0</v>
      </c>
      <c r="K5125" s="1" t="str">
        <f t="shared" si="3017"/>
        <v>103</v>
      </c>
      <c r="L5125" s="1" t="str">
        <f t="shared" si="3018"/>
        <v>47</v>
      </c>
      <c r="M5125" s="1" t="str">
        <f t="shared" si="3012"/>
        <v>0</v>
      </c>
      <c r="N5125" s="1" t="str">
        <f t="shared" si="3015"/>
        <v>0</v>
      </c>
      <c r="O5125" s="1" t="str">
        <f>"7.52"</f>
        <v>7.52</v>
      </c>
    </row>
    <row r="5126" s="1" customFormat="1" spans="1:15">
      <c r="A5126" s="1" t="str">
        <f t="shared" si="3020"/>
        <v>202406</v>
      </c>
      <c r="B5126" s="1" t="str">
        <f t="shared" si="3021"/>
        <v>150525100</v>
      </c>
      <c r="C5126" s="1" t="str">
        <f>"1040937202"</f>
        <v>1040937202</v>
      </c>
      <c r="D5126" s="1" t="str">
        <f>"152326196401070678"</f>
        <v>152326196401070678</v>
      </c>
      <c r="E5126" s="1" t="s">
        <v>5084</v>
      </c>
      <c r="F5126" s="1" t="s">
        <v>25</v>
      </c>
      <c r="G5126" s="1" t="s">
        <v>17</v>
      </c>
      <c r="H5126" s="1" t="str">
        <f t="shared" si="3022"/>
        <v>61</v>
      </c>
      <c r="I5126" s="1" t="str">
        <f>"166.18"</f>
        <v>166.18</v>
      </c>
      <c r="J5126" s="1" t="str">
        <f t="shared" si="3016"/>
        <v>0</v>
      </c>
      <c r="K5126" s="1" t="str">
        <f t="shared" si="3017"/>
        <v>103</v>
      </c>
      <c r="L5126" s="1" t="str">
        <f t="shared" si="3018"/>
        <v>47</v>
      </c>
      <c r="M5126" s="1" t="str">
        <f t="shared" si="3012"/>
        <v>0</v>
      </c>
      <c r="N5126" s="1" t="str">
        <f t="shared" si="3015"/>
        <v>0</v>
      </c>
      <c r="O5126" s="1" t="str">
        <f>"16.18"</f>
        <v>16.18</v>
      </c>
    </row>
    <row r="5127" s="1" customFormat="1" spans="1:15">
      <c r="A5127" s="1" t="str">
        <f t="shared" si="3020"/>
        <v>202406</v>
      </c>
      <c r="B5127" s="1" t="str">
        <f t="shared" si="3021"/>
        <v>150525100</v>
      </c>
      <c r="C5127" s="1" t="str">
        <f>"1040937217"</f>
        <v>1040937217</v>
      </c>
      <c r="D5127" s="1" t="str">
        <f>"152326196303170667"</f>
        <v>152326196303170667</v>
      </c>
      <c r="E5127" s="1" t="s">
        <v>5085</v>
      </c>
      <c r="F5127" s="1" t="s">
        <v>16</v>
      </c>
      <c r="G5127" s="1" t="s">
        <v>17</v>
      </c>
      <c r="H5127" s="1" t="str">
        <f t="shared" si="3022"/>
        <v>61</v>
      </c>
      <c r="I5127" s="1" t="str">
        <f>"164.32"</f>
        <v>164.32</v>
      </c>
      <c r="J5127" s="1" t="str">
        <f t="shared" si="3016"/>
        <v>0</v>
      </c>
      <c r="K5127" s="1" t="str">
        <f t="shared" si="3017"/>
        <v>103</v>
      </c>
      <c r="L5127" s="1" t="str">
        <f t="shared" si="3018"/>
        <v>47</v>
      </c>
      <c r="M5127" s="1" t="str">
        <f t="shared" si="3012"/>
        <v>0</v>
      </c>
      <c r="N5127" s="1" t="str">
        <f t="shared" si="3015"/>
        <v>0</v>
      </c>
      <c r="O5127" s="1" t="str">
        <f>"14.32"</f>
        <v>14.32</v>
      </c>
    </row>
    <row r="5128" s="1" customFormat="1" spans="1:15">
      <c r="A5128" s="1" t="str">
        <f t="shared" si="3020"/>
        <v>202406</v>
      </c>
      <c r="B5128" s="1" t="str">
        <f t="shared" si="3021"/>
        <v>150525100</v>
      </c>
      <c r="C5128" s="1" t="str">
        <f>"1040937221"</f>
        <v>1040937221</v>
      </c>
      <c r="D5128" s="1" t="s">
        <v>5086</v>
      </c>
      <c r="E5128" s="1" t="s">
        <v>5087</v>
      </c>
      <c r="F5128" s="1" t="s">
        <v>25</v>
      </c>
      <c r="G5128" s="1" t="s">
        <v>96</v>
      </c>
      <c r="H5128" s="1" t="str">
        <f>"64"</f>
        <v>64</v>
      </c>
      <c r="I5128" s="1" t="str">
        <f>"158.6"</f>
        <v>158.6</v>
      </c>
      <c r="J5128" s="1" t="str">
        <f t="shared" si="3016"/>
        <v>0</v>
      </c>
      <c r="K5128" s="1" t="str">
        <f t="shared" si="3017"/>
        <v>103</v>
      </c>
      <c r="L5128" s="1" t="str">
        <f t="shared" si="3018"/>
        <v>47</v>
      </c>
      <c r="M5128" s="1" t="str">
        <f t="shared" si="3012"/>
        <v>0</v>
      </c>
      <c r="N5128" s="1" t="str">
        <f t="shared" si="3015"/>
        <v>0</v>
      </c>
      <c r="O5128" s="1" t="str">
        <f>"8.6"</f>
        <v>8.6</v>
      </c>
    </row>
    <row r="5129" s="1" customFormat="1" spans="1:15">
      <c r="A5129" s="1" t="str">
        <f t="shared" si="3020"/>
        <v>202406</v>
      </c>
      <c r="B5129" s="1" t="str">
        <f t="shared" si="3021"/>
        <v>150525100</v>
      </c>
      <c r="C5129" s="1" t="str">
        <f>"1040937707"</f>
        <v>1040937707</v>
      </c>
      <c r="D5129" s="1" t="str">
        <f>"152326195904270423"</f>
        <v>152326195904270423</v>
      </c>
      <c r="E5129" s="1" t="s">
        <v>5088</v>
      </c>
      <c r="F5129" s="1" t="s">
        <v>16</v>
      </c>
      <c r="G5129" s="1" t="s">
        <v>19</v>
      </c>
      <c r="H5129" s="1" t="str">
        <f>"65"</f>
        <v>65</v>
      </c>
      <c r="I5129" s="1" t="str">
        <f>"157.29"</f>
        <v>157.29</v>
      </c>
      <c r="J5129" s="1" t="str">
        <f t="shared" si="3016"/>
        <v>0</v>
      </c>
      <c r="K5129" s="1" t="str">
        <f t="shared" si="3017"/>
        <v>103</v>
      </c>
      <c r="L5129" s="1" t="str">
        <f t="shared" si="3018"/>
        <v>47</v>
      </c>
      <c r="M5129" s="1" t="str">
        <f t="shared" si="3012"/>
        <v>0</v>
      </c>
      <c r="N5129" s="1" t="str">
        <f t="shared" si="3015"/>
        <v>0</v>
      </c>
      <c r="O5129" s="1" t="str">
        <f>"7.29"</f>
        <v>7.29</v>
      </c>
    </row>
    <row r="5130" s="1" customFormat="1" spans="1:15">
      <c r="A5130" s="1" t="str">
        <f t="shared" si="3020"/>
        <v>202406</v>
      </c>
      <c r="B5130" s="1" t="str">
        <f t="shared" si="3021"/>
        <v>150525100</v>
      </c>
      <c r="C5130" s="1" t="str">
        <f>"1040937708"</f>
        <v>1040937708</v>
      </c>
      <c r="D5130" s="1" t="str">
        <f>"152326196306150418"</f>
        <v>152326196306150418</v>
      </c>
      <c r="E5130" s="1" t="s">
        <v>5089</v>
      </c>
      <c r="F5130" s="1" t="s">
        <v>25</v>
      </c>
      <c r="G5130" s="1" t="s">
        <v>17</v>
      </c>
      <c r="H5130" s="1" t="str">
        <f>"61"</f>
        <v>61</v>
      </c>
      <c r="I5130" s="1" t="str">
        <f>"164.11"</f>
        <v>164.11</v>
      </c>
      <c r="J5130" s="1" t="str">
        <f t="shared" si="3016"/>
        <v>0</v>
      </c>
      <c r="K5130" s="1" t="str">
        <f t="shared" si="3017"/>
        <v>103</v>
      </c>
      <c r="L5130" s="1" t="str">
        <f t="shared" si="3018"/>
        <v>47</v>
      </c>
      <c r="M5130" s="1" t="str">
        <f t="shared" si="3012"/>
        <v>0</v>
      </c>
      <c r="N5130" s="1" t="str">
        <f t="shared" si="3015"/>
        <v>0</v>
      </c>
      <c r="O5130" s="1" t="str">
        <f>"14.11"</f>
        <v>14.11</v>
      </c>
    </row>
    <row r="5131" s="1" customFormat="1" spans="1:15">
      <c r="A5131" s="1" t="str">
        <f t="shared" si="3020"/>
        <v>202406</v>
      </c>
      <c r="B5131" s="1" t="str">
        <f t="shared" si="3021"/>
        <v>150525100</v>
      </c>
      <c r="C5131" s="1" t="str">
        <f>"1040937712"</f>
        <v>1040937712</v>
      </c>
      <c r="D5131" s="1" t="str">
        <f>"152326195708050415"</f>
        <v>152326195708050415</v>
      </c>
      <c r="E5131" s="1" t="s">
        <v>5090</v>
      </c>
      <c r="F5131" s="1" t="s">
        <v>25</v>
      </c>
      <c r="G5131" s="1" t="s">
        <v>19</v>
      </c>
      <c r="H5131" s="1" t="str">
        <f>"67"</f>
        <v>67</v>
      </c>
      <c r="I5131" s="1" t="str">
        <f>"155.26"</f>
        <v>155.26</v>
      </c>
      <c r="J5131" s="1" t="str">
        <f t="shared" si="3016"/>
        <v>0</v>
      </c>
      <c r="K5131" s="1" t="str">
        <f t="shared" si="3017"/>
        <v>103</v>
      </c>
      <c r="L5131" s="1" t="str">
        <f t="shared" si="3018"/>
        <v>47</v>
      </c>
      <c r="M5131" s="1" t="str">
        <f t="shared" si="3012"/>
        <v>0</v>
      </c>
      <c r="N5131" s="1" t="str">
        <f t="shared" si="3015"/>
        <v>0</v>
      </c>
      <c r="O5131" s="1" t="str">
        <f>"5.26"</f>
        <v>5.26</v>
      </c>
    </row>
    <row r="5132" s="1" customFormat="1" spans="1:15">
      <c r="A5132" s="1" t="str">
        <f t="shared" si="3020"/>
        <v>202406</v>
      </c>
      <c r="B5132" s="1" t="str">
        <f t="shared" si="3021"/>
        <v>150525100</v>
      </c>
      <c r="C5132" s="1" t="str">
        <f>"1040937715"</f>
        <v>1040937715</v>
      </c>
      <c r="D5132" s="1" t="str">
        <f>"152326196011123324"</f>
        <v>152326196011123324</v>
      </c>
      <c r="E5132" s="1" t="s">
        <v>5091</v>
      </c>
      <c r="F5132" s="1" t="s">
        <v>16</v>
      </c>
      <c r="G5132" s="1" t="s">
        <v>17</v>
      </c>
      <c r="H5132" s="1" t="str">
        <f>"64"</f>
        <v>64</v>
      </c>
      <c r="I5132" s="1" t="str">
        <f>"158.66"</f>
        <v>158.66</v>
      </c>
      <c r="J5132" s="1" t="str">
        <f t="shared" si="3016"/>
        <v>0</v>
      </c>
      <c r="K5132" s="1" t="str">
        <f t="shared" si="3017"/>
        <v>103</v>
      </c>
      <c r="L5132" s="1" t="str">
        <f t="shared" si="3018"/>
        <v>47</v>
      </c>
      <c r="M5132" s="1" t="str">
        <f t="shared" si="3012"/>
        <v>0</v>
      </c>
      <c r="N5132" s="1" t="str">
        <f t="shared" si="3015"/>
        <v>0</v>
      </c>
      <c r="O5132" s="1" t="str">
        <f>"8.66"</f>
        <v>8.66</v>
      </c>
    </row>
    <row r="5133" s="1" customFormat="1" spans="1:15">
      <c r="A5133" s="1" t="str">
        <f t="shared" si="3020"/>
        <v>202406</v>
      </c>
      <c r="B5133" s="1" t="str">
        <f t="shared" si="3021"/>
        <v>150525100</v>
      </c>
      <c r="C5133" s="1" t="str">
        <f>"1040937245"</f>
        <v>1040937245</v>
      </c>
      <c r="D5133" s="1" t="str">
        <f>"152326196207120678"</f>
        <v>152326196207120678</v>
      </c>
      <c r="E5133" s="1" t="s">
        <v>5092</v>
      </c>
      <c r="F5133" s="1" t="s">
        <v>25</v>
      </c>
      <c r="G5133" s="1" t="s">
        <v>19</v>
      </c>
      <c r="H5133" s="1" t="str">
        <f>"62"</f>
        <v>62</v>
      </c>
      <c r="I5133" s="1" t="str">
        <f>"162.43"</f>
        <v>162.43</v>
      </c>
      <c r="J5133" s="1" t="str">
        <f t="shared" si="3016"/>
        <v>0</v>
      </c>
      <c r="K5133" s="1" t="str">
        <f t="shared" si="3017"/>
        <v>103</v>
      </c>
      <c r="L5133" s="1" t="str">
        <f t="shared" si="3018"/>
        <v>47</v>
      </c>
      <c r="M5133" s="1" t="str">
        <f t="shared" si="3012"/>
        <v>0</v>
      </c>
      <c r="N5133" s="1" t="str">
        <f t="shared" si="3015"/>
        <v>0</v>
      </c>
      <c r="O5133" s="1" t="str">
        <f>"12.43"</f>
        <v>12.43</v>
      </c>
    </row>
    <row r="5134" s="1" customFormat="1" spans="1:15">
      <c r="A5134" s="1" t="str">
        <f t="shared" si="3020"/>
        <v>202406</v>
      </c>
      <c r="B5134" s="1" t="str">
        <f t="shared" si="3021"/>
        <v>150525100</v>
      </c>
      <c r="C5134" s="1" t="str">
        <f>"1040937651"</f>
        <v>1040937651</v>
      </c>
      <c r="D5134" s="1" t="str">
        <f>"152326195611090429"</f>
        <v>152326195611090429</v>
      </c>
      <c r="E5134" s="1" t="s">
        <v>5093</v>
      </c>
      <c r="F5134" s="1" t="s">
        <v>16</v>
      </c>
      <c r="G5134" s="1" t="s">
        <v>17</v>
      </c>
      <c r="H5134" s="1" t="str">
        <f>"68"</f>
        <v>68</v>
      </c>
      <c r="I5134" s="1" t="str">
        <f>"155.2"</f>
        <v>155.2</v>
      </c>
      <c r="J5134" s="1" t="str">
        <f t="shared" si="3016"/>
        <v>0</v>
      </c>
      <c r="K5134" s="1" t="str">
        <f t="shared" si="3017"/>
        <v>103</v>
      </c>
      <c r="L5134" s="1" t="str">
        <f t="shared" si="3018"/>
        <v>47</v>
      </c>
      <c r="M5134" s="1" t="str">
        <f t="shared" si="3012"/>
        <v>0</v>
      </c>
      <c r="N5134" s="1" t="str">
        <f t="shared" si="3015"/>
        <v>0</v>
      </c>
      <c r="O5134" s="1" t="str">
        <f>"5.2"</f>
        <v>5.2</v>
      </c>
    </row>
    <row r="5135" s="1" customFormat="1" spans="1:15">
      <c r="A5135" s="1" t="str">
        <f t="shared" si="3020"/>
        <v>202406</v>
      </c>
      <c r="B5135" s="1" t="str">
        <f t="shared" si="3021"/>
        <v>150525100</v>
      </c>
      <c r="C5135" s="1" t="str">
        <f>"1041295824"</f>
        <v>1041295824</v>
      </c>
      <c r="D5135" s="1" t="s">
        <v>5094</v>
      </c>
      <c r="E5135" s="1" t="s">
        <v>5095</v>
      </c>
      <c r="F5135" s="1" t="s">
        <v>16</v>
      </c>
      <c r="G5135" s="1" t="s">
        <v>19</v>
      </c>
      <c r="H5135" s="1" t="str">
        <f>"73"</f>
        <v>73</v>
      </c>
      <c r="I5135" s="1" t="str">
        <f>"160"</f>
        <v>160</v>
      </c>
      <c r="J5135" s="1" t="str">
        <f t="shared" si="3016"/>
        <v>0</v>
      </c>
      <c r="K5135" s="1" t="str">
        <f t="shared" si="3017"/>
        <v>103</v>
      </c>
      <c r="L5135" s="1" t="str">
        <f t="shared" si="3018"/>
        <v>47</v>
      </c>
      <c r="M5135" s="1" t="str">
        <f t="shared" si="3012"/>
        <v>0</v>
      </c>
      <c r="N5135" s="1" t="str">
        <f t="shared" si="3015"/>
        <v>0</v>
      </c>
      <c r="O5135" s="1" t="str">
        <f>"0"</f>
        <v>0</v>
      </c>
    </row>
    <row r="5136" s="1" customFormat="1" spans="1:15">
      <c r="A5136" s="1" t="str">
        <f t="shared" si="3020"/>
        <v>202406</v>
      </c>
      <c r="B5136" s="1" t="str">
        <f t="shared" si="3021"/>
        <v>150525100</v>
      </c>
      <c r="C5136" s="1" t="str">
        <f>"1041316114"</f>
        <v>1041316114</v>
      </c>
      <c r="D5136" s="1" t="s">
        <v>5096</v>
      </c>
      <c r="E5136" s="1" t="s">
        <v>5097</v>
      </c>
      <c r="F5136" s="1" t="s">
        <v>16</v>
      </c>
      <c r="G5136" s="1" t="s">
        <v>17</v>
      </c>
      <c r="H5136" s="1" t="str">
        <f>"60"</f>
        <v>60</v>
      </c>
      <c r="I5136" s="1" t="str">
        <f>"4009.45"</f>
        <v>4009.45</v>
      </c>
      <c r="J5136" s="1" t="str">
        <f t="shared" si="3016"/>
        <v>0</v>
      </c>
      <c r="K5136" s="1" t="str">
        <f t="shared" ref="K5136:O5136" si="3023">"0"</f>
        <v>0</v>
      </c>
      <c r="L5136" s="1" t="str">
        <f t="shared" si="3023"/>
        <v>0</v>
      </c>
      <c r="M5136" s="1" t="str">
        <f t="shared" si="3012"/>
        <v>0</v>
      </c>
      <c r="N5136" s="1" t="str">
        <f t="shared" si="3015"/>
        <v>0</v>
      </c>
      <c r="O5136" s="1" t="str">
        <f t="shared" si="3023"/>
        <v>0</v>
      </c>
    </row>
    <row r="5137" s="1" customFormat="1" spans="1:15">
      <c r="A5137" s="1" t="str">
        <f t="shared" si="3020"/>
        <v>202406</v>
      </c>
      <c r="B5137" s="1" t="str">
        <f t="shared" si="3021"/>
        <v>150525100</v>
      </c>
      <c r="C5137" s="1" t="str">
        <f>"1041352068"</f>
        <v>1041352068</v>
      </c>
      <c r="D5137" s="1" t="str">
        <f>"152326196210280445"</f>
        <v>152326196210280445</v>
      </c>
      <c r="E5137" s="1" t="s">
        <v>482</v>
      </c>
      <c r="F5137" s="1" t="s">
        <v>16</v>
      </c>
      <c r="G5137" s="1" t="s">
        <v>17</v>
      </c>
      <c r="H5137" s="1" t="str">
        <f>"62"</f>
        <v>62</v>
      </c>
      <c r="I5137" s="1" t="str">
        <f>"160.9"</f>
        <v>160.9</v>
      </c>
      <c r="J5137" s="1" t="str">
        <f t="shared" si="3016"/>
        <v>0</v>
      </c>
      <c r="K5137" s="1" t="str">
        <f t="shared" ref="K5137:K5140" si="3024">"103"</f>
        <v>103</v>
      </c>
      <c r="L5137" s="1" t="str">
        <f t="shared" ref="L5137:L5140" si="3025">"47"</f>
        <v>47</v>
      </c>
      <c r="M5137" s="1" t="str">
        <f t="shared" si="3012"/>
        <v>0</v>
      </c>
      <c r="N5137" s="1" t="str">
        <f t="shared" si="3015"/>
        <v>0</v>
      </c>
      <c r="O5137" s="1" t="str">
        <f>"10.9"</f>
        <v>10.9</v>
      </c>
    </row>
    <row r="5138" s="1" customFormat="1" spans="1:15">
      <c r="A5138" s="1" t="str">
        <f t="shared" si="3020"/>
        <v>202406</v>
      </c>
      <c r="B5138" s="1" t="str">
        <f t="shared" si="3021"/>
        <v>150525100</v>
      </c>
      <c r="C5138" s="1" t="str">
        <f>"1041353796"</f>
        <v>1041353796</v>
      </c>
      <c r="D5138" s="1" t="s">
        <v>5098</v>
      </c>
      <c r="E5138" s="1" t="s">
        <v>5099</v>
      </c>
      <c r="F5138" s="1" t="s">
        <v>16</v>
      </c>
      <c r="G5138" s="1" t="s">
        <v>19</v>
      </c>
      <c r="H5138" s="1" t="str">
        <f>"78"</f>
        <v>78</v>
      </c>
      <c r="I5138" s="1" t="str">
        <f>"160"</f>
        <v>160</v>
      </c>
      <c r="J5138" s="1" t="str">
        <f t="shared" si="3016"/>
        <v>0</v>
      </c>
      <c r="K5138" s="1" t="str">
        <f t="shared" si="3024"/>
        <v>103</v>
      </c>
      <c r="L5138" s="1" t="str">
        <f t="shared" si="3025"/>
        <v>47</v>
      </c>
      <c r="M5138" s="1" t="str">
        <f t="shared" si="3012"/>
        <v>0</v>
      </c>
      <c r="N5138" s="1" t="str">
        <f t="shared" si="3015"/>
        <v>0</v>
      </c>
      <c r="O5138" s="1" t="str">
        <f>"0"</f>
        <v>0</v>
      </c>
    </row>
    <row r="5139" s="1" customFormat="1" spans="1:15">
      <c r="A5139" s="1" t="str">
        <f t="shared" si="3020"/>
        <v>202406</v>
      </c>
      <c r="B5139" s="1" t="str">
        <f t="shared" si="3021"/>
        <v>150525100</v>
      </c>
      <c r="C5139" s="1" t="str">
        <f>"1041359900"</f>
        <v>1041359900</v>
      </c>
      <c r="D5139" s="1" t="str">
        <f>"152326196312220910"</f>
        <v>152326196312220910</v>
      </c>
      <c r="E5139" s="1" t="s">
        <v>5100</v>
      </c>
      <c r="F5139" s="1" t="s">
        <v>25</v>
      </c>
      <c r="G5139" s="1" t="s">
        <v>19</v>
      </c>
      <c r="H5139" s="1" t="str">
        <f>"61"</f>
        <v>61</v>
      </c>
      <c r="I5139" s="1" t="str">
        <f>"164.48"</f>
        <v>164.48</v>
      </c>
      <c r="J5139" s="1" t="str">
        <f t="shared" si="3016"/>
        <v>0</v>
      </c>
      <c r="K5139" s="1" t="str">
        <f t="shared" si="3024"/>
        <v>103</v>
      </c>
      <c r="L5139" s="1" t="str">
        <f t="shared" si="3025"/>
        <v>47</v>
      </c>
      <c r="M5139" s="1" t="str">
        <f t="shared" si="3012"/>
        <v>0</v>
      </c>
      <c r="N5139" s="1" t="str">
        <f t="shared" si="3015"/>
        <v>0</v>
      </c>
      <c r="O5139" s="1" t="str">
        <f>"14.48"</f>
        <v>14.48</v>
      </c>
    </row>
    <row r="5140" s="1" customFormat="1" spans="1:15">
      <c r="A5140" s="1" t="str">
        <f t="shared" si="3020"/>
        <v>202406</v>
      </c>
      <c r="B5140" s="1" t="str">
        <f t="shared" si="3021"/>
        <v>150525100</v>
      </c>
      <c r="C5140" s="1" t="str">
        <f>"1041540074"</f>
        <v>1041540074</v>
      </c>
      <c r="D5140" s="1" t="str">
        <f>"152326195711060665"</f>
        <v>152326195711060665</v>
      </c>
      <c r="E5140" s="1" t="s">
        <v>39</v>
      </c>
      <c r="F5140" s="1" t="s">
        <v>16</v>
      </c>
      <c r="G5140" s="1" t="s">
        <v>17</v>
      </c>
      <c r="H5140" s="1" t="str">
        <f>"67"</f>
        <v>67</v>
      </c>
      <c r="I5140" s="1" t="str">
        <f>"155.04"</f>
        <v>155.04</v>
      </c>
      <c r="J5140" s="1" t="str">
        <f t="shared" si="3016"/>
        <v>0</v>
      </c>
      <c r="K5140" s="1" t="str">
        <f t="shared" si="3024"/>
        <v>103</v>
      </c>
      <c r="L5140" s="1" t="str">
        <f t="shared" si="3025"/>
        <v>47</v>
      </c>
      <c r="M5140" s="1" t="str">
        <f t="shared" si="3012"/>
        <v>0</v>
      </c>
      <c r="N5140" s="1" t="str">
        <f t="shared" si="3015"/>
        <v>0</v>
      </c>
      <c r="O5140" s="1" t="str">
        <f>"5.04"</f>
        <v>5.04</v>
      </c>
    </row>
    <row r="5141" s="1" customFormat="1" spans="1:15">
      <c r="A5141" s="1" t="str">
        <f t="shared" si="3020"/>
        <v>202406</v>
      </c>
      <c r="B5141" s="1" t="str">
        <f t="shared" si="3021"/>
        <v>150525100</v>
      </c>
      <c r="C5141" s="1" t="str">
        <f>"1041288359"</f>
        <v>1041288359</v>
      </c>
      <c r="D5141" s="1" t="str">
        <f>"152326196404190675"</f>
        <v>152326196404190675</v>
      </c>
      <c r="E5141" s="1" t="s">
        <v>5101</v>
      </c>
      <c r="F5141" s="1" t="s">
        <v>25</v>
      </c>
      <c r="G5141" s="1" t="s">
        <v>17</v>
      </c>
      <c r="H5141" s="1" t="str">
        <f>"60"</f>
        <v>60</v>
      </c>
      <c r="I5141" s="1" t="str">
        <f>"330.58"</f>
        <v>330.58</v>
      </c>
      <c r="J5141" s="1" t="str">
        <f>"165.29"</f>
        <v>165.29</v>
      </c>
      <c r="K5141" s="1" t="str">
        <f>"206"</f>
        <v>206</v>
      </c>
      <c r="L5141" s="1" t="str">
        <f>"94"</f>
        <v>94</v>
      </c>
      <c r="M5141" s="1" t="str">
        <f t="shared" si="3012"/>
        <v>0</v>
      </c>
      <c r="N5141" s="1" t="str">
        <f t="shared" si="3015"/>
        <v>0</v>
      </c>
      <c r="O5141" s="1" t="str">
        <f>"30.58"</f>
        <v>30.58</v>
      </c>
    </row>
    <row r="5142" s="1" customFormat="1" spans="1:15">
      <c r="A5142" s="1" t="str">
        <f t="shared" si="3020"/>
        <v>202406</v>
      </c>
      <c r="B5142" s="1" t="str">
        <f t="shared" si="3021"/>
        <v>150525100</v>
      </c>
      <c r="C5142" s="1" t="str">
        <f>"1041403729"</f>
        <v>1041403729</v>
      </c>
      <c r="D5142" s="1" t="str">
        <f>"152326196206100667"</f>
        <v>152326196206100667</v>
      </c>
      <c r="E5142" s="1" t="s">
        <v>5102</v>
      </c>
      <c r="F5142" s="1" t="s">
        <v>16</v>
      </c>
      <c r="G5142" s="1" t="s">
        <v>19</v>
      </c>
      <c r="H5142" s="1" t="str">
        <f>"62"</f>
        <v>62</v>
      </c>
      <c r="I5142" s="1" t="str">
        <f>"165.01"</f>
        <v>165.01</v>
      </c>
      <c r="J5142" s="1" t="str">
        <f t="shared" ref="J5142:J5148" si="3026">"0"</f>
        <v>0</v>
      </c>
      <c r="K5142" s="1" t="str">
        <f t="shared" ref="K5142:K5148" si="3027">"103"</f>
        <v>103</v>
      </c>
      <c r="L5142" s="1" t="str">
        <f t="shared" ref="L5142:L5148" si="3028">"47"</f>
        <v>47</v>
      </c>
      <c r="M5142" s="1" t="str">
        <f t="shared" si="3012"/>
        <v>0</v>
      </c>
      <c r="N5142" s="1" t="str">
        <f t="shared" si="3015"/>
        <v>0</v>
      </c>
      <c r="O5142" s="1" t="str">
        <f>"15.01"</f>
        <v>15.01</v>
      </c>
    </row>
    <row r="5143" s="1" customFormat="1" spans="1:15">
      <c r="A5143" s="1" t="str">
        <f t="shared" si="3020"/>
        <v>202406</v>
      </c>
      <c r="B5143" s="1" t="str">
        <f t="shared" si="3021"/>
        <v>150525100</v>
      </c>
      <c r="C5143" s="1" t="str">
        <f>"1041490730"</f>
        <v>1041490730</v>
      </c>
      <c r="D5143" s="1" t="str">
        <f>"152326195703200664"</f>
        <v>152326195703200664</v>
      </c>
      <c r="E5143" s="1" t="s">
        <v>5103</v>
      </c>
      <c r="F5143" s="1" t="s">
        <v>16</v>
      </c>
      <c r="G5143" s="1" t="s">
        <v>17</v>
      </c>
      <c r="H5143" s="1" t="str">
        <f>"67"</f>
        <v>67</v>
      </c>
      <c r="I5143" s="1" t="str">
        <f>"154.32"</f>
        <v>154.32</v>
      </c>
      <c r="J5143" s="1" t="str">
        <f t="shared" si="3026"/>
        <v>0</v>
      </c>
      <c r="K5143" s="1" t="str">
        <f t="shared" si="3027"/>
        <v>103</v>
      </c>
      <c r="L5143" s="1" t="str">
        <f t="shared" si="3028"/>
        <v>47</v>
      </c>
      <c r="M5143" s="1" t="str">
        <f t="shared" si="3012"/>
        <v>0</v>
      </c>
      <c r="N5143" s="1" t="str">
        <f t="shared" si="3015"/>
        <v>0</v>
      </c>
      <c r="O5143" s="1" t="str">
        <f>"4.32"</f>
        <v>4.32</v>
      </c>
    </row>
    <row r="5144" s="1" customFormat="1" spans="1:15">
      <c r="A5144" s="1" t="str">
        <f t="shared" si="3020"/>
        <v>202406</v>
      </c>
      <c r="B5144" s="1" t="str">
        <f t="shared" si="3021"/>
        <v>150525100</v>
      </c>
      <c r="C5144" s="1" t="str">
        <f>"1041490752"</f>
        <v>1041490752</v>
      </c>
      <c r="D5144" s="1" t="str">
        <f>"152326196210073091"</f>
        <v>152326196210073091</v>
      </c>
      <c r="E5144" s="1" t="s">
        <v>5104</v>
      </c>
      <c r="F5144" s="1" t="s">
        <v>25</v>
      </c>
      <c r="G5144" s="1" t="s">
        <v>17</v>
      </c>
      <c r="H5144" s="1" t="str">
        <f>"62"</f>
        <v>62</v>
      </c>
      <c r="I5144" s="1" t="str">
        <f>"167.73"</f>
        <v>167.73</v>
      </c>
      <c r="J5144" s="1" t="str">
        <f t="shared" si="3026"/>
        <v>0</v>
      </c>
      <c r="K5144" s="1" t="str">
        <f t="shared" si="3027"/>
        <v>103</v>
      </c>
      <c r="L5144" s="1" t="str">
        <f t="shared" si="3028"/>
        <v>47</v>
      </c>
      <c r="M5144" s="1" t="str">
        <f t="shared" si="3012"/>
        <v>0</v>
      </c>
      <c r="N5144" s="1" t="str">
        <f t="shared" si="3015"/>
        <v>0</v>
      </c>
      <c r="O5144" s="1" t="str">
        <f>"17.73"</f>
        <v>17.73</v>
      </c>
    </row>
    <row r="5145" s="1" customFormat="1" spans="1:15">
      <c r="A5145" s="1" t="str">
        <f t="shared" si="3020"/>
        <v>202406</v>
      </c>
      <c r="B5145" s="1" t="str">
        <f t="shared" si="3021"/>
        <v>150525100</v>
      </c>
      <c r="C5145" s="1" t="str">
        <f>"1041305349"</f>
        <v>1041305349</v>
      </c>
      <c r="D5145" s="1" t="str">
        <f>"152326196305133085"</f>
        <v>152326196305133085</v>
      </c>
      <c r="E5145" s="1" t="s">
        <v>1945</v>
      </c>
      <c r="F5145" s="1" t="s">
        <v>16</v>
      </c>
      <c r="G5145" s="1" t="s">
        <v>17</v>
      </c>
      <c r="H5145" s="1" t="str">
        <f>"61"</f>
        <v>61</v>
      </c>
      <c r="I5145" s="1" t="str">
        <f>"168.37"</f>
        <v>168.37</v>
      </c>
      <c r="J5145" s="1" t="str">
        <f t="shared" si="3026"/>
        <v>0</v>
      </c>
      <c r="K5145" s="1" t="str">
        <f t="shared" si="3027"/>
        <v>103</v>
      </c>
      <c r="L5145" s="1" t="str">
        <f t="shared" si="3028"/>
        <v>47</v>
      </c>
      <c r="M5145" s="1" t="str">
        <f t="shared" si="3012"/>
        <v>0</v>
      </c>
      <c r="N5145" s="1" t="str">
        <f t="shared" si="3015"/>
        <v>0</v>
      </c>
      <c r="O5145" s="1" t="str">
        <f>"18.37"</f>
        <v>18.37</v>
      </c>
    </row>
    <row r="5146" s="1" customFormat="1" spans="1:15">
      <c r="A5146" s="1" t="str">
        <f t="shared" si="3020"/>
        <v>202406</v>
      </c>
      <c r="B5146" s="1" t="str">
        <f t="shared" si="3021"/>
        <v>150525100</v>
      </c>
      <c r="C5146" s="1" t="str">
        <f>"1041305352"</f>
        <v>1041305352</v>
      </c>
      <c r="D5146" s="1" t="str">
        <f>"152326196401100670"</f>
        <v>152326196401100670</v>
      </c>
      <c r="E5146" s="1" t="s">
        <v>5105</v>
      </c>
      <c r="F5146" s="1" t="s">
        <v>25</v>
      </c>
      <c r="G5146" s="1" t="s">
        <v>17</v>
      </c>
      <c r="H5146" s="1" t="str">
        <f>"60"</f>
        <v>60</v>
      </c>
      <c r="I5146" s="1" t="str">
        <f>"169.96"</f>
        <v>169.96</v>
      </c>
      <c r="J5146" s="1" t="str">
        <f t="shared" si="3026"/>
        <v>0</v>
      </c>
      <c r="K5146" s="1" t="str">
        <f t="shared" si="3027"/>
        <v>103</v>
      </c>
      <c r="L5146" s="1" t="str">
        <f t="shared" si="3028"/>
        <v>47</v>
      </c>
      <c r="M5146" s="1" t="str">
        <f t="shared" si="3012"/>
        <v>0</v>
      </c>
      <c r="N5146" s="1" t="str">
        <f t="shared" si="3015"/>
        <v>0</v>
      </c>
      <c r="O5146" s="1" t="str">
        <f>"19.96"</f>
        <v>19.96</v>
      </c>
    </row>
    <row r="5147" s="1" customFormat="1" spans="1:15">
      <c r="A5147" s="1" t="str">
        <f t="shared" si="3020"/>
        <v>202406</v>
      </c>
      <c r="B5147" s="1" t="str">
        <f t="shared" si="3021"/>
        <v>150525100</v>
      </c>
      <c r="C5147" s="1" t="str">
        <f>"1041305366"</f>
        <v>1041305366</v>
      </c>
      <c r="D5147" s="1" t="str">
        <f>"152326196107020047"</f>
        <v>152326196107020047</v>
      </c>
      <c r="E5147" s="1" t="s">
        <v>5106</v>
      </c>
      <c r="F5147" s="1" t="s">
        <v>16</v>
      </c>
      <c r="G5147" s="1" t="s">
        <v>17</v>
      </c>
      <c r="H5147" s="1" t="str">
        <f>"63"</f>
        <v>63</v>
      </c>
      <c r="I5147" s="1" t="str">
        <f>"233.99"</f>
        <v>233.99</v>
      </c>
      <c r="J5147" s="1" t="str">
        <f t="shared" si="3026"/>
        <v>0</v>
      </c>
      <c r="K5147" s="1" t="str">
        <f t="shared" si="3027"/>
        <v>103</v>
      </c>
      <c r="L5147" s="1" t="str">
        <f t="shared" si="3028"/>
        <v>47</v>
      </c>
      <c r="M5147" s="1" t="str">
        <f t="shared" si="3012"/>
        <v>0</v>
      </c>
      <c r="N5147" s="1" t="str">
        <f t="shared" si="3015"/>
        <v>0</v>
      </c>
      <c r="O5147" s="1" t="str">
        <f>"83.99"</f>
        <v>83.99</v>
      </c>
    </row>
    <row r="5148" s="1" customFormat="1" spans="1:15">
      <c r="A5148" s="1" t="str">
        <f t="shared" si="3020"/>
        <v>202406</v>
      </c>
      <c r="B5148" s="1" t="str">
        <f t="shared" si="3021"/>
        <v>150525100</v>
      </c>
      <c r="C5148" s="1" t="str">
        <f>"1041290646"</f>
        <v>1041290646</v>
      </c>
      <c r="D5148" s="1" t="str">
        <f>"152326196401200671"</f>
        <v>152326196401200671</v>
      </c>
      <c r="E5148" s="1" t="s">
        <v>5107</v>
      </c>
      <c r="F5148" s="1" t="s">
        <v>25</v>
      </c>
      <c r="G5148" s="1" t="s">
        <v>17</v>
      </c>
      <c r="H5148" s="1" t="str">
        <f>"60"</f>
        <v>60</v>
      </c>
      <c r="I5148" s="1" t="str">
        <f>"164.49"</f>
        <v>164.49</v>
      </c>
      <c r="J5148" s="1" t="str">
        <f t="shared" si="3026"/>
        <v>0</v>
      </c>
      <c r="K5148" s="1" t="str">
        <f t="shared" si="3027"/>
        <v>103</v>
      </c>
      <c r="L5148" s="1" t="str">
        <f t="shared" si="3028"/>
        <v>47</v>
      </c>
      <c r="M5148" s="1" t="str">
        <f t="shared" si="3012"/>
        <v>0</v>
      </c>
      <c r="N5148" s="1" t="str">
        <f t="shared" si="3015"/>
        <v>0</v>
      </c>
      <c r="O5148" s="1" t="str">
        <f>"14.49"</f>
        <v>14.49</v>
      </c>
    </row>
    <row r="5149" s="1" customFormat="1" spans="1:15">
      <c r="A5149" s="1" t="str">
        <f t="shared" si="3020"/>
        <v>202406</v>
      </c>
      <c r="B5149" s="1" t="str">
        <f t="shared" si="3021"/>
        <v>150525100</v>
      </c>
      <c r="C5149" s="1" t="str">
        <f>"1041305504"</f>
        <v>1041305504</v>
      </c>
      <c r="D5149" s="1" t="str">
        <f>"152326195803200696"</f>
        <v>152326195803200696</v>
      </c>
      <c r="E5149" s="1" t="s">
        <v>5108</v>
      </c>
      <c r="F5149" s="1" t="s">
        <v>25</v>
      </c>
      <c r="G5149" s="1" t="s">
        <v>17</v>
      </c>
      <c r="H5149" s="1" t="str">
        <f>"66"</f>
        <v>66</v>
      </c>
      <c r="I5149" s="1" t="str">
        <f>"962.34"</f>
        <v>962.34</v>
      </c>
      <c r="J5149" s="1" t="str">
        <f>"801.95"</f>
        <v>801.95</v>
      </c>
      <c r="K5149" s="1" t="str">
        <f>"618"</f>
        <v>618</v>
      </c>
      <c r="L5149" s="1" t="str">
        <f>"282"</f>
        <v>282</v>
      </c>
      <c r="M5149" s="1" t="str">
        <f t="shared" si="3012"/>
        <v>0</v>
      </c>
      <c r="N5149" s="1" t="str">
        <f t="shared" si="3015"/>
        <v>0</v>
      </c>
      <c r="O5149" s="1" t="str">
        <f>"62.34"</f>
        <v>62.34</v>
      </c>
    </row>
    <row r="5150" s="1" customFormat="1" spans="1:15">
      <c r="A5150" s="1" t="str">
        <f t="shared" si="3020"/>
        <v>202406</v>
      </c>
      <c r="B5150" s="1" t="str">
        <f t="shared" si="3021"/>
        <v>150525100</v>
      </c>
      <c r="C5150" s="1" t="str">
        <f>"1041306656"</f>
        <v>1041306656</v>
      </c>
      <c r="D5150" s="1" t="str">
        <f>"152326196102140664"</f>
        <v>152326196102140664</v>
      </c>
      <c r="E5150" s="1" t="s">
        <v>5109</v>
      </c>
      <c r="F5150" s="1" t="s">
        <v>16</v>
      </c>
      <c r="G5150" s="1" t="s">
        <v>17</v>
      </c>
      <c r="H5150" s="1" t="str">
        <f>"63"</f>
        <v>63</v>
      </c>
      <c r="I5150" s="1" t="str">
        <f>"159.13"</f>
        <v>159.13</v>
      </c>
      <c r="J5150" s="1" t="str">
        <f t="shared" ref="J5150:J5153" si="3029">"0"</f>
        <v>0</v>
      </c>
      <c r="K5150" s="1" t="str">
        <f t="shared" ref="K5150:K5153" si="3030">"103"</f>
        <v>103</v>
      </c>
      <c r="L5150" s="1" t="str">
        <f t="shared" ref="L5150:L5153" si="3031">"47"</f>
        <v>47</v>
      </c>
      <c r="M5150" s="1" t="str">
        <f t="shared" si="3012"/>
        <v>0</v>
      </c>
      <c r="N5150" s="1" t="str">
        <f t="shared" si="3015"/>
        <v>0</v>
      </c>
      <c r="O5150" s="1" t="str">
        <f>"9.13"</f>
        <v>9.13</v>
      </c>
    </row>
    <row r="5151" s="1" customFormat="1" spans="1:15">
      <c r="A5151" s="1" t="str">
        <f t="shared" si="3020"/>
        <v>202406</v>
      </c>
      <c r="B5151" s="1" t="str">
        <f t="shared" si="3021"/>
        <v>150525100</v>
      </c>
      <c r="C5151" s="1" t="str">
        <f>"1041307832"</f>
        <v>1041307832</v>
      </c>
      <c r="D5151" s="1" t="str">
        <f>"152326195908180425"</f>
        <v>152326195908180425</v>
      </c>
      <c r="E5151" s="1" t="s">
        <v>5110</v>
      </c>
      <c r="F5151" s="1" t="s">
        <v>16</v>
      </c>
      <c r="G5151" s="1" t="s">
        <v>17</v>
      </c>
      <c r="H5151" s="1" t="str">
        <f>"65"</f>
        <v>65</v>
      </c>
      <c r="I5151" s="1" t="str">
        <f>"156.36"</f>
        <v>156.36</v>
      </c>
      <c r="J5151" s="1" t="str">
        <f t="shared" si="3029"/>
        <v>0</v>
      </c>
      <c r="K5151" s="1" t="str">
        <f t="shared" si="3030"/>
        <v>103</v>
      </c>
      <c r="L5151" s="1" t="str">
        <f t="shared" si="3031"/>
        <v>47</v>
      </c>
      <c r="M5151" s="1" t="str">
        <f t="shared" si="3012"/>
        <v>0</v>
      </c>
      <c r="N5151" s="1" t="str">
        <f t="shared" si="3015"/>
        <v>0</v>
      </c>
      <c r="O5151" s="1" t="str">
        <f>"6.36"</f>
        <v>6.36</v>
      </c>
    </row>
    <row r="5152" s="1" customFormat="1" spans="1:15">
      <c r="A5152" s="1" t="str">
        <f t="shared" si="3020"/>
        <v>202406</v>
      </c>
      <c r="B5152" s="1" t="str">
        <f t="shared" si="3021"/>
        <v>150525100</v>
      </c>
      <c r="C5152" s="1" t="str">
        <f>"1041306738"</f>
        <v>1041306738</v>
      </c>
      <c r="D5152" s="1" t="str">
        <f>"152326196205190410"</f>
        <v>152326196205190410</v>
      </c>
      <c r="E5152" s="1" t="s">
        <v>5111</v>
      </c>
      <c r="F5152" s="1" t="s">
        <v>25</v>
      </c>
      <c r="G5152" s="1" t="s">
        <v>17</v>
      </c>
      <c r="H5152" s="1" t="str">
        <f>"62"</f>
        <v>62</v>
      </c>
      <c r="I5152" s="1" t="str">
        <f>"161.41"</f>
        <v>161.41</v>
      </c>
      <c r="J5152" s="1" t="str">
        <f t="shared" si="3029"/>
        <v>0</v>
      </c>
      <c r="K5152" s="1" t="str">
        <f t="shared" si="3030"/>
        <v>103</v>
      </c>
      <c r="L5152" s="1" t="str">
        <f t="shared" si="3031"/>
        <v>47</v>
      </c>
      <c r="M5152" s="1" t="str">
        <f t="shared" ref="M5152:M5215" si="3032">"0"</f>
        <v>0</v>
      </c>
      <c r="N5152" s="1" t="str">
        <f t="shared" si="3015"/>
        <v>0</v>
      </c>
      <c r="O5152" s="1" t="str">
        <f>"11.41"</f>
        <v>11.41</v>
      </c>
    </row>
    <row r="5153" s="1" customFormat="1" spans="1:15">
      <c r="A5153" s="1" t="str">
        <f t="shared" si="3020"/>
        <v>202406</v>
      </c>
      <c r="B5153" s="1" t="str">
        <f t="shared" si="3021"/>
        <v>150525100</v>
      </c>
      <c r="C5153" s="1" t="str">
        <f>"1041306762"</f>
        <v>1041306762</v>
      </c>
      <c r="D5153" s="1" t="str">
        <f>"152326196308160660"</f>
        <v>152326196308160660</v>
      </c>
      <c r="E5153" s="1" t="s">
        <v>5112</v>
      </c>
      <c r="F5153" s="1" t="s">
        <v>16</v>
      </c>
      <c r="G5153" s="1" t="s">
        <v>17</v>
      </c>
      <c r="H5153" s="1" t="str">
        <f t="shared" ref="H5153:H5156" si="3033">"61"</f>
        <v>61</v>
      </c>
      <c r="I5153" s="1" t="str">
        <f>"163.41"</f>
        <v>163.41</v>
      </c>
      <c r="J5153" s="1" t="str">
        <f t="shared" si="3029"/>
        <v>0</v>
      </c>
      <c r="K5153" s="1" t="str">
        <f t="shared" si="3030"/>
        <v>103</v>
      </c>
      <c r="L5153" s="1" t="str">
        <f t="shared" si="3031"/>
        <v>47</v>
      </c>
      <c r="M5153" s="1" t="str">
        <f t="shared" si="3032"/>
        <v>0</v>
      </c>
      <c r="N5153" s="1" t="str">
        <f t="shared" si="3015"/>
        <v>0</v>
      </c>
      <c r="O5153" s="1" t="str">
        <f>"13.41"</f>
        <v>13.41</v>
      </c>
    </row>
    <row r="5154" s="1" customFormat="1" spans="1:15">
      <c r="A5154" s="1" t="str">
        <f t="shared" si="3020"/>
        <v>202406</v>
      </c>
      <c r="B5154" s="1" t="str">
        <f t="shared" si="3021"/>
        <v>150525100</v>
      </c>
      <c r="C5154" s="1" t="str">
        <f>"1041306773"</f>
        <v>1041306773</v>
      </c>
      <c r="D5154" s="1" t="str">
        <f>"152326196309280664"</f>
        <v>152326196309280664</v>
      </c>
      <c r="E5154" s="1" t="s">
        <v>1843</v>
      </c>
      <c r="F5154" s="1" t="s">
        <v>16</v>
      </c>
      <c r="G5154" s="1" t="s">
        <v>17</v>
      </c>
      <c r="H5154" s="1" t="str">
        <f t="shared" si="3033"/>
        <v>61</v>
      </c>
      <c r="I5154" s="1" t="str">
        <f>"980.76"</f>
        <v>980.76</v>
      </c>
      <c r="J5154" s="1" t="str">
        <f>"817.3"</f>
        <v>817.3</v>
      </c>
      <c r="K5154" s="1" t="str">
        <f>"618"</f>
        <v>618</v>
      </c>
      <c r="L5154" s="1" t="str">
        <f>"282"</f>
        <v>282</v>
      </c>
      <c r="M5154" s="1" t="str">
        <f t="shared" si="3032"/>
        <v>0</v>
      </c>
      <c r="N5154" s="1" t="str">
        <f t="shared" si="3015"/>
        <v>0</v>
      </c>
      <c r="O5154" s="1" t="str">
        <f>"80.76"</f>
        <v>80.76</v>
      </c>
    </row>
    <row r="5155" s="1" customFormat="1" spans="1:15">
      <c r="A5155" s="1" t="str">
        <f t="shared" si="3020"/>
        <v>202406</v>
      </c>
      <c r="B5155" s="1" t="str">
        <f t="shared" si="3021"/>
        <v>150525100</v>
      </c>
      <c r="C5155" s="1" t="str">
        <f>"1041290222"</f>
        <v>1041290222</v>
      </c>
      <c r="D5155" s="1" t="str">
        <f>"152326195612150016"</f>
        <v>152326195612150016</v>
      </c>
      <c r="E5155" s="1" t="s">
        <v>5113</v>
      </c>
      <c r="F5155" s="1" t="s">
        <v>25</v>
      </c>
      <c r="G5155" s="1" t="s">
        <v>19</v>
      </c>
      <c r="H5155" s="1" t="str">
        <f>"68"</f>
        <v>68</v>
      </c>
      <c r="I5155" s="1" t="str">
        <f>"155.43"</f>
        <v>155.43</v>
      </c>
      <c r="J5155" s="1" t="str">
        <f t="shared" ref="J5155:J5166" si="3034">"0"</f>
        <v>0</v>
      </c>
      <c r="K5155" s="1" t="str">
        <f t="shared" ref="K5155:K5166" si="3035">"103"</f>
        <v>103</v>
      </c>
      <c r="L5155" s="1" t="str">
        <f t="shared" ref="L5155:L5166" si="3036">"47"</f>
        <v>47</v>
      </c>
      <c r="M5155" s="1" t="str">
        <f t="shared" si="3032"/>
        <v>0</v>
      </c>
      <c r="N5155" s="1" t="str">
        <f t="shared" si="3015"/>
        <v>0</v>
      </c>
      <c r="O5155" s="1" t="str">
        <f>"5.43"</f>
        <v>5.43</v>
      </c>
    </row>
    <row r="5156" s="1" customFormat="1" spans="1:15">
      <c r="A5156" s="1" t="str">
        <f t="shared" si="3020"/>
        <v>202406</v>
      </c>
      <c r="B5156" s="1" t="str">
        <f t="shared" si="3021"/>
        <v>150525100</v>
      </c>
      <c r="C5156" s="1" t="str">
        <f>"1041279751"</f>
        <v>1041279751</v>
      </c>
      <c r="D5156" s="1" t="str">
        <f>"152326196303123334"</f>
        <v>152326196303123334</v>
      </c>
      <c r="E5156" s="1" t="s">
        <v>4601</v>
      </c>
      <c r="F5156" s="1" t="s">
        <v>25</v>
      </c>
      <c r="G5156" s="1" t="s">
        <v>19</v>
      </c>
      <c r="H5156" s="1" t="str">
        <f t="shared" si="3033"/>
        <v>61</v>
      </c>
      <c r="I5156" s="1" t="str">
        <f>"162.68"</f>
        <v>162.68</v>
      </c>
      <c r="J5156" s="1" t="str">
        <f t="shared" si="3034"/>
        <v>0</v>
      </c>
      <c r="K5156" s="1" t="str">
        <f t="shared" si="3035"/>
        <v>103</v>
      </c>
      <c r="L5156" s="1" t="str">
        <f t="shared" si="3036"/>
        <v>47</v>
      </c>
      <c r="M5156" s="1" t="str">
        <f t="shared" si="3032"/>
        <v>0</v>
      </c>
      <c r="N5156" s="1" t="str">
        <f t="shared" si="3015"/>
        <v>0</v>
      </c>
      <c r="O5156" s="1" t="str">
        <f>"12.68"</f>
        <v>12.68</v>
      </c>
    </row>
    <row r="5157" s="1" customFormat="1" spans="1:15">
      <c r="A5157" s="1" t="str">
        <f t="shared" si="3020"/>
        <v>202406</v>
      </c>
      <c r="B5157" s="1" t="str">
        <f t="shared" si="3021"/>
        <v>150525100</v>
      </c>
      <c r="C5157" s="1" t="str">
        <f>"1041279760"</f>
        <v>1041279760</v>
      </c>
      <c r="D5157" s="1" t="str">
        <f>"152326195902193321"</f>
        <v>152326195902193321</v>
      </c>
      <c r="E5157" s="1" t="s">
        <v>5114</v>
      </c>
      <c r="F5157" s="1" t="s">
        <v>16</v>
      </c>
      <c r="G5157" s="1" t="s">
        <v>17</v>
      </c>
      <c r="H5157" s="1" t="str">
        <f>"65"</f>
        <v>65</v>
      </c>
      <c r="I5157" s="1" t="str">
        <f>"156"</f>
        <v>156</v>
      </c>
      <c r="J5157" s="1" t="str">
        <f t="shared" si="3034"/>
        <v>0</v>
      </c>
      <c r="K5157" s="1" t="str">
        <f t="shared" si="3035"/>
        <v>103</v>
      </c>
      <c r="L5157" s="1" t="str">
        <f t="shared" si="3036"/>
        <v>47</v>
      </c>
      <c r="M5157" s="1" t="str">
        <f t="shared" si="3032"/>
        <v>0</v>
      </c>
      <c r="N5157" s="1" t="str">
        <f t="shared" si="3015"/>
        <v>0</v>
      </c>
      <c r="O5157" s="1" t="str">
        <f>"6"</f>
        <v>6</v>
      </c>
    </row>
    <row r="5158" s="1" customFormat="1" spans="1:15">
      <c r="A5158" s="1" t="str">
        <f t="shared" si="3020"/>
        <v>202406</v>
      </c>
      <c r="B5158" s="1" t="str">
        <f t="shared" si="3021"/>
        <v>150525100</v>
      </c>
      <c r="C5158" s="1" t="str">
        <f>"1041305734"</f>
        <v>1041305734</v>
      </c>
      <c r="D5158" s="1" t="str">
        <f>"152326196001290671"</f>
        <v>152326196001290671</v>
      </c>
      <c r="E5158" s="1" t="s">
        <v>5115</v>
      </c>
      <c r="F5158" s="1" t="s">
        <v>25</v>
      </c>
      <c r="G5158" s="1" t="s">
        <v>17</v>
      </c>
      <c r="H5158" s="1" t="str">
        <f>"64"</f>
        <v>64</v>
      </c>
      <c r="I5158" s="1" t="str">
        <f>"157.33"</f>
        <v>157.33</v>
      </c>
      <c r="J5158" s="1" t="str">
        <f t="shared" si="3034"/>
        <v>0</v>
      </c>
      <c r="K5158" s="1" t="str">
        <f t="shared" si="3035"/>
        <v>103</v>
      </c>
      <c r="L5158" s="1" t="str">
        <f t="shared" si="3036"/>
        <v>47</v>
      </c>
      <c r="M5158" s="1" t="str">
        <f t="shared" si="3032"/>
        <v>0</v>
      </c>
      <c r="N5158" s="1" t="str">
        <f t="shared" si="3015"/>
        <v>0</v>
      </c>
      <c r="O5158" s="1" t="str">
        <f>"7.33"</f>
        <v>7.33</v>
      </c>
    </row>
    <row r="5159" s="1" customFormat="1" spans="1:15">
      <c r="A5159" s="1" t="str">
        <f t="shared" si="3020"/>
        <v>202406</v>
      </c>
      <c r="B5159" s="1" t="str">
        <f t="shared" si="3021"/>
        <v>150525100</v>
      </c>
      <c r="C5159" s="1" t="str">
        <f>"1041305762"</f>
        <v>1041305762</v>
      </c>
      <c r="D5159" s="1" t="s">
        <v>5116</v>
      </c>
      <c r="E5159" s="1" t="s">
        <v>5117</v>
      </c>
      <c r="F5159" s="1" t="s">
        <v>16</v>
      </c>
      <c r="G5159" s="1" t="s">
        <v>17</v>
      </c>
      <c r="H5159" s="1" t="str">
        <f>"64"</f>
        <v>64</v>
      </c>
      <c r="I5159" s="1" t="str">
        <f>"157.44"</f>
        <v>157.44</v>
      </c>
      <c r="J5159" s="1" t="str">
        <f t="shared" si="3034"/>
        <v>0</v>
      </c>
      <c r="K5159" s="1" t="str">
        <f t="shared" si="3035"/>
        <v>103</v>
      </c>
      <c r="L5159" s="1" t="str">
        <f t="shared" si="3036"/>
        <v>47</v>
      </c>
      <c r="M5159" s="1" t="str">
        <f t="shared" si="3032"/>
        <v>0</v>
      </c>
      <c r="N5159" s="1" t="str">
        <f t="shared" si="3015"/>
        <v>0</v>
      </c>
      <c r="O5159" s="1" t="str">
        <f>"7.44"</f>
        <v>7.44</v>
      </c>
    </row>
    <row r="5160" s="1" customFormat="1" spans="1:15">
      <c r="A5160" s="1" t="str">
        <f t="shared" si="3020"/>
        <v>202406</v>
      </c>
      <c r="B5160" s="1" t="str">
        <f t="shared" si="3021"/>
        <v>150525100</v>
      </c>
      <c r="C5160" s="1" t="str">
        <f>"1041279748"</f>
        <v>1041279748</v>
      </c>
      <c r="D5160" s="1" t="str">
        <f>"152326196201293324"</f>
        <v>152326196201293324</v>
      </c>
      <c r="E5160" s="1" t="s">
        <v>5118</v>
      </c>
      <c r="F5160" s="1" t="s">
        <v>16</v>
      </c>
      <c r="G5160" s="1" t="s">
        <v>19</v>
      </c>
      <c r="H5160" s="1" t="str">
        <f>"62"</f>
        <v>62</v>
      </c>
      <c r="I5160" s="1" t="str">
        <f>"160.68"</f>
        <v>160.68</v>
      </c>
      <c r="J5160" s="1" t="str">
        <f t="shared" si="3034"/>
        <v>0</v>
      </c>
      <c r="K5160" s="1" t="str">
        <f t="shared" si="3035"/>
        <v>103</v>
      </c>
      <c r="L5160" s="1" t="str">
        <f t="shared" si="3036"/>
        <v>47</v>
      </c>
      <c r="M5160" s="1" t="str">
        <f t="shared" si="3032"/>
        <v>0</v>
      </c>
      <c r="N5160" s="1" t="str">
        <f t="shared" si="3015"/>
        <v>0</v>
      </c>
      <c r="O5160" s="1" t="str">
        <f>"10.68"</f>
        <v>10.68</v>
      </c>
    </row>
    <row r="5161" s="1" customFormat="1" spans="1:15">
      <c r="A5161" s="1" t="str">
        <f t="shared" si="3020"/>
        <v>202406</v>
      </c>
      <c r="B5161" s="1" t="str">
        <f t="shared" si="3021"/>
        <v>150525100</v>
      </c>
      <c r="C5161" s="1" t="str">
        <f>"1041529017"</f>
        <v>1041529017</v>
      </c>
      <c r="D5161" s="1" t="str">
        <f>"152326196110053077"</f>
        <v>152326196110053077</v>
      </c>
      <c r="E5161" s="1" t="s">
        <v>5119</v>
      </c>
      <c r="F5161" s="1" t="s">
        <v>25</v>
      </c>
      <c r="G5161" s="1" t="s">
        <v>19</v>
      </c>
      <c r="H5161" s="1" t="str">
        <f>"63"</f>
        <v>63</v>
      </c>
      <c r="I5161" s="1" t="str">
        <f>"158.16"</f>
        <v>158.16</v>
      </c>
      <c r="J5161" s="1" t="str">
        <f t="shared" si="3034"/>
        <v>0</v>
      </c>
      <c r="K5161" s="1" t="str">
        <f t="shared" si="3035"/>
        <v>103</v>
      </c>
      <c r="L5161" s="1" t="str">
        <f t="shared" si="3036"/>
        <v>47</v>
      </c>
      <c r="M5161" s="1" t="str">
        <f t="shared" si="3032"/>
        <v>0</v>
      </c>
      <c r="N5161" s="1" t="str">
        <f t="shared" si="3015"/>
        <v>0</v>
      </c>
      <c r="O5161" s="1" t="str">
        <f>"8.16"</f>
        <v>8.16</v>
      </c>
    </row>
    <row r="5162" s="1" customFormat="1" spans="1:15">
      <c r="A5162" s="1" t="str">
        <f t="shared" si="3020"/>
        <v>202406</v>
      </c>
      <c r="B5162" s="1" t="str">
        <f t="shared" si="3021"/>
        <v>150525100</v>
      </c>
      <c r="C5162" s="1" t="str">
        <f>"1041307332"</f>
        <v>1041307332</v>
      </c>
      <c r="D5162" s="1" t="str">
        <f>"152326196105090025"</f>
        <v>152326196105090025</v>
      </c>
      <c r="E5162" s="1" t="s">
        <v>5120</v>
      </c>
      <c r="F5162" s="1" t="s">
        <v>16</v>
      </c>
      <c r="G5162" s="1" t="s">
        <v>17</v>
      </c>
      <c r="H5162" s="1" t="str">
        <f>"63"</f>
        <v>63</v>
      </c>
      <c r="I5162" s="1" t="str">
        <f>"159.16"</f>
        <v>159.16</v>
      </c>
      <c r="J5162" s="1" t="str">
        <f t="shared" si="3034"/>
        <v>0</v>
      </c>
      <c r="K5162" s="1" t="str">
        <f t="shared" si="3035"/>
        <v>103</v>
      </c>
      <c r="L5162" s="1" t="str">
        <f t="shared" si="3036"/>
        <v>47</v>
      </c>
      <c r="M5162" s="1" t="str">
        <f t="shared" si="3032"/>
        <v>0</v>
      </c>
      <c r="N5162" s="1" t="str">
        <f t="shared" si="3015"/>
        <v>0</v>
      </c>
      <c r="O5162" s="1" t="str">
        <f>"9.16"</f>
        <v>9.16</v>
      </c>
    </row>
    <row r="5163" s="1" customFormat="1" spans="1:15">
      <c r="A5163" s="1" t="str">
        <f t="shared" si="3020"/>
        <v>202406</v>
      </c>
      <c r="B5163" s="1" t="str">
        <f t="shared" si="3021"/>
        <v>150525100</v>
      </c>
      <c r="C5163" s="1" t="str">
        <f>"1041305045"</f>
        <v>1041305045</v>
      </c>
      <c r="D5163" s="1" t="str">
        <f>"152326196401100689"</f>
        <v>152326196401100689</v>
      </c>
      <c r="E5163" s="1" t="s">
        <v>5121</v>
      </c>
      <c r="F5163" s="1" t="s">
        <v>16</v>
      </c>
      <c r="G5163" s="1" t="s">
        <v>17</v>
      </c>
      <c r="H5163" s="1" t="str">
        <f>"60"</f>
        <v>60</v>
      </c>
      <c r="I5163" s="1" t="str">
        <f>"202.87"</f>
        <v>202.87</v>
      </c>
      <c r="J5163" s="1" t="str">
        <f t="shared" si="3034"/>
        <v>0</v>
      </c>
      <c r="K5163" s="1" t="str">
        <f t="shared" si="3035"/>
        <v>103</v>
      </c>
      <c r="L5163" s="1" t="str">
        <f t="shared" si="3036"/>
        <v>47</v>
      </c>
      <c r="M5163" s="1" t="str">
        <f t="shared" si="3032"/>
        <v>0</v>
      </c>
      <c r="N5163" s="1" t="str">
        <f t="shared" si="3015"/>
        <v>0</v>
      </c>
      <c r="O5163" s="1" t="str">
        <f>"52.87"</f>
        <v>52.87</v>
      </c>
    </row>
    <row r="5164" s="1" customFormat="1" spans="1:15">
      <c r="A5164" s="1" t="str">
        <f t="shared" si="3020"/>
        <v>202406</v>
      </c>
      <c r="B5164" s="1" t="str">
        <f t="shared" si="3021"/>
        <v>150525100</v>
      </c>
      <c r="C5164" s="1" t="str">
        <f>"1041307383"</f>
        <v>1041307383</v>
      </c>
      <c r="D5164" s="1" t="str">
        <f>"152326196301180925"</f>
        <v>152326196301180925</v>
      </c>
      <c r="E5164" s="1" t="s">
        <v>5122</v>
      </c>
      <c r="F5164" s="1" t="s">
        <v>16</v>
      </c>
      <c r="G5164" s="1" t="s">
        <v>17</v>
      </c>
      <c r="H5164" s="1" t="str">
        <f>"61"</f>
        <v>61</v>
      </c>
      <c r="I5164" s="1" t="str">
        <f>"165.35"</f>
        <v>165.35</v>
      </c>
      <c r="J5164" s="1" t="str">
        <f t="shared" si="3034"/>
        <v>0</v>
      </c>
      <c r="K5164" s="1" t="str">
        <f t="shared" si="3035"/>
        <v>103</v>
      </c>
      <c r="L5164" s="1" t="str">
        <f t="shared" si="3036"/>
        <v>47</v>
      </c>
      <c r="M5164" s="1" t="str">
        <f t="shared" si="3032"/>
        <v>0</v>
      </c>
      <c r="N5164" s="1" t="str">
        <f t="shared" si="3015"/>
        <v>0</v>
      </c>
      <c r="O5164" s="1" t="str">
        <f>"15.35"</f>
        <v>15.35</v>
      </c>
    </row>
    <row r="5165" s="1" customFormat="1" spans="1:15">
      <c r="A5165" s="1" t="str">
        <f t="shared" si="3020"/>
        <v>202406</v>
      </c>
      <c r="B5165" s="1" t="str">
        <f t="shared" si="3021"/>
        <v>150525100</v>
      </c>
      <c r="C5165" s="1" t="str">
        <f>"1041307440"</f>
        <v>1041307440</v>
      </c>
      <c r="D5165" s="1" t="str">
        <f>"152326196204130029"</f>
        <v>152326196204130029</v>
      </c>
      <c r="E5165" s="1" t="s">
        <v>5123</v>
      </c>
      <c r="F5165" s="1" t="s">
        <v>16</v>
      </c>
      <c r="G5165" s="1" t="s">
        <v>17</v>
      </c>
      <c r="H5165" s="1" t="str">
        <f>"62"</f>
        <v>62</v>
      </c>
      <c r="I5165" s="1" t="str">
        <f>"165.72"</f>
        <v>165.72</v>
      </c>
      <c r="J5165" s="1" t="str">
        <f t="shared" si="3034"/>
        <v>0</v>
      </c>
      <c r="K5165" s="1" t="str">
        <f t="shared" si="3035"/>
        <v>103</v>
      </c>
      <c r="L5165" s="1" t="str">
        <f t="shared" si="3036"/>
        <v>47</v>
      </c>
      <c r="M5165" s="1" t="str">
        <f t="shared" si="3032"/>
        <v>0</v>
      </c>
      <c r="N5165" s="1" t="str">
        <f t="shared" si="3015"/>
        <v>0</v>
      </c>
      <c r="O5165" s="1" t="str">
        <f>"15.72"</f>
        <v>15.72</v>
      </c>
    </row>
    <row r="5166" s="1" customFormat="1" spans="1:15">
      <c r="A5166" s="1" t="str">
        <f t="shared" si="3020"/>
        <v>202406</v>
      </c>
      <c r="B5166" s="1" t="str">
        <f t="shared" si="3021"/>
        <v>150525100</v>
      </c>
      <c r="C5166" s="1" t="str">
        <f>"1041305234"</f>
        <v>1041305234</v>
      </c>
      <c r="D5166" s="1" t="str">
        <f>"152326196011161929"</f>
        <v>152326196011161929</v>
      </c>
      <c r="E5166" s="1" t="s">
        <v>5124</v>
      </c>
      <c r="F5166" s="1" t="s">
        <v>16</v>
      </c>
      <c r="G5166" s="1" t="s">
        <v>17</v>
      </c>
      <c r="H5166" s="1" t="str">
        <f t="shared" ref="H5166:H5170" si="3037">"64"</f>
        <v>64</v>
      </c>
      <c r="I5166" s="1" t="str">
        <f>"157.72"</f>
        <v>157.72</v>
      </c>
      <c r="J5166" s="1" t="str">
        <f t="shared" si="3034"/>
        <v>0</v>
      </c>
      <c r="K5166" s="1" t="str">
        <f t="shared" si="3035"/>
        <v>103</v>
      </c>
      <c r="L5166" s="1" t="str">
        <f t="shared" si="3036"/>
        <v>47</v>
      </c>
      <c r="M5166" s="1" t="str">
        <f t="shared" si="3032"/>
        <v>0</v>
      </c>
      <c r="N5166" s="1" t="str">
        <f t="shared" si="3015"/>
        <v>0</v>
      </c>
      <c r="O5166" s="1" t="str">
        <f>"7.72"</f>
        <v>7.72</v>
      </c>
    </row>
    <row r="5167" s="1" customFormat="1" spans="1:15">
      <c r="A5167" s="1" t="str">
        <f t="shared" si="3020"/>
        <v>202406</v>
      </c>
      <c r="B5167" s="1" t="str">
        <f t="shared" si="3021"/>
        <v>150525100</v>
      </c>
      <c r="C5167" s="1" t="str">
        <f>"1041776828"</f>
        <v>1041776828</v>
      </c>
      <c r="D5167" s="1" t="s">
        <v>5125</v>
      </c>
      <c r="E5167" s="1" t="s">
        <v>899</v>
      </c>
      <c r="F5167" s="1" t="s">
        <v>16</v>
      </c>
      <c r="G5167" s="1" t="s">
        <v>17</v>
      </c>
      <c r="H5167" s="1" t="str">
        <f>"66"</f>
        <v>66</v>
      </c>
      <c r="I5167" s="1" t="str">
        <f>"1557.6"</f>
        <v>1557.6</v>
      </c>
      <c r="J5167" s="1" t="str">
        <f>"1401.84"</f>
        <v>1401.84</v>
      </c>
      <c r="K5167" s="1" t="str">
        <f>"1030"</f>
        <v>1030</v>
      </c>
      <c r="L5167" s="1" t="str">
        <f>"470"</f>
        <v>470</v>
      </c>
      <c r="M5167" s="1" t="str">
        <f t="shared" si="3032"/>
        <v>0</v>
      </c>
      <c r="N5167" s="1" t="str">
        <f t="shared" si="3015"/>
        <v>0</v>
      </c>
      <c r="O5167" s="1" t="str">
        <f>"57.6"</f>
        <v>57.6</v>
      </c>
    </row>
    <row r="5168" s="1" customFormat="1" spans="1:15">
      <c r="A5168" s="1" t="str">
        <f t="shared" si="3020"/>
        <v>202406</v>
      </c>
      <c r="B5168" s="1" t="str">
        <f t="shared" si="3021"/>
        <v>150525100</v>
      </c>
      <c r="C5168" s="1" t="str">
        <f>"1041792465"</f>
        <v>1041792465</v>
      </c>
      <c r="D5168" s="1" t="str">
        <f>"152326195906020671"</f>
        <v>152326195906020671</v>
      </c>
      <c r="E5168" s="1" t="s">
        <v>5126</v>
      </c>
      <c r="F5168" s="1" t="s">
        <v>25</v>
      </c>
      <c r="G5168" s="1" t="s">
        <v>17</v>
      </c>
      <c r="H5168" s="1" t="str">
        <f t="shared" ref="H5168:H5172" si="3038">"65"</f>
        <v>65</v>
      </c>
      <c r="I5168" s="1" t="str">
        <f>"156.03"</f>
        <v>156.03</v>
      </c>
      <c r="J5168" s="1" t="str">
        <f t="shared" ref="J5168:J5178" si="3039">"0"</f>
        <v>0</v>
      </c>
      <c r="K5168" s="1" t="str">
        <f t="shared" ref="K5168:K5178" si="3040">"103"</f>
        <v>103</v>
      </c>
      <c r="L5168" s="1" t="str">
        <f t="shared" ref="L5168:L5178" si="3041">"47"</f>
        <v>47</v>
      </c>
      <c r="M5168" s="1" t="str">
        <f t="shared" si="3032"/>
        <v>0</v>
      </c>
      <c r="N5168" s="1" t="str">
        <f t="shared" si="3015"/>
        <v>0</v>
      </c>
      <c r="O5168" s="1" t="str">
        <f>"6.03"</f>
        <v>6.03</v>
      </c>
    </row>
    <row r="5169" s="1" customFormat="1" spans="1:15">
      <c r="A5169" s="1" t="str">
        <f t="shared" si="3020"/>
        <v>202406</v>
      </c>
      <c r="B5169" s="1" t="str">
        <f t="shared" si="3021"/>
        <v>150525100</v>
      </c>
      <c r="C5169" s="1" t="str">
        <f>"1041864365"</f>
        <v>1041864365</v>
      </c>
      <c r="D5169" s="1" t="s">
        <v>5127</v>
      </c>
      <c r="E5169" s="1" t="s">
        <v>5128</v>
      </c>
      <c r="F5169" s="1" t="s">
        <v>16</v>
      </c>
      <c r="G5169" s="1" t="s">
        <v>17</v>
      </c>
      <c r="H5169" s="1" t="str">
        <f t="shared" si="3037"/>
        <v>64</v>
      </c>
      <c r="I5169" s="1" t="str">
        <f>"163.27"</f>
        <v>163.27</v>
      </c>
      <c r="J5169" s="1" t="str">
        <f t="shared" si="3039"/>
        <v>0</v>
      </c>
      <c r="K5169" s="1" t="str">
        <f t="shared" si="3040"/>
        <v>103</v>
      </c>
      <c r="L5169" s="1" t="str">
        <f t="shared" si="3041"/>
        <v>47</v>
      </c>
      <c r="M5169" s="1" t="str">
        <f t="shared" si="3032"/>
        <v>0</v>
      </c>
      <c r="N5169" s="1" t="str">
        <f t="shared" si="3015"/>
        <v>0</v>
      </c>
      <c r="O5169" s="1" t="str">
        <f>"13.27"</f>
        <v>13.27</v>
      </c>
    </row>
    <row r="5170" s="1" customFormat="1" spans="1:15">
      <c r="A5170" s="1" t="str">
        <f t="shared" si="3020"/>
        <v>202406</v>
      </c>
      <c r="B5170" s="1" t="str">
        <f t="shared" si="3021"/>
        <v>150525100</v>
      </c>
      <c r="C5170" s="1" t="str">
        <f>"1041864366"</f>
        <v>1041864366</v>
      </c>
      <c r="D5170" s="1" t="str">
        <f>"152326196005300670"</f>
        <v>152326196005300670</v>
      </c>
      <c r="E5170" s="1" t="s">
        <v>5129</v>
      </c>
      <c r="F5170" s="1" t="s">
        <v>25</v>
      </c>
      <c r="G5170" s="1" t="s">
        <v>17</v>
      </c>
      <c r="H5170" s="1" t="str">
        <f t="shared" si="3037"/>
        <v>64</v>
      </c>
      <c r="I5170" s="1" t="str">
        <f>"163.33"</f>
        <v>163.33</v>
      </c>
      <c r="J5170" s="1" t="str">
        <f t="shared" si="3039"/>
        <v>0</v>
      </c>
      <c r="K5170" s="1" t="str">
        <f t="shared" si="3040"/>
        <v>103</v>
      </c>
      <c r="L5170" s="1" t="str">
        <f t="shared" si="3041"/>
        <v>47</v>
      </c>
      <c r="M5170" s="1" t="str">
        <f t="shared" si="3032"/>
        <v>0</v>
      </c>
      <c r="N5170" s="1" t="str">
        <f t="shared" si="3015"/>
        <v>0</v>
      </c>
      <c r="O5170" s="1" t="str">
        <f>"13.33"</f>
        <v>13.33</v>
      </c>
    </row>
    <row r="5171" s="1" customFormat="1" spans="1:15">
      <c r="A5171" s="1" t="str">
        <f t="shared" si="3020"/>
        <v>202406</v>
      </c>
      <c r="B5171" s="1" t="str">
        <f t="shared" si="3021"/>
        <v>150525100</v>
      </c>
      <c r="C5171" s="1" t="str">
        <f>"1042086358"</f>
        <v>1042086358</v>
      </c>
      <c r="D5171" s="1" t="str">
        <f>"152326195906123072"</f>
        <v>152326195906123072</v>
      </c>
      <c r="E5171" s="1" t="s">
        <v>5130</v>
      </c>
      <c r="F5171" s="1" t="s">
        <v>25</v>
      </c>
      <c r="G5171" s="1" t="s">
        <v>17</v>
      </c>
      <c r="H5171" s="1" t="str">
        <f t="shared" si="3038"/>
        <v>65</v>
      </c>
      <c r="I5171" s="1" t="str">
        <f>"156.04"</f>
        <v>156.04</v>
      </c>
      <c r="J5171" s="1" t="str">
        <f t="shared" si="3039"/>
        <v>0</v>
      </c>
      <c r="K5171" s="1" t="str">
        <f t="shared" si="3040"/>
        <v>103</v>
      </c>
      <c r="L5171" s="1" t="str">
        <f t="shared" si="3041"/>
        <v>47</v>
      </c>
      <c r="M5171" s="1" t="str">
        <f t="shared" si="3032"/>
        <v>0</v>
      </c>
      <c r="N5171" s="1" t="str">
        <f t="shared" si="3015"/>
        <v>0</v>
      </c>
      <c r="O5171" s="1" t="str">
        <f>"6.04"</f>
        <v>6.04</v>
      </c>
    </row>
    <row r="5172" s="1" customFormat="1" spans="1:15">
      <c r="A5172" s="1" t="str">
        <f t="shared" si="3020"/>
        <v>202406</v>
      </c>
      <c r="B5172" s="1" t="str">
        <f t="shared" si="3021"/>
        <v>150525100</v>
      </c>
      <c r="C5172" s="1" t="str">
        <f>"1041962613"</f>
        <v>1041962613</v>
      </c>
      <c r="D5172" s="1" t="str">
        <f>"152326195912050666"</f>
        <v>152326195912050666</v>
      </c>
      <c r="E5172" s="1" t="s">
        <v>949</v>
      </c>
      <c r="F5172" s="1" t="s">
        <v>16</v>
      </c>
      <c r="G5172" s="1" t="s">
        <v>17</v>
      </c>
      <c r="H5172" s="1" t="str">
        <f t="shared" si="3038"/>
        <v>65</v>
      </c>
      <c r="I5172" s="1" t="str">
        <f>"156.48"</f>
        <v>156.48</v>
      </c>
      <c r="J5172" s="1" t="str">
        <f t="shared" si="3039"/>
        <v>0</v>
      </c>
      <c r="K5172" s="1" t="str">
        <f t="shared" si="3040"/>
        <v>103</v>
      </c>
      <c r="L5172" s="1" t="str">
        <f t="shared" si="3041"/>
        <v>47</v>
      </c>
      <c r="M5172" s="1" t="str">
        <f t="shared" si="3032"/>
        <v>0</v>
      </c>
      <c r="N5172" s="1" t="str">
        <f t="shared" ref="N5172:N5235" si="3042">"0"</f>
        <v>0</v>
      </c>
      <c r="O5172" s="1" t="str">
        <f>"6.48"</f>
        <v>6.48</v>
      </c>
    </row>
    <row r="5173" s="1" customFormat="1" spans="1:15">
      <c r="A5173" s="1" t="str">
        <f t="shared" si="3020"/>
        <v>202406</v>
      </c>
      <c r="B5173" s="1" t="str">
        <f t="shared" si="3021"/>
        <v>150525100</v>
      </c>
      <c r="C5173" s="1" t="str">
        <f>"1042056289"</f>
        <v>1042056289</v>
      </c>
      <c r="D5173" s="1" t="str">
        <f>"152326195805103822"</f>
        <v>152326195805103822</v>
      </c>
      <c r="E5173" s="1" t="s">
        <v>2237</v>
      </c>
      <c r="F5173" s="1" t="s">
        <v>16</v>
      </c>
      <c r="G5173" s="1" t="s">
        <v>17</v>
      </c>
      <c r="H5173" s="1" t="str">
        <f t="shared" ref="H5173:H5177" si="3043">"66"</f>
        <v>66</v>
      </c>
      <c r="I5173" s="1" t="str">
        <f>"155.76"</f>
        <v>155.76</v>
      </c>
      <c r="J5173" s="1" t="str">
        <f t="shared" si="3039"/>
        <v>0</v>
      </c>
      <c r="K5173" s="1" t="str">
        <f t="shared" si="3040"/>
        <v>103</v>
      </c>
      <c r="L5173" s="1" t="str">
        <f t="shared" si="3041"/>
        <v>47</v>
      </c>
      <c r="M5173" s="1" t="str">
        <f t="shared" si="3032"/>
        <v>0</v>
      </c>
      <c r="N5173" s="1" t="str">
        <f t="shared" si="3042"/>
        <v>0</v>
      </c>
      <c r="O5173" s="1" t="str">
        <f>"5.76"</f>
        <v>5.76</v>
      </c>
    </row>
    <row r="5174" s="1" customFormat="1" spans="1:15">
      <c r="A5174" s="1" t="str">
        <f t="shared" si="3020"/>
        <v>202406</v>
      </c>
      <c r="B5174" s="1" t="str">
        <f t="shared" si="3021"/>
        <v>150525100</v>
      </c>
      <c r="C5174" s="1" t="str">
        <f>"1042046711"</f>
        <v>1042046711</v>
      </c>
      <c r="D5174" s="1" t="s">
        <v>5131</v>
      </c>
      <c r="E5174" s="1" t="s">
        <v>5132</v>
      </c>
      <c r="F5174" s="1" t="s">
        <v>16</v>
      </c>
      <c r="G5174" s="1" t="s">
        <v>19</v>
      </c>
      <c r="H5174" s="1" t="str">
        <f>"65"</f>
        <v>65</v>
      </c>
      <c r="I5174" s="1" t="str">
        <f>"155.76"</f>
        <v>155.76</v>
      </c>
      <c r="J5174" s="1" t="str">
        <f t="shared" si="3039"/>
        <v>0</v>
      </c>
      <c r="K5174" s="1" t="str">
        <f t="shared" si="3040"/>
        <v>103</v>
      </c>
      <c r="L5174" s="1" t="str">
        <f t="shared" si="3041"/>
        <v>47</v>
      </c>
      <c r="M5174" s="1" t="str">
        <f t="shared" si="3032"/>
        <v>0</v>
      </c>
      <c r="N5174" s="1" t="str">
        <f t="shared" si="3042"/>
        <v>0</v>
      </c>
      <c r="O5174" s="1" t="str">
        <f>"5.76"</f>
        <v>5.76</v>
      </c>
    </row>
    <row r="5175" s="1" customFormat="1" spans="1:15">
      <c r="A5175" s="1" t="str">
        <f t="shared" si="3020"/>
        <v>202406</v>
      </c>
      <c r="B5175" s="1" t="str">
        <f t="shared" si="3021"/>
        <v>150525100</v>
      </c>
      <c r="C5175" s="1" t="str">
        <f>"1041577564"</f>
        <v>1041577564</v>
      </c>
      <c r="D5175" s="1" t="str">
        <f>"152326195810183839"</f>
        <v>152326195810183839</v>
      </c>
      <c r="E5175" s="1" t="s">
        <v>5133</v>
      </c>
      <c r="F5175" s="1" t="s">
        <v>25</v>
      </c>
      <c r="G5175" s="1" t="s">
        <v>19</v>
      </c>
      <c r="H5175" s="1" t="str">
        <f t="shared" si="3043"/>
        <v>66</v>
      </c>
      <c r="I5175" s="1" t="str">
        <f>"155.98"</f>
        <v>155.98</v>
      </c>
      <c r="J5175" s="1" t="str">
        <f t="shared" si="3039"/>
        <v>0</v>
      </c>
      <c r="K5175" s="1" t="str">
        <f t="shared" si="3040"/>
        <v>103</v>
      </c>
      <c r="L5175" s="1" t="str">
        <f t="shared" si="3041"/>
        <v>47</v>
      </c>
      <c r="M5175" s="1" t="str">
        <f t="shared" si="3032"/>
        <v>0</v>
      </c>
      <c r="N5175" s="1" t="str">
        <f t="shared" si="3042"/>
        <v>0</v>
      </c>
      <c r="O5175" s="1" t="str">
        <f>"5.98"</f>
        <v>5.98</v>
      </c>
    </row>
    <row r="5176" s="1" customFormat="1" spans="1:15">
      <c r="A5176" s="1" t="str">
        <f t="shared" si="3020"/>
        <v>202406</v>
      </c>
      <c r="B5176" s="1" t="str">
        <f t="shared" si="3021"/>
        <v>150525100</v>
      </c>
      <c r="C5176" s="1" t="str">
        <f>"1042701747"</f>
        <v>1042701747</v>
      </c>
      <c r="D5176" s="1" t="str">
        <f>"152326196102183082"</f>
        <v>152326196102183082</v>
      </c>
      <c r="E5176" s="1" t="s">
        <v>489</v>
      </c>
      <c r="F5176" s="1" t="s">
        <v>16</v>
      </c>
      <c r="G5176" s="1" t="s">
        <v>17</v>
      </c>
      <c r="H5176" s="1" t="str">
        <f>"63"</f>
        <v>63</v>
      </c>
      <c r="I5176" s="1" t="str">
        <f>"158.55"</f>
        <v>158.55</v>
      </c>
      <c r="J5176" s="1" t="str">
        <f t="shared" si="3039"/>
        <v>0</v>
      </c>
      <c r="K5176" s="1" t="str">
        <f t="shared" si="3040"/>
        <v>103</v>
      </c>
      <c r="L5176" s="1" t="str">
        <f t="shared" si="3041"/>
        <v>47</v>
      </c>
      <c r="M5176" s="1" t="str">
        <f t="shared" si="3032"/>
        <v>0</v>
      </c>
      <c r="N5176" s="1" t="str">
        <f t="shared" si="3042"/>
        <v>0</v>
      </c>
      <c r="O5176" s="1" t="str">
        <f>"8.55"</f>
        <v>8.55</v>
      </c>
    </row>
    <row r="5177" s="1" customFormat="1" spans="1:15">
      <c r="A5177" s="1" t="str">
        <f t="shared" si="3020"/>
        <v>202406</v>
      </c>
      <c r="B5177" s="1" t="str">
        <f t="shared" si="3021"/>
        <v>150525100</v>
      </c>
      <c r="C5177" s="1" t="str">
        <f>"1041567541"</f>
        <v>1041567541</v>
      </c>
      <c r="D5177" s="1" t="str">
        <f>"152326195811103829"</f>
        <v>152326195811103829</v>
      </c>
      <c r="E5177" s="1" t="s">
        <v>5134</v>
      </c>
      <c r="F5177" s="1" t="s">
        <v>16</v>
      </c>
      <c r="G5177" s="1" t="s">
        <v>19</v>
      </c>
      <c r="H5177" s="1" t="str">
        <f t="shared" si="3043"/>
        <v>66</v>
      </c>
      <c r="I5177" s="1" t="str">
        <f>"155.99"</f>
        <v>155.99</v>
      </c>
      <c r="J5177" s="1" t="str">
        <f t="shared" si="3039"/>
        <v>0</v>
      </c>
      <c r="K5177" s="1" t="str">
        <f t="shared" si="3040"/>
        <v>103</v>
      </c>
      <c r="L5177" s="1" t="str">
        <f t="shared" si="3041"/>
        <v>47</v>
      </c>
      <c r="M5177" s="1" t="str">
        <f t="shared" si="3032"/>
        <v>0</v>
      </c>
      <c r="N5177" s="1" t="str">
        <f t="shared" si="3042"/>
        <v>0</v>
      </c>
      <c r="O5177" s="1" t="str">
        <f>"5.99"</f>
        <v>5.99</v>
      </c>
    </row>
    <row r="5178" s="1" customFormat="1" spans="1:15">
      <c r="A5178" s="1" t="str">
        <f t="shared" si="3020"/>
        <v>202406</v>
      </c>
      <c r="B5178" s="1" t="str">
        <f t="shared" si="3021"/>
        <v>150525100</v>
      </c>
      <c r="C5178" s="1" t="str">
        <f>"1041560837"</f>
        <v>1041560837</v>
      </c>
      <c r="D5178" s="1" t="str">
        <f>"152326196104010425"</f>
        <v>152326196104010425</v>
      </c>
      <c r="E5178" s="1" t="s">
        <v>522</v>
      </c>
      <c r="F5178" s="1" t="s">
        <v>16</v>
      </c>
      <c r="G5178" s="1" t="s">
        <v>17</v>
      </c>
      <c r="H5178" s="1" t="str">
        <f>"63"</f>
        <v>63</v>
      </c>
      <c r="I5178" s="1" t="str">
        <f>"158.85"</f>
        <v>158.85</v>
      </c>
      <c r="J5178" s="1" t="str">
        <f t="shared" si="3039"/>
        <v>0</v>
      </c>
      <c r="K5178" s="1" t="str">
        <f t="shared" si="3040"/>
        <v>103</v>
      </c>
      <c r="L5178" s="1" t="str">
        <f t="shared" si="3041"/>
        <v>47</v>
      </c>
      <c r="M5178" s="1" t="str">
        <f t="shared" si="3032"/>
        <v>0</v>
      </c>
      <c r="N5178" s="1" t="str">
        <f t="shared" si="3042"/>
        <v>0</v>
      </c>
      <c r="O5178" s="1" t="str">
        <f>"8.85"</f>
        <v>8.85</v>
      </c>
    </row>
    <row r="5179" s="1" customFormat="1" spans="1:15">
      <c r="A5179" s="1" t="str">
        <f t="shared" si="3020"/>
        <v>202406</v>
      </c>
      <c r="B5179" s="1" t="str">
        <f t="shared" si="3021"/>
        <v>150525100</v>
      </c>
      <c r="C5179" s="1" t="str">
        <f>"1042154884"</f>
        <v>1042154884</v>
      </c>
      <c r="D5179" s="1" t="str">
        <f>"152326195903100414"</f>
        <v>152326195903100414</v>
      </c>
      <c r="E5179" s="1" t="s">
        <v>5135</v>
      </c>
      <c r="F5179" s="1" t="s">
        <v>25</v>
      </c>
      <c r="G5179" s="1" t="s">
        <v>17</v>
      </c>
      <c r="H5179" s="1" t="str">
        <f>"65"</f>
        <v>65</v>
      </c>
      <c r="I5179" s="1" t="str">
        <f>"1872.24"</f>
        <v>1872.24</v>
      </c>
      <c r="J5179" s="1" t="str">
        <f>"1716.22"</f>
        <v>1716.22</v>
      </c>
      <c r="K5179" s="1" t="str">
        <f>"1236"</f>
        <v>1236</v>
      </c>
      <c r="L5179" s="1" t="str">
        <f>"564"</f>
        <v>564</v>
      </c>
      <c r="M5179" s="1" t="str">
        <f t="shared" si="3032"/>
        <v>0</v>
      </c>
      <c r="N5179" s="1" t="str">
        <f t="shared" si="3042"/>
        <v>0</v>
      </c>
      <c r="O5179" s="1" t="str">
        <f>"72.24"</f>
        <v>72.24</v>
      </c>
    </row>
    <row r="5180" s="1" customFormat="1" spans="1:15">
      <c r="A5180" s="1" t="str">
        <f t="shared" si="3020"/>
        <v>202406</v>
      </c>
      <c r="B5180" s="1" t="str">
        <f t="shared" si="3021"/>
        <v>150525100</v>
      </c>
      <c r="C5180" s="1" t="str">
        <f>"1042194197"</f>
        <v>1042194197</v>
      </c>
      <c r="D5180" s="1" t="str">
        <f>"152326195805163817"</f>
        <v>152326195805163817</v>
      </c>
      <c r="E5180" s="1" t="s">
        <v>5136</v>
      </c>
      <c r="F5180" s="1" t="s">
        <v>25</v>
      </c>
      <c r="G5180" s="1" t="s">
        <v>19</v>
      </c>
      <c r="H5180" s="1" t="str">
        <f>"66"</f>
        <v>66</v>
      </c>
      <c r="I5180" s="1" t="str">
        <f>"155.04"</f>
        <v>155.04</v>
      </c>
      <c r="J5180" s="1" t="str">
        <f t="shared" ref="J5180:J5222" si="3044">"0"</f>
        <v>0</v>
      </c>
      <c r="K5180" s="1" t="str">
        <f t="shared" ref="K5180:K5222" si="3045">"103"</f>
        <v>103</v>
      </c>
      <c r="L5180" s="1" t="str">
        <f t="shared" ref="L5180:L5222" si="3046">"47"</f>
        <v>47</v>
      </c>
      <c r="M5180" s="1" t="str">
        <f t="shared" si="3032"/>
        <v>0</v>
      </c>
      <c r="N5180" s="1" t="str">
        <f t="shared" si="3042"/>
        <v>0</v>
      </c>
      <c r="O5180" s="1" t="str">
        <f>"5.04"</f>
        <v>5.04</v>
      </c>
    </row>
    <row r="5181" s="1" customFormat="1" spans="1:15">
      <c r="A5181" s="1" t="str">
        <f t="shared" si="3020"/>
        <v>202406</v>
      </c>
      <c r="B5181" s="1" t="str">
        <f t="shared" si="3021"/>
        <v>150525100</v>
      </c>
      <c r="C5181" s="1" t="str">
        <f>"1042131700"</f>
        <v>1042131700</v>
      </c>
      <c r="D5181" s="1" t="str">
        <f>"152326195906233319"</f>
        <v>152326195906233319</v>
      </c>
      <c r="E5181" s="1" t="s">
        <v>5137</v>
      </c>
      <c r="F5181" s="1" t="s">
        <v>25</v>
      </c>
      <c r="G5181" s="1" t="s">
        <v>19</v>
      </c>
      <c r="H5181" s="1" t="str">
        <f>"65"</f>
        <v>65</v>
      </c>
      <c r="I5181" s="1" t="str">
        <f>"156.48"</f>
        <v>156.48</v>
      </c>
      <c r="J5181" s="1" t="str">
        <f t="shared" si="3044"/>
        <v>0</v>
      </c>
      <c r="K5181" s="1" t="str">
        <f t="shared" si="3045"/>
        <v>103</v>
      </c>
      <c r="L5181" s="1" t="str">
        <f t="shared" si="3046"/>
        <v>47</v>
      </c>
      <c r="M5181" s="1" t="str">
        <f t="shared" si="3032"/>
        <v>0</v>
      </c>
      <c r="N5181" s="1" t="str">
        <f t="shared" si="3042"/>
        <v>0</v>
      </c>
      <c r="O5181" s="1" t="str">
        <f>"6.48"</f>
        <v>6.48</v>
      </c>
    </row>
    <row r="5182" s="1" customFormat="1" spans="1:15">
      <c r="A5182" s="1" t="str">
        <f t="shared" si="3020"/>
        <v>202406</v>
      </c>
      <c r="B5182" s="1" t="str">
        <f t="shared" si="3021"/>
        <v>150525100</v>
      </c>
      <c r="C5182" s="1" t="str">
        <f>"1041659253"</f>
        <v>1041659253</v>
      </c>
      <c r="D5182" s="1" t="str">
        <f>"152326196307160933"</f>
        <v>152326196307160933</v>
      </c>
      <c r="E5182" s="1" t="s">
        <v>5138</v>
      </c>
      <c r="F5182" s="1" t="s">
        <v>25</v>
      </c>
      <c r="G5182" s="1" t="s">
        <v>17</v>
      </c>
      <c r="H5182" s="1" t="str">
        <f>"61"</f>
        <v>61</v>
      </c>
      <c r="I5182" s="1" t="str">
        <f>"168.15"</f>
        <v>168.15</v>
      </c>
      <c r="J5182" s="1" t="str">
        <f t="shared" si="3044"/>
        <v>0</v>
      </c>
      <c r="K5182" s="1" t="str">
        <f t="shared" si="3045"/>
        <v>103</v>
      </c>
      <c r="L5182" s="1" t="str">
        <f t="shared" si="3046"/>
        <v>47</v>
      </c>
      <c r="M5182" s="1" t="str">
        <f t="shared" si="3032"/>
        <v>0</v>
      </c>
      <c r="N5182" s="1" t="str">
        <f t="shared" si="3042"/>
        <v>0</v>
      </c>
      <c r="O5182" s="1" t="str">
        <f>"18.15"</f>
        <v>18.15</v>
      </c>
    </row>
    <row r="5183" s="1" customFormat="1" spans="1:15">
      <c r="A5183" s="1" t="str">
        <f t="shared" si="3020"/>
        <v>202406</v>
      </c>
      <c r="B5183" s="1" t="str">
        <f t="shared" si="3021"/>
        <v>150525100</v>
      </c>
      <c r="C5183" s="1" t="str">
        <f>"1041656436"</f>
        <v>1041656436</v>
      </c>
      <c r="D5183" s="1" t="s">
        <v>5139</v>
      </c>
      <c r="E5183" s="1" t="s">
        <v>5140</v>
      </c>
      <c r="F5183" s="1" t="s">
        <v>25</v>
      </c>
      <c r="G5183" s="1" t="s">
        <v>17</v>
      </c>
      <c r="H5183" s="1" t="str">
        <f>"64"</f>
        <v>64</v>
      </c>
      <c r="I5183" s="1" t="str">
        <f>"150.95"</f>
        <v>150.95</v>
      </c>
      <c r="J5183" s="1" t="str">
        <f t="shared" si="3044"/>
        <v>0</v>
      </c>
      <c r="K5183" s="1" t="str">
        <f t="shared" si="3045"/>
        <v>103</v>
      </c>
      <c r="L5183" s="1" t="str">
        <f t="shared" si="3046"/>
        <v>47</v>
      </c>
      <c r="M5183" s="1" t="str">
        <f t="shared" si="3032"/>
        <v>0</v>
      </c>
      <c r="N5183" s="1" t="str">
        <f t="shared" si="3042"/>
        <v>0</v>
      </c>
      <c r="O5183" s="1" t="str">
        <f>"0.95"</f>
        <v>0.95</v>
      </c>
    </row>
    <row r="5184" s="1" customFormat="1" spans="1:15">
      <c r="A5184" s="1" t="str">
        <f t="shared" si="3020"/>
        <v>202406</v>
      </c>
      <c r="B5184" s="1" t="str">
        <f t="shared" si="3021"/>
        <v>150525100</v>
      </c>
      <c r="C5184" s="1" t="str">
        <f>"1041659611"</f>
        <v>1041659611</v>
      </c>
      <c r="D5184" s="1" t="str">
        <f>"152326196105260661"</f>
        <v>152326196105260661</v>
      </c>
      <c r="E5184" s="1" t="s">
        <v>5141</v>
      </c>
      <c r="F5184" s="1" t="s">
        <v>16</v>
      </c>
      <c r="G5184" s="1" t="s">
        <v>17</v>
      </c>
      <c r="H5184" s="1" t="str">
        <f>"63"</f>
        <v>63</v>
      </c>
      <c r="I5184" s="1" t="str">
        <f>"157.8"</f>
        <v>157.8</v>
      </c>
      <c r="J5184" s="1" t="str">
        <f t="shared" si="3044"/>
        <v>0</v>
      </c>
      <c r="K5184" s="1" t="str">
        <f t="shared" si="3045"/>
        <v>103</v>
      </c>
      <c r="L5184" s="1" t="str">
        <f t="shared" si="3046"/>
        <v>47</v>
      </c>
      <c r="M5184" s="1" t="str">
        <f t="shared" si="3032"/>
        <v>0</v>
      </c>
      <c r="N5184" s="1" t="str">
        <f t="shared" si="3042"/>
        <v>0</v>
      </c>
      <c r="O5184" s="1" t="str">
        <f>"7.8"</f>
        <v>7.8</v>
      </c>
    </row>
    <row r="5185" s="1" customFormat="1" spans="1:15">
      <c r="A5185" s="1" t="str">
        <f t="shared" si="3020"/>
        <v>202406</v>
      </c>
      <c r="B5185" s="1" t="str">
        <f t="shared" si="3021"/>
        <v>150525100</v>
      </c>
      <c r="C5185" s="1" t="str">
        <f>"1042164538"</f>
        <v>1042164538</v>
      </c>
      <c r="D5185" s="1" t="str">
        <f>"152326195703133326"</f>
        <v>152326195703133326</v>
      </c>
      <c r="E5185" s="1" t="s">
        <v>5142</v>
      </c>
      <c r="F5185" s="1" t="s">
        <v>16</v>
      </c>
      <c r="G5185" s="1" t="s">
        <v>19</v>
      </c>
      <c r="H5185" s="1" t="str">
        <f>"67"</f>
        <v>67</v>
      </c>
      <c r="I5185" s="1" t="str">
        <f>"156.48"</f>
        <v>156.48</v>
      </c>
      <c r="J5185" s="1" t="str">
        <f t="shared" si="3044"/>
        <v>0</v>
      </c>
      <c r="K5185" s="1" t="str">
        <f t="shared" si="3045"/>
        <v>103</v>
      </c>
      <c r="L5185" s="1" t="str">
        <f t="shared" si="3046"/>
        <v>47</v>
      </c>
      <c r="M5185" s="1" t="str">
        <f t="shared" si="3032"/>
        <v>0</v>
      </c>
      <c r="N5185" s="1" t="str">
        <f t="shared" si="3042"/>
        <v>0</v>
      </c>
      <c r="O5185" s="1" t="str">
        <f>"6.48"</f>
        <v>6.48</v>
      </c>
    </row>
    <row r="5186" s="1" customFormat="1" spans="1:15">
      <c r="A5186" s="1" t="str">
        <f t="shared" ref="A5186:A5249" si="3047">"202406"</f>
        <v>202406</v>
      </c>
      <c r="B5186" s="1" t="str">
        <f t="shared" ref="B5186:B5249" si="3048">"150525100"</f>
        <v>150525100</v>
      </c>
      <c r="C5186" s="1" t="str">
        <f>"1042164539"</f>
        <v>1042164539</v>
      </c>
      <c r="D5186" s="1" t="str">
        <f>"152326195912113313"</f>
        <v>152326195912113313</v>
      </c>
      <c r="E5186" s="1" t="s">
        <v>5143</v>
      </c>
      <c r="F5186" s="1" t="s">
        <v>25</v>
      </c>
      <c r="G5186" s="1" t="s">
        <v>19</v>
      </c>
      <c r="H5186" s="1" t="str">
        <f>"65"</f>
        <v>65</v>
      </c>
      <c r="I5186" s="1" t="str">
        <f>"156.71"</f>
        <v>156.71</v>
      </c>
      <c r="J5186" s="1" t="str">
        <f t="shared" si="3044"/>
        <v>0</v>
      </c>
      <c r="K5186" s="1" t="str">
        <f t="shared" si="3045"/>
        <v>103</v>
      </c>
      <c r="L5186" s="1" t="str">
        <f t="shared" si="3046"/>
        <v>47</v>
      </c>
      <c r="M5186" s="1" t="str">
        <f t="shared" si="3032"/>
        <v>0</v>
      </c>
      <c r="N5186" s="1" t="str">
        <f t="shared" si="3042"/>
        <v>0</v>
      </c>
      <c r="O5186" s="1" t="str">
        <f>"6.71"</f>
        <v>6.71</v>
      </c>
    </row>
    <row r="5187" s="1" customFormat="1" spans="1:15">
      <c r="A5187" s="1" t="str">
        <f t="shared" si="3047"/>
        <v>202406</v>
      </c>
      <c r="B5187" s="1" t="str">
        <f t="shared" si="3048"/>
        <v>150525100</v>
      </c>
      <c r="C5187" s="1" t="str">
        <f>"1042457931"</f>
        <v>1042457931</v>
      </c>
      <c r="D5187" s="1" t="str">
        <f>"152326196008020914"</f>
        <v>152326196008020914</v>
      </c>
      <c r="E5187" s="1" t="s">
        <v>5144</v>
      </c>
      <c r="F5187" s="1" t="s">
        <v>25</v>
      </c>
      <c r="G5187" s="1" t="s">
        <v>17</v>
      </c>
      <c r="H5187" s="1" t="str">
        <f t="shared" ref="H5187:H5190" si="3049">"64"</f>
        <v>64</v>
      </c>
      <c r="I5187" s="1" t="str">
        <f>"156.77"</f>
        <v>156.77</v>
      </c>
      <c r="J5187" s="1" t="str">
        <f t="shared" si="3044"/>
        <v>0</v>
      </c>
      <c r="K5187" s="1" t="str">
        <f t="shared" si="3045"/>
        <v>103</v>
      </c>
      <c r="L5187" s="1" t="str">
        <f t="shared" si="3046"/>
        <v>47</v>
      </c>
      <c r="M5187" s="1" t="str">
        <f t="shared" si="3032"/>
        <v>0</v>
      </c>
      <c r="N5187" s="1" t="str">
        <f t="shared" si="3042"/>
        <v>0</v>
      </c>
      <c r="O5187" s="1" t="str">
        <f>"6.77"</f>
        <v>6.77</v>
      </c>
    </row>
    <row r="5188" s="1" customFormat="1" spans="1:15">
      <c r="A5188" s="1" t="str">
        <f t="shared" si="3047"/>
        <v>202406</v>
      </c>
      <c r="B5188" s="1" t="str">
        <f t="shared" si="3048"/>
        <v>150525100</v>
      </c>
      <c r="C5188" s="1" t="str">
        <f>"1042461070"</f>
        <v>1042461070</v>
      </c>
      <c r="D5188" s="1" t="str">
        <f>"152326195812243823"</f>
        <v>152326195812243823</v>
      </c>
      <c r="E5188" s="1" t="s">
        <v>5145</v>
      </c>
      <c r="F5188" s="1" t="s">
        <v>16</v>
      </c>
      <c r="G5188" s="1" t="s">
        <v>17</v>
      </c>
      <c r="H5188" s="1" t="str">
        <f>"66"</f>
        <v>66</v>
      </c>
      <c r="I5188" s="1" t="str">
        <f>"155.05"</f>
        <v>155.05</v>
      </c>
      <c r="J5188" s="1" t="str">
        <f t="shared" si="3044"/>
        <v>0</v>
      </c>
      <c r="K5188" s="1" t="str">
        <f t="shared" si="3045"/>
        <v>103</v>
      </c>
      <c r="L5188" s="1" t="str">
        <f t="shared" si="3046"/>
        <v>47</v>
      </c>
      <c r="M5188" s="1" t="str">
        <f t="shared" si="3032"/>
        <v>0</v>
      </c>
      <c r="N5188" s="1" t="str">
        <f t="shared" si="3042"/>
        <v>0</v>
      </c>
      <c r="O5188" s="1" t="str">
        <f>"5.05"</f>
        <v>5.05</v>
      </c>
    </row>
    <row r="5189" s="1" customFormat="1" spans="1:15">
      <c r="A5189" s="1" t="str">
        <f t="shared" si="3047"/>
        <v>202406</v>
      </c>
      <c r="B5189" s="1" t="str">
        <f t="shared" si="3048"/>
        <v>150525100</v>
      </c>
      <c r="C5189" s="1" t="str">
        <f>"1042446030"</f>
        <v>1042446030</v>
      </c>
      <c r="D5189" s="1" t="str">
        <f>"152326196008023840"</f>
        <v>152326196008023840</v>
      </c>
      <c r="E5189" s="1" t="s">
        <v>5146</v>
      </c>
      <c r="F5189" s="1" t="s">
        <v>16</v>
      </c>
      <c r="G5189" s="1" t="s">
        <v>17</v>
      </c>
      <c r="H5189" s="1" t="str">
        <f t="shared" si="3049"/>
        <v>64</v>
      </c>
      <c r="I5189" s="1" t="str">
        <f>"157.09"</f>
        <v>157.09</v>
      </c>
      <c r="J5189" s="1" t="str">
        <f t="shared" si="3044"/>
        <v>0</v>
      </c>
      <c r="K5189" s="1" t="str">
        <f t="shared" si="3045"/>
        <v>103</v>
      </c>
      <c r="L5189" s="1" t="str">
        <f t="shared" si="3046"/>
        <v>47</v>
      </c>
      <c r="M5189" s="1" t="str">
        <f t="shared" si="3032"/>
        <v>0</v>
      </c>
      <c r="N5189" s="1" t="str">
        <f t="shared" si="3042"/>
        <v>0</v>
      </c>
      <c r="O5189" s="1" t="str">
        <f>"7.09"</f>
        <v>7.09</v>
      </c>
    </row>
    <row r="5190" s="1" customFormat="1" spans="1:15">
      <c r="A5190" s="1" t="str">
        <f t="shared" si="3047"/>
        <v>202406</v>
      </c>
      <c r="B5190" s="1" t="str">
        <f t="shared" si="3048"/>
        <v>150525100</v>
      </c>
      <c r="C5190" s="1" t="str">
        <f>"1042395929"</f>
        <v>1042395929</v>
      </c>
      <c r="D5190" s="1" t="str">
        <f>"152326196012043086"</f>
        <v>152326196012043086</v>
      </c>
      <c r="E5190" s="1" t="s">
        <v>5147</v>
      </c>
      <c r="F5190" s="1" t="s">
        <v>16</v>
      </c>
      <c r="G5190" s="1" t="s">
        <v>17</v>
      </c>
      <c r="H5190" s="1" t="str">
        <f t="shared" si="3049"/>
        <v>64</v>
      </c>
      <c r="I5190" s="1" t="str">
        <f>"156.8"</f>
        <v>156.8</v>
      </c>
      <c r="J5190" s="1" t="str">
        <f t="shared" si="3044"/>
        <v>0</v>
      </c>
      <c r="K5190" s="1" t="str">
        <f t="shared" si="3045"/>
        <v>103</v>
      </c>
      <c r="L5190" s="1" t="str">
        <f t="shared" si="3046"/>
        <v>47</v>
      </c>
      <c r="M5190" s="1" t="str">
        <f t="shared" si="3032"/>
        <v>0</v>
      </c>
      <c r="N5190" s="1" t="str">
        <f t="shared" si="3042"/>
        <v>0</v>
      </c>
      <c r="O5190" s="1" t="str">
        <f>"6.8"</f>
        <v>6.8</v>
      </c>
    </row>
    <row r="5191" s="1" customFormat="1" spans="1:15">
      <c r="A5191" s="1" t="str">
        <f t="shared" si="3047"/>
        <v>202406</v>
      </c>
      <c r="B5191" s="1" t="str">
        <f t="shared" si="3048"/>
        <v>150525100</v>
      </c>
      <c r="C5191" s="1" t="str">
        <f>"1042488631"</f>
        <v>1042488631</v>
      </c>
      <c r="D5191" s="1" t="str">
        <f>"152326195704263077"</f>
        <v>152326195704263077</v>
      </c>
      <c r="E5191" s="1" t="s">
        <v>5148</v>
      </c>
      <c r="F5191" s="1" t="s">
        <v>25</v>
      </c>
      <c r="G5191" s="1" t="s">
        <v>17</v>
      </c>
      <c r="H5191" s="1" t="str">
        <f>"67"</f>
        <v>67</v>
      </c>
      <c r="I5191" s="1" t="str">
        <f>"155.04"</f>
        <v>155.04</v>
      </c>
      <c r="J5191" s="1" t="str">
        <f t="shared" si="3044"/>
        <v>0</v>
      </c>
      <c r="K5191" s="1" t="str">
        <f t="shared" si="3045"/>
        <v>103</v>
      </c>
      <c r="L5191" s="1" t="str">
        <f t="shared" si="3046"/>
        <v>47</v>
      </c>
      <c r="M5191" s="1" t="str">
        <f t="shared" si="3032"/>
        <v>0</v>
      </c>
      <c r="N5191" s="1" t="str">
        <f t="shared" si="3042"/>
        <v>0</v>
      </c>
      <c r="O5191" s="1" t="str">
        <f>"5.04"</f>
        <v>5.04</v>
      </c>
    </row>
    <row r="5192" s="1" customFormat="1" spans="1:15">
      <c r="A5192" s="1" t="str">
        <f t="shared" si="3047"/>
        <v>202406</v>
      </c>
      <c r="B5192" s="1" t="str">
        <f t="shared" si="3048"/>
        <v>150525100</v>
      </c>
      <c r="C5192" s="1" t="str">
        <f>"1042205794"</f>
        <v>1042205794</v>
      </c>
      <c r="D5192" s="1" t="str">
        <f>"152326195911240660"</f>
        <v>152326195911240660</v>
      </c>
      <c r="E5192" s="1" t="s">
        <v>5149</v>
      </c>
      <c r="F5192" s="1" t="s">
        <v>16</v>
      </c>
      <c r="G5192" s="1" t="s">
        <v>19</v>
      </c>
      <c r="H5192" s="1" t="str">
        <f>"65"</f>
        <v>65</v>
      </c>
      <c r="I5192" s="1" t="str">
        <f>"156.48"</f>
        <v>156.48</v>
      </c>
      <c r="J5192" s="1" t="str">
        <f t="shared" si="3044"/>
        <v>0</v>
      </c>
      <c r="K5192" s="1" t="str">
        <f t="shared" si="3045"/>
        <v>103</v>
      </c>
      <c r="L5192" s="1" t="str">
        <f t="shared" si="3046"/>
        <v>47</v>
      </c>
      <c r="M5192" s="1" t="str">
        <f t="shared" si="3032"/>
        <v>0</v>
      </c>
      <c r="N5192" s="1" t="str">
        <f t="shared" si="3042"/>
        <v>0</v>
      </c>
      <c r="O5192" s="1" t="str">
        <f>"6.48"</f>
        <v>6.48</v>
      </c>
    </row>
    <row r="5193" s="1" customFormat="1" spans="1:15">
      <c r="A5193" s="1" t="str">
        <f t="shared" si="3047"/>
        <v>202406</v>
      </c>
      <c r="B5193" s="1" t="str">
        <f t="shared" si="3048"/>
        <v>150525100</v>
      </c>
      <c r="C5193" s="1" t="str">
        <f>"1042417208"</f>
        <v>1042417208</v>
      </c>
      <c r="D5193" s="1" t="str">
        <f>"152326195809183073"</f>
        <v>152326195809183073</v>
      </c>
      <c r="E5193" s="1" t="s">
        <v>5150</v>
      </c>
      <c r="F5193" s="1" t="s">
        <v>25</v>
      </c>
      <c r="G5193" s="1" t="s">
        <v>17</v>
      </c>
      <c r="H5193" s="1" t="str">
        <f>"66"</f>
        <v>66</v>
      </c>
      <c r="I5193" s="1" t="str">
        <f>"155.76"</f>
        <v>155.76</v>
      </c>
      <c r="J5193" s="1" t="str">
        <f t="shared" si="3044"/>
        <v>0</v>
      </c>
      <c r="K5193" s="1" t="str">
        <f t="shared" si="3045"/>
        <v>103</v>
      </c>
      <c r="L5193" s="1" t="str">
        <f t="shared" si="3046"/>
        <v>47</v>
      </c>
      <c r="M5193" s="1" t="str">
        <f t="shared" si="3032"/>
        <v>0</v>
      </c>
      <c r="N5193" s="1" t="str">
        <f t="shared" si="3042"/>
        <v>0</v>
      </c>
      <c r="O5193" s="1" t="str">
        <f>"5.76"</f>
        <v>5.76</v>
      </c>
    </row>
    <row r="5194" s="1" customFormat="1" spans="1:15">
      <c r="A5194" s="1" t="str">
        <f t="shared" si="3047"/>
        <v>202406</v>
      </c>
      <c r="B5194" s="1" t="str">
        <f t="shared" si="3048"/>
        <v>150525100</v>
      </c>
      <c r="C5194" s="1" t="str">
        <f>"1042477764"</f>
        <v>1042477764</v>
      </c>
      <c r="D5194" s="1" t="s">
        <v>5151</v>
      </c>
      <c r="E5194" s="1" t="s">
        <v>5152</v>
      </c>
      <c r="F5194" s="1" t="s">
        <v>25</v>
      </c>
      <c r="G5194" s="1" t="s">
        <v>17</v>
      </c>
      <c r="H5194" s="1" t="str">
        <f>"65"</f>
        <v>65</v>
      </c>
      <c r="I5194" s="1" t="str">
        <f>"164.41"</f>
        <v>164.41</v>
      </c>
      <c r="J5194" s="1" t="str">
        <f t="shared" si="3044"/>
        <v>0</v>
      </c>
      <c r="K5194" s="1" t="str">
        <f t="shared" si="3045"/>
        <v>103</v>
      </c>
      <c r="L5194" s="1" t="str">
        <f t="shared" si="3046"/>
        <v>47</v>
      </c>
      <c r="M5194" s="1" t="str">
        <f t="shared" si="3032"/>
        <v>0</v>
      </c>
      <c r="N5194" s="1" t="str">
        <f t="shared" si="3042"/>
        <v>0</v>
      </c>
      <c r="O5194" s="1" t="str">
        <f>"14.41"</f>
        <v>14.41</v>
      </c>
    </row>
    <row r="5195" s="1" customFormat="1" spans="1:15">
      <c r="A5195" s="1" t="str">
        <f t="shared" si="3047"/>
        <v>202406</v>
      </c>
      <c r="B5195" s="1" t="str">
        <f t="shared" si="3048"/>
        <v>150525100</v>
      </c>
      <c r="C5195" s="1" t="str">
        <f>"1042528173"</f>
        <v>1042528173</v>
      </c>
      <c r="D5195" s="1" t="str">
        <f>"152326196012023819"</f>
        <v>152326196012023819</v>
      </c>
      <c r="E5195" s="1" t="s">
        <v>5153</v>
      </c>
      <c r="F5195" s="1" t="s">
        <v>25</v>
      </c>
      <c r="G5195" s="1" t="s">
        <v>17</v>
      </c>
      <c r="H5195" s="1" t="str">
        <f>"64"</f>
        <v>64</v>
      </c>
      <c r="I5195" s="1" t="str">
        <f>"156.8"</f>
        <v>156.8</v>
      </c>
      <c r="J5195" s="1" t="str">
        <f t="shared" si="3044"/>
        <v>0</v>
      </c>
      <c r="K5195" s="1" t="str">
        <f t="shared" si="3045"/>
        <v>103</v>
      </c>
      <c r="L5195" s="1" t="str">
        <f t="shared" si="3046"/>
        <v>47</v>
      </c>
      <c r="M5195" s="1" t="str">
        <f t="shared" si="3032"/>
        <v>0</v>
      </c>
      <c r="N5195" s="1" t="str">
        <f t="shared" si="3042"/>
        <v>0</v>
      </c>
      <c r="O5195" s="1" t="str">
        <f>"6.8"</f>
        <v>6.8</v>
      </c>
    </row>
    <row r="5196" s="1" customFormat="1" spans="1:15">
      <c r="A5196" s="1" t="str">
        <f t="shared" si="3047"/>
        <v>202406</v>
      </c>
      <c r="B5196" s="1" t="str">
        <f t="shared" si="3048"/>
        <v>150525100</v>
      </c>
      <c r="C5196" s="1" t="str">
        <f>"1042821655"</f>
        <v>1042821655</v>
      </c>
      <c r="D5196" s="1" t="s">
        <v>5154</v>
      </c>
      <c r="E5196" s="1" t="s">
        <v>1230</v>
      </c>
      <c r="F5196" s="1" t="s">
        <v>16</v>
      </c>
      <c r="G5196" s="1" t="s">
        <v>17</v>
      </c>
      <c r="H5196" s="1" t="str">
        <f t="shared" ref="H5196:H5199" si="3050">"63"</f>
        <v>63</v>
      </c>
      <c r="I5196" s="1" t="str">
        <f>"166.14"</f>
        <v>166.14</v>
      </c>
      <c r="J5196" s="1" t="str">
        <f t="shared" si="3044"/>
        <v>0</v>
      </c>
      <c r="K5196" s="1" t="str">
        <f t="shared" si="3045"/>
        <v>103</v>
      </c>
      <c r="L5196" s="1" t="str">
        <f t="shared" si="3046"/>
        <v>47</v>
      </c>
      <c r="M5196" s="1" t="str">
        <f t="shared" si="3032"/>
        <v>0</v>
      </c>
      <c r="N5196" s="1" t="str">
        <f t="shared" si="3042"/>
        <v>0</v>
      </c>
      <c r="O5196" s="1" t="str">
        <f>"16.14"</f>
        <v>16.14</v>
      </c>
    </row>
    <row r="5197" s="1" customFormat="1" spans="1:15">
      <c r="A5197" s="1" t="str">
        <f t="shared" si="3047"/>
        <v>202406</v>
      </c>
      <c r="B5197" s="1" t="str">
        <f t="shared" si="3048"/>
        <v>150525100</v>
      </c>
      <c r="C5197" s="1" t="str">
        <f>"1042876080"</f>
        <v>1042876080</v>
      </c>
      <c r="D5197" s="1" t="str">
        <f>"152326196110100419"</f>
        <v>152326196110100419</v>
      </c>
      <c r="E5197" s="1" t="s">
        <v>5155</v>
      </c>
      <c r="F5197" s="1" t="s">
        <v>25</v>
      </c>
      <c r="G5197" s="1" t="s">
        <v>17</v>
      </c>
      <c r="H5197" s="1" t="str">
        <f t="shared" si="3050"/>
        <v>63</v>
      </c>
      <c r="I5197" s="1" t="str">
        <f>"164.39"</f>
        <v>164.39</v>
      </c>
      <c r="J5197" s="1" t="str">
        <f t="shared" si="3044"/>
        <v>0</v>
      </c>
      <c r="K5197" s="1" t="str">
        <f t="shared" si="3045"/>
        <v>103</v>
      </c>
      <c r="L5197" s="1" t="str">
        <f t="shared" si="3046"/>
        <v>47</v>
      </c>
      <c r="M5197" s="1" t="str">
        <f t="shared" si="3032"/>
        <v>0</v>
      </c>
      <c r="N5197" s="1" t="str">
        <f t="shared" si="3042"/>
        <v>0</v>
      </c>
      <c r="O5197" s="1" t="str">
        <f>"14.39"</f>
        <v>14.39</v>
      </c>
    </row>
    <row r="5198" s="1" customFormat="1" spans="1:15">
      <c r="A5198" s="1" t="str">
        <f t="shared" si="3047"/>
        <v>202406</v>
      </c>
      <c r="B5198" s="1" t="str">
        <f t="shared" si="3048"/>
        <v>150525100</v>
      </c>
      <c r="C5198" s="1" t="str">
        <f>"1042533228"</f>
        <v>1042533228</v>
      </c>
      <c r="D5198" s="1" t="str">
        <f>"152326196004143087"</f>
        <v>152326196004143087</v>
      </c>
      <c r="E5198" s="1" t="s">
        <v>5156</v>
      </c>
      <c r="F5198" s="1" t="s">
        <v>16</v>
      </c>
      <c r="G5198" s="1" t="s">
        <v>17</v>
      </c>
      <c r="H5198" s="1" t="str">
        <f>"64"</f>
        <v>64</v>
      </c>
      <c r="I5198" s="1" t="str">
        <f>"217.35"</f>
        <v>217.35</v>
      </c>
      <c r="J5198" s="1" t="str">
        <f t="shared" si="3044"/>
        <v>0</v>
      </c>
      <c r="K5198" s="1" t="str">
        <f t="shared" si="3045"/>
        <v>103</v>
      </c>
      <c r="L5198" s="1" t="str">
        <f t="shared" si="3046"/>
        <v>47</v>
      </c>
      <c r="M5198" s="1" t="str">
        <f t="shared" si="3032"/>
        <v>0</v>
      </c>
      <c r="N5198" s="1" t="str">
        <f t="shared" si="3042"/>
        <v>0</v>
      </c>
      <c r="O5198" s="1" t="str">
        <f>"67.35"</f>
        <v>67.35</v>
      </c>
    </row>
    <row r="5199" s="1" customFormat="1" spans="1:15">
      <c r="A5199" s="1" t="str">
        <f t="shared" si="3047"/>
        <v>202406</v>
      </c>
      <c r="B5199" s="1" t="str">
        <f t="shared" si="3048"/>
        <v>150525100</v>
      </c>
      <c r="C5199" s="1" t="str">
        <f>"1042682301"</f>
        <v>1042682301</v>
      </c>
      <c r="D5199" s="1" t="str">
        <f>"152326196105173824"</f>
        <v>152326196105173824</v>
      </c>
      <c r="E5199" s="1" t="s">
        <v>5157</v>
      </c>
      <c r="F5199" s="1" t="s">
        <v>16</v>
      </c>
      <c r="G5199" s="1" t="s">
        <v>17</v>
      </c>
      <c r="H5199" s="1" t="str">
        <f t="shared" si="3050"/>
        <v>63</v>
      </c>
      <c r="I5199" s="1" t="str">
        <f>"158.88"</f>
        <v>158.88</v>
      </c>
      <c r="J5199" s="1" t="str">
        <f t="shared" si="3044"/>
        <v>0</v>
      </c>
      <c r="K5199" s="1" t="str">
        <f t="shared" si="3045"/>
        <v>103</v>
      </c>
      <c r="L5199" s="1" t="str">
        <f t="shared" si="3046"/>
        <v>47</v>
      </c>
      <c r="M5199" s="1" t="str">
        <f t="shared" si="3032"/>
        <v>0</v>
      </c>
      <c r="N5199" s="1" t="str">
        <f t="shared" si="3042"/>
        <v>0</v>
      </c>
      <c r="O5199" s="1" t="str">
        <f>"8.88"</f>
        <v>8.88</v>
      </c>
    </row>
    <row r="5200" s="1" customFormat="1" spans="1:15">
      <c r="A5200" s="1" t="str">
        <f t="shared" si="3047"/>
        <v>202406</v>
      </c>
      <c r="B5200" s="1" t="str">
        <f t="shared" si="3048"/>
        <v>150525100</v>
      </c>
      <c r="C5200" s="1" t="str">
        <f>"1042720353"</f>
        <v>1042720353</v>
      </c>
      <c r="D5200" s="1" t="str">
        <f>"152326196303090675"</f>
        <v>152326196303090675</v>
      </c>
      <c r="E5200" s="1" t="s">
        <v>5158</v>
      </c>
      <c r="F5200" s="1" t="s">
        <v>25</v>
      </c>
      <c r="G5200" s="1" t="s">
        <v>17</v>
      </c>
      <c r="H5200" s="1" t="str">
        <f t="shared" ref="H5200:H5203" si="3051">"61"</f>
        <v>61</v>
      </c>
      <c r="I5200" s="1" t="str">
        <f>"164.69"</f>
        <v>164.69</v>
      </c>
      <c r="J5200" s="1" t="str">
        <f t="shared" si="3044"/>
        <v>0</v>
      </c>
      <c r="K5200" s="1" t="str">
        <f t="shared" si="3045"/>
        <v>103</v>
      </c>
      <c r="L5200" s="1" t="str">
        <f t="shared" si="3046"/>
        <v>47</v>
      </c>
      <c r="M5200" s="1" t="str">
        <f t="shared" si="3032"/>
        <v>0</v>
      </c>
      <c r="N5200" s="1" t="str">
        <f t="shared" si="3042"/>
        <v>0</v>
      </c>
      <c r="O5200" s="1" t="str">
        <f>"14.69"</f>
        <v>14.69</v>
      </c>
    </row>
    <row r="5201" s="1" customFormat="1" spans="1:15">
      <c r="A5201" s="1" t="str">
        <f t="shared" si="3047"/>
        <v>202406</v>
      </c>
      <c r="B5201" s="1" t="str">
        <f t="shared" si="3048"/>
        <v>150525100</v>
      </c>
      <c r="C5201" s="1" t="str">
        <f>"1042919172"</f>
        <v>1042919172</v>
      </c>
      <c r="D5201" s="1" t="s">
        <v>5159</v>
      </c>
      <c r="E5201" s="1" t="s">
        <v>5160</v>
      </c>
      <c r="F5201" s="1" t="s">
        <v>16</v>
      </c>
      <c r="G5201" s="1" t="s">
        <v>19</v>
      </c>
      <c r="H5201" s="1" t="str">
        <f t="shared" si="3051"/>
        <v>61</v>
      </c>
      <c r="I5201" s="1" t="str">
        <f>"168.27"</f>
        <v>168.27</v>
      </c>
      <c r="J5201" s="1" t="str">
        <f t="shared" si="3044"/>
        <v>0</v>
      </c>
      <c r="K5201" s="1" t="str">
        <f t="shared" si="3045"/>
        <v>103</v>
      </c>
      <c r="L5201" s="1" t="str">
        <f t="shared" si="3046"/>
        <v>47</v>
      </c>
      <c r="M5201" s="1" t="str">
        <f t="shared" si="3032"/>
        <v>0</v>
      </c>
      <c r="N5201" s="1" t="str">
        <f t="shared" si="3042"/>
        <v>0</v>
      </c>
      <c r="O5201" s="1" t="str">
        <f>"18.27"</f>
        <v>18.27</v>
      </c>
    </row>
    <row r="5202" s="1" customFormat="1" spans="1:15">
      <c r="A5202" s="1" t="str">
        <f t="shared" si="3047"/>
        <v>202406</v>
      </c>
      <c r="B5202" s="1" t="str">
        <f t="shared" si="3048"/>
        <v>150525100</v>
      </c>
      <c r="C5202" s="1" t="str">
        <f>"1042964979"</f>
        <v>1042964979</v>
      </c>
      <c r="D5202" s="1" t="str">
        <f>"152326196112043075"</f>
        <v>152326196112043075</v>
      </c>
      <c r="E5202" s="1" t="s">
        <v>5161</v>
      </c>
      <c r="F5202" s="1" t="s">
        <v>25</v>
      </c>
      <c r="G5202" s="1" t="s">
        <v>17</v>
      </c>
      <c r="H5202" s="1" t="str">
        <f>"63"</f>
        <v>63</v>
      </c>
      <c r="I5202" s="1" t="str">
        <f>"158.66"</f>
        <v>158.66</v>
      </c>
      <c r="J5202" s="1" t="str">
        <f t="shared" si="3044"/>
        <v>0</v>
      </c>
      <c r="K5202" s="1" t="str">
        <f t="shared" si="3045"/>
        <v>103</v>
      </c>
      <c r="L5202" s="1" t="str">
        <f t="shared" si="3046"/>
        <v>47</v>
      </c>
      <c r="M5202" s="1" t="str">
        <f t="shared" si="3032"/>
        <v>0</v>
      </c>
      <c r="N5202" s="1" t="str">
        <f t="shared" si="3042"/>
        <v>0</v>
      </c>
      <c r="O5202" s="1" t="str">
        <f>"8.66"</f>
        <v>8.66</v>
      </c>
    </row>
    <row r="5203" s="1" customFormat="1" spans="1:15">
      <c r="A5203" s="1" t="str">
        <f t="shared" si="3047"/>
        <v>202406</v>
      </c>
      <c r="B5203" s="1" t="str">
        <f t="shared" si="3048"/>
        <v>150525100</v>
      </c>
      <c r="C5203" s="1" t="str">
        <f>"1043275179"</f>
        <v>1043275179</v>
      </c>
      <c r="D5203" s="1" t="str">
        <f>"152326196301080684"</f>
        <v>152326196301080684</v>
      </c>
      <c r="E5203" s="1" t="s">
        <v>5162</v>
      </c>
      <c r="F5203" s="1" t="s">
        <v>16</v>
      </c>
      <c r="G5203" s="1" t="s">
        <v>19</v>
      </c>
      <c r="H5203" s="1" t="str">
        <f t="shared" si="3051"/>
        <v>61</v>
      </c>
      <c r="I5203" s="1" t="str">
        <f>"167.29"</f>
        <v>167.29</v>
      </c>
      <c r="J5203" s="1" t="str">
        <f t="shared" si="3044"/>
        <v>0</v>
      </c>
      <c r="K5203" s="1" t="str">
        <f t="shared" si="3045"/>
        <v>103</v>
      </c>
      <c r="L5203" s="1" t="str">
        <f t="shared" si="3046"/>
        <v>47</v>
      </c>
      <c r="M5203" s="1" t="str">
        <f t="shared" si="3032"/>
        <v>0</v>
      </c>
      <c r="N5203" s="1" t="str">
        <f t="shared" si="3042"/>
        <v>0</v>
      </c>
      <c r="O5203" s="1" t="str">
        <f>"17.29"</f>
        <v>17.29</v>
      </c>
    </row>
    <row r="5204" s="1" customFormat="1" spans="1:15">
      <c r="A5204" s="1" t="str">
        <f t="shared" si="3047"/>
        <v>202406</v>
      </c>
      <c r="B5204" s="1" t="str">
        <f t="shared" si="3048"/>
        <v>150525100</v>
      </c>
      <c r="C5204" s="1" t="str">
        <f>"1042689865"</f>
        <v>1042689865</v>
      </c>
      <c r="D5204" s="1" t="str">
        <f>"152326196402020912"</f>
        <v>152326196402020912</v>
      </c>
      <c r="E5204" s="1" t="s">
        <v>5163</v>
      </c>
      <c r="F5204" s="1" t="s">
        <v>25</v>
      </c>
      <c r="G5204" s="1" t="s">
        <v>19</v>
      </c>
      <c r="H5204" s="1" t="str">
        <f>"60"</f>
        <v>60</v>
      </c>
      <c r="I5204" s="1" t="str">
        <f>"170.69"</f>
        <v>170.69</v>
      </c>
      <c r="J5204" s="1" t="str">
        <f t="shared" si="3044"/>
        <v>0</v>
      </c>
      <c r="K5204" s="1" t="str">
        <f t="shared" si="3045"/>
        <v>103</v>
      </c>
      <c r="L5204" s="1" t="str">
        <f t="shared" si="3046"/>
        <v>47</v>
      </c>
      <c r="M5204" s="1" t="str">
        <f t="shared" si="3032"/>
        <v>0</v>
      </c>
      <c r="N5204" s="1" t="str">
        <f t="shared" si="3042"/>
        <v>0</v>
      </c>
      <c r="O5204" s="1" t="str">
        <f>"20.69"</f>
        <v>20.69</v>
      </c>
    </row>
    <row r="5205" s="1" customFormat="1" spans="1:15">
      <c r="A5205" s="1" t="str">
        <f t="shared" si="3047"/>
        <v>202406</v>
      </c>
      <c r="B5205" s="1" t="str">
        <f t="shared" si="3048"/>
        <v>150525100</v>
      </c>
      <c r="C5205" s="1" t="str">
        <f>"1042685192"</f>
        <v>1042685192</v>
      </c>
      <c r="D5205" s="1" t="str">
        <f>"152326196209090441"</f>
        <v>152326196209090441</v>
      </c>
      <c r="E5205" s="1" t="s">
        <v>4505</v>
      </c>
      <c r="F5205" s="1" t="s">
        <v>16</v>
      </c>
      <c r="G5205" s="1" t="s">
        <v>17</v>
      </c>
      <c r="H5205" s="1" t="str">
        <f>"62"</f>
        <v>62</v>
      </c>
      <c r="I5205" s="1" t="str">
        <f>"160.86"</f>
        <v>160.86</v>
      </c>
      <c r="J5205" s="1" t="str">
        <f t="shared" si="3044"/>
        <v>0</v>
      </c>
      <c r="K5205" s="1" t="str">
        <f t="shared" si="3045"/>
        <v>103</v>
      </c>
      <c r="L5205" s="1" t="str">
        <f t="shared" si="3046"/>
        <v>47</v>
      </c>
      <c r="M5205" s="1" t="str">
        <f t="shared" si="3032"/>
        <v>0</v>
      </c>
      <c r="N5205" s="1" t="str">
        <f t="shared" si="3042"/>
        <v>0</v>
      </c>
      <c r="O5205" s="1" t="str">
        <f>"10.86"</f>
        <v>10.86</v>
      </c>
    </row>
    <row r="5206" s="1" customFormat="1" spans="1:15">
      <c r="A5206" s="1" t="str">
        <f t="shared" si="3047"/>
        <v>202406</v>
      </c>
      <c r="B5206" s="1" t="str">
        <f t="shared" si="3048"/>
        <v>150525100</v>
      </c>
      <c r="C5206" s="1" t="str">
        <f>"1043043196"</f>
        <v>1043043196</v>
      </c>
      <c r="D5206" s="1" t="str">
        <f>"152326196212150011"</f>
        <v>152326196212150011</v>
      </c>
      <c r="E5206" s="1" t="s">
        <v>5164</v>
      </c>
      <c r="F5206" s="1" t="s">
        <v>25</v>
      </c>
      <c r="G5206" s="1" t="s">
        <v>17</v>
      </c>
      <c r="H5206" s="1" t="str">
        <f>"62"</f>
        <v>62</v>
      </c>
      <c r="I5206" s="1" t="str">
        <f>"167.94"</f>
        <v>167.94</v>
      </c>
      <c r="J5206" s="1" t="str">
        <f t="shared" si="3044"/>
        <v>0</v>
      </c>
      <c r="K5206" s="1" t="str">
        <f t="shared" si="3045"/>
        <v>103</v>
      </c>
      <c r="L5206" s="1" t="str">
        <f t="shared" si="3046"/>
        <v>47</v>
      </c>
      <c r="M5206" s="1" t="str">
        <f t="shared" si="3032"/>
        <v>0</v>
      </c>
      <c r="N5206" s="1" t="str">
        <f t="shared" si="3042"/>
        <v>0</v>
      </c>
      <c r="O5206" s="1" t="str">
        <f>"17.94"</f>
        <v>17.94</v>
      </c>
    </row>
    <row r="5207" s="1" customFormat="1" spans="1:15">
      <c r="A5207" s="1" t="str">
        <f t="shared" si="3047"/>
        <v>202406</v>
      </c>
      <c r="B5207" s="1" t="str">
        <f t="shared" si="3048"/>
        <v>150525100</v>
      </c>
      <c r="C5207" s="1" t="str">
        <f>"1042686203"</f>
        <v>1042686203</v>
      </c>
      <c r="D5207" s="1" t="str">
        <f>"152326196402180422"</f>
        <v>152326196402180422</v>
      </c>
      <c r="E5207" s="1" t="s">
        <v>4098</v>
      </c>
      <c r="F5207" s="1" t="s">
        <v>16</v>
      </c>
      <c r="G5207" s="1" t="s">
        <v>17</v>
      </c>
      <c r="H5207" s="1" t="str">
        <f>"60"</f>
        <v>60</v>
      </c>
      <c r="I5207" s="1" t="str">
        <f>"170.44"</f>
        <v>170.44</v>
      </c>
      <c r="J5207" s="1" t="str">
        <f t="shared" si="3044"/>
        <v>0</v>
      </c>
      <c r="K5207" s="1" t="str">
        <f t="shared" si="3045"/>
        <v>103</v>
      </c>
      <c r="L5207" s="1" t="str">
        <f t="shared" si="3046"/>
        <v>47</v>
      </c>
      <c r="M5207" s="1" t="str">
        <f t="shared" si="3032"/>
        <v>0</v>
      </c>
      <c r="N5207" s="1" t="str">
        <f t="shared" si="3042"/>
        <v>0</v>
      </c>
      <c r="O5207" s="1" t="str">
        <f>"20.44"</f>
        <v>20.44</v>
      </c>
    </row>
    <row r="5208" s="1" customFormat="1" spans="1:15">
      <c r="A5208" s="1" t="str">
        <f t="shared" si="3047"/>
        <v>202406</v>
      </c>
      <c r="B5208" s="1" t="str">
        <f t="shared" si="3048"/>
        <v>150525100</v>
      </c>
      <c r="C5208" s="1" t="str">
        <f>"1042703499"</f>
        <v>1042703499</v>
      </c>
      <c r="D5208" s="1" t="s">
        <v>5165</v>
      </c>
      <c r="E5208" s="1" t="s">
        <v>5166</v>
      </c>
      <c r="F5208" s="1" t="s">
        <v>25</v>
      </c>
      <c r="G5208" s="1" t="s">
        <v>17</v>
      </c>
      <c r="H5208" s="1" t="str">
        <f t="shared" ref="H5208:H5210" si="3052">"61"</f>
        <v>61</v>
      </c>
      <c r="I5208" s="1" t="str">
        <f>"162.37"</f>
        <v>162.37</v>
      </c>
      <c r="J5208" s="1" t="str">
        <f t="shared" si="3044"/>
        <v>0</v>
      </c>
      <c r="K5208" s="1" t="str">
        <f t="shared" si="3045"/>
        <v>103</v>
      </c>
      <c r="L5208" s="1" t="str">
        <f t="shared" si="3046"/>
        <v>47</v>
      </c>
      <c r="M5208" s="1" t="str">
        <f t="shared" si="3032"/>
        <v>0</v>
      </c>
      <c r="N5208" s="1" t="str">
        <f t="shared" si="3042"/>
        <v>0</v>
      </c>
      <c r="O5208" s="1" t="str">
        <f>"12.37"</f>
        <v>12.37</v>
      </c>
    </row>
    <row r="5209" s="1" customFormat="1" spans="1:15">
      <c r="A5209" s="1" t="str">
        <f t="shared" si="3047"/>
        <v>202406</v>
      </c>
      <c r="B5209" s="1" t="str">
        <f t="shared" si="3048"/>
        <v>150525100</v>
      </c>
      <c r="C5209" s="1" t="str">
        <f>"1042721035"</f>
        <v>1042721035</v>
      </c>
      <c r="D5209" s="1" t="str">
        <f>"152326196303253817"</f>
        <v>152326196303253817</v>
      </c>
      <c r="E5209" s="1" t="s">
        <v>5167</v>
      </c>
      <c r="F5209" s="1" t="s">
        <v>25</v>
      </c>
      <c r="G5209" s="1" t="s">
        <v>17</v>
      </c>
      <c r="H5209" s="1" t="str">
        <f t="shared" si="3052"/>
        <v>61</v>
      </c>
      <c r="I5209" s="1" t="str">
        <f>"162.67"</f>
        <v>162.67</v>
      </c>
      <c r="J5209" s="1" t="str">
        <f t="shared" si="3044"/>
        <v>0</v>
      </c>
      <c r="K5209" s="1" t="str">
        <f t="shared" si="3045"/>
        <v>103</v>
      </c>
      <c r="L5209" s="1" t="str">
        <f t="shared" si="3046"/>
        <v>47</v>
      </c>
      <c r="M5209" s="1" t="str">
        <f t="shared" si="3032"/>
        <v>0</v>
      </c>
      <c r="N5209" s="1" t="str">
        <f t="shared" si="3042"/>
        <v>0</v>
      </c>
      <c r="O5209" s="1" t="str">
        <f>"12.67"</f>
        <v>12.67</v>
      </c>
    </row>
    <row r="5210" s="1" customFormat="1" spans="1:15">
      <c r="A5210" s="1" t="str">
        <f t="shared" si="3047"/>
        <v>202406</v>
      </c>
      <c r="B5210" s="1" t="str">
        <f t="shared" si="3048"/>
        <v>150525100</v>
      </c>
      <c r="C5210" s="1" t="str">
        <f>"1042686293"</f>
        <v>1042686293</v>
      </c>
      <c r="D5210" s="1" t="str">
        <f>"152326196310053821"</f>
        <v>152326196310053821</v>
      </c>
      <c r="E5210" s="1" t="s">
        <v>5168</v>
      </c>
      <c r="F5210" s="1" t="s">
        <v>16</v>
      </c>
      <c r="G5210" s="1" t="s">
        <v>17</v>
      </c>
      <c r="H5210" s="1" t="str">
        <f t="shared" si="3052"/>
        <v>61</v>
      </c>
      <c r="I5210" s="1" t="str">
        <f>"164.21"</f>
        <v>164.21</v>
      </c>
      <c r="J5210" s="1" t="str">
        <f t="shared" si="3044"/>
        <v>0</v>
      </c>
      <c r="K5210" s="1" t="str">
        <f t="shared" si="3045"/>
        <v>103</v>
      </c>
      <c r="L5210" s="1" t="str">
        <f t="shared" si="3046"/>
        <v>47</v>
      </c>
      <c r="M5210" s="1" t="str">
        <f t="shared" si="3032"/>
        <v>0</v>
      </c>
      <c r="N5210" s="1" t="str">
        <f t="shared" si="3042"/>
        <v>0</v>
      </c>
      <c r="O5210" s="1" t="str">
        <f>"14.21"</f>
        <v>14.21</v>
      </c>
    </row>
    <row r="5211" s="1" customFormat="1" spans="1:15">
      <c r="A5211" s="1" t="str">
        <f t="shared" si="3047"/>
        <v>202406</v>
      </c>
      <c r="B5211" s="1" t="str">
        <f t="shared" si="3048"/>
        <v>150525100</v>
      </c>
      <c r="C5211" s="1" t="str">
        <f>"1043048865"</f>
        <v>1043048865</v>
      </c>
      <c r="D5211" s="1" t="str">
        <f>"152326196203270660"</f>
        <v>152326196203270660</v>
      </c>
      <c r="E5211" s="1" t="s">
        <v>5169</v>
      </c>
      <c r="F5211" s="1" t="s">
        <v>16</v>
      </c>
      <c r="G5211" s="1" t="s">
        <v>19</v>
      </c>
      <c r="H5211" s="1" t="str">
        <f t="shared" ref="H5211:H5217" si="3053">"62"</f>
        <v>62</v>
      </c>
      <c r="I5211" s="1" t="str">
        <f>"165.86"</f>
        <v>165.86</v>
      </c>
      <c r="J5211" s="1" t="str">
        <f t="shared" si="3044"/>
        <v>0</v>
      </c>
      <c r="K5211" s="1" t="str">
        <f t="shared" si="3045"/>
        <v>103</v>
      </c>
      <c r="L5211" s="1" t="str">
        <f t="shared" si="3046"/>
        <v>47</v>
      </c>
      <c r="M5211" s="1" t="str">
        <f t="shared" si="3032"/>
        <v>0</v>
      </c>
      <c r="N5211" s="1" t="str">
        <f t="shared" si="3042"/>
        <v>0</v>
      </c>
      <c r="O5211" s="1" t="str">
        <f>"15.86"</f>
        <v>15.86</v>
      </c>
    </row>
    <row r="5212" s="1" customFormat="1" spans="1:15">
      <c r="A5212" s="1" t="str">
        <f t="shared" si="3047"/>
        <v>202406</v>
      </c>
      <c r="B5212" s="1" t="str">
        <f t="shared" si="3048"/>
        <v>150525100</v>
      </c>
      <c r="C5212" s="1" t="str">
        <f>"1042760024"</f>
        <v>1042760024</v>
      </c>
      <c r="D5212" s="1" t="str">
        <f>"152326196209150686"</f>
        <v>152326196209150686</v>
      </c>
      <c r="E5212" s="1" t="s">
        <v>5170</v>
      </c>
      <c r="F5212" s="1" t="s">
        <v>16</v>
      </c>
      <c r="G5212" s="1" t="s">
        <v>17</v>
      </c>
      <c r="H5212" s="1" t="str">
        <f t="shared" si="3053"/>
        <v>62</v>
      </c>
      <c r="I5212" s="1" t="str">
        <f>"160.54"</f>
        <v>160.54</v>
      </c>
      <c r="J5212" s="1" t="str">
        <f t="shared" si="3044"/>
        <v>0</v>
      </c>
      <c r="K5212" s="1" t="str">
        <f t="shared" si="3045"/>
        <v>103</v>
      </c>
      <c r="L5212" s="1" t="str">
        <f t="shared" si="3046"/>
        <v>47</v>
      </c>
      <c r="M5212" s="1" t="str">
        <f t="shared" si="3032"/>
        <v>0</v>
      </c>
      <c r="N5212" s="1" t="str">
        <f t="shared" si="3042"/>
        <v>0</v>
      </c>
      <c r="O5212" s="1" t="str">
        <f>"10.54"</f>
        <v>10.54</v>
      </c>
    </row>
    <row r="5213" s="1" customFormat="1" spans="1:15">
      <c r="A5213" s="1" t="str">
        <f t="shared" si="3047"/>
        <v>202406</v>
      </c>
      <c r="B5213" s="1" t="str">
        <f t="shared" si="3048"/>
        <v>150525100</v>
      </c>
      <c r="C5213" s="1" t="str">
        <f>"1042743199"</f>
        <v>1042743199</v>
      </c>
      <c r="D5213" s="1" t="str">
        <f>"152326196402170910"</f>
        <v>152326196402170910</v>
      </c>
      <c r="E5213" s="1" t="s">
        <v>5171</v>
      </c>
      <c r="F5213" s="1" t="s">
        <v>25</v>
      </c>
      <c r="G5213" s="1" t="s">
        <v>17</v>
      </c>
      <c r="H5213" s="1" t="str">
        <f>"60"</f>
        <v>60</v>
      </c>
      <c r="I5213" s="1" t="str">
        <f>"164.19"</f>
        <v>164.19</v>
      </c>
      <c r="J5213" s="1" t="str">
        <f t="shared" si="3044"/>
        <v>0</v>
      </c>
      <c r="K5213" s="1" t="str">
        <f t="shared" si="3045"/>
        <v>103</v>
      </c>
      <c r="L5213" s="1" t="str">
        <f t="shared" si="3046"/>
        <v>47</v>
      </c>
      <c r="M5213" s="1" t="str">
        <f t="shared" si="3032"/>
        <v>0</v>
      </c>
      <c r="N5213" s="1" t="str">
        <f t="shared" si="3042"/>
        <v>0</v>
      </c>
      <c r="O5213" s="1" t="str">
        <f>"14.19"</f>
        <v>14.19</v>
      </c>
    </row>
    <row r="5214" s="1" customFormat="1" spans="1:15">
      <c r="A5214" s="1" t="str">
        <f t="shared" si="3047"/>
        <v>202406</v>
      </c>
      <c r="B5214" s="1" t="str">
        <f t="shared" si="3048"/>
        <v>150525100</v>
      </c>
      <c r="C5214" s="1" t="str">
        <f>"1042743203"</f>
        <v>1042743203</v>
      </c>
      <c r="D5214" s="1" t="str">
        <f>"152326196302070920"</f>
        <v>152326196302070920</v>
      </c>
      <c r="E5214" s="1" t="s">
        <v>5172</v>
      </c>
      <c r="F5214" s="1" t="s">
        <v>16</v>
      </c>
      <c r="G5214" s="1" t="s">
        <v>17</v>
      </c>
      <c r="H5214" s="1" t="str">
        <f t="shared" ref="H5214:H5218" si="3054">"61"</f>
        <v>61</v>
      </c>
      <c r="I5214" s="1" t="str">
        <f>"162.35"</f>
        <v>162.35</v>
      </c>
      <c r="J5214" s="1" t="str">
        <f t="shared" si="3044"/>
        <v>0</v>
      </c>
      <c r="K5214" s="1" t="str">
        <f t="shared" si="3045"/>
        <v>103</v>
      </c>
      <c r="L5214" s="1" t="str">
        <f t="shared" si="3046"/>
        <v>47</v>
      </c>
      <c r="M5214" s="1" t="str">
        <f t="shared" si="3032"/>
        <v>0</v>
      </c>
      <c r="N5214" s="1" t="str">
        <f t="shared" si="3042"/>
        <v>0</v>
      </c>
      <c r="O5214" s="1" t="str">
        <f>"12.35"</f>
        <v>12.35</v>
      </c>
    </row>
    <row r="5215" s="1" customFormat="1" spans="1:15">
      <c r="A5215" s="1" t="str">
        <f t="shared" si="3047"/>
        <v>202406</v>
      </c>
      <c r="B5215" s="1" t="str">
        <f t="shared" si="3048"/>
        <v>150525100</v>
      </c>
      <c r="C5215" s="1" t="str">
        <f>"1042747103"</f>
        <v>1042747103</v>
      </c>
      <c r="D5215" s="1" t="str">
        <f>"152326196307273823"</f>
        <v>152326196307273823</v>
      </c>
      <c r="E5215" s="1" t="s">
        <v>5173</v>
      </c>
      <c r="F5215" s="1" t="s">
        <v>16</v>
      </c>
      <c r="G5215" s="1" t="s">
        <v>17</v>
      </c>
      <c r="H5215" s="1" t="str">
        <f t="shared" si="3054"/>
        <v>61</v>
      </c>
      <c r="I5215" s="1" t="str">
        <f>"199.15"</f>
        <v>199.15</v>
      </c>
      <c r="J5215" s="1" t="str">
        <f t="shared" si="3044"/>
        <v>0</v>
      </c>
      <c r="K5215" s="1" t="str">
        <f t="shared" si="3045"/>
        <v>103</v>
      </c>
      <c r="L5215" s="1" t="str">
        <f t="shared" si="3046"/>
        <v>47</v>
      </c>
      <c r="M5215" s="1" t="str">
        <f t="shared" si="3032"/>
        <v>0</v>
      </c>
      <c r="N5215" s="1" t="str">
        <f t="shared" si="3042"/>
        <v>0</v>
      </c>
      <c r="O5215" s="1" t="str">
        <f>"49.15"</f>
        <v>49.15</v>
      </c>
    </row>
    <row r="5216" s="1" customFormat="1" spans="1:15">
      <c r="A5216" s="1" t="str">
        <f t="shared" si="3047"/>
        <v>202406</v>
      </c>
      <c r="B5216" s="1" t="str">
        <f t="shared" si="3048"/>
        <v>150525100</v>
      </c>
      <c r="C5216" s="1" t="str">
        <f>"1042796219"</f>
        <v>1042796219</v>
      </c>
      <c r="D5216" s="1" t="s">
        <v>5174</v>
      </c>
      <c r="E5216" s="1" t="s">
        <v>5175</v>
      </c>
      <c r="F5216" s="1" t="s">
        <v>25</v>
      </c>
      <c r="G5216" s="1" t="s">
        <v>19</v>
      </c>
      <c r="H5216" s="1" t="str">
        <f t="shared" si="3053"/>
        <v>62</v>
      </c>
      <c r="I5216" s="1" t="str">
        <f>"160.49"</f>
        <v>160.49</v>
      </c>
      <c r="J5216" s="1" t="str">
        <f t="shared" si="3044"/>
        <v>0</v>
      </c>
      <c r="K5216" s="1" t="str">
        <f t="shared" si="3045"/>
        <v>103</v>
      </c>
      <c r="L5216" s="1" t="str">
        <f t="shared" si="3046"/>
        <v>47</v>
      </c>
      <c r="M5216" s="1" t="str">
        <f t="shared" ref="M5216:M5279" si="3055">"0"</f>
        <v>0</v>
      </c>
      <c r="N5216" s="1" t="str">
        <f t="shared" si="3042"/>
        <v>0</v>
      </c>
      <c r="O5216" s="1" t="str">
        <f>"10.49"</f>
        <v>10.49</v>
      </c>
    </row>
    <row r="5217" s="1" customFormat="1" spans="1:15">
      <c r="A5217" s="1" t="str">
        <f t="shared" si="3047"/>
        <v>202406</v>
      </c>
      <c r="B5217" s="1" t="str">
        <f t="shared" si="3048"/>
        <v>150525100</v>
      </c>
      <c r="C5217" s="1" t="str">
        <f>"1042691263"</f>
        <v>1042691263</v>
      </c>
      <c r="D5217" s="1" t="str">
        <f>"152326196212200664"</f>
        <v>152326196212200664</v>
      </c>
      <c r="E5217" s="1" t="s">
        <v>5176</v>
      </c>
      <c r="F5217" s="1" t="s">
        <v>16</v>
      </c>
      <c r="G5217" s="1" t="s">
        <v>17</v>
      </c>
      <c r="H5217" s="1" t="str">
        <f t="shared" si="3053"/>
        <v>62</v>
      </c>
      <c r="I5217" s="1" t="str">
        <f>"160.61"</f>
        <v>160.61</v>
      </c>
      <c r="J5217" s="1" t="str">
        <f t="shared" si="3044"/>
        <v>0</v>
      </c>
      <c r="K5217" s="1" t="str">
        <f t="shared" si="3045"/>
        <v>103</v>
      </c>
      <c r="L5217" s="1" t="str">
        <f t="shared" si="3046"/>
        <v>47</v>
      </c>
      <c r="M5217" s="1" t="str">
        <f t="shared" si="3055"/>
        <v>0</v>
      </c>
      <c r="N5217" s="1" t="str">
        <f t="shared" si="3042"/>
        <v>0</v>
      </c>
      <c r="O5217" s="1" t="str">
        <f>"10.61"</f>
        <v>10.61</v>
      </c>
    </row>
    <row r="5218" s="1" customFormat="1" spans="1:15">
      <c r="A5218" s="1" t="str">
        <f t="shared" si="3047"/>
        <v>202406</v>
      </c>
      <c r="B5218" s="1" t="str">
        <f t="shared" si="3048"/>
        <v>150525100</v>
      </c>
      <c r="C5218" s="1" t="str">
        <f>"1042700046"</f>
        <v>1042700046</v>
      </c>
      <c r="D5218" s="1" t="str">
        <f>"152326196308253074"</f>
        <v>152326196308253074</v>
      </c>
      <c r="E5218" s="1" t="s">
        <v>3156</v>
      </c>
      <c r="F5218" s="1" t="s">
        <v>25</v>
      </c>
      <c r="G5218" s="1" t="s">
        <v>17</v>
      </c>
      <c r="H5218" s="1" t="str">
        <f t="shared" si="3054"/>
        <v>61</v>
      </c>
      <c r="I5218" s="1" t="str">
        <f>"162.47"</f>
        <v>162.47</v>
      </c>
      <c r="J5218" s="1" t="str">
        <f t="shared" si="3044"/>
        <v>0</v>
      </c>
      <c r="K5218" s="1" t="str">
        <f t="shared" si="3045"/>
        <v>103</v>
      </c>
      <c r="L5218" s="1" t="str">
        <f t="shared" si="3046"/>
        <v>47</v>
      </c>
      <c r="M5218" s="1" t="str">
        <f t="shared" si="3055"/>
        <v>0</v>
      </c>
      <c r="N5218" s="1" t="str">
        <f t="shared" si="3042"/>
        <v>0</v>
      </c>
      <c r="O5218" s="1" t="str">
        <f>"12.47"</f>
        <v>12.47</v>
      </c>
    </row>
    <row r="5219" s="1" customFormat="1" spans="1:15">
      <c r="A5219" s="1" t="str">
        <f t="shared" si="3047"/>
        <v>202406</v>
      </c>
      <c r="B5219" s="1" t="str">
        <f t="shared" si="3048"/>
        <v>150525100</v>
      </c>
      <c r="C5219" s="1" t="str">
        <f>"1042824787"</f>
        <v>1042824787</v>
      </c>
      <c r="D5219" s="1" t="str">
        <f>"152326196210103852"</f>
        <v>152326196210103852</v>
      </c>
      <c r="E5219" s="1" t="s">
        <v>5177</v>
      </c>
      <c r="F5219" s="1" t="s">
        <v>25</v>
      </c>
      <c r="G5219" s="1" t="s">
        <v>17</v>
      </c>
      <c r="H5219" s="1" t="str">
        <f t="shared" ref="H5219:H5224" si="3056">"62"</f>
        <v>62</v>
      </c>
      <c r="I5219" s="1" t="str">
        <f>"160.55"</f>
        <v>160.55</v>
      </c>
      <c r="J5219" s="1" t="str">
        <f t="shared" si="3044"/>
        <v>0</v>
      </c>
      <c r="K5219" s="1" t="str">
        <f t="shared" si="3045"/>
        <v>103</v>
      </c>
      <c r="L5219" s="1" t="str">
        <f t="shared" si="3046"/>
        <v>47</v>
      </c>
      <c r="M5219" s="1" t="str">
        <f t="shared" si="3055"/>
        <v>0</v>
      </c>
      <c r="N5219" s="1" t="str">
        <f t="shared" si="3042"/>
        <v>0</v>
      </c>
      <c r="O5219" s="1" t="str">
        <f>"10.55"</f>
        <v>10.55</v>
      </c>
    </row>
    <row r="5220" s="1" customFormat="1" spans="1:15">
      <c r="A5220" s="1" t="str">
        <f t="shared" si="3047"/>
        <v>202406</v>
      </c>
      <c r="B5220" s="1" t="str">
        <f t="shared" si="3048"/>
        <v>150525100</v>
      </c>
      <c r="C5220" s="1" t="str">
        <f>"1042700304"</f>
        <v>1042700304</v>
      </c>
      <c r="D5220" s="1" t="str">
        <f>"152326196310100915"</f>
        <v>152326196310100915</v>
      </c>
      <c r="E5220" s="1" t="s">
        <v>5178</v>
      </c>
      <c r="F5220" s="1" t="s">
        <v>25</v>
      </c>
      <c r="G5220" s="1" t="s">
        <v>17</v>
      </c>
      <c r="H5220" s="1" t="str">
        <f t="shared" ref="H5220:H5223" si="3057">"61"</f>
        <v>61</v>
      </c>
      <c r="I5220" s="1" t="str">
        <f>"162.46"</f>
        <v>162.46</v>
      </c>
      <c r="J5220" s="1" t="str">
        <f t="shared" si="3044"/>
        <v>0</v>
      </c>
      <c r="K5220" s="1" t="str">
        <f t="shared" si="3045"/>
        <v>103</v>
      </c>
      <c r="L5220" s="1" t="str">
        <f t="shared" si="3046"/>
        <v>47</v>
      </c>
      <c r="M5220" s="1" t="str">
        <f t="shared" si="3055"/>
        <v>0</v>
      </c>
      <c r="N5220" s="1" t="str">
        <f t="shared" si="3042"/>
        <v>0</v>
      </c>
      <c r="O5220" s="1" t="str">
        <f>"12.46"</f>
        <v>12.46</v>
      </c>
    </row>
    <row r="5221" s="1" customFormat="1" spans="1:15">
      <c r="A5221" s="1" t="str">
        <f t="shared" si="3047"/>
        <v>202406</v>
      </c>
      <c r="B5221" s="1" t="str">
        <f t="shared" si="3048"/>
        <v>150525100</v>
      </c>
      <c r="C5221" s="1" t="str">
        <f>"1042700953"</f>
        <v>1042700953</v>
      </c>
      <c r="D5221" s="1" t="str">
        <f>"152326196207080928"</f>
        <v>152326196207080928</v>
      </c>
      <c r="E5221" s="1" t="s">
        <v>5179</v>
      </c>
      <c r="F5221" s="1" t="s">
        <v>16</v>
      </c>
      <c r="G5221" s="1" t="s">
        <v>17</v>
      </c>
      <c r="H5221" s="1" t="str">
        <f t="shared" si="3056"/>
        <v>62</v>
      </c>
      <c r="I5221" s="1" t="str">
        <f>"160.53"</f>
        <v>160.53</v>
      </c>
      <c r="J5221" s="1" t="str">
        <f t="shared" si="3044"/>
        <v>0</v>
      </c>
      <c r="K5221" s="1" t="str">
        <f t="shared" si="3045"/>
        <v>103</v>
      </c>
      <c r="L5221" s="1" t="str">
        <f t="shared" si="3046"/>
        <v>47</v>
      </c>
      <c r="M5221" s="1" t="str">
        <f t="shared" si="3055"/>
        <v>0</v>
      </c>
      <c r="N5221" s="1" t="str">
        <f t="shared" si="3042"/>
        <v>0</v>
      </c>
      <c r="O5221" s="1" t="str">
        <f>"10.53"</f>
        <v>10.53</v>
      </c>
    </row>
    <row r="5222" s="1" customFormat="1" spans="1:15">
      <c r="A5222" s="1" t="str">
        <f t="shared" si="3047"/>
        <v>202406</v>
      </c>
      <c r="B5222" s="1" t="str">
        <f t="shared" si="3048"/>
        <v>150525100</v>
      </c>
      <c r="C5222" s="1" t="str">
        <f>"1042694749"</f>
        <v>1042694749</v>
      </c>
      <c r="D5222" s="1" t="str">
        <f>"152326196304010921"</f>
        <v>152326196304010921</v>
      </c>
      <c r="E5222" s="1" t="s">
        <v>5180</v>
      </c>
      <c r="F5222" s="1" t="s">
        <v>16</v>
      </c>
      <c r="G5222" s="1" t="s">
        <v>17</v>
      </c>
      <c r="H5222" s="1" t="str">
        <f t="shared" si="3057"/>
        <v>61</v>
      </c>
      <c r="I5222" s="1" t="str">
        <f>"162.36"</f>
        <v>162.36</v>
      </c>
      <c r="J5222" s="1" t="str">
        <f t="shared" si="3044"/>
        <v>0</v>
      </c>
      <c r="K5222" s="1" t="str">
        <f t="shared" si="3045"/>
        <v>103</v>
      </c>
      <c r="L5222" s="1" t="str">
        <f t="shared" si="3046"/>
        <v>47</v>
      </c>
      <c r="M5222" s="1" t="str">
        <f t="shared" si="3055"/>
        <v>0</v>
      </c>
      <c r="N5222" s="1" t="str">
        <f t="shared" si="3042"/>
        <v>0</v>
      </c>
      <c r="O5222" s="1" t="str">
        <f>"12.36"</f>
        <v>12.36</v>
      </c>
    </row>
    <row r="5223" s="1" customFormat="1" spans="1:15">
      <c r="A5223" s="1" t="str">
        <f t="shared" si="3047"/>
        <v>202406</v>
      </c>
      <c r="B5223" s="1" t="str">
        <f t="shared" si="3048"/>
        <v>150525100</v>
      </c>
      <c r="C5223" s="1" t="str">
        <f>"1042697164"</f>
        <v>1042697164</v>
      </c>
      <c r="D5223" s="1" t="str">
        <f>"152326196311013821"</f>
        <v>152326196311013821</v>
      </c>
      <c r="E5223" s="1" t="s">
        <v>5181</v>
      </c>
      <c r="F5223" s="1" t="s">
        <v>16</v>
      </c>
      <c r="G5223" s="1" t="s">
        <v>19</v>
      </c>
      <c r="H5223" s="1" t="str">
        <f t="shared" si="3057"/>
        <v>61</v>
      </c>
      <c r="I5223" s="1" t="str">
        <f>"1013.88"</f>
        <v>1013.88</v>
      </c>
      <c r="J5223" s="1" t="str">
        <f>"844.9"</f>
        <v>844.9</v>
      </c>
      <c r="K5223" s="1" t="str">
        <f>"618"</f>
        <v>618</v>
      </c>
      <c r="L5223" s="1" t="str">
        <f>"282"</f>
        <v>282</v>
      </c>
      <c r="M5223" s="1" t="str">
        <f t="shared" si="3055"/>
        <v>0</v>
      </c>
      <c r="N5223" s="1" t="str">
        <f t="shared" si="3042"/>
        <v>0</v>
      </c>
      <c r="O5223" s="1" t="str">
        <f>"113.88"</f>
        <v>113.88</v>
      </c>
    </row>
    <row r="5224" s="1" customFormat="1" spans="1:15">
      <c r="A5224" s="1" t="str">
        <f t="shared" si="3047"/>
        <v>202406</v>
      </c>
      <c r="B5224" s="1" t="str">
        <f t="shared" si="3048"/>
        <v>150525100</v>
      </c>
      <c r="C5224" s="1" t="str">
        <f>"1042313847"</f>
        <v>1042313847</v>
      </c>
      <c r="D5224" s="1" t="str">
        <f>"152326196207140425"</f>
        <v>152326196207140425</v>
      </c>
      <c r="E5224" s="1" t="s">
        <v>5182</v>
      </c>
      <c r="F5224" s="1" t="s">
        <v>16</v>
      </c>
      <c r="G5224" s="1" t="s">
        <v>17</v>
      </c>
      <c r="H5224" s="1" t="str">
        <f t="shared" si="3056"/>
        <v>62</v>
      </c>
      <c r="I5224" s="1" t="str">
        <f>"166.91"</f>
        <v>166.91</v>
      </c>
      <c r="J5224" s="1" t="str">
        <f t="shared" ref="J5224:J5239" si="3058">"0"</f>
        <v>0</v>
      </c>
      <c r="K5224" s="1" t="str">
        <f t="shared" ref="K5224:K5239" si="3059">"103"</f>
        <v>103</v>
      </c>
      <c r="L5224" s="1" t="str">
        <f t="shared" ref="L5224:L5239" si="3060">"47"</f>
        <v>47</v>
      </c>
      <c r="M5224" s="1" t="str">
        <f t="shared" si="3055"/>
        <v>0</v>
      </c>
      <c r="N5224" s="1" t="str">
        <f t="shared" si="3042"/>
        <v>0</v>
      </c>
      <c r="O5224" s="1" t="str">
        <f>"16.91"</f>
        <v>16.91</v>
      </c>
    </row>
    <row r="5225" s="1" customFormat="1" spans="1:15">
      <c r="A5225" s="1" t="str">
        <f t="shared" si="3047"/>
        <v>202406</v>
      </c>
      <c r="B5225" s="1" t="str">
        <f t="shared" si="3048"/>
        <v>150525100</v>
      </c>
      <c r="C5225" s="1" t="str">
        <f>"1042725474"</f>
        <v>1042725474</v>
      </c>
      <c r="D5225" s="1" t="str">
        <f>"152326196402293080"</f>
        <v>152326196402293080</v>
      </c>
      <c r="E5225" s="1" t="s">
        <v>5183</v>
      </c>
      <c r="F5225" s="1" t="s">
        <v>16</v>
      </c>
      <c r="G5225" s="1" t="s">
        <v>17</v>
      </c>
      <c r="H5225" s="1" t="str">
        <f>"60"</f>
        <v>60</v>
      </c>
      <c r="I5225" s="1" t="str">
        <f>"164.2"</f>
        <v>164.2</v>
      </c>
      <c r="J5225" s="1" t="str">
        <f t="shared" si="3058"/>
        <v>0</v>
      </c>
      <c r="K5225" s="1" t="str">
        <f t="shared" si="3059"/>
        <v>103</v>
      </c>
      <c r="L5225" s="1" t="str">
        <f t="shared" si="3060"/>
        <v>47</v>
      </c>
      <c r="M5225" s="1" t="str">
        <f t="shared" si="3055"/>
        <v>0</v>
      </c>
      <c r="N5225" s="1" t="str">
        <f t="shared" si="3042"/>
        <v>0</v>
      </c>
      <c r="O5225" s="1" t="str">
        <f>"14.2"</f>
        <v>14.2</v>
      </c>
    </row>
    <row r="5226" s="1" customFormat="1" spans="1:15">
      <c r="A5226" s="1" t="str">
        <f t="shared" si="3047"/>
        <v>202406</v>
      </c>
      <c r="B5226" s="1" t="str">
        <f t="shared" si="3048"/>
        <v>150525100</v>
      </c>
      <c r="C5226" s="1" t="str">
        <f>"1043489009"</f>
        <v>1043489009</v>
      </c>
      <c r="D5226" s="1" t="str">
        <f>"152326196208060064"</f>
        <v>152326196208060064</v>
      </c>
      <c r="E5226" s="1" t="s">
        <v>5184</v>
      </c>
      <c r="F5226" s="1" t="s">
        <v>16</v>
      </c>
      <c r="G5226" s="1" t="s">
        <v>17</v>
      </c>
      <c r="H5226" s="1" t="str">
        <f>"62"</f>
        <v>62</v>
      </c>
      <c r="I5226" s="1" t="str">
        <f>"165.85"</f>
        <v>165.85</v>
      </c>
      <c r="J5226" s="1" t="str">
        <f t="shared" si="3058"/>
        <v>0</v>
      </c>
      <c r="K5226" s="1" t="str">
        <f t="shared" si="3059"/>
        <v>103</v>
      </c>
      <c r="L5226" s="1" t="str">
        <f t="shared" si="3060"/>
        <v>47</v>
      </c>
      <c r="M5226" s="1" t="str">
        <f t="shared" si="3055"/>
        <v>0</v>
      </c>
      <c r="N5226" s="1" t="str">
        <f t="shared" si="3042"/>
        <v>0</v>
      </c>
      <c r="O5226" s="1" t="str">
        <f>"15.85"</f>
        <v>15.85</v>
      </c>
    </row>
    <row r="5227" s="1" customFormat="1" spans="1:15">
      <c r="A5227" s="1" t="str">
        <f t="shared" si="3047"/>
        <v>202406</v>
      </c>
      <c r="B5227" s="1" t="str">
        <f t="shared" si="3048"/>
        <v>150525100</v>
      </c>
      <c r="C5227" s="1" t="str">
        <f>"1043277727"</f>
        <v>1043277727</v>
      </c>
      <c r="D5227" s="1" t="str">
        <f>"152326196309090924"</f>
        <v>152326196309090924</v>
      </c>
      <c r="E5227" s="1" t="s">
        <v>2247</v>
      </c>
      <c r="F5227" s="1" t="s">
        <v>16</v>
      </c>
      <c r="G5227" s="1" t="s">
        <v>19</v>
      </c>
      <c r="H5227" s="1" t="str">
        <f t="shared" ref="H5227:H5233" si="3061">"61"</f>
        <v>61</v>
      </c>
      <c r="I5227" s="1" t="str">
        <f>"167.27"</f>
        <v>167.27</v>
      </c>
      <c r="J5227" s="1" t="str">
        <f t="shared" si="3058"/>
        <v>0</v>
      </c>
      <c r="K5227" s="1" t="str">
        <f t="shared" si="3059"/>
        <v>103</v>
      </c>
      <c r="L5227" s="1" t="str">
        <f t="shared" si="3060"/>
        <v>47</v>
      </c>
      <c r="M5227" s="1" t="str">
        <f t="shared" si="3055"/>
        <v>0</v>
      </c>
      <c r="N5227" s="1" t="str">
        <f t="shared" si="3042"/>
        <v>0</v>
      </c>
      <c r="O5227" s="1" t="str">
        <f>"17.27"</f>
        <v>17.27</v>
      </c>
    </row>
    <row r="5228" s="1" customFormat="1" spans="1:15">
      <c r="A5228" s="1" t="str">
        <f t="shared" si="3047"/>
        <v>202406</v>
      </c>
      <c r="B5228" s="1" t="str">
        <f t="shared" si="3048"/>
        <v>150525100</v>
      </c>
      <c r="C5228" s="1" t="str">
        <f>"1043272432"</f>
        <v>1043272432</v>
      </c>
      <c r="D5228" s="1" t="str">
        <f>"152326196304060670"</f>
        <v>152326196304060670</v>
      </c>
      <c r="E5228" s="1" t="s">
        <v>5185</v>
      </c>
      <c r="F5228" s="1" t="s">
        <v>25</v>
      </c>
      <c r="G5228" s="1" t="s">
        <v>19</v>
      </c>
      <c r="H5228" s="1" t="str">
        <f t="shared" si="3061"/>
        <v>61</v>
      </c>
      <c r="I5228" s="1" t="str">
        <f>"169.01"</f>
        <v>169.01</v>
      </c>
      <c r="J5228" s="1" t="str">
        <f t="shared" si="3058"/>
        <v>0</v>
      </c>
      <c r="K5228" s="1" t="str">
        <f t="shared" si="3059"/>
        <v>103</v>
      </c>
      <c r="L5228" s="1" t="str">
        <f t="shared" si="3060"/>
        <v>47</v>
      </c>
      <c r="M5228" s="1" t="str">
        <f t="shared" si="3055"/>
        <v>0</v>
      </c>
      <c r="N5228" s="1" t="str">
        <f t="shared" si="3042"/>
        <v>0</v>
      </c>
      <c r="O5228" s="1" t="str">
        <f>"19.01"</f>
        <v>19.01</v>
      </c>
    </row>
    <row r="5229" s="1" customFormat="1" spans="1:15">
      <c r="A5229" s="1" t="str">
        <f t="shared" si="3047"/>
        <v>202406</v>
      </c>
      <c r="B5229" s="1" t="str">
        <f t="shared" si="3048"/>
        <v>150525100</v>
      </c>
      <c r="C5229" s="1" t="str">
        <f>"1043154374"</f>
        <v>1043154374</v>
      </c>
      <c r="D5229" s="1" t="str">
        <f>"152326196111200067"</f>
        <v>152326196111200067</v>
      </c>
      <c r="E5229" s="1" t="s">
        <v>5186</v>
      </c>
      <c r="F5229" s="1" t="s">
        <v>16</v>
      </c>
      <c r="G5229" s="1" t="s">
        <v>17</v>
      </c>
      <c r="H5229" s="1" t="str">
        <f>"63"</f>
        <v>63</v>
      </c>
      <c r="I5229" s="1" t="str">
        <f>"159.83"</f>
        <v>159.83</v>
      </c>
      <c r="J5229" s="1" t="str">
        <f t="shared" si="3058"/>
        <v>0</v>
      </c>
      <c r="K5229" s="1" t="str">
        <f t="shared" si="3059"/>
        <v>103</v>
      </c>
      <c r="L5229" s="1" t="str">
        <f t="shared" si="3060"/>
        <v>47</v>
      </c>
      <c r="M5229" s="1" t="str">
        <f t="shared" si="3055"/>
        <v>0</v>
      </c>
      <c r="N5229" s="1" t="str">
        <f t="shared" si="3042"/>
        <v>0</v>
      </c>
      <c r="O5229" s="1" t="str">
        <f>"9.83"</f>
        <v>9.83</v>
      </c>
    </row>
    <row r="5230" s="1" customFormat="1" spans="1:15">
      <c r="A5230" s="1" t="str">
        <f t="shared" si="3047"/>
        <v>202406</v>
      </c>
      <c r="B5230" s="1" t="str">
        <f t="shared" si="3048"/>
        <v>150525100</v>
      </c>
      <c r="C5230" s="1" t="str">
        <f>"1043278176"</f>
        <v>1043278176</v>
      </c>
      <c r="D5230" s="1" t="str">
        <f>"152326196305090695"</f>
        <v>152326196305090695</v>
      </c>
      <c r="E5230" s="1" t="s">
        <v>5187</v>
      </c>
      <c r="F5230" s="1" t="s">
        <v>25</v>
      </c>
      <c r="G5230" s="1" t="s">
        <v>17</v>
      </c>
      <c r="H5230" s="1" t="str">
        <f t="shared" si="3061"/>
        <v>61</v>
      </c>
      <c r="I5230" s="1" t="str">
        <f>"167.65"</f>
        <v>167.65</v>
      </c>
      <c r="J5230" s="1" t="str">
        <f t="shared" si="3058"/>
        <v>0</v>
      </c>
      <c r="K5230" s="1" t="str">
        <f t="shared" si="3059"/>
        <v>103</v>
      </c>
      <c r="L5230" s="1" t="str">
        <f t="shared" si="3060"/>
        <v>47</v>
      </c>
      <c r="M5230" s="1" t="str">
        <f t="shared" si="3055"/>
        <v>0</v>
      </c>
      <c r="N5230" s="1" t="str">
        <f t="shared" si="3042"/>
        <v>0</v>
      </c>
      <c r="O5230" s="1" t="str">
        <f>"17.65"</f>
        <v>17.65</v>
      </c>
    </row>
    <row r="5231" s="1" customFormat="1" spans="1:15">
      <c r="A5231" s="1" t="str">
        <f t="shared" si="3047"/>
        <v>202406</v>
      </c>
      <c r="B5231" s="1" t="str">
        <f t="shared" si="3048"/>
        <v>150525100</v>
      </c>
      <c r="C5231" s="1" t="str">
        <f>"1043242341"</f>
        <v>1043242341</v>
      </c>
      <c r="D5231" s="1" t="str">
        <f>"150525196311030018"</f>
        <v>150525196311030018</v>
      </c>
      <c r="E5231" s="1" t="s">
        <v>5188</v>
      </c>
      <c r="F5231" s="1" t="s">
        <v>25</v>
      </c>
      <c r="G5231" s="1" t="s">
        <v>17</v>
      </c>
      <c r="H5231" s="1" t="str">
        <f t="shared" si="3061"/>
        <v>61</v>
      </c>
      <c r="I5231" s="1" t="str">
        <f>"167.82"</f>
        <v>167.82</v>
      </c>
      <c r="J5231" s="1" t="str">
        <f t="shared" si="3058"/>
        <v>0</v>
      </c>
      <c r="K5231" s="1" t="str">
        <f t="shared" si="3059"/>
        <v>103</v>
      </c>
      <c r="L5231" s="1" t="str">
        <f t="shared" si="3060"/>
        <v>47</v>
      </c>
      <c r="M5231" s="1" t="str">
        <f t="shared" si="3055"/>
        <v>0</v>
      </c>
      <c r="N5231" s="1" t="str">
        <f t="shared" si="3042"/>
        <v>0</v>
      </c>
      <c r="O5231" s="1" t="str">
        <f>"17.82"</f>
        <v>17.82</v>
      </c>
    </row>
    <row r="5232" s="1" customFormat="1" spans="1:15">
      <c r="A5232" s="1" t="str">
        <f t="shared" si="3047"/>
        <v>202406</v>
      </c>
      <c r="B5232" s="1" t="str">
        <f t="shared" si="3048"/>
        <v>150525100</v>
      </c>
      <c r="C5232" s="1" t="str">
        <f>"1043278356"</f>
        <v>1043278356</v>
      </c>
      <c r="D5232" s="1" t="str">
        <f>"152326196307260926"</f>
        <v>152326196307260926</v>
      </c>
      <c r="E5232" s="1" t="s">
        <v>5189</v>
      </c>
      <c r="F5232" s="1" t="s">
        <v>16</v>
      </c>
      <c r="G5232" s="1" t="s">
        <v>19</v>
      </c>
      <c r="H5232" s="1" t="str">
        <f t="shared" si="3061"/>
        <v>61</v>
      </c>
      <c r="I5232" s="1" t="str">
        <f>"167.55"</f>
        <v>167.55</v>
      </c>
      <c r="J5232" s="1" t="str">
        <f t="shared" si="3058"/>
        <v>0</v>
      </c>
      <c r="K5232" s="1" t="str">
        <f t="shared" si="3059"/>
        <v>103</v>
      </c>
      <c r="L5232" s="1" t="str">
        <f t="shared" si="3060"/>
        <v>47</v>
      </c>
      <c r="M5232" s="1" t="str">
        <f t="shared" si="3055"/>
        <v>0</v>
      </c>
      <c r="N5232" s="1" t="str">
        <f t="shared" si="3042"/>
        <v>0</v>
      </c>
      <c r="O5232" s="1" t="str">
        <f>"17.55"</f>
        <v>17.55</v>
      </c>
    </row>
    <row r="5233" s="1" customFormat="1" spans="1:15">
      <c r="A5233" s="1" t="str">
        <f t="shared" si="3047"/>
        <v>202406</v>
      </c>
      <c r="B5233" s="1" t="str">
        <f t="shared" si="3048"/>
        <v>150525100</v>
      </c>
      <c r="C5233" s="1" t="str">
        <f>"1043288509"</f>
        <v>1043288509</v>
      </c>
      <c r="D5233" s="1" t="str">
        <f>"152326196309086386"</f>
        <v>152326196309086386</v>
      </c>
      <c r="E5233" s="1" t="s">
        <v>2796</v>
      </c>
      <c r="F5233" s="1" t="s">
        <v>16</v>
      </c>
      <c r="G5233" s="1" t="s">
        <v>17</v>
      </c>
      <c r="H5233" s="1" t="str">
        <f t="shared" si="3061"/>
        <v>61</v>
      </c>
      <c r="I5233" s="1" t="str">
        <f>"169.13"</f>
        <v>169.13</v>
      </c>
      <c r="J5233" s="1" t="str">
        <f t="shared" si="3058"/>
        <v>0</v>
      </c>
      <c r="K5233" s="1" t="str">
        <f t="shared" si="3059"/>
        <v>103</v>
      </c>
      <c r="L5233" s="1" t="str">
        <f t="shared" si="3060"/>
        <v>47</v>
      </c>
      <c r="M5233" s="1" t="str">
        <f t="shared" si="3055"/>
        <v>0</v>
      </c>
      <c r="N5233" s="1" t="str">
        <f t="shared" si="3042"/>
        <v>0</v>
      </c>
      <c r="O5233" s="1" t="str">
        <f>"19.13"</f>
        <v>19.13</v>
      </c>
    </row>
    <row r="5234" s="1" customFormat="1" spans="1:15">
      <c r="A5234" s="1" t="str">
        <f t="shared" si="3047"/>
        <v>202406</v>
      </c>
      <c r="B5234" s="1" t="str">
        <f t="shared" si="3048"/>
        <v>150525100</v>
      </c>
      <c r="C5234" s="1" t="str">
        <f>"1043276758"</f>
        <v>1043276758</v>
      </c>
      <c r="D5234" s="1" t="str">
        <f>"152326196105200669"</f>
        <v>152326196105200669</v>
      </c>
      <c r="E5234" s="1" t="s">
        <v>5190</v>
      </c>
      <c r="F5234" s="1" t="s">
        <v>16</v>
      </c>
      <c r="G5234" s="1" t="s">
        <v>19</v>
      </c>
      <c r="H5234" s="1" t="str">
        <f>"63"</f>
        <v>63</v>
      </c>
      <c r="I5234" s="1" t="str">
        <f>"164.41"</f>
        <v>164.41</v>
      </c>
      <c r="J5234" s="1" t="str">
        <f t="shared" si="3058"/>
        <v>0</v>
      </c>
      <c r="K5234" s="1" t="str">
        <f t="shared" si="3059"/>
        <v>103</v>
      </c>
      <c r="L5234" s="1" t="str">
        <f t="shared" si="3060"/>
        <v>47</v>
      </c>
      <c r="M5234" s="1" t="str">
        <f t="shared" si="3055"/>
        <v>0</v>
      </c>
      <c r="N5234" s="1" t="str">
        <f t="shared" si="3042"/>
        <v>0</v>
      </c>
      <c r="O5234" s="1" t="str">
        <f>"14.41"</f>
        <v>14.41</v>
      </c>
    </row>
    <row r="5235" s="1" customFormat="1" spans="1:15">
      <c r="A5235" s="1" t="str">
        <f t="shared" si="3047"/>
        <v>202406</v>
      </c>
      <c r="B5235" s="1" t="str">
        <f t="shared" si="3048"/>
        <v>150525100</v>
      </c>
      <c r="C5235" s="1" t="str">
        <f>"1043307053"</f>
        <v>1043307053</v>
      </c>
      <c r="D5235" s="1" t="str">
        <f>"152326196301190912"</f>
        <v>152326196301190912</v>
      </c>
      <c r="E5235" s="1" t="s">
        <v>5191</v>
      </c>
      <c r="F5235" s="1" t="s">
        <v>25</v>
      </c>
      <c r="G5235" s="1" t="s">
        <v>19</v>
      </c>
      <c r="H5235" s="1" t="str">
        <f t="shared" ref="H5235:H5239" si="3062">"61"</f>
        <v>61</v>
      </c>
      <c r="I5235" s="1" t="str">
        <f>"167.27"</f>
        <v>167.27</v>
      </c>
      <c r="J5235" s="1" t="str">
        <f t="shared" si="3058"/>
        <v>0</v>
      </c>
      <c r="K5235" s="1" t="str">
        <f t="shared" si="3059"/>
        <v>103</v>
      </c>
      <c r="L5235" s="1" t="str">
        <f t="shared" si="3060"/>
        <v>47</v>
      </c>
      <c r="M5235" s="1" t="str">
        <f t="shared" si="3055"/>
        <v>0</v>
      </c>
      <c r="N5235" s="1" t="str">
        <f t="shared" si="3042"/>
        <v>0</v>
      </c>
      <c r="O5235" s="1" t="str">
        <f>"17.27"</f>
        <v>17.27</v>
      </c>
    </row>
    <row r="5236" s="1" customFormat="1" spans="1:15">
      <c r="A5236" s="1" t="str">
        <f t="shared" si="3047"/>
        <v>202406</v>
      </c>
      <c r="B5236" s="1" t="str">
        <f t="shared" si="3048"/>
        <v>150525100</v>
      </c>
      <c r="C5236" s="1" t="str">
        <f>"1043256234"</f>
        <v>1043256234</v>
      </c>
      <c r="D5236" s="1" t="str">
        <f>"152326196304043088"</f>
        <v>152326196304043088</v>
      </c>
      <c r="E5236" s="1" t="s">
        <v>5192</v>
      </c>
      <c r="F5236" s="1" t="s">
        <v>16</v>
      </c>
      <c r="G5236" s="1" t="s">
        <v>19</v>
      </c>
      <c r="H5236" s="1" t="str">
        <f t="shared" si="3062"/>
        <v>61</v>
      </c>
      <c r="I5236" s="1" t="str">
        <f>"169.01"</f>
        <v>169.01</v>
      </c>
      <c r="J5236" s="1" t="str">
        <f t="shared" si="3058"/>
        <v>0</v>
      </c>
      <c r="K5236" s="1" t="str">
        <f t="shared" si="3059"/>
        <v>103</v>
      </c>
      <c r="L5236" s="1" t="str">
        <f t="shared" si="3060"/>
        <v>47</v>
      </c>
      <c r="M5236" s="1" t="str">
        <f t="shared" si="3055"/>
        <v>0</v>
      </c>
      <c r="N5236" s="1" t="str">
        <f t="shared" ref="N5236:N5299" si="3063">"0"</f>
        <v>0</v>
      </c>
      <c r="O5236" s="1" t="str">
        <f>"19.01"</f>
        <v>19.01</v>
      </c>
    </row>
    <row r="5237" s="1" customFormat="1" spans="1:15">
      <c r="A5237" s="1" t="str">
        <f t="shared" si="3047"/>
        <v>202406</v>
      </c>
      <c r="B5237" s="1" t="str">
        <f t="shared" si="3048"/>
        <v>150525100</v>
      </c>
      <c r="C5237" s="1" t="str">
        <f>"1043310565"</f>
        <v>1043310565</v>
      </c>
      <c r="D5237" s="1" t="s">
        <v>5193</v>
      </c>
      <c r="E5237" s="1" t="s">
        <v>5194</v>
      </c>
      <c r="F5237" s="1" t="s">
        <v>25</v>
      </c>
      <c r="G5237" s="1" t="s">
        <v>17</v>
      </c>
      <c r="H5237" s="1" t="str">
        <f>"60"</f>
        <v>60</v>
      </c>
      <c r="I5237" s="1" t="str">
        <f>"168.71"</f>
        <v>168.71</v>
      </c>
      <c r="J5237" s="1" t="str">
        <f t="shared" si="3058"/>
        <v>0</v>
      </c>
      <c r="K5237" s="1" t="str">
        <f t="shared" si="3059"/>
        <v>103</v>
      </c>
      <c r="L5237" s="1" t="str">
        <f t="shared" si="3060"/>
        <v>47</v>
      </c>
      <c r="M5237" s="1" t="str">
        <f t="shared" si="3055"/>
        <v>0</v>
      </c>
      <c r="N5237" s="1" t="str">
        <f t="shared" si="3063"/>
        <v>0</v>
      </c>
      <c r="O5237" s="1" t="str">
        <f>"18.71"</f>
        <v>18.71</v>
      </c>
    </row>
    <row r="5238" s="1" customFormat="1" spans="1:15">
      <c r="A5238" s="1" t="str">
        <f t="shared" si="3047"/>
        <v>202406</v>
      </c>
      <c r="B5238" s="1" t="str">
        <f t="shared" si="3048"/>
        <v>150525100</v>
      </c>
      <c r="C5238" s="1" t="str">
        <f>"1042686984"</f>
        <v>1042686984</v>
      </c>
      <c r="D5238" s="1" t="str">
        <f>"152326196203163312"</f>
        <v>152326196203163312</v>
      </c>
      <c r="E5238" s="1" t="s">
        <v>5195</v>
      </c>
      <c r="F5238" s="1" t="s">
        <v>25</v>
      </c>
      <c r="G5238" s="1" t="s">
        <v>17</v>
      </c>
      <c r="H5238" s="1" t="str">
        <f>"62"</f>
        <v>62</v>
      </c>
      <c r="I5238" s="1" t="str">
        <f>"166.3"</f>
        <v>166.3</v>
      </c>
      <c r="J5238" s="1" t="str">
        <f t="shared" si="3058"/>
        <v>0</v>
      </c>
      <c r="K5238" s="1" t="str">
        <f t="shared" si="3059"/>
        <v>103</v>
      </c>
      <c r="L5238" s="1" t="str">
        <f t="shared" si="3060"/>
        <v>47</v>
      </c>
      <c r="M5238" s="1" t="str">
        <f t="shared" si="3055"/>
        <v>0</v>
      </c>
      <c r="N5238" s="1" t="str">
        <f t="shared" si="3063"/>
        <v>0</v>
      </c>
      <c r="O5238" s="1" t="str">
        <f>"16.3"</f>
        <v>16.3</v>
      </c>
    </row>
    <row r="5239" s="1" customFormat="1" spans="1:15">
      <c r="A5239" s="1" t="str">
        <f t="shared" si="3047"/>
        <v>202406</v>
      </c>
      <c r="B5239" s="1" t="str">
        <f t="shared" si="3048"/>
        <v>150525100</v>
      </c>
      <c r="C5239" s="1" t="str">
        <f>"1040651111"</f>
        <v>1040651111</v>
      </c>
      <c r="D5239" s="1" t="str">
        <f>"152326196311090667"</f>
        <v>152326196311090667</v>
      </c>
      <c r="E5239" s="1" t="s">
        <v>4549</v>
      </c>
      <c r="F5239" s="1" t="s">
        <v>16</v>
      </c>
      <c r="G5239" s="1" t="s">
        <v>19</v>
      </c>
      <c r="H5239" s="1" t="str">
        <f t="shared" si="3062"/>
        <v>61</v>
      </c>
      <c r="I5239" s="1" t="str">
        <f>"172.21"</f>
        <v>172.21</v>
      </c>
      <c r="J5239" s="1" t="str">
        <f t="shared" si="3058"/>
        <v>0</v>
      </c>
      <c r="K5239" s="1" t="str">
        <f t="shared" si="3059"/>
        <v>103</v>
      </c>
      <c r="L5239" s="1" t="str">
        <f t="shared" si="3060"/>
        <v>47</v>
      </c>
      <c r="M5239" s="1" t="str">
        <f t="shared" si="3055"/>
        <v>0</v>
      </c>
      <c r="N5239" s="1" t="str">
        <f t="shared" si="3063"/>
        <v>0</v>
      </c>
      <c r="O5239" s="1" t="str">
        <f>"22.21"</f>
        <v>22.21</v>
      </c>
    </row>
    <row r="5240" s="1" customFormat="1" spans="1:15">
      <c r="A5240" s="1" t="str">
        <f t="shared" si="3047"/>
        <v>202406</v>
      </c>
      <c r="B5240" s="1" t="str">
        <f t="shared" si="3048"/>
        <v>150525100</v>
      </c>
      <c r="C5240" s="1" t="str">
        <f>"1040651122"</f>
        <v>1040651122</v>
      </c>
      <c r="D5240" s="1" t="str">
        <f>"152326195907150670"</f>
        <v>152326195907150670</v>
      </c>
      <c r="E5240" s="1" t="s">
        <v>2786</v>
      </c>
      <c r="F5240" s="1" t="s">
        <v>25</v>
      </c>
      <c r="G5240" s="1" t="s">
        <v>19</v>
      </c>
      <c r="H5240" s="1" t="str">
        <f>"65"</f>
        <v>65</v>
      </c>
      <c r="I5240" s="1" t="str">
        <f>"2043.15"</f>
        <v>2043.15</v>
      </c>
      <c r="J5240" s="1" t="str">
        <f>"1885.6"</f>
        <v>1885.6</v>
      </c>
      <c r="K5240" s="1" t="str">
        <f>"1334"</f>
        <v>1334</v>
      </c>
      <c r="L5240" s="1" t="str">
        <f>"611"</f>
        <v>611</v>
      </c>
      <c r="M5240" s="1" t="str">
        <f t="shared" si="3055"/>
        <v>0</v>
      </c>
      <c r="N5240" s="1" t="str">
        <f t="shared" si="3063"/>
        <v>0</v>
      </c>
      <c r="O5240" s="1" t="str">
        <f>"98.15"</f>
        <v>98.15</v>
      </c>
    </row>
    <row r="5241" s="1" customFormat="1" spans="1:15">
      <c r="A5241" s="1" t="str">
        <f t="shared" si="3047"/>
        <v>202406</v>
      </c>
      <c r="B5241" s="1" t="str">
        <f t="shared" si="3048"/>
        <v>150525100</v>
      </c>
      <c r="C5241" s="1" t="str">
        <f>"1040642083"</f>
        <v>1040642083</v>
      </c>
      <c r="D5241" s="1" t="str">
        <f>"152326195801123826"</f>
        <v>152326195801123826</v>
      </c>
      <c r="E5241" s="1" t="s">
        <v>5196</v>
      </c>
      <c r="F5241" s="1" t="s">
        <v>16</v>
      </c>
      <c r="G5241" s="1" t="s">
        <v>17</v>
      </c>
      <c r="H5241" s="1" t="str">
        <f t="shared" ref="H5241:H5246" si="3064">"66"</f>
        <v>66</v>
      </c>
      <c r="I5241" s="1" t="str">
        <f>"156.76"</f>
        <v>156.76</v>
      </c>
      <c r="J5241" s="1" t="str">
        <f t="shared" ref="J5241:J5288" si="3065">"0"</f>
        <v>0</v>
      </c>
      <c r="K5241" s="1" t="str">
        <f t="shared" ref="K5241:K5288" si="3066">"103"</f>
        <v>103</v>
      </c>
      <c r="L5241" s="1" t="str">
        <f t="shared" ref="L5241:L5288" si="3067">"47"</f>
        <v>47</v>
      </c>
      <c r="M5241" s="1" t="str">
        <f t="shared" si="3055"/>
        <v>0</v>
      </c>
      <c r="N5241" s="1" t="str">
        <f t="shared" si="3063"/>
        <v>0</v>
      </c>
      <c r="O5241" s="1" t="str">
        <f>"6.76"</f>
        <v>6.76</v>
      </c>
    </row>
    <row r="5242" s="1" customFormat="1" spans="1:15">
      <c r="A5242" s="1" t="str">
        <f t="shared" si="3047"/>
        <v>202406</v>
      </c>
      <c r="B5242" s="1" t="str">
        <f t="shared" si="3048"/>
        <v>150525100</v>
      </c>
      <c r="C5242" s="1" t="str">
        <f>"1040642815"</f>
        <v>1040642815</v>
      </c>
      <c r="D5242" s="1" t="str">
        <f>"152326195707150924"</f>
        <v>152326195707150924</v>
      </c>
      <c r="E5242" s="1" t="s">
        <v>5197</v>
      </c>
      <c r="F5242" s="1" t="s">
        <v>16</v>
      </c>
      <c r="G5242" s="1" t="s">
        <v>19</v>
      </c>
      <c r="H5242" s="1" t="str">
        <f>"67"</f>
        <v>67</v>
      </c>
      <c r="I5242" s="1" t="str">
        <f>"155.19"</f>
        <v>155.19</v>
      </c>
      <c r="J5242" s="1" t="str">
        <f t="shared" si="3065"/>
        <v>0</v>
      </c>
      <c r="K5242" s="1" t="str">
        <f t="shared" si="3066"/>
        <v>103</v>
      </c>
      <c r="L5242" s="1" t="str">
        <f t="shared" si="3067"/>
        <v>47</v>
      </c>
      <c r="M5242" s="1" t="str">
        <f t="shared" si="3055"/>
        <v>0</v>
      </c>
      <c r="N5242" s="1" t="str">
        <f t="shared" si="3063"/>
        <v>0</v>
      </c>
      <c r="O5242" s="1" t="str">
        <f>"5.19"</f>
        <v>5.19</v>
      </c>
    </row>
    <row r="5243" s="1" customFormat="1" spans="1:15">
      <c r="A5243" s="1" t="str">
        <f t="shared" si="3047"/>
        <v>202406</v>
      </c>
      <c r="B5243" s="1" t="str">
        <f t="shared" si="3048"/>
        <v>150525100</v>
      </c>
      <c r="C5243" s="1" t="str">
        <f>"1040642825"</f>
        <v>1040642825</v>
      </c>
      <c r="D5243" s="1" t="str">
        <f>"152326195805010933"</f>
        <v>152326195805010933</v>
      </c>
      <c r="E5243" s="1" t="s">
        <v>5198</v>
      </c>
      <c r="F5243" s="1" t="s">
        <v>25</v>
      </c>
      <c r="G5243" s="1" t="s">
        <v>19</v>
      </c>
      <c r="H5243" s="1" t="str">
        <f t="shared" si="3064"/>
        <v>66</v>
      </c>
      <c r="I5243" s="1" t="str">
        <f>"161.67"</f>
        <v>161.67</v>
      </c>
      <c r="J5243" s="1" t="str">
        <f t="shared" si="3065"/>
        <v>0</v>
      </c>
      <c r="K5243" s="1" t="str">
        <f t="shared" si="3066"/>
        <v>103</v>
      </c>
      <c r="L5243" s="1" t="str">
        <f t="shared" si="3067"/>
        <v>47</v>
      </c>
      <c r="M5243" s="1" t="str">
        <f t="shared" si="3055"/>
        <v>0</v>
      </c>
      <c r="N5243" s="1" t="str">
        <f t="shared" si="3063"/>
        <v>0</v>
      </c>
      <c r="O5243" s="1" t="str">
        <f>"11.67"</f>
        <v>11.67</v>
      </c>
    </row>
    <row r="5244" s="1" customFormat="1" spans="1:15">
      <c r="A5244" s="1" t="str">
        <f t="shared" si="3047"/>
        <v>202406</v>
      </c>
      <c r="B5244" s="1" t="str">
        <f t="shared" si="3048"/>
        <v>150525100</v>
      </c>
      <c r="C5244" s="1" t="str">
        <f>"1014561303"</f>
        <v>1014561303</v>
      </c>
      <c r="D5244" s="1" t="str">
        <f>"152326196303240426"</f>
        <v>152326196303240426</v>
      </c>
      <c r="E5244" s="1" t="s">
        <v>5199</v>
      </c>
      <c r="F5244" s="1" t="s">
        <v>16</v>
      </c>
      <c r="G5244" s="1" t="s">
        <v>17</v>
      </c>
      <c r="H5244" s="1" t="str">
        <f>"61"</f>
        <v>61</v>
      </c>
      <c r="I5244" s="1" t="str">
        <f>"164.95"</f>
        <v>164.95</v>
      </c>
      <c r="J5244" s="1" t="str">
        <f t="shared" si="3065"/>
        <v>0</v>
      </c>
      <c r="K5244" s="1" t="str">
        <f t="shared" si="3066"/>
        <v>103</v>
      </c>
      <c r="L5244" s="1" t="str">
        <f t="shared" si="3067"/>
        <v>47</v>
      </c>
      <c r="M5244" s="1" t="str">
        <f t="shared" si="3055"/>
        <v>0</v>
      </c>
      <c r="N5244" s="1" t="str">
        <f t="shared" si="3063"/>
        <v>0</v>
      </c>
      <c r="O5244" s="1" t="str">
        <f>"14.95"</f>
        <v>14.95</v>
      </c>
    </row>
    <row r="5245" s="1" customFormat="1" spans="1:15">
      <c r="A5245" s="1" t="str">
        <f t="shared" si="3047"/>
        <v>202406</v>
      </c>
      <c r="B5245" s="1" t="str">
        <f t="shared" si="3048"/>
        <v>150525100</v>
      </c>
      <c r="C5245" s="1" t="str">
        <f>"1014563069"</f>
        <v>1014563069</v>
      </c>
      <c r="D5245" s="1" t="str">
        <f>"152326196006270426"</f>
        <v>152326196006270426</v>
      </c>
      <c r="E5245" s="1" t="s">
        <v>5200</v>
      </c>
      <c r="F5245" s="1" t="s">
        <v>16</v>
      </c>
      <c r="G5245" s="1" t="s">
        <v>17</v>
      </c>
      <c r="H5245" s="1" t="str">
        <f>"64"</f>
        <v>64</v>
      </c>
      <c r="I5245" s="1" t="str">
        <f>"159.24"</f>
        <v>159.24</v>
      </c>
      <c r="J5245" s="1" t="str">
        <f t="shared" si="3065"/>
        <v>0</v>
      </c>
      <c r="K5245" s="1" t="str">
        <f t="shared" si="3066"/>
        <v>103</v>
      </c>
      <c r="L5245" s="1" t="str">
        <f t="shared" si="3067"/>
        <v>47</v>
      </c>
      <c r="M5245" s="1" t="str">
        <f t="shared" si="3055"/>
        <v>0</v>
      </c>
      <c r="N5245" s="1" t="str">
        <f t="shared" si="3063"/>
        <v>0</v>
      </c>
      <c r="O5245" s="1" t="str">
        <f>"9.24"</f>
        <v>9.24</v>
      </c>
    </row>
    <row r="5246" s="1" customFormat="1" spans="1:15">
      <c r="A5246" s="1" t="str">
        <f t="shared" si="3047"/>
        <v>202406</v>
      </c>
      <c r="B5246" s="1" t="str">
        <f t="shared" si="3048"/>
        <v>150525100</v>
      </c>
      <c r="C5246" s="1" t="str">
        <f>"1014563432"</f>
        <v>1014563432</v>
      </c>
      <c r="D5246" s="1" t="str">
        <f>"152326195804020419"</f>
        <v>152326195804020419</v>
      </c>
      <c r="E5246" s="1" t="s">
        <v>5201</v>
      </c>
      <c r="F5246" s="1" t="s">
        <v>25</v>
      </c>
      <c r="G5246" s="1" t="s">
        <v>17</v>
      </c>
      <c r="H5246" s="1" t="str">
        <f t="shared" si="3064"/>
        <v>66</v>
      </c>
      <c r="I5246" s="1" t="str">
        <f>"158.04"</f>
        <v>158.04</v>
      </c>
      <c r="J5246" s="1" t="str">
        <f t="shared" si="3065"/>
        <v>0</v>
      </c>
      <c r="K5246" s="1" t="str">
        <f t="shared" si="3066"/>
        <v>103</v>
      </c>
      <c r="L5246" s="1" t="str">
        <f t="shared" si="3067"/>
        <v>47</v>
      </c>
      <c r="M5246" s="1" t="str">
        <f t="shared" si="3055"/>
        <v>0</v>
      </c>
      <c r="N5246" s="1" t="str">
        <f t="shared" si="3063"/>
        <v>0</v>
      </c>
      <c r="O5246" s="1" t="str">
        <f>"8.04"</f>
        <v>8.04</v>
      </c>
    </row>
    <row r="5247" s="1" customFormat="1" spans="1:15">
      <c r="A5247" s="1" t="str">
        <f t="shared" si="3047"/>
        <v>202406</v>
      </c>
      <c r="B5247" s="1" t="str">
        <f t="shared" si="3048"/>
        <v>150525100</v>
      </c>
      <c r="C5247" s="1" t="str">
        <f>"1014569881"</f>
        <v>1014569881</v>
      </c>
      <c r="D5247" s="1" t="str">
        <f>"152326195310140429"</f>
        <v>152326195310140429</v>
      </c>
      <c r="E5247" s="1" t="s">
        <v>3272</v>
      </c>
      <c r="F5247" s="1" t="s">
        <v>16</v>
      </c>
      <c r="G5247" s="1" t="s">
        <v>17</v>
      </c>
      <c r="H5247" s="1" t="str">
        <f>"71"</f>
        <v>71</v>
      </c>
      <c r="I5247" s="1" t="str">
        <f>"162.15"</f>
        <v>162.15</v>
      </c>
      <c r="J5247" s="1" t="str">
        <f t="shared" si="3065"/>
        <v>0</v>
      </c>
      <c r="K5247" s="1" t="str">
        <f t="shared" si="3066"/>
        <v>103</v>
      </c>
      <c r="L5247" s="1" t="str">
        <f t="shared" si="3067"/>
        <v>47</v>
      </c>
      <c r="M5247" s="1" t="str">
        <f t="shared" si="3055"/>
        <v>0</v>
      </c>
      <c r="N5247" s="1" t="str">
        <f t="shared" si="3063"/>
        <v>0</v>
      </c>
      <c r="O5247" s="1" t="str">
        <f>"2.15"</f>
        <v>2.15</v>
      </c>
    </row>
    <row r="5248" s="1" customFormat="1" spans="1:15">
      <c r="A5248" s="1" t="str">
        <f t="shared" si="3047"/>
        <v>202406</v>
      </c>
      <c r="B5248" s="1" t="str">
        <f t="shared" si="3048"/>
        <v>150525100</v>
      </c>
      <c r="C5248" s="1" t="str">
        <f>"1014583761"</f>
        <v>1014583761</v>
      </c>
      <c r="D5248" s="1" t="str">
        <f>"152326195406200676"</f>
        <v>152326195406200676</v>
      </c>
      <c r="E5248" s="1" t="s">
        <v>5202</v>
      </c>
      <c r="F5248" s="1" t="s">
        <v>25</v>
      </c>
      <c r="G5248" s="1" t="s">
        <v>19</v>
      </c>
      <c r="H5248" s="1" t="str">
        <f>"70"</f>
        <v>70</v>
      </c>
      <c r="I5248" s="1" t="str">
        <f>"154.14"</f>
        <v>154.14</v>
      </c>
      <c r="J5248" s="1" t="str">
        <f t="shared" si="3065"/>
        <v>0</v>
      </c>
      <c r="K5248" s="1" t="str">
        <f t="shared" si="3066"/>
        <v>103</v>
      </c>
      <c r="L5248" s="1" t="str">
        <f t="shared" si="3067"/>
        <v>47</v>
      </c>
      <c r="M5248" s="1" t="str">
        <f t="shared" si="3055"/>
        <v>0</v>
      </c>
      <c r="N5248" s="1" t="str">
        <f t="shared" si="3063"/>
        <v>0</v>
      </c>
      <c r="O5248" s="1" t="str">
        <f>"4.14"</f>
        <v>4.14</v>
      </c>
    </row>
    <row r="5249" s="1" customFormat="1" spans="1:15">
      <c r="A5249" s="1" t="str">
        <f t="shared" si="3047"/>
        <v>202406</v>
      </c>
      <c r="B5249" s="1" t="str">
        <f t="shared" si="3048"/>
        <v>150525100</v>
      </c>
      <c r="C5249" s="1" t="str">
        <f>"1014583766"</f>
        <v>1014583766</v>
      </c>
      <c r="D5249" s="1" t="str">
        <f>"152326195501210661"</f>
        <v>152326195501210661</v>
      </c>
      <c r="E5249" s="1" t="s">
        <v>5203</v>
      </c>
      <c r="F5249" s="1" t="s">
        <v>16</v>
      </c>
      <c r="G5249" s="1" t="s">
        <v>19</v>
      </c>
      <c r="H5249" s="1" t="str">
        <f>"69"</f>
        <v>69</v>
      </c>
      <c r="I5249" s="1" t="str">
        <f>"155.09"</f>
        <v>155.09</v>
      </c>
      <c r="J5249" s="1" t="str">
        <f t="shared" si="3065"/>
        <v>0</v>
      </c>
      <c r="K5249" s="1" t="str">
        <f t="shared" si="3066"/>
        <v>103</v>
      </c>
      <c r="L5249" s="1" t="str">
        <f t="shared" si="3067"/>
        <v>47</v>
      </c>
      <c r="M5249" s="1" t="str">
        <f t="shared" si="3055"/>
        <v>0</v>
      </c>
      <c r="N5249" s="1" t="str">
        <f t="shared" si="3063"/>
        <v>0</v>
      </c>
      <c r="O5249" s="1" t="str">
        <f>"5.09"</f>
        <v>5.09</v>
      </c>
    </row>
    <row r="5250" s="1" customFormat="1" spans="1:15">
      <c r="A5250" s="1" t="str">
        <f t="shared" ref="A5250:A5313" si="3068">"202406"</f>
        <v>202406</v>
      </c>
      <c r="B5250" s="1" t="str">
        <f t="shared" ref="B5250:B5313" si="3069">"150525100"</f>
        <v>150525100</v>
      </c>
      <c r="C5250" s="1" t="str">
        <f>"1014583784"</f>
        <v>1014583784</v>
      </c>
      <c r="D5250" s="1" t="str">
        <f>"152326195707300689"</f>
        <v>152326195707300689</v>
      </c>
      <c r="E5250" s="1" t="s">
        <v>5204</v>
      </c>
      <c r="F5250" s="1" t="s">
        <v>16</v>
      </c>
      <c r="G5250" s="1" t="s">
        <v>19</v>
      </c>
      <c r="H5250" s="1" t="str">
        <f>"67"</f>
        <v>67</v>
      </c>
      <c r="I5250" s="1" t="str">
        <f>"155.66"</f>
        <v>155.66</v>
      </c>
      <c r="J5250" s="1" t="str">
        <f t="shared" si="3065"/>
        <v>0</v>
      </c>
      <c r="K5250" s="1" t="str">
        <f t="shared" si="3066"/>
        <v>103</v>
      </c>
      <c r="L5250" s="1" t="str">
        <f t="shared" si="3067"/>
        <v>47</v>
      </c>
      <c r="M5250" s="1" t="str">
        <f t="shared" si="3055"/>
        <v>0</v>
      </c>
      <c r="N5250" s="1" t="str">
        <f t="shared" si="3063"/>
        <v>0</v>
      </c>
      <c r="O5250" s="1" t="str">
        <f>"5.66"</f>
        <v>5.66</v>
      </c>
    </row>
    <row r="5251" s="1" customFormat="1" spans="1:15">
      <c r="A5251" s="1" t="str">
        <f t="shared" si="3068"/>
        <v>202406</v>
      </c>
      <c r="B5251" s="1" t="str">
        <f t="shared" si="3069"/>
        <v>150525100</v>
      </c>
      <c r="C5251" s="1" t="str">
        <f>"1014585193"</f>
        <v>1014585193</v>
      </c>
      <c r="D5251" s="1" t="str">
        <f>"152326196110130415"</f>
        <v>152326196110130415</v>
      </c>
      <c r="E5251" s="1" t="s">
        <v>71</v>
      </c>
      <c r="F5251" s="1" t="s">
        <v>25</v>
      </c>
      <c r="G5251" s="1" t="s">
        <v>17</v>
      </c>
      <c r="H5251" s="1" t="str">
        <f t="shared" ref="H5251:H5253" si="3070">"63"</f>
        <v>63</v>
      </c>
      <c r="I5251" s="1" t="str">
        <f>"161.12"</f>
        <v>161.12</v>
      </c>
      <c r="J5251" s="1" t="str">
        <f t="shared" si="3065"/>
        <v>0</v>
      </c>
      <c r="K5251" s="1" t="str">
        <f t="shared" si="3066"/>
        <v>103</v>
      </c>
      <c r="L5251" s="1" t="str">
        <f t="shared" si="3067"/>
        <v>47</v>
      </c>
      <c r="M5251" s="1" t="str">
        <f t="shared" si="3055"/>
        <v>0</v>
      </c>
      <c r="N5251" s="1" t="str">
        <f t="shared" si="3063"/>
        <v>0</v>
      </c>
      <c r="O5251" s="1" t="str">
        <f>"11.12"</f>
        <v>11.12</v>
      </c>
    </row>
    <row r="5252" s="1" customFormat="1" spans="1:15">
      <c r="A5252" s="1" t="str">
        <f t="shared" si="3068"/>
        <v>202406</v>
      </c>
      <c r="B5252" s="1" t="str">
        <f t="shared" si="3069"/>
        <v>150525100</v>
      </c>
      <c r="C5252" s="1" t="str">
        <f>"1014585194"</f>
        <v>1014585194</v>
      </c>
      <c r="D5252" s="1" t="str">
        <f>"152326196110190661"</f>
        <v>152326196110190661</v>
      </c>
      <c r="E5252" s="1" t="s">
        <v>4465</v>
      </c>
      <c r="F5252" s="1" t="s">
        <v>16</v>
      </c>
      <c r="G5252" s="1" t="s">
        <v>17</v>
      </c>
      <c r="H5252" s="1" t="str">
        <f t="shared" si="3070"/>
        <v>63</v>
      </c>
      <c r="I5252" s="1" t="str">
        <f>"162.64"</f>
        <v>162.64</v>
      </c>
      <c r="J5252" s="1" t="str">
        <f t="shared" si="3065"/>
        <v>0</v>
      </c>
      <c r="K5252" s="1" t="str">
        <f t="shared" si="3066"/>
        <v>103</v>
      </c>
      <c r="L5252" s="1" t="str">
        <f t="shared" si="3067"/>
        <v>47</v>
      </c>
      <c r="M5252" s="1" t="str">
        <f t="shared" si="3055"/>
        <v>0</v>
      </c>
      <c r="N5252" s="1" t="str">
        <f t="shared" si="3063"/>
        <v>0</v>
      </c>
      <c r="O5252" s="1" t="str">
        <f>"12.64"</f>
        <v>12.64</v>
      </c>
    </row>
    <row r="5253" s="1" customFormat="1" spans="1:15">
      <c r="A5253" s="1" t="str">
        <f t="shared" si="3068"/>
        <v>202406</v>
      </c>
      <c r="B5253" s="1" t="str">
        <f t="shared" si="3069"/>
        <v>150525100</v>
      </c>
      <c r="C5253" s="1" t="str">
        <f>"1014562578"</f>
        <v>1014562578</v>
      </c>
      <c r="D5253" s="1" t="str">
        <f>"152326196108040429"</f>
        <v>152326196108040429</v>
      </c>
      <c r="E5253" s="1" t="s">
        <v>5205</v>
      </c>
      <c r="F5253" s="1" t="s">
        <v>16</v>
      </c>
      <c r="G5253" s="1" t="s">
        <v>19</v>
      </c>
      <c r="H5253" s="1" t="str">
        <f t="shared" si="3070"/>
        <v>63</v>
      </c>
      <c r="I5253" s="1" t="str">
        <f>"162.13"</f>
        <v>162.13</v>
      </c>
      <c r="J5253" s="1" t="str">
        <f t="shared" si="3065"/>
        <v>0</v>
      </c>
      <c r="K5253" s="1" t="str">
        <f t="shared" si="3066"/>
        <v>103</v>
      </c>
      <c r="L5253" s="1" t="str">
        <f t="shared" si="3067"/>
        <v>47</v>
      </c>
      <c r="M5253" s="1" t="str">
        <f t="shared" si="3055"/>
        <v>0</v>
      </c>
      <c r="N5253" s="1" t="str">
        <f t="shared" si="3063"/>
        <v>0</v>
      </c>
      <c r="O5253" s="1" t="str">
        <f>"12.13"</f>
        <v>12.13</v>
      </c>
    </row>
    <row r="5254" s="1" customFormat="1" spans="1:15">
      <c r="A5254" s="1" t="str">
        <f t="shared" si="3068"/>
        <v>202406</v>
      </c>
      <c r="B5254" s="1" t="str">
        <f t="shared" si="3069"/>
        <v>150525100</v>
      </c>
      <c r="C5254" s="1" t="str">
        <f>"1014562586"</f>
        <v>1014562586</v>
      </c>
      <c r="D5254" s="1" t="str">
        <f>"152326195501230427"</f>
        <v>152326195501230427</v>
      </c>
      <c r="E5254" s="1" t="s">
        <v>5206</v>
      </c>
      <c r="F5254" s="1" t="s">
        <v>16</v>
      </c>
      <c r="G5254" s="1" t="s">
        <v>19</v>
      </c>
      <c r="H5254" s="1" t="str">
        <f>"69"</f>
        <v>69</v>
      </c>
      <c r="I5254" s="1" t="str">
        <f>"155.12"</f>
        <v>155.12</v>
      </c>
      <c r="J5254" s="1" t="str">
        <f t="shared" si="3065"/>
        <v>0</v>
      </c>
      <c r="K5254" s="1" t="str">
        <f t="shared" si="3066"/>
        <v>103</v>
      </c>
      <c r="L5254" s="1" t="str">
        <f t="shared" si="3067"/>
        <v>47</v>
      </c>
      <c r="M5254" s="1" t="str">
        <f t="shared" si="3055"/>
        <v>0</v>
      </c>
      <c r="N5254" s="1" t="str">
        <f t="shared" si="3063"/>
        <v>0</v>
      </c>
      <c r="O5254" s="1" t="str">
        <f>"5.12"</f>
        <v>5.12</v>
      </c>
    </row>
    <row r="5255" s="1" customFormat="1" spans="1:15">
      <c r="A5255" s="1" t="str">
        <f t="shared" si="3068"/>
        <v>202406</v>
      </c>
      <c r="B5255" s="1" t="str">
        <f t="shared" si="3069"/>
        <v>150525100</v>
      </c>
      <c r="C5255" s="1" t="str">
        <f>"1014562592"</f>
        <v>1014562592</v>
      </c>
      <c r="D5255" s="1" t="str">
        <f>"152326195808170449"</f>
        <v>152326195808170449</v>
      </c>
      <c r="E5255" s="1" t="s">
        <v>1247</v>
      </c>
      <c r="F5255" s="1" t="s">
        <v>16</v>
      </c>
      <c r="G5255" s="1" t="s">
        <v>19</v>
      </c>
      <c r="H5255" s="1" t="str">
        <f t="shared" ref="H5255:H5263" si="3071">"66"</f>
        <v>66</v>
      </c>
      <c r="I5255" s="1" t="str">
        <f>"157.14"</f>
        <v>157.14</v>
      </c>
      <c r="J5255" s="1" t="str">
        <f t="shared" si="3065"/>
        <v>0</v>
      </c>
      <c r="K5255" s="1" t="str">
        <f t="shared" si="3066"/>
        <v>103</v>
      </c>
      <c r="L5255" s="1" t="str">
        <f t="shared" si="3067"/>
        <v>47</v>
      </c>
      <c r="M5255" s="1" t="str">
        <f t="shared" si="3055"/>
        <v>0</v>
      </c>
      <c r="N5255" s="1" t="str">
        <f t="shared" si="3063"/>
        <v>0</v>
      </c>
      <c r="O5255" s="1" t="str">
        <f>"7.14"</f>
        <v>7.14</v>
      </c>
    </row>
    <row r="5256" s="1" customFormat="1" spans="1:15">
      <c r="A5256" s="1" t="str">
        <f t="shared" si="3068"/>
        <v>202406</v>
      </c>
      <c r="B5256" s="1" t="str">
        <f t="shared" si="3069"/>
        <v>150525100</v>
      </c>
      <c r="C5256" s="1" t="str">
        <f>"1014563094"</f>
        <v>1014563094</v>
      </c>
      <c r="D5256" s="1" t="s">
        <v>5207</v>
      </c>
      <c r="E5256" s="1" t="s">
        <v>5208</v>
      </c>
      <c r="F5256" s="1" t="s">
        <v>25</v>
      </c>
      <c r="G5256" s="1" t="s">
        <v>17</v>
      </c>
      <c r="H5256" s="1" t="str">
        <f t="shared" si="3071"/>
        <v>66</v>
      </c>
      <c r="I5256" s="1" t="str">
        <f>"157.11"</f>
        <v>157.11</v>
      </c>
      <c r="J5256" s="1" t="str">
        <f t="shared" si="3065"/>
        <v>0</v>
      </c>
      <c r="K5256" s="1" t="str">
        <f t="shared" si="3066"/>
        <v>103</v>
      </c>
      <c r="L5256" s="1" t="str">
        <f t="shared" si="3067"/>
        <v>47</v>
      </c>
      <c r="M5256" s="1" t="str">
        <f t="shared" si="3055"/>
        <v>0</v>
      </c>
      <c r="N5256" s="1" t="str">
        <f t="shared" si="3063"/>
        <v>0</v>
      </c>
      <c r="O5256" s="1" t="str">
        <f>"7.11"</f>
        <v>7.11</v>
      </c>
    </row>
    <row r="5257" s="1" customFormat="1" spans="1:15">
      <c r="A5257" s="1" t="str">
        <f t="shared" si="3068"/>
        <v>202406</v>
      </c>
      <c r="B5257" s="1" t="str">
        <f t="shared" si="3069"/>
        <v>150525100</v>
      </c>
      <c r="C5257" s="1" t="str">
        <f>"1014563103"</f>
        <v>1014563103</v>
      </c>
      <c r="D5257" s="1" t="str">
        <f>"152326195611220449"</f>
        <v>152326195611220449</v>
      </c>
      <c r="E5257" s="1" t="s">
        <v>3207</v>
      </c>
      <c r="F5257" s="1" t="s">
        <v>16</v>
      </c>
      <c r="G5257" s="1" t="s">
        <v>17</v>
      </c>
      <c r="H5257" s="1" t="str">
        <f>"68"</f>
        <v>68</v>
      </c>
      <c r="I5257" s="1" t="str">
        <f>"156.04"</f>
        <v>156.04</v>
      </c>
      <c r="J5257" s="1" t="str">
        <f t="shared" si="3065"/>
        <v>0</v>
      </c>
      <c r="K5257" s="1" t="str">
        <f t="shared" si="3066"/>
        <v>103</v>
      </c>
      <c r="L5257" s="1" t="str">
        <f t="shared" si="3067"/>
        <v>47</v>
      </c>
      <c r="M5257" s="1" t="str">
        <f t="shared" si="3055"/>
        <v>0</v>
      </c>
      <c r="N5257" s="1" t="str">
        <f t="shared" si="3063"/>
        <v>0</v>
      </c>
      <c r="O5257" s="1" t="str">
        <f>"6.04"</f>
        <v>6.04</v>
      </c>
    </row>
    <row r="5258" s="1" customFormat="1" spans="1:15">
      <c r="A5258" s="1" t="str">
        <f t="shared" si="3068"/>
        <v>202406</v>
      </c>
      <c r="B5258" s="1" t="str">
        <f t="shared" si="3069"/>
        <v>150525100</v>
      </c>
      <c r="C5258" s="1" t="str">
        <f>"1014563467"</f>
        <v>1014563467</v>
      </c>
      <c r="D5258" s="1" t="str">
        <f>"152326195410240419"</f>
        <v>152326195410240419</v>
      </c>
      <c r="E5258" s="1" t="s">
        <v>5209</v>
      </c>
      <c r="F5258" s="1" t="s">
        <v>25</v>
      </c>
      <c r="G5258" s="1" t="s">
        <v>17</v>
      </c>
      <c r="H5258" s="1" t="str">
        <f>"70"</f>
        <v>70</v>
      </c>
      <c r="I5258" s="1" t="str">
        <f>"154.16"</f>
        <v>154.16</v>
      </c>
      <c r="J5258" s="1" t="str">
        <f t="shared" si="3065"/>
        <v>0</v>
      </c>
      <c r="K5258" s="1" t="str">
        <f t="shared" si="3066"/>
        <v>103</v>
      </c>
      <c r="L5258" s="1" t="str">
        <f t="shared" si="3067"/>
        <v>47</v>
      </c>
      <c r="M5258" s="1" t="str">
        <f t="shared" si="3055"/>
        <v>0</v>
      </c>
      <c r="N5258" s="1" t="str">
        <f t="shared" si="3063"/>
        <v>0</v>
      </c>
      <c r="O5258" s="1" t="str">
        <f>"4.16"</f>
        <v>4.16</v>
      </c>
    </row>
    <row r="5259" s="1" customFormat="1" spans="1:15">
      <c r="A5259" s="1" t="str">
        <f t="shared" si="3068"/>
        <v>202406</v>
      </c>
      <c r="B5259" s="1" t="str">
        <f t="shared" si="3069"/>
        <v>150525100</v>
      </c>
      <c r="C5259" s="1" t="str">
        <f>"1014569887"</f>
        <v>1014569887</v>
      </c>
      <c r="D5259" s="1" t="str">
        <f>"152326196301270410"</f>
        <v>152326196301270410</v>
      </c>
      <c r="E5259" s="1" t="s">
        <v>5210</v>
      </c>
      <c r="F5259" s="1" t="s">
        <v>25</v>
      </c>
      <c r="G5259" s="1" t="s">
        <v>17</v>
      </c>
      <c r="H5259" s="1" t="str">
        <f>"61"</f>
        <v>61</v>
      </c>
      <c r="I5259" s="1" t="str">
        <f>"164.13"</f>
        <v>164.13</v>
      </c>
      <c r="J5259" s="1" t="str">
        <f t="shared" si="3065"/>
        <v>0</v>
      </c>
      <c r="K5259" s="1" t="str">
        <f t="shared" si="3066"/>
        <v>103</v>
      </c>
      <c r="L5259" s="1" t="str">
        <f t="shared" si="3067"/>
        <v>47</v>
      </c>
      <c r="M5259" s="1" t="str">
        <f t="shared" si="3055"/>
        <v>0</v>
      </c>
      <c r="N5259" s="1" t="str">
        <f t="shared" si="3063"/>
        <v>0</v>
      </c>
      <c r="O5259" s="1" t="str">
        <f>"14.13"</f>
        <v>14.13</v>
      </c>
    </row>
    <row r="5260" s="1" customFormat="1" spans="1:15">
      <c r="A5260" s="1" t="str">
        <f t="shared" si="3068"/>
        <v>202406</v>
      </c>
      <c r="B5260" s="1" t="str">
        <f t="shared" si="3069"/>
        <v>150525100</v>
      </c>
      <c r="C5260" s="1" t="str">
        <f>"1014583793"</f>
        <v>1014583793</v>
      </c>
      <c r="D5260" s="1" t="str">
        <f>"152326195808200417"</f>
        <v>152326195808200417</v>
      </c>
      <c r="E5260" s="1" t="s">
        <v>5211</v>
      </c>
      <c r="F5260" s="1" t="s">
        <v>25</v>
      </c>
      <c r="G5260" s="1" t="s">
        <v>19</v>
      </c>
      <c r="H5260" s="1" t="str">
        <f t="shared" si="3071"/>
        <v>66</v>
      </c>
      <c r="I5260" s="1" t="str">
        <f>"157.12"</f>
        <v>157.12</v>
      </c>
      <c r="J5260" s="1" t="str">
        <f t="shared" si="3065"/>
        <v>0</v>
      </c>
      <c r="K5260" s="1" t="str">
        <f t="shared" si="3066"/>
        <v>103</v>
      </c>
      <c r="L5260" s="1" t="str">
        <f t="shared" si="3067"/>
        <v>47</v>
      </c>
      <c r="M5260" s="1" t="str">
        <f t="shared" si="3055"/>
        <v>0</v>
      </c>
      <c r="N5260" s="1" t="str">
        <f t="shared" si="3063"/>
        <v>0</v>
      </c>
      <c r="O5260" s="1" t="str">
        <f>"7.12"</f>
        <v>7.12</v>
      </c>
    </row>
    <row r="5261" s="1" customFormat="1" spans="1:15">
      <c r="A5261" s="1" t="str">
        <f t="shared" si="3068"/>
        <v>202406</v>
      </c>
      <c r="B5261" s="1" t="str">
        <f t="shared" si="3069"/>
        <v>150525100</v>
      </c>
      <c r="C5261" s="1" t="str">
        <f>"1014583796"</f>
        <v>1014583796</v>
      </c>
      <c r="D5261" s="1" t="str">
        <f>"152326195810150666"</f>
        <v>152326195810150666</v>
      </c>
      <c r="E5261" s="1" t="s">
        <v>5212</v>
      </c>
      <c r="F5261" s="1" t="s">
        <v>16</v>
      </c>
      <c r="G5261" s="1" t="s">
        <v>19</v>
      </c>
      <c r="H5261" s="1" t="str">
        <f t="shared" si="3071"/>
        <v>66</v>
      </c>
      <c r="I5261" s="1" t="str">
        <f>"157.13"</f>
        <v>157.13</v>
      </c>
      <c r="J5261" s="1" t="str">
        <f t="shared" si="3065"/>
        <v>0</v>
      </c>
      <c r="K5261" s="1" t="str">
        <f t="shared" si="3066"/>
        <v>103</v>
      </c>
      <c r="L5261" s="1" t="str">
        <f t="shared" si="3067"/>
        <v>47</v>
      </c>
      <c r="M5261" s="1" t="str">
        <f t="shared" si="3055"/>
        <v>0</v>
      </c>
      <c r="N5261" s="1" t="str">
        <f t="shared" si="3063"/>
        <v>0</v>
      </c>
      <c r="O5261" s="1" t="str">
        <f>"7.13"</f>
        <v>7.13</v>
      </c>
    </row>
    <row r="5262" s="1" customFormat="1" spans="1:15">
      <c r="A5262" s="1" t="str">
        <f t="shared" si="3068"/>
        <v>202406</v>
      </c>
      <c r="B5262" s="1" t="str">
        <f t="shared" si="3069"/>
        <v>150525100</v>
      </c>
      <c r="C5262" s="1" t="str">
        <f>"1014584110"</f>
        <v>1014584110</v>
      </c>
      <c r="D5262" s="1" t="str">
        <f>"152326195808150683"</f>
        <v>152326195808150683</v>
      </c>
      <c r="E5262" s="1" t="s">
        <v>5213</v>
      </c>
      <c r="F5262" s="1" t="s">
        <v>16</v>
      </c>
      <c r="G5262" s="1" t="s">
        <v>17</v>
      </c>
      <c r="H5262" s="1" t="str">
        <f t="shared" si="3071"/>
        <v>66</v>
      </c>
      <c r="I5262" s="1" t="str">
        <f>"156.63"</f>
        <v>156.63</v>
      </c>
      <c r="J5262" s="1" t="str">
        <f t="shared" si="3065"/>
        <v>0</v>
      </c>
      <c r="K5262" s="1" t="str">
        <f t="shared" si="3066"/>
        <v>103</v>
      </c>
      <c r="L5262" s="1" t="str">
        <f t="shared" si="3067"/>
        <v>47</v>
      </c>
      <c r="M5262" s="1" t="str">
        <f t="shared" si="3055"/>
        <v>0</v>
      </c>
      <c r="N5262" s="1" t="str">
        <f t="shared" si="3063"/>
        <v>0</v>
      </c>
      <c r="O5262" s="1" t="str">
        <f>"6.63"</f>
        <v>6.63</v>
      </c>
    </row>
    <row r="5263" s="1" customFormat="1" spans="1:15">
      <c r="A5263" s="1" t="str">
        <f t="shared" si="3068"/>
        <v>202406</v>
      </c>
      <c r="B5263" s="1" t="str">
        <f t="shared" si="3069"/>
        <v>150525100</v>
      </c>
      <c r="C5263" s="1" t="str">
        <f>"1014549661"</f>
        <v>1014549661</v>
      </c>
      <c r="D5263" s="1" t="s">
        <v>5214</v>
      </c>
      <c r="E5263" s="1" t="s">
        <v>5215</v>
      </c>
      <c r="F5263" s="1" t="s">
        <v>25</v>
      </c>
      <c r="G5263" s="1" t="s">
        <v>19</v>
      </c>
      <c r="H5263" s="1" t="str">
        <f t="shared" si="3071"/>
        <v>66</v>
      </c>
      <c r="I5263" s="1" t="str">
        <f>"157.14"</f>
        <v>157.14</v>
      </c>
      <c r="J5263" s="1" t="str">
        <f t="shared" si="3065"/>
        <v>0</v>
      </c>
      <c r="K5263" s="1" t="str">
        <f t="shared" si="3066"/>
        <v>103</v>
      </c>
      <c r="L5263" s="1" t="str">
        <f t="shared" si="3067"/>
        <v>47</v>
      </c>
      <c r="M5263" s="1" t="str">
        <f t="shared" si="3055"/>
        <v>0</v>
      </c>
      <c r="N5263" s="1" t="str">
        <f t="shared" si="3063"/>
        <v>0</v>
      </c>
      <c r="O5263" s="1" t="str">
        <f>"7.14"</f>
        <v>7.14</v>
      </c>
    </row>
    <row r="5264" s="1" customFormat="1" spans="1:15">
      <c r="A5264" s="1" t="str">
        <f t="shared" si="3068"/>
        <v>202406</v>
      </c>
      <c r="B5264" s="1" t="str">
        <f t="shared" si="3069"/>
        <v>150525100</v>
      </c>
      <c r="C5264" s="1" t="str">
        <f>"1014550177"</f>
        <v>1014550177</v>
      </c>
      <c r="D5264" s="1" t="str">
        <f>"152326195707250669"</f>
        <v>152326195707250669</v>
      </c>
      <c r="E5264" s="1" t="s">
        <v>1285</v>
      </c>
      <c r="F5264" s="1" t="s">
        <v>16</v>
      </c>
      <c r="G5264" s="1" t="s">
        <v>17</v>
      </c>
      <c r="H5264" s="1" t="str">
        <f>"67"</f>
        <v>67</v>
      </c>
      <c r="I5264" s="1" t="str">
        <f>"156.08"</f>
        <v>156.08</v>
      </c>
      <c r="J5264" s="1" t="str">
        <f t="shared" si="3065"/>
        <v>0</v>
      </c>
      <c r="K5264" s="1" t="str">
        <f t="shared" si="3066"/>
        <v>103</v>
      </c>
      <c r="L5264" s="1" t="str">
        <f t="shared" si="3067"/>
        <v>47</v>
      </c>
      <c r="M5264" s="1" t="str">
        <f t="shared" si="3055"/>
        <v>0</v>
      </c>
      <c r="N5264" s="1" t="str">
        <f t="shared" si="3063"/>
        <v>0</v>
      </c>
      <c r="O5264" s="1" t="str">
        <f>"6.08"</f>
        <v>6.08</v>
      </c>
    </row>
    <row r="5265" s="1" customFormat="1" spans="1:15">
      <c r="A5265" s="1" t="str">
        <f t="shared" si="3068"/>
        <v>202406</v>
      </c>
      <c r="B5265" s="1" t="str">
        <f t="shared" si="3069"/>
        <v>150525100</v>
      </c>
      <c r="C5265" s="1" t="str">
        <f>"1014550180"</f>
        <v>1014550180</v>
      </c>
      <c r="D5265" s="1" t="str">
        <f>"152326195708100662"</f>
        <v>152326195708100662</v>
      </c>
      <c r="E5265" s="1" t="s">
        <v>409</v>
      </c>
      <c r="F5265" s="1" t="s">
        <v>16</v>
      </c>
      <c r="G5265" s="1" t="s">
        <v>17</v>
      </c>
      <c r="H5265" s="1" t="str">
        <f>"67"</f>
        <v>67</v>
      </c>
      <c r="I5265" s="1" t="str">
        <f>"156.09"</f>
        <v>156.09</v>
      </c>
      <c r="J5265" s="1" t="str">
        <f t="shared" si="3065"/>
        <v>0</v>
      </c>
      <c r="K5265" s="1" t="str">
        <f t="shared" si="3066"/>
        <v>103</v>
      </c>
      <c r="L5265" s="1" t="str">
        <f t="shared" si="3067"/>
        <v>47</v>
      </c>
      <c r="M5265" s="1" t="str">
        <f t="shared" si="3055"/>
        <v>0</v>
      </c>
      <c r="N5265" s="1" t="str">
        <f t="shared" si="3063"/>
        <v>0</v>
      </c>
      <c r="O5265" s="1" t="str">
        <f>"6.09"</f>
        <v>6.09</v>
      </c>
    </row>
    <row r="5266" s="1" customFormat="1" spans="1:15">
      <c r="A5266" s="1" t="str">
        <f t="shared" si="3068"/>
        <v>202406</v>
      </c>
      <c r="B5266" s="1" t="str">
        <f t="shared" si="3069"/>
        <v>150525100</v>
      </c>
      <c r="C5266" s="1" t="str">
        <f>"1014550666"</f>
        <v>1014550666</v>
      </c>
      <c r="D5266" s="1" t="str">
        <f>"152326195302283323"</f>
        <v>152326195302283323</v>
      </c>
      <c r="E5266" s="1" t="s">
        <v>5216</v>
      </c>
      <c r="F5266" s="1" t="s">
        <v>16</v>
      </c>
      <c r="G5266" s="1" t="s">
        <v>17</v>
      </c>
      <c r="H5266" s="1" t="str">
        <f t="shared" ref="H5266:H5269" si="3072">"71"</f>
        <v>71</v>
      </c>
      <c r="I5266" s="1" t="str">
        <f>"163.16"</f>
        <v>163.16</v>
      </c>
      <c r="J5266" s="1" t="str">
        <f t="shared" si="3065"/>
        <v>0</v>
      </c>
      <c r="K5266" s="1" t="str">
        <f t="shared" si="3066"/>
        <v>103</v>
      </c>
      <c r="L5266" s="1" t="str">
        <f t="shared" si="3067"/>
        <v>47</v>
      </c>
      <c r="M5266" s="1" t="str">
        <f t="shared" si="3055"/>
        <v>0</v>
      </c>
      <c r="N5266" s="1" t="str">
        <f t="shared" si="3063"/>
        <v>0</v>
      </c>
      <c r="O5266" s="1" t="str">
        <f>"3.16"</f>
        <v>3.16</v>
      </c>
    </row>
    <row r="5267" s="1" customFormat="1" spans="1:15">
      <c r="A5267" s="1" t="str">
        <f t="shared" si="3068"/>
        <v>202406</v>
      </c>
      <c r="B5267" s="1" t="str">
        <f t="shared" si="3069"/>
        <v>150525100</v>
      </c>
      <c r="C5267" s="1" t="str">
        <f>"1014550681"</f>
        <v>1014550681</v>
      </c>
      <c r="D5267" s="1" t="str">
        <f>"152326195306283312"</f>
        <v>152326195306283312</v>
      </c>
      <c r="E5267" s="1" t="s">
        <v>3616</v>
      </c>
      <c r="F5267" s="1" t="s">
        <v>25</v>
      </c>
      <c r="G5267" s="1" t="s">
        <v>19</v>
      </c>
      <c r="H5267" s="1" t="str">
        <f t="shared" si="3072"/>
        <v>71</v>
      </c>
      <c r="I5267" s="1" t="str">
        <f>"163.16"</f>
        <v>163.16</v>
      </c>
      <c r="J5267" s="1" t="str">
        <f t="shared" si="3065"/>
        <v>0</v>
      </c>
      <c r="K5267" s="1" t="str">
        <f t="shared" si="3066"/>
        <v>103</v>
      </c>
      <c r="L5267" s="1" t="str">
        <f t="shared" si="3067"/>
        <v>47</v>
      </c>
      <c r="M5267" s="1" t="str">
        <f t="shared" si="3055"/>
        <v>0</v>
      </c>
      <c r="N5267" s="1" t="str">
        <f t="shared" si="3063"/>
        <v>0</v>
      </c>
      <c r="O5267" s="1" t="str">
        <f>"3.16"</f>
        <v>3.16</v>
      </c>
    </row>
    <row r="5268" s="1" customFormat="1" spans="1:15">
      <c r="A5268" s="1" t="str">
        <f t="shared" si="3068"/>
        <v>202406</v>
      </c>
      <c r="B5268" s="1" t="str">
        <f t="shared" si="3069"/>
        <v>150525100</v>
      </c>
      <c r="C5268" s="1" t="str">
        <f>"1040642180"</f>
        <v>1040642180</v>
      </c>
      <c r="D5268" s="1" t="str">
        <f>"152326195602123321"</f>
        <v>152326195602123321</v>
      </c>
      <c r="E5268" s="1" t="s">
        <v>5217</v>
      </c>
      <c r="F5268" s="1" t="s">
        <v>16</v>
      </c>
      <c r="G5268" s="1" t="s">
        <v>19</v>
      </c>
      <c r="H5268" s="1" t="str">
        <f>"68"</f>
        <v>68</v>
      </c>
      <c r="I5268" s="1" t="str">
        <f>"155.38"</f>
        <v>155.38</v>
      </c>
      <c r="J5268" s="1" t="str">
        <f t="shared" si="3065"/>
        <v>0</v>
      </c>
      <c r="K5268" s="1" t="str">
        <f t="shared" si="3066"/>
        <v>103</v>
      </c>
      <c r="L5268" s="1" t="str">
        <f t="shared" si="3067"/>
        <v>47</v>
      </c>
      <c r="M5268" s="1" t="str">
        <f t="shared" si="3055"/>
        <v>0</v>
      </c>
      <c r="N5268" s="1" t="str">
        <f t="shared" si="3063"/>
        <v>0</v>
      </c>
      <c r="O5268" s="1" t="str">
        <f>"5.38"</f>
        <v>5.38</v>
      </c>
    </row>
    <row r="5269" s="1" customFormat="1" spans="1:15">
      <c r="A5269" s="1" t="str">
        <f t="shared" si="3068"/>
        <v>202406</v>
      </c>
      <c r="B5269" s="1" t="str">
        <f t="shared" si="3069"/>
        <v>150525100</v>
      </c>
      <c r="C5269" s="1" t="str">
        <f>"1040642209"</f>
        <v>1040642209</v>
      </c>
      <c r="D5269" s="1" t="str">
        <f>"152326195401023340"</f>
        <v>152326195401023340</v>
      </c>
      <c r="E5269" s="1" t="s">
        <v>2691</v>
      </c>
      <c r="F5269" s="1" t="s">
        <v>16</v>
      </c>
      <c r="G5269" s="1" t="s">
        <v>19</v>
      </c>
      <c r="H5269" s="1" t="str">
        <f t="shared" si="3072"/>
        <v>71</v>
      </c>
      <c r="I5269" s="1" t="str">
        <f>"163.56"</f>
        <v>163.56</v>
      </c>
      <c r="J5269" s="1" t="str">
        <f t="shared" si="3065"/>
        <v>0</v>
      </c>
      <c r="K5269" s="1" t="str">
        <f t="shared" si="3066"/>
        <v>103</v>
      </c>
      <c r="L5269" s="1" t="str">
        <f t="shared" si="3067"/>
        <v>47</v>
      </c>
      <c r="M5269" s="1" t="str">
        <f t="shared" si="3055"/>
        <v>0</v>
      </c>
      <c r="N5269" s="1" t="str">
        <f t="shared" si="3063"/>
        <v>0</v>
      </c>
      <c r="O5269" s="1" t="str">
        <f>"3.56"</f>
        <v>3.56</v>
      </c>
    </row>
    <row r="5270" s="1" customFormat="1" spans="1:15">
      <c r="A5270" s="1" t="str">
        <f t="shared" si="3068"/>
        <v>202406</v>
      </c>
      <c r="B5270" s="1" t="str">
        <f t="shared" si="3069"/>
        <v>150525100</v>
      </c>
      <c r="C5270" s="1" t="str">
        <f>"1040642158"</f>
        <v>1040642158</v>
      </c>
      <c r="D5270" s="1" t="str">
        <f>"152326196007183324"</f>
        <v>152326196007183324</v>
      </c>
      <c r="E5270" s="1" t="s">
        <v>5218</v>
      </c>
      <c r="F5270" s="1" t="s">
        <v>16</v>
      </c>
      <c r="G5270" s="1" t="s">
        <v>19</v>
      </c>
      <c r="H5270" s="1" t="str">
        <f t="shared" ref="H5270:H5273" si="3073">"64"</f>
        <v>64</v>
      </c>
      <c r="I5270" s="1" t="str">
        <f>"160.12"</f>
        <v>160.12</v>
      </c>
      <c r="J5270" s="1" t="str">
        <f t="shared" si="3065"/>
        <v>0</v>
      </c>
      <c r="K5270" s="1" t="str">
        <f t="shared" si="3066"/>
        <v>103</v>
      </c>
      <c r="L5270" s="1" t="str">
        <f t="shared" si="3067"/>
        <v>47</v>
      </c>
      <c r="M5270" s="1" t="str">
        <f t="shared" si="3055"/>
        <v>0</v>
      </c>
      <c r="N5270" s="1" t="str">
        <f t="shared" si="3063"/>
        <v>0</v>
      </c>
      <c r="O5270" s="1" t="str">
        <f>"10.12"</f>
        <v>10.12</v>
      </c>
    </row>
    <row r="5271" s="1" customFormat="1" spans="1:15">
      <c r="A5271" s="1" t="str">
        <f t="shared" si="3068"/>
        <v>202406</v>
      </c>
      <c r="B5271" s="1" t="str">
        <f t="shared" si="3069"/>
        <v>150525100</v>
      </c>
      <c r="C5271" s="1" t="str">
        <f>"1040642264"</f>
        <v>1040642264</v>
      </c>
      <c r="D5271" s="1" t="s">
        <v>5219</v>
      </c>
      <c r="E5271" s="1" t="s">
        <v>5220</v>
      </c>
      <c r="F5271" s="1" t="s">
        <v>25</v>
      </c>
      <c r="G5271" s="1" t="s">
        <v>19</v>
      </c>
      <c r="H5271" s="1" t="str">
        <f t="shared" si="3073"/>
        <v>64</v>
      </c>
      <c r="I5271" s="1" t="str">
        <f>"159"</f>
        <v>159</v>
      </c>
      <c r="J5271" s="1" t="str">
        <f t="shared" si="3065"/>
        <v>0</v>
      </c>
      <c r="K5271" s="1" t="str">
        <f t="shared" si="3066"/>
        <v>103</v>
      </c>
      <c r="L5271" s="1" t="str">
        <f t="shared" si="3067"/>
        <v>47</v>
      </c>
      <c r="M5271" s="1" t="str">
        <f t="shared" si="3055"/>
        <v>0</v>
      </c>
      <c r="N5271" s="1" t="str">
        <f t="shared" si="3063"/>
        <v>0</v>
      </c>
      <c r="O5271" s="1" t="str">
        <f>"9"</f>
        <v>9</v>
      </c>
    </row>
    <row r="5272" s="1" customFormat="1" spans="1:15">
      <c r="A5272" s="1" t="str">
        <f t="shared" si="3068"/>
        <v>202406</v>
      </c>
      <c r="B5272" s="1" t="str">
        <f t="shared" si="3069"/>
        <v>150525100</v>
      </c>
      <c r="C5272" s="1" t="str">
        <f>"1040642265"</f>
        <v>1040642265</v>
      </c>
      <c r="D5272" s="1" t="str">
        <f>"152326196001153327"</f>
        <v>152326196001153327</v>
      </c>
      <c r="E5272" s="1" t="s">
        <v>612</v>
      </c>
      <c r="F5272" s="1" t="s">
        <v>16</v>
      </c>
      <c r="G5272" s="1" t="s">
        <v>19</v>
      </c>
      <c r="H5272" s="1" t="str">
        <f t="shared" si="3073"/>
        <v>64</v>
      </c>
      <c r="I5272" s="1" t="str">
        <f>"153.87"</f>
        <v>153.87</v>
      </c>
      <c r="J5272" s="1" t="str">
        <f t="shared" si="3065"/>
        <v>0</v>
      </c>
      <c r="K5272" s="1" t="str">
        <f t="shared" si="3066"/>
        <v>103</v>
      </c>
      <c r="L5272" s="1" t="str">
        <f t="shared" si="3067"/>
        <v>47</v>
      </c>
      <c r="M5272" s="1" t="str">
        <f t="shared" si="3055"/>
        <v>0</v>
      </c>
      <c r="N5272" s="1" t="str">
        <f t="shared" si="3063"/>
        <v>0</v>
      </c>
      <c r="O5272" s="1" t="str">
        <f>"3.87"</f>
        <v>3.87</v>
      </c>
    </row>
    <row r="5273" s="1" customFormat="1" spans="1:15">
      <c r="A5273" s="1" t="str">
        <f t="shared" si="3068"/>
        <v>202406</v>
      </c>
      <c r="B5273" s="1" t="str">
        <f t="shared" si="3069"/>
        <v>150525100</v>
      </c>
      <c r="C5273" s="1" t="str">
        <f>"1014562617"</f>
        <v>1014562617</v>
      </c>
      <c r="D5273" s="1" t="str">
        <f>"152326196006070467"</f>
        <v>152326196006070467</v>
      </c>
      <c r="E5273" s="1" t="s">
        <v>5221</v>
      </c>
      <c r="F5273" s="1" t="s">
        <v>16</v>
      </c>
      <c r="G5273" s="1" t="s">
        <v>19</v>
      </c>
      <c r="H5273" s="1" t="str">
        <f t="shared" si="3073"/>
        <v>64</v>
      </c>
      <c r="I5273" s="1" t="str">
        <f>"159.25"</f>
        <v>159.25</v>
      </c>
      <c r="J5273" s="1" t="str">
        <f t="shared" si="3065"/>
        <v>0</v>
      </c>
      <c r="K5273" s="1" t="str">
        <f t="shared" si="3066"/>
        <v>103</v>
      </c>
      <c r="L5273" s="1" t="str">
        <f t="shared" si="3067"/>
        <v>47</v>
      </c>
      <c r="M5273" s="1" t="str">
        <f t="shared" si="3055"/>
        <v>0</v>
      </c>
      <c r="N5273" s="1" t="str">
        <f t="shared" si="3063"/>
        <v>0</v>
      </c>
      <c r="O5273" s="1" t="str">
        <f>"9.25"</f>
        <v>9.25</v>
      </c>
    </row>
    <row r="5274" s="1" customFormat="1" spans="1:15">
      <c r="A5274" s="1" t="str">
        <f t="shared" si="3068"/>
        <v>202406</v>
      </c>
      <c r="B5274" s="1" t="str">
        <f t="shared" si="3069"/>
        <v>150525100</v>
      </c>
      <c r="C5274" s="1" t="str">
        <f>"1014583847"</f>
        <v>1014583847</v>
      </c>
      <c r="D5274" s="1" t="str">
        <f>"152326195909283311"</f>
        <v>152326195909283311</v>
      </c>
      <c r="E5274" s="1" t="s">
        <v>5222</v>
      </c>
      <c r="F5274" s="1" t="s">
        <v>25</v>
      </c>
      <c r="G5274" s="1" t="s">
        <v>19</v>
      </c>
      <c r="H5274" s="1" t="str">
        <f>"65"</f>
        <v>65</v>
      </c>
      <c r="I5274" s="1" t="str">
        <f>"158.19"</f>
        <v>158.19</v>
      </c>
      <c r="J5274" s="1" t="str">
        <f t="shared" si="3065"/>
        <v>0</v>
      </c>
      <c r="K5274" s="1" t="str">
        <f t="shared" si="3066"/>
        <v>103</v>
      </c>
      <c r="L5274" s="1" t="str">
        <f t="shared" si="3067"/>
        <v>47</v>
      </c>
      <c r="M5274" s="1" t="str">
        <f t="shared" si="3055"/>
        <v>0</v>
      </c>
      <c r="N5274" s="1" t="str">
        <f t="shared" si="3063"/>
        <v>0</v>
      </c>
      <c r="O5274" s="1" t="str">
        <f>"8.19"</f>
        <v>8.19</v>
      </c>
    </row>
    <row r="5275" s="1" customFormat="1" spans="1:15">
      <c r="A5275" s="1" t="str">
        <f t="shared" si="3068"/>
        <v>202406</v>
      </c>
      <c r="B5275" s="1" t="str">
        <f t="shared" si="3069"/>
        <v>150525100</v>
      </c>
      <c r="C5275" s="1" t="str">
        <f>"1014561147"</f>
        <v>1014561147</v>
      </c>
      <c r="D5275" s="1" t="str">
        <f>"152326195503200424"</f>
        <v>152326195503200424</v>
      </c>
      <c r="E5275" s="1" t="s">
        <v>5223</v>
      </c>
      <c r="F5275" s="1" t="s">
        <v>16</v>
      </c>
      <c r="G5275" s="1" t="s">
        <v>17</v>
      </c>
      <c r="H5275" s="1" t="str">
        <f>"69"</f>
        <v>69</v>
      </c>
      <c r="I5275" s="1" t="str">
        <f>"155.1"</f>
        <v>155.1</v>
      </c>
      <c r="J5275" s="1" t="str">
        <f t="shared" si="3065"/>
        <v>0</v>
      </c>
      <c r="K5275" s="1" t="str">
        <f t="shared" si="3066"/>
        <v>103</v>
      </c>
      <c r="L5275" s="1" t="str">
        <f t="shared" si="3067"/>
        <v>47</v>
      </c>
      <c r="M5275" s="1" t="str">
        <f t="shared" si="3055"/>
        <v>0</v>
      </c>
      <c r="N5275" s="1" t="str">
        <f t="shared" si="3063"/>
        <v>0</v>
      </c>
      <c r="O5275" s="1" t="str">
        <f>"5.1"</f>
        <v>5.1</v>
      </c>
    </row>
    <row r="5276" s="1" customFormat="1" spans="1:15">
      <c r="A5276" s="1" t="str">
        <f t="shared" si="3068"/>
        <v>202406</v>
      </c>
      <c r="B5276" s="1" t="str">
        <f t="shared" si="3069"/>
        <v>150525100</v>
      </c>
      <c r="C5276" s="1" t="str">
        <f>"1014562640"</f>
        <v>1014562640</v>
      </c>
      <c r="D5276" s="1" t="str">
        <f>"152326195705280418"</f>
        <v>152326195705280418</v>
      </c>
      <c r="E5276" s="1" t="s">
        <v>5224</v>
      </c>
      <c r="F5276" s="1" t="s">
        <v>25</v>
      </c>
      <c r="G5276" s="1" t="s">
        <v>19</v>
      </c>
      <c r="H5276" s="1" t="str">
        <f>"67"</f>
        <v>67</v>
      </c>
      <c r="I5276" s="1" t="str">
        <f>"156.08"</f>
        <v>156.08</v>
      </c>
      <c r="J5276" s="1" t="str">
        <f t="shared" si="3065"/>
        <v>0</v>
      </c>
      <c r="K5276" s="1" t="str">
        <f t="shared" si="3066"/>
        <v>103</v>
      </c>
      <c r="L5276" s="1" t="str">
        <f t="shared" si="3067"/>
        <v>47</v>
      </c>
      <c r="M5276" s="1" t="str">
        <f t="shared" si="3055"/>
        <v>0</v>
      </c>
      <c r="N5276" s="1" t="str">
        <f t="shared" si="3063"/>
        <v>0</v>
      </c>
      <c r="O5276" s="1" t="str">
        <f>"6.08"</f>
        <v>6.08</v>
      </c>
    </row>
    <row r="5277" s="1" customFormat="1" spans="1:15">
      <c r="A5277" s="1" t="str">
        <f t="shared" si="3068"/>
        <v>202406</v>
      </c>
      <c r="B5277" s="1" t="str">
        <f t="shared" si="3069"/>
        <v>150525100</v>
      </c>
      <c r="C5277" s="1" t="str">
        <f>"1014583871"</f>
        <v>1014583871</v>
      </c>
      <c r="D5277" s="1" t="str">
        <f>"152326196310030427"</f>
        <v>152326196310030427</v>
      </c>
      <c r="E5277" s="1" t="s">
        <v>5225</v>
      </c>
      <c r="F5277" s="1" t="s">
        <v>16</v>
      </c>
      <c r="G5277" s="1" t="s">
        <v>19</v>
      </c>
      <c r="H5277" s="1" t="str">
        <f>"61"</f>
        <v>61</v>
      </c>
      <c r="I5277" s="1" t="str">
        <f>"166.77"</f>
        <v>166.77</v>
      </c>
      <c r="J5277" s="1" t="str">
        <f t="shared" si="3065"/>
        <v>0</v>
      </c>
      <c r="K5277" s="1" t="str">
        <f t="shared" si="3066"/>
        <v>103</v>
      </c>
      <c r="L5277" s="1" t="str">
        <f t="shared" si="3067"/>
        <v>47</v>
      </c>
      <c r="M5277" s="1" t="str">
        <f t="shared" si="3055"/>
        <v>0</v>
      </c>
      <c r="N5277" s="1" t="str">
        <f t="shared" si="3063"/>
        <v>0</v>
      </c>
      <c r="O5277" s="1" t="str">
        <f>"16.77"</f>
        <v>16.77</v>
      </c>
    </row>
    <row r="5278" s="1" customFormat="1" spans="1:15">
      <c r="A5278" s="1" t="str">
        <f t="shared" si="3068"/>
        <v>202406</v>
      </c>
      <c r="B5278" s="1" t="str">
        <f t="shared" si="3069"/>
        <v>150525100</v>
      </c>
      <c r="C5278" s="1" t="str">
        <f>"1014584167"</f>
        <v>1014584167</v>
      </c>
      <c r="D5278" s="1" t="str">
        <f>"152326195904020678"</f>
        <v>152326195904020678</v>
      </c>
      <c r="E5278" s="1" t="s">
        <v>5226</v>
      </c>
      <c r="F5278" s="1" t="s">
        <v>25</v>
      </c>
      <c r="G5278" s="1" t="s">
        <v>17</v>
      </c>
      <c r="H5278" s="1" t="str">
        <f>"65"</f>
        <v>65</v>
      </c>
      <c r="I5278" s="1" t="str">
        <f>"158.12"</f>
        <v>158.12</v>
      </c>
      <c r="J5278" s="1" t="str">
        <f t="shared" si="3065"/>
        <v>0</v>
      </c>
      <c r="K5278" s="1" t="str">
        <f t="shared" si="3066"/>
        <v>103</v>
      </c>
      <c r="L5278" s="1" t="str">
        <f t="shared" si="3067"/>
        <v>47</v>
      </c>
      <c r="M5278" s="1" t="str">
        <f t="shared" si="3055"/>
        <v>0</v>
      </c>
      <c r="N5278" s="1" t="str">
        <f t="shared" si="3063"/>
        <v>0</v>
      </c>
      <c r="O5278" s="1" t="str">
        <f>"8.12"</f>
        <v>8.12</v>
      </c>
    </row>
    <row r="5279" s="1" customFormat="1" spans="1:15">
      <c r="A5279" s="1" t="str">
        <f t="shared" si="3068"/>
        <v>202406</v>
      </c>
      <c r="B5279" s="1" t="str">
        <f t="shared" si="3069"/>
        <v>150525100</v>
      </c>
      <c r="C5279" s="1" t="str">
        <f>"1014549725"</f>
        <v>1014549725</v>
      </c>
      <c r="D5279" s="1" t="s">
        <v>5227</v>
      </c>
      <c r="E5279" s="1" t="s">
        <v>3349</v>
      </c>
      <c r="F5279" s="1" t="s">
        <v>25</v>
      </c>
      <c r="G5279" s="1" t="s">
        <v>17</v>
      </c>
      <c r="H5279" s="1" t="str">
        <f>"62"</f>
        <v>62</v>
      </c>
      <c r="I5279" s="1" t="str">
        <f>"163.76"</f>
        <v>163.76</v>
      </c>
      <c r="J5279" s="1" t="str">
        <f t="shared" si="3065"/>
        <v>0</v>
      </c>
      <c r="K5279" s="1" t="str">
        <f t="shared" si="3066"/>
        <v>103</v>
      </c>
      <c r="L5279" s="1" t="str">
        <f t="shared" si="3067"/>
        <v>47</v>
      </c>
      <c r="M5279" s="1" t="str">
        <f t="shared" si="3055"/>
        <v>0</v>
      </c>
      <c r="N5279" s="1" t="str">
        <f t="shared" si="3063"/>
        <v>0</v>
      </c>
      <c r="O5279" s="1" t="str">
        <f>"13.76"</f>
        <v>13.76</v>
      </c>
    </row>
    <row r="5280" s="1" customFormat="1" spans="1:15">
      <c r="A5280" s="1" t="str">
        <f t="shared" si="3068"/>
        <v>202406</v>
      </c>
      <c r="B5280" s="1" t="str">
        <f t="shared" si="3069"/>
        <v>150525100</v>
      </c>
      <c r="C5280" s="1" t="str">
        <f>"1014550258"</f>
        <v>1014550258</v>
      </c>
      <c r="D5280" s="1" t="str">
        <f>"152326195806230663"</f>
        <v>152326195806230663</v>
      </c>
      <c r="E5280" s="1" t="s">
        <v>5228</v>
      </c>
      <c r="F5280" s="1" t="s">
        <v>16</v>
      </c>
      <c r="G5280" s="1" t="s">
        <v>17</v>
      </c>
      <c r="H5280" s="1" t="str">
        <f>"66"</f>
        <v>66</v>
      </c>
      <c r="I5280" s="1" t="str">
        <f>"166.65"</f>
        <v>166.65</v>
      </c>
      <c r="J5280" s="1" t="str">
        <f t="shared" si="3065"/>
        <v>0</v>
      </c>
      <c r="K5280" s="1" t="str">
        <f t="shared" si="3066"/>
        <v>103</v>
      </c>
      <c r="L5280" s="1" t="str">
        <f t="shared" si="3067"/>
        <v>47</v>
      </c>
      <c r="M5280" s="1" t="str">
        <f t="shared" ref="M5280:M5343" si="3074">"0"</f>
        <v>0</v>
      </c>
      <c r="N5280" s="1" t="str">
        <f t="shared" si="3063"/>
        <v>0</v>
      </c>
      <c r="O5280" s="1" t="str">
        <f>"16.65"</f>
        <v>16.65</v>
      </c>
    </row>
    <row r="5281" s="1" customFormat="1" spans="1:15">
      <c r="A5281" s="1" t="str">
        <f t="shared" si="3068"/>
        <v>202406</v>
      </c>
      <c r="B5281" s="1" t="str">
        <f t="shared" si="3069"/>
        <v>150525100</v>
      </c>
      <c r="C5281" s="1" t="str">
        <f>"1014550270"</f>
        <v>1014550270</v>
      </c>
      <c r="D5281" s="1" t="str">
        <f>"152326195810060679"</f>
        <v>152326195810060679</v>
      </c>
      <c r="E5281" s="1" t="s">
        <v>5229</v>
      </c>
      <c r="F5281" s="1" t="s">
        <v>25</v>
      </c>
      <c r="G5281" s="1" t="s">
        <v>19</v>
      </c>
      <c r="H5281" s="1" t="str">
        <f>"66"</f>
        <v>66</v>
      </c>
      <c r="I5281" s="1" t="str">
        <f>"157.15"</f>
        <v>157.15</v>
      </c>
      <c r="J5281" s="1" t="str">
        <f t="shared" si="3065"/>
        <v>0</v>
      </c>
      <c r="K5281" s="1" t="str">
        <f t="shared" si="3066"/>
        <v>103</v>
      </c>
      <c r="L5281" s="1" t="str">
        <f t="shared" si="3067"/>
        <v>47</v>
      </c>
      <c r="M5281" s="1" t="str">
        <f t="shared" si="3074"/>
        <v>0</v>
      </c>
      <c r="N5281" s="1" t="str">
        <f t="shared" si="3063"/>
        <v>0</v>
      </c>
      <c r="O5281" s="1" t="str">
        <f>"7.15"</f>
        <v>7.15</v>
      </c>
    </row>
    <row r="5282" s="1" customFormat="1" spans="1:15">
      <c r="A5282" s="1" t="str">
        <f t="shared" si="3068"/>
        <v>202406</v>
      </c>
      <c r="B5282" s="1" t="str">
        <f t="shared" si="3069"/>
        <v>150525100</v>
      </c>
      <c r="C5282" s="1" t="str">
        <f>"1014584802"</f>
        <v>1014584802</v>
      </c>
      <c r="D5282" s="1" t="str">
        <f>"152326196309170414"</f>
        <v>152326196309170414</v>
      </c>
      <c r="E5282" s="1" t="s">
        <v>5230</v>
      </c>
      <c r="F5282" s="1" t="s">
        <v>25</v>
      </c>
      <c r="G5282" s="1" t="s">
        <v>17</v>
      </c>
      <c r="H5282" s="1" t="str">
        <f>"61"</f>
        <v>61</v>
      </c>
      <c r="I5282" s="1" t="str">
        <f>"167.68"</f>
        <v>167.68</v>
      </c>
      <c r="J5282" s="1" t="str">
        <f t="shared" si="3065"/>
        <v>0</v>
      </c>
      <c r="K5282" s="1" t="str">
        <f t="shared" si="3066"/>
        <v>103</v>
      </c>
      <c r="L5282" s="1" t="str">
        <f t="shared" si="3067"/>
        <v>47</v>
      </c>
      <c r="M5282" s="1" t="str">
        <f t="shared" si="3074"/>
        <v>0</v>
      </c>
      <c r="N5282" s="1" t="str">
        <f t="shared" si="3063"/>
        <v>0</v>
      </c>
      <c r="O5282" s="1" t="str">
        <f>"17.68"</f>
        <v>17.68</v>
      </c>
    </row>
    <row r="5283" s="1" customFormat="1" spans="1:15">
      <c r="A5283" s="1" t="str">
        <f t="shared" si="3068"/>
        <v>202406</v>
      </c>
      <c r="B5283" s="1" t="str">
        <f t="shared" si="3069"/>
        <v>150525100</v>
      </c>
      <c r="C5283" s="1" t="str">
        <f>"1014585298"</f>
        <v>1014585298</v>
      </c>
      <c r="D5283" s="1" t="str">
        <f>"152326196311070412"</f>
        <v>152326196311070412</v>
      </c>
      <c r="E5283" s="1" t="s">
        <v>5231</v>
      </c>
      <c r="F5283" s="1" t="s">
        <v>25</v>
      </c>
      <c r="G5283" s="1" t="s">
        <v>17</v>
      </c>
      <c r="H5283" s="1" t="str">
        <f>"61"</f>
        <v>61</v>
      </c>
      <c r="I5283" s="1" t="str">
        <f>"165.1"</f>
        <v>165.1</v>
      </c>
      <c r="J5283" s="1" t="str">
        <f t="shared" si="3065"/>
        <v>0</v>
      </c>
      <c r="K5283" s="1" t="str">
        <f t="shared" si="3066"/>
        <v>103</v>
      </c>
      <c r="L5283" s="1" t="str">
        <f t="shared" si="3067"/>
        <v>47</v>
      </c>
      <c r="M5283" s="1" t="str">
        <f t="shared" si="3074"/>
        <v>0</v>
      </c>
      <c r="N5283" s="1" t="str">
        <f t="shared" si="3063"/>
        <v>0</v>
      </c>
      <c r="O5283" s="1" t="str">
        <f>"15.1"</f>
        <v>15.1</v>
      </c>
    </row>
    <row r="5284" s="1" customFormat="1" spans="1:15">
      <c r="A5284" s="1" t="str">
        <f t="shared" si="3068"/>
        <v>202406</v>
      </c>
      <c r="B5284" s="1" t="str">
        <f t="shared" si="3069"/>
        <v>150525100</v>
      </c>
      <c r="C5284" s="1" t="str">
        <f>"1014552195"</f>
        <v>1014552195</v>
      </c>
      <c r="D5284" s="1" t="str">
        <f>"152326195403093828"</f>
        <v>152326195403093828</v>
      </c>
      <c r="E5284" s="1" t="s">
        <v>5232</v>
      </c>
      <c r="F5284" s="1" t="s">
        <v>16</v>
      </c>
      <c r="G5284" s="1" t="s">
        <v>17</v>
      </c>
      <c r="H5284" s="1" t="str">
        <f>"70"</f>
        <v>70</v>
      </c>
      <c r="I5284" s="1" t="str">
        <f>"163.91"</f>
        <v>163.91</v>
      </c>
      <c r="J5284" s="1" t="str">
        <f t="shared" si="3065"/>
        <v>0</v>
      </c>
      <c r="K5284" s="1" t="str">
        <f t="shared" si="3066"/>
        <v>103</v>
      </c>
      <c r="L5284" s="1" t="str">
        <f t="shared" si="3067"/>
        <v>47</v>
      </c>
      <c r="M5284" s="1" t="str">
        <f t="shared" si="3074"/>
        <v>0</v>
      </c>
      <c r="N5284" s="1" t="str">
        <f t="shared" si="3063"/>
        <v>0</v>
      </c>
      <c r="O5284" s="1" t="str">
        <f>"3.91"</f>
        <v>3.91</v>
      </c>
    </row>
    <row r="5285" s="1" customFormat="1" spans="1:15">
      <c r="A5285" s="1" t="str">
        <f t="shared" si="3068"/>
        <v>202406</v>
      </c>
      <c r="B5285" s="1" t="str">
        <f t="shared" si="3069"/>
        <v>150525100</v>
      </c>
      <c r="C5285" s="1" t="str">
        <f>"1040641628"</f>
        <v>1040641628</v>
      </c>
      <c r="D5285" s="1" t="str">
        <f>"152326195404130918"</f>
        <v>152326195404130918</v>
      </c>
      <c r="E5285" s="1" t="s">
        <v>5233</v>
      </c>
      <c r="F5285" s="1" t="s">
        <v>25</v>
      </c>
      <c r="G5285" s="1" t="s">
        <v>19</v>
      </c>
      <c r="H5285" s="1" t="str">
        <f>"70"</f>
        <v>70</v>
      </c>
      <c r="I5285" s="1" t="str">
        <f>"163.55"</f>
        <v>163.55</v>
      </c>
      <c r="J5285" s="1" t="str">
        <f t="shared" si="3065"/>
        <v>0</v>
      </c>
      <c r="K5285" s="1" t="str">
        <f t="shared" si="3066"/>
        <v>103</v>
      </c>
      <c r="L5285" s="1" t="str">
        <f t="shared" si="3067"/>
        <v>47</v>
      </c>
      <c r="M5285" s="1" t="str">
        <f t="shared" si="3074"/>
        <v>0</v>
      </c>
      <c r="N5285" s="1" t="str">
        <f t="shared" si="3063"/>
        <v>0</v>
      </c>
      <c r="O5285" s="1" t="str">
        <f>"3.55"</f>
        <v>3.55</v>
      </c>
    </row>
    <row r="5286" s="1" customFormat="1" spans="1:15">
      <c r="A5286" s="1" t="str">
        <f t="shared" si="3068"/>
        <v>202406</v>
      </c>
      <c r="B5286" s="1" t="str">
        <f t="shared" si="3069"/>
        <v>150525100</v>
      </c>
      <c r="C5286" s="1" t="str">
        <f>"1040641674"</f>
        <v>1040641674</v>
      </c>
      <c r="D5286" s="1" t="str">
        <f>"152326195908160707"</f>
        <v>152326195908160707</v>
      </c>
      <c r="E5286" s="1" t="s">
        <v>5234</v>
      </c>
      <c r="F5286" s="1" t="s">
        <v>16</v>
      </c>
      <c r="G5286" s="1" t="s">
        <v>19</v>
      </c>
      <c r="H5286" s="1" t="str">
        <f>"65"</f>
        <v>65</v>
      </c>
      <c r="I5286" s="1" t="str">
        <f>"157.31"</f>
        <v>157.31</v>
      </c>
      <c r="J5286" s="1" t="str">
        <f t="shared" si="3065"/>
        <v>0</v>
      </c>
      <c r="K5286" s="1" t="str">
        <f t="shared" si="3066"/>
        <v>103</v>
      </c>
      <c r="L5286" s="1" t="str">
        <f t="shared" si="3067"/>
        <v>47</v>
      </c>
      <c r="M5286" s="1" t="str">
        <f t="shared" si="3074"/>
        <v>0</v>
      </c>
      <c r="N5286" s="1" t="str">
        <f t="shared" si="3063"/>
        <v>0</v>
      </c>
      <c r="O5286" s="1" t="str">
        <f>"7.31"</f>
        <v>7.31</v>
      </c>
    </row>
    <row r="5287" s="1" customFormat="1" spans="1:15">
      <c r="A5287" s="1" t="str">
        <f t="shared" si="3068"/>
        <v>202406</v>
      </c>
      <c r="B5287" s="1" t="str">
        <f t="shared" si="3069"/>
        <v>150525100</v>
      </c>
      <c r="C5287" s="1" t="str">
        <f>"1040641699"</f>
        <v>1040641699</v>
      </c>
      <c r="D5287" s="1" t="str">
        <f>"152326195502143085"</f>
        <v>152326195502143085</v>
      </c>
      <c r="E5287" s="1" t="s">
        <v>5235</v>
      </c>
      <c r="F5287" s="1" t="s">
        <v>16</v>
      </c>
      <c r="G5287" s="1" t="s">
        <v>17</v>
      </c>
      <c r="H5287" s="1" t="str">
        <f t="shared" ref="H5287:H5289" si="3075">"69"</f>
        <v>69</v>
      </c>
      <c r="I5287" s="1" t="str">
        <f>"154.26"</f>
        <v>154.26</v>
      </c>
      <c r="J5287" s="1" t="str">
        <f t="shared" si="3065"/>
        <v>0</v>
      </c>
      <c r="K5287" s="1" t="str">
        <f t="shared" si="3066"/>
        <v>103</v>
      </c>
      <c r="L5287" s="1" t="str">
        <f t="shared" si="3067"/>
        <v>47</v>
      </c>
      <c r="M5287" s="1" t="str">
        <f t="shared" si="3074"/>
        <v>0</v>
      </c>
      <c r="N5287" s="1" t="str">
        <f t="shared" si="3063"/>
        <v>0</v>
      </c>
      <c r="O5287" s="1" t="str">
        <f>"4.26"</f>
        <v>4.26</v>
      </c>
    </row>
    <row r="5288" s="1" customFormat="1" spans="1:15">
      <c r="A5288" s="1" t="str">
        <f t="shared" si="3068"/>
        <v>202406</v>
      </c>
      <c r="B5288" s="1" t="str">
        <f t="shared" si="3069"/>
        <v>150525100</v>
      </c>
      <c r="C5288" s="1" t="str">
        <f>"1014583894"</f>
        <v>1014583894</v>
      </c>
      <c r="D5288" s="1" t="str">
        <f>"152326195505100662"</f>
        <v>152326195505100662</v>
      </c>
      <c r="E5288" s="1" t="s">
        <v>5236</v>
      </c>
      <c r="F5288" s="1" t="s">
        <v>16</v>
      </c>
      <c r="G5288" s="1" t="s">
        <v>17</v>
      </c>
      <c r="H5288" s="1" t="str">
        <f t="shared" si="3075"/>
        <v>69</v>
      </c>
      <c r="I5288" s="1" t="str">
        <f>"154.56"</f>
        <v>154.56</v>
      </c>
      <c r="J5288" s="1" t="str">
        <f t="shared" si="3065"/>
        <v>0</v>
      </c>
      <c r="K5288" s="1" t="str">
        <f t="shared" si="3066"/>
        <v>103</v>
      </c>
      <c r="L5288" s="1" t="str">
        <f t="shared" si="3067"/>
        <v>47</v>
      </c>
      <c r="M5288" s="1" t="str">
        <f t="shared" si="3074"/>
        <v>0</v>
      </c>
      <c r="N5288" s="1" t="str">
        <f t="shared" si="3063"/>
        <v>0</v>
      </c>
      <c r="O5288" s="1" t="str">
        <f>"4.56"</f>
        <v>4.56</v>
      </c>
    </row>
    <row r="5289" s="1" customFormat="1" spans="1:15">
      <c r="A5289" s="1" t="str">
        <f t="shared" si="3068"/>
        <v>202406</v>
      </c>
      <c r="B5289" s="1" t="str">
        <f t="shared" si="3069"/>
        <v>150525100</v>
      </c>
      <c r="C5289" s="1" t="str">
        <f>"1014583904"</f>
        <v>1014583904</v>
      </c>
      <c r="D5289" s="1" t="str">
        <f>"152326195509210412"</f>
        <v>152326195509210412</v>
      </c>
      <c r="E5289" s="1" t="s">
        <v>5237</v>
      </c>
      <c r="F5289" s="1" t="s">
        <v>25</v>
      </c>
      <c r="G5289" s="1" t="s">
        <v>17</v>
      </c>
      <c r="H5289" s="1" t="str">
        <f t="shared" si="3075"/>
        <v>69</v>
      </c>
      <c r="I5289" s="1" t="str">
        <f>"930.54"</f>
        <v>930.54</v>
      </c>
      <c r="J5289" s="1" t="str">
        <f>"775.45"</f>
        <v>775.45</v>
      </c>
      <c r="K5289" s="1" t="str">
        <f>"618"</f>
        <v>618</v>
      </c>
      <c r="L5289" s="1" t="str">
        <f>"282"</f>
        <v>282</v>
      </c>
      <c r="M5289" s="1" t="str">
        <f t="shared" si="3074"/>
        <v>0</v>
      </c>
      <c r="N5289" s="1" t="str">
        <f t="shared" si="3063"/>
        <v>0</v>
      </c>
      <c r="O5289" s="1" t="str">
        <f>"30.54"</f>
        <v>30.54</v>
      </c>
    </row>
    <row r="5290" s="1" customFormat="1" spans="1:15">
      <c r="A5290" s="1" t="str">
        <f t="shared" si="3068"/>
        <v>202406</v>
      </c>
      <c r="B5290" s="1" t="str">
        <f t="shared" si="3069"/>
        <v>150525100</v>
      </c>
      <c r="C5290" s="1" t="str">
        <f>"1014584185"</f>
        <v>1014584185</v>
      </c>
      <c r="D5290" s="1" t="str">
        <f>"152326195910130427"</f>
        <v>152326195910130427</v>
      </c>
      <c r="E5290" s="1" t="s">
        <v>5238</v>
      </c>
      <c r="F5290" s="1" t="s">
        <v>16</v>
      </c>
      <c r="G5290" s="1" t="s">
        <v>17</v>
      </c>
      <c r="H5290" s="1" t="str">
        <f>"65"</f>
        <v>65</v>
      </c>
      <c r="I5290" s="1" t="str">
        <f>"158.19"</f>
        <v>158.19</v>
      </c>
      <c r="J5290" s="1" t="str">
        <f t="shared" ref="J5290:J5353" si="3076">"0"</f>
        <v>0</v>
      </c>
      <c r="K5290" s="1" t="str">
        <f t="shared" ref="K5290:K5353" si="3077">"103"</f>
        <v>103</v>
      </c>
      <c r="L5290" s="1" t="str">
        <f t="shared" ref="L5290:L5353" si="3078">"47"</f>
        <v>47</v>
      </c>
      <c r="M5290" s="1" t="str">
        <f t="shared" si="3074"/>
        <v>0</v>
      </c>
      <c r="N5290" s="1" t="str">
        <f t="shared" si="3063"/>
        <v>0</v>
      </c>
      <c r="O5290" s="1" t="str">
        <f>"8.19"</f>
        <v>8.19</v>
      </c>
    </row>
    <row r="5291" s="1" customFormat="1" spans="1:15">
      <c r="A5291" s="1" t="str">
        <f t="shared" si="3068"/>
        <v>202406</v>
      </c>
      <c r="B5291" s="1" t="str">
        <f t="shared" si="3069"/>
        <v>150525100</v>
      </c>
      <c r="C5291" s="1" t="str">
        <f>"1014584196"</f>
        <v>1014584196</v>
      </c>
      <c r="D5291" s="1" t="str">
        <f>"152326196002250698"</f>
        <v>152326196002250698</v>
      </c>
      <c r="E5291" s="1" t="s">
        <v>5239</v>
      </c>
      <c r="F5291" s="1" t="s">
        <v>25</v>
      </c>
      <c r="G5291" s="1" t="s">
        <v>17</v>
      </c>
      <c r="H5291" s="1" t="str">
        <f t="shared" ref="H5291:H5297" si="3079">"64"</f>
        <v>64</v>
      </c>
      <c r="I5291" s="1" t="str">
        <f>"159.16"</f>
        <v>159.16</v>
      </c>
      <c r="J5291" s="1" t="str">
        <f t="shared" si="3076"/>
        <v>0</v>
      </c>
      <c r="K5291" s="1" t="str">
        <f t="shared" si="3077"/>
        <v>103</v>
      </c>
      <c r="L5291" s="1" t="str">
        <f t="shared" si="3078"/>
        <v>47</v>
      </c>
      <c r="M5291" s="1" t="str">
        <f t="shared" si="3074"/>
        <v>0</v>
      </c>
      <c r="N5291" s="1" t="str">
        <f t="shared" si="3063"/>
        <v>0</v>
      </c>
      <c r="O5291" s="1" t="str">
        <f>"9.16"</f>
        <v>9.16</v>
      </c>
    </row>
    <row r="5292" s="1" customFormat="1" spans="1:15">
      <c r="A5292" s="1" t="str">
        <f t="shared" si="3068"/>
        <v>202406</v>
      </c>
      <c r="B5292" s="1" t="str">
        <f t="shared" si="3069"/>
        <v>150525100</v>
      </c>
      <c r="C5292" s="1" t="str">
        <f>"1014584198"</f>
        <v>1014584198</v>
      </c>
      <c r="D5292" s="1" t="str">
        <f>"152326196003140415"</f>
        <v>152326196003140415</v>
      </c>
      <c r="E5292" s="1" t="s">
        <v>1143</v>
      </c>
      <c r="F5292" s="1" t="s">
        <v>25</v>
      </c>
      <c r="G5292" s="1" t="s">
        <v>17</v>
      </c>
      <c r="H5292" s="1" t="str">
        <f t="shared" si="3079"/>
        <v>64</v>
      </c>
      <c r="I5292" s="1" t="str">
        <f>"159.18"</f>
        <v>159.18</v>
      </c>
      <c r="J5292" s="1" t="str">
        <f t="shared" si="3076"/>
        <v>0</v>
      </c>
      <c r="K5292" s="1" t="str">
        <f t="shared" si="3077"/>
        <v>103</v>
      </c>
      <c r="L5292" s="1" t="str">
        <f t="shared" si="3078"/>
        <v>47</v>
      </c>
      <c r="M5292" s="1" t="str">
        <f t="shared" si="3074"/>
        <v>0</v>
      </c>
      <c r="N5292" s="1" t="str">
        <f t="shared" si="3063"/>
        <v>0</v>
      </c>
      <c r="O5292" s="1" t="str">
        <f>"9.18"</f>
        <v>9.18</v>
      </c>
    </row>
    <row r="5293" s="1" customFormat="1" spans="1:15">
      <c r="A5293" s="1" t="str">
        <f t="shared" si="3068"/>
        <v>202406</v>
      </c>
      <c r="B5293" s="1" t="str">
        <f t="shared" si="3069"/>
        <v>150525100</v>
      </c>
      <c r="C5293" s="1" t="str">
        <f>"1014584201"</f>
        <v>1014584201</v>
      </c>
      <c r="D5293" s="1" t="str">
        <f>"152326196005190424"</f>
        <v>152326196005190424</v>
      </c>
      <c r="E5293" s="1" t="s">
        <v>1751</v>
      </c>
      <c r="F5293" s="1" t="s">
        <v>16</v>
      </c>
      <c r="G5293" s="1" t="s">
        <v>17</v>
      </c>
      <c r="H5293" s="1" t="str">
        <f t="shared" si="3079"/>
        <v>64</v>
      </c>
      <c r="I5293" s="1" t="str">
        <f>"159.21"</f>
        <v>159.21</v>
      </c>
      <c r="J5293" s="1" t="str">
        <f t="shared" si="3076"/>
        <v>0</v>
      </c>
      <c r="K5293" s="1" t="str">
        <f t="shared" si="3077"/>
        <v>103</v>
      </c>
      <c r="L5293" s="1" t="str">
        <f t="shared" si="3078"/>
        <v>47</v>
      </c>
      <c r="M5293" s="1" t="str">
        <f t="shared" si="3074"/>
        <v>0</v>
      </c>
      <c r="N5293" s="1" t="str">
        <f t="shared" si="3063"/>
        <v>0</v>
      </c>
      <c r="O5293" s="1" t="str">
        <f>"9.21"</f>
        <v>9.21</v>
      </c>
    </row>
    <row r="5294" s="1" customFormat="1" spans="1:15">
      <c r="A5294" s="1" t="str">
        <f t="shared" si="3068"/>
        <v>202406</v>
      </c>
      <c r="B5294" s="1" t="str">
        <f t="shared" si="3069"/>
        <v>150525100</v>
      </c>
      <c r="C5294" s="1" t="str">
        <f>"1014584202"</f>
        <v>1014584202</v>
      </c>
      <c r="D5294" s="1" t="str">
        <f>"152326196006020670"</f>
        <v>152326196006020670</v>
      </c>
      <c r="E5294" s="1" t="s">
        <v>5240</v>
      </c>
      <c r="F5294" s="1" t="s">
        <v>25</v>
      </c>
      <c r="G5294" s="1" t="s">
        <v>17</v>
      </c>
      <c r="H5294" s="1" t="str">
        <f t="shared" si="3079"/>
        <v>64</v>
      </c>
      <c r="I5294" s="1" t="str">
        <f>"159.21"</f>
        <v>159.21</v>
      </c>
      <c r="J5294" s="1" t="str">
        <f t="shared" si="3076"/>
        <v>0</v>
      </c>
      <c r="K5294" s="1" t="str">
        <f t="shared" si="3077"/>
        <v>103</v>
      </c>
      <c r="L5294" s="1" t="str">
        <f t="shared" si="3078"/>
        <v>47</v>
      </c>
      <c r="M5294" s="1" t="str">
        <f t="shared" si="3074"/>
        <v>0</v>
      </c>
      <c r="N5294" s="1" t="str">
        <f t="shared" si="3063"/>
        <v>0</v>
      </c>
      <c r="O5294" s="1" t="str">
        <f>"9.21"</f>
        <v>9.21</v>
      </c>
    </row>
    <row r="5295" s="1" customFormat="1" spans="1:15">
      <c r="A5295" s="1" t="str">
        <f t="shared" si="3068"/>
        <v>202406</v>
      </c>
      <c r="B5295" s="1" t="str">
        <f t="shared" si="3069"/>
        <v>150525100</v>
      </c>
      <c r="C5295" s="1" t="str">
        <f>"1014549752"</f>
        <v>1014549752</v>
      </c>
      <c r="D5295" s="1" t="str">
        <f>"152326196001080674"</f>
        <v>152326196001080674</v>
      </c>
      <c r="E5295" s="1" t="s">
        <v>5241</v>
      </c>
      <c r="F5295" s="1" t="s">
        <v>25</v>
      </c>
      <c r="G5295" s="1" t="s">
        <v>19</v>
      </c>
      <c r="H5295" s="1" t="str">
        <f t="shared" si="3079"/>
        <v>64</v>
      </c>
      <c r="I5295" s="1" t="str">
        <f>"165.64"</f>
        <v>165.64</v>
      </c>
      <c r="J5295" s="1" t="str">
        <f t="shared" si="3076"/>
        <v>0</v>
      </c>
      <c r="K5295" s="1" t="str">
        <f t="shared" si="3077"/>
        <v>103</v>
      </c>
      <c r="L5295" s="1" t="str">
        <f t="shared" si="3078"/>
        <v>47</v>
      </c>
      <c r="M5295" s="1" t="str">
        <f t="shared" si="3074"/>
        <v>0</v>
      </c>
      <c r="N5295" s="1" t="str">
        <f t="shared" si="3063"/>
        <v>0</v>
      </c>
      <c r="O5295" s="1" t="str">
        <f>"15.64"</f>
        <v>15.64</v>
      </c>
    </row>
    <row r="5296" s="1" customFormat="1" spans="1:15">
      <c r="A5296" s="1" t="str">
        <f t="shared" si="3068"/>
        <v>202406</v>
      </c>
      <c r="B5296" s="1" t="str">
        <f t="shared" si="3069"/>
        <v>150525100</v>
      </c>
      <c r="C5296" s="1" t="str">
        <f>"1014549774"</f>
        <v>1014549774</v>
      </c>
      <c r="D5296" s="1" t="str">
        <f>"152326196006130669"</f>
        <v>152326196006130669</v>
      </c>
      <c r="E5296" s="1" t="s">
        <v>5242</v>
      </c>
      <c r="F5296" s="1" t="s">
        <v>16</v>
      </c>
      <c r="G5296" s="1" t="s">
        <v>17</v>
      </c>
      <c r="H5296" s="1" t="str">
        <f t="shared" si="3079"/>
        <v>64</v>
      </c>
      <c r="I5296" s="1" t="str">
        <f>"159.23"</f>
        <v>159.23</v>
      </c>
      <c r="J5296" s="1" t="str">
        <f t="shared" si="3076"/>
        <v>0</v>
      </c>
      <c r="K5296" s="1" t="str">
        <f t="shared" si="3077"/>
        <v>103</v>
      </c>
      <c r="L5296" s="1" t="str">
        <f t="shared" si="3078"/>
        <v>47</v>
      </c>
      <c r="M5296" s="1" t="str">
        <f t="shared" si="3074"/>
        <v>0</v>
      </c>
      <c r="N5296" s="1" t="str">
        <f t="shared" si="3063"/>
        <v>0</v>
      </c>
      <c r="O5296" s="1" t="str">
        <f>"9.23"</f>
        <v>9.23</v>
      </c>
    </row>
    <row r="5297" s="1" customFormat="1" spans="1:15">
      <c r="A5297" s="1" t="str">
        <f t="shared" si="3068"/>
        <v>202406</v>
      </c>
      <c r="B5297" s="1" t="str">
        <f t="shared" si="3069"/>
        <v>150525100</v>
      </c>
      <c r="C5297" s="1" t="str">
        <f>"1014549776"</f>
        <v>1014549776</v>
      </c>
      <c r="D5297" s="1" t="str">
        <f>"152326196006143101"</f>
        <v>152326196006143101</v>
      </c>
      <c r="E5297" s="1" t="s">
        <v>5243</v>
      </c>
      <c r="F5297" s="1" t="s">
        <v>16</v>
      </c>
      <c r="G5297" s="1" t="s">
        <v>17</v>
      </c>
      <c r="H5297" s="1" t="str">
        <f t="shared" si="3079"/>
        <v>64</v>
      </c>
      <c r="I5297" s="1" t="str">
        <f>"161.76"</f>
        <v>161.76</v>
      </c>
      <c r="J5297" s="1" t="str">
        <f t="shared" si="3076"/>
        <v>0</v>
      </c>
      <c r="K5297" s="1" t="str">
        <f t="shared" si="3077"/>
        <v>103</v>
      </c>
      <c r="L5297" s="1" t="str">
        <f t="shared" si="3078"/>
        <v>47</v>
      </c>
      <c r="M5297" s="1" t="str">
        <f t="shared" si="3074"/>
        <v>0</v>
      </c>
      <c r="N5297" s="1" t="str">
        <f t="shared" si="3063"/>
        <v>0</v>
      </c>
      <c r="O5297" s="1" t="str">
        <f>"11.76"</f>
        <v>11.76</v>
      </c>
    </row>
    <row r="5298" s="1" customFormat="1" spans="1:15">
      <c r="A5298" s="1" t="str">
        <f t="shared" si="3068"/>
        <v>202406</v>
      </c>
      <c r="B5298" s="1" t="str">
        <f t="shared" si="3069"/>
        <v>150525100</v>
      </c>
      <c r="C5298" s="1" t="str">
        <f>"1014550272"</f>
        <v>1014550272</v>
      </c>
      <c r="D5298" s="1" t="str">
        <f>"152326195810233082"</f>
        <v>152326195810233082</v>
      </c>
      <c r="E5298" s="1" t="s">
        <v>5244</v>
      </c>
      <c r="F5298" s="1" t="s">
        <v>16</v>
      </c>
      <c r="G5298" s="1" t="s">
        <v>17</v>
      </c>
      <c r="H5298" s="1" t="str">
        <f>"66"</f>
        <v>66</v>
      </c>
      <c r="I5298" s="1" t="str">
        <f>"157.14"</f>
        <v>157.14</v>
      </c>
      <c r="J5298" s="1" t="str">
        <f t="shared" si="3076"/>
        <v>0</v>
      </c>
      <c r="K5298" s="1" t="str">
        <f t="shared" si="3077"/>
        <v>103</v>
      </c>
      <c r="L5298" s="1" t="str">
        <f t="shared" si="3078"/>
        <v>47</v>
      </c>
      <c r="M5298" s="1" t="str">
        <f t="shared" si="3074"/>
        <v>0</v>
      </c>
      <c r="N5298" s="1" t="str">
        <f t="shared" si="3063"/>
        <v>0</v>
      </c>
      <c r="O5298" s="1" t="str">
        <f>"7.14"</f>
        <v>7.14</v>
      </c>
    </row>
    <row r="5299" s="1" customFormat="1" spans="1:15">
      <c r="A5299" s="1" t="str">
        <f t="shared" si="3068"/>
        <v>202406</v>
      </c>
      <c r="B5299" s="1" t="str">
        <f t="shared" si="3069"/>
        <v>150525100</v>
      </c>
      <c r="C5299" s="1" t="str">
        <f>"1014550273"</f>
        <v>1014550273</v>
      </c>
      <c r="D5299" s="1" t="str">
        <f>"152326195810240661"</f>
        <v>152326195810240661</v>
      </c>
      <c r="E5299" s="1" t="s">
        <v>3165</v>
      </c>
      <c r="F5299" s="1" t="s">
        <v>16</v>
      </c>
      <c r="G5299" s="1" t="s">
        <v>17</v>
      </c>
      <c r="H5299" s="1" t="str">
        <f>"66"</f>
        <v>66</v>
      </c>
      <c r="I5299" s="1" t="str">
        <f>"157.15"</f>
        <v>157.15</v>
      </c>
      <c r="J5299" s="1" t="str">
        <f t="shared" si="3076"/>
        <v>0</v>
      </c>
      <c r="K5299" s="1" t="str">
        <f t="shared" si="3077"/>
        <v>103</v>
      </c>
      <c r="L5299" s="1" t="str">
        <f t="shared" si="3078"/>
        <v>47</v>
      </c>
      <c r="M5299" s="1" t="str">
        <f t="shared" si="3074"/>
        <v>0</v>
      </c>
      <c r="N5299" s="1" t="str">
        <f t="shared" si="3063"/>
        <v>0</v>
      </c>
      <c r="O5299" s="1" t="str">
        <f>"7.15"</f>
        <v>7.15</v>
      </c>
    </row>
    <row r="5300" s="1" customFormat="1" spans="1:15">
      <c r="A5300" s="1" t="str">
        <f t="shared" si="3068"/>
        <v>202406</v>
      </c>
      <c r="B5300" s="1" t="str">
        <f t="shared" si="3069"/>
        <v>150525100</v>
      </c>
      <c r="C5300" s="1" t="str">
        <f>"1014550292"</f>
        <v>1014550292</v>
      </c>
      <c r="D5300" s="1" t="str">
        <f>"152326195905200670"</f>
        <v>152326195905200670</v>
      </c>
      <c r="E5300" s="1" t="s">
        <v>5245</v>
      </c>
      <c r="F5300" s="1" t="s">
        <v>25</v>
      </c>
      <c r="G5300" s="1" t="s">
        <v>19</v>
      </c>
      <c r="H5300" s="1" t="str">
        <f>"65"</f>
        <v>65</v>
      </c>
      <c r="I5300" s="1" t="str">
        <f>"158.15"</f>
        <v>158.15</v>
      </c>
      <c r="J5300" s="1" t="str">
        <f t="shared" si="3076"/>
        <v>0</v>
      </c>
      <c r="K5300" s="1" t="str">
        <f t="shared" si="3077"/>
        <v>103</v>
      </c>
      <c r="L5300" s="1" t="str">
        <f t="shared" si="3078"/>
        <v>47</v>
      </c>
      <c r="M5300" s="1" t="str">
        <f t="shared" si="3074"/>
        <v>0</v>
      </c>
      <c r="N5300" s="1" t="str">
        <f t="shared" ref="N5300:N5363" si="3080">"0"</f>
        <v>0</v>
      </c>
      <c r="O5300" s="1" t="str">
        <f>"8.15"</f>
        <v>8.15</v>
      </c>
    </row>
    <row r="5301" s="1" customFormat="1" spans="1:15">
      <c r="A5301" s="1" t="str">
        <f t="shared" si="3068"/>
        <v>202406</v>
      </c>
      <c r="B5301" s="1" t="str">
        <f t="shared" si="3069"/>
        <v>150525100</v>
      </c>
      <c r="C5301" s="1" t="str">
        <f>"1014585305"</f>
        <v>1014585305</v>
      </c>
      <c r="D5301" s="1" t="str">
        <f>"152326196401010704"</f>
        <v>152326196401010704</v>
      </c>
      <c r="E5301" s="1" t="s">
        <v>5246</v>
      </c>
      <c r="F5301" s="1" t="s">
        <v>16</v>
      </c>
      <c r="G5301" s="1" t="s">
        <v>17</v>
      </c>
      <c r="H5301" s="1" t="str">
        <f>"61"</f>
        <v>61</v>
      </c>
      <c r="I5301" s="1" t="str">
        <f>"166.79"</f>
        <v>166.79</v>
      </c>
      <c r="J5301" s="1" t="str">
        <f t="shared" si="3076"/>
        <v>0</v>
      </c>
      <c r="K5301" s="1" t="str">
        <f t="shared" si="3077"/>
        <v>103</v>
      </c>
      <c r="L5301" s="1" t="str">
        <f t="shared" si="3078"/>
        <v>47</v>
      </c>
      <c r="M5301" s="1" t="str">
        <f t="shared" si="3074"/>
        <v>0</v>
      </c>
      <c r="N5301" s="1" t="str">
        <f t="shared" si="3080"/>
        <v>0</v>
      </c>
      <c r="O5301" s="1" t="str">
        <f>"16.79"</f>
        <v>16.79</v>
      </c>
    </row>
    <row r="5302" s="1" customFormat="1" spans="1:15">
      <c r="A5302" s="1" t="str">
        <f t="shared" si="3068"/>
        <v>202406</v>
      </c>
      <c r="B5302" s="1" t="str">
        <f t="shared" si="3069"/>
        <v>150525100</v>
      </c>
      <c r="C5302" s="1" t="str">
        <f>"1014585323"</f>
        <v>1014585323</v>
      </c>
      <c r="D5302" s="1" t="str">
        <f>"152326195608090444"</f>
        <v>152326195608090444</v>
      </c>
      <c r="E5302" s="1" t="s">
        <v>1566</v>
      </c>
      <c r="F5302" s="1" t="s">
        <v>16</v>
      </c>
      <c r="G5302" s="1" t="s">
        <v>96</v>
      </c>
      <c r="H5302" s="1" t="str">
        <f>"68"</f>
        <v>68</v>
      </c>
      <c r="I5302" s="1" t="str">
        <f>"156.01"</f>
        <v>156.01</v>
      </c>
      <c r="J5302" s="1" t="str">
        <f t="shared" si="3076"/>
        <v>0</v>
      </c>
      <c r="K5302" s="1" t="str">
        <f t="shared" si="3077"/>
        <v>103</v>
      </c>
      <c r="L5302" s="1" t="str">
        <f t="shared" si="3078"/>
        <v>47</v>
      </c>
      <c r="M5302" s="1" t="str">
        <f t="shared" si="3074"/>
        <v>0</v>
      </c>
      <c r="N5302" s="1" t="str">
        <f t="shared" si="3080"/>
        <v>0</v>
      </c>
      <c r="O5302" s="1" t="str">
        <f>"6.01"</f>
        <v>6.01</v>
      </c>
    </row>
    <row r="5303" s="1" customFormat="1" spans="1:15">
      <c r="A5303" s="1" t="str">
        <f t="shared" si="3068"/>
        <v>202406</v>
      </c>
      <c r="B5303" s="1" t="str">
        <f t="shared" si="3069"/>
        <v>150525100</v>
      </c>
      <c r="C5303" s="1" t="str">
        <f>"1014561468"</f>
        <v>1014561468</v>
      </c>
      <c r="D5303" s="1" t="str">
        <f>"152326195410230421"</f>
        <v>152326195410230421</v>
      </c>
      <c r="E5303" s="1" t="s">
        <v>5247</v>
      </c>
      <c r="F5303" s="1" t="s">
        <v>16</v>
      </c>
      <c r="G5303" s="1" t="s">
        <v>17</v>
      </c>
      <c r="H5303" s="1" t="str">
        <f>"70"</f>
        <v>70</v>
      </c>
      <c r="I5303" s="1" t="str">
        <f>"154.14"</f>
        <v>154.14</v>
      </c>
      <c r="J5303" s="1" t="str">
        <f t="shared" si="3076"/>
        <v>0</v>
      </c>
      <c r="K5303" s="1" t="str">
        <f t="shared" si="3077"/>
        <v>103</v>
      </c>
      <c r="L5303" s="1" t="str">
        <f t="shared" si="3078"/>
        <v>47</v>
      </c>
      <c r="M5303" s="1" t="str">
        <f t="shared" si="3074"/>
        <v>0</v>
      </c>
      <c r="N5303" s="1" t="str">
        <f t="shared" si="3080"/>
        <v>0</v>
      </c>
      <c r="O5303" s="1" t="str">
        <f>"4.14"</f>
        <v>4.14</v>
      </c>
    </row>
    <row r="5304" s="1" customFormat="1" spans="1:15">
      <c r="A5304" s="1" t="str">
        <f t="shared" si="3068"/>
        <v>202406</v>
      </c>
      <c r="B5304" s="1" t="str">
        <f t="shared" si="3069"/>
        <v>150525100</v>
      </c>
      <c r="C5304" s="1" t="str">
        <f>"1014549780"</f>
        <v>1014549780</v>
      </c>
      <c r="D5304" s="1" t="str">
        <f>"152326196007160667"</f>
        <v>152326196007160667</v>
      </c>
      <c r="E5304" s="1" t="s">
        <v>3219</v>
      </c>
      <c r="F5304" s="1" t="s">
        <v>16</v>
      </c>
      <c r="G5304" s="1" t="s">
        <v>19</v>
      </c>
      <c r="H5304" s="1" t="str">
        <f>"64"</f>
        <v>64</v>
      </c>
      <c r="I5304" s="1" t="str">
        <f>"160.73"</f>
        <v>160.73</v>
      </c>
      <c r="J5304" s="1" t="str">
        <f t="shared" si="3076"/>
        <v>0</v>
      </c>
      <c r="K5304" s="1" t="str">
        <f t="shared" si="3077"/>
        <v>103</v>
      </c>
      <c r="L5304" s="1" t="str">
        <f t="shared" si="3078"/>
        <v>47</v>
      </c>
      <c r="M5304" s="1" t="str">
        <f t="shared" si="3074"/>
        <v>0</v>
      </c>
      <c r="N5304" s="1" t="str">
        <f t="shared" si="3080"/>
        <v>0</v>
      </c>
      <c r="O5304" s="1" t="str">
        <f>"10.73"</f>
        <v>10.73</v>
      </c>
    </row>
    <row r="5305" s="1" customFormat="1" spans="1:15">
      <c r="A5305" s="1" t="str">
        <f t="shared" si="3068"/>
        <v>202406</v>
      </c>
      <c r="B5305" s="1" t="str">
        <f t="shared" si="3069"/>
        <v>150525100</v>
      </c>
      <c r="C5305" s="1" t="str">
        <f>"1014550819"</f>
        <v>1014550819</v>
      </c>
      <c r="D5305" s="1" t="str">
        <f>"152326195412263323"</f>
        <v>152326195412263323</v>
      </c>
      <c r="E5305" s="1" t="s">
        <v>280</v>
      </c>
      <c r="F5305" s="1" t="s">
        <v>16</v>
      </c>
      <c r="G5305" s="1" t="s">
        <v>17</v>
      </c>
      <c r="H5305" s="1" t="str">
        <f>"70"</f>
        <v>70</v>
      </c>
      <c r="I5305" s="1" t="str">
        <f>"154.15"</f>
        <v>154.15</v>
      </c>
      <c r="J5305" s="1" t="str">
        <f t="shared" si="3076"/>
        <v>0</v>
      </c>
      <c r="K5305" s="1" t="str">
        <f t="shared" si="3077"/>
        <v>103</v>
      </c>
      <c r="L5305" s="1" t="str">
        <f t="shared" si="3078"/>
        <v>47</v>
      </c>
      <c r="M5305" s="1" t="str">
        <f t="shared" si="3074"/>
        <v>0</v>
      </c>
      <c r="N5305" s="1" t="str">
        <f t="shared" si="3080"/>
        <v>0</v>
      </c>
      <c r="O5305" s="1" t="str">
        <f>"4.15"</f>
        <v>4.15</v>
      </c>
    </row>
    <row r="5306" s="1" customFormat="1" spans="1:15">
      <c r="A5306" s="1" t="str">
        <f t="shared" si="3068"/>
        <v>202406</v>
      </c>
      <c r="B5306" s="1" t="str">
        <f t="shared" si="3069"/>
        <v>150525100</v>
      </c>
      <c r="C5306" s="1" t="str">
        <f>"1014585346"</f>
        <v>1014585346</v>
      </c>
      <c r="D5306" s="1" t="str">
        <f>"152326195204290423"</f>
        <v>152326195204290423</v>
      </c>
      <c r="E5306" s="1" t="s">
        <v>4064</v>
      </c>
      <c r="F5306" s="1" t="s">
        <v>16</v>
      </c>
      <c r="G5306" s="1" t="s">
        <v>19</v>
      </c>
      <c r="H5306" s="1" t="str">
        <f>"72"</f>
        <v>72</v>
      </c>
      <c r="I5306" s="1" t="str">
        <f>"162.14"</f>
        <v>162.14</v>
      </c>
      <c r="J5306" s="1" t="str">
        <f t="shared" si="3076"/>
        <v>0</v>
      </c>
      <c r="K5306" s="1" t="str">
        <f t="shared" si="3077"/>
        <v>103</v>
      </c>
      <c r="L5306" s="1" t="str">
        <f t="shared" si="3078"/>
        <v>47</v>
      </c>
      <c r="M5306" s="1" t="str">
        <f t="shared" si="3074"/>
        <v>0</v>
      </c>
      <c r="N5306" s="1" t="str">
        <f t="shared" si="3080"/>
        <v>0</v>
      </c>
      <c r="O5306" s="1" t="str">
        <f>"2.14"</f>
        <v>2.14</v>
      </c>
    </row>
    <row r="5307" s="1" customFormat="1" spans="1:15">
      <c r="A5307" s="1" t="str">
        <f t="shared" si="3068"/>
        <v>202406</v>
      </c>
      <c r="B5307" s="1" t="str">
        <f t="shared" si="3069"/>
        <v>150525100</v>
      </c>
      <c r="C5307" s="1" t="str">
        <f>"1014613146"</f>
        <v>1014613146</v>
      </c>
      <c r="D5307" s="1" t="str">
        <f>"152326194912180415"</f>
        <v>152326194912180415</v>
      </c>
      <c r="E5307" s="1" t="s">
        <v>5248</v>
      </c>
      <c r="F5307" s="1" t="s">
        <v>25</v>
      </c>
      <c r="G5307" s="1" t="s">
        <v>96</v>
      </c>
      <c r="H5307" s="1" t="str">
        <f>"75"</f>
        <v>75</v>
      </c>
      <c r="I5307" s="1" t="str">
        <f t="shared" ref="I5307:I5310" si="3081">"160"</f>
        <v>160</v>
      </c>
      <c r="J5307" s="1" t="str">
        <f t="shared" si="3076"/>
        <v>0</v>
      </c>
      <c r="K5307" s="1" t="str">
        <f t="shared" si="3077"/>
        <v>103</v>
      </c>
      <c r="L5307" s="1" t="str">
        <f t="shared" si="3078"/>
        <v>47</v>
      </c>
      <c r="M5307" s="1" t="str">
        <f t="shared" si="3074"/>
        <v>0</v>
      </c>
      <c r="N5307" s="1" t="str">
        <f t="shared" si="3080"/>
        <v>0</v>
      </c>
      <c r="O5307" s="1" t="str">
        <f t="shared" ref="O5307:O5326" si="3082">"0"</f>
        <v>0</v>
      </c>
    </row>
    <row r="5308" s="1" customFormat="1" spans="1:15">
      <c r="A5308" s="1" t="str">
        <f t="shared" si="3068"/>
        <v>202406</v>
      </c>
      <c r="B5308" s="1" t="str">
        <f t="shared" si="3069"/>
        <v>150525100</v>
      </c>
      <c r="C5308" s="1" t="str">
        <f>"1014622174"</f>
        <v>1014622174</v>
      </c>
      <c r="D5308" s="1" t="str">
        <f>"152326195112156374"</f>
        <v>152326195112156374</v>
      </c>
      <c r="E5308" s="1" t="s">
        <v>4435</v>
      </c>
      <c r="F5308" s="1" t="s">
        <v>25</v>
      </c>
      <c r="G5308" s="1" t="s">
        <v>17</v>
      </c>
      <c r="H5308" s="1" t="str">
        <f t="shared" ref="H5308:H5314" si="3083">"73"</f>
        <v>73</v>
      </c>
      <c r="I5308" s="1" t="str">
        <f t="shared" si="3081"/>
        <v>160</v>
      </c>
      <c r="J5308" s="1" t="str">
        <f t="shared" si="3076"/>
        <v>0</v>
      </c>
      <c r="K5308" s="1" t="str">
        <f t="shared" si="3077"/>
        <v>103</v>
      </c>
      <c r="L5308" s="1" t="str">
        <f t="shared" si="3078"/>
        <v>47</v>
      </c>
      <c r="M5308" s="1" t="str">
        <f t="shared" si="3074"/>
        <v>0</v>
      </c>
      <c r="N5308" s="1" t="str">
        <f t="shared" si="3080"/>
        <v>0</v>
      </c>
      <c r="O5308" s="1" t="str">
        <f t="shared" si="3082"/>
        <v>0</v>
      </c>
    </row>
    <row r="5309" s="1" customFormat="1" spans="1:15">
      <c r="A5309" s="1" t="str">
        <f t="shared" si="3068"/>
        <v>202406</v>
      </c>
      <c r="B5309" s="1" t="str">
        <f t="shared" si="3069"/>
        <v>150525100</v>
      </c>
      <c r="C5309" s="1" t="str">
        <f>"1014622203"</f>
        <v>1014622203</v>
      </c>
      <c r="D5309" s="1" t="str">
        <f>"152326194612110677"</f>
        <v>152326194612110677</v>
      </c>
      <c r="E5309" s="1" t="s">
        <v>5249</v>
      </c>
      <c r="F5309" s="1" t="s">
        <v>25</v>
      </c>
      <c r="G5309" s="1" t="s">
        <v>17</v>
      </c>
      <c r="H5309" s="1" t="str">
        <f>"78"</f>
        <v>78</v>
      </c>
      <c r="I5309" s="1" t="str">
        <f t="shared" si="3081"/>
        <v>160</v>
      </c>
      <c r="J5309" s="1" t="str">
        <f t="shared" si="3076"/>
        <v>0</v>
      </c>
      <c r="K5309" s="1" t="str">
        <f t="shared" si="3077"/>
        <v>103</v>
      </c>
      <c r="L5309" s="1" t="str">
        <f t="shared" si="3078"/>
        <v>47</v>
      </c>
      <c r="M5309" s="1" t="str">
        <f t="shared" si="3074"/>
        <v>0</v>
      </c>
      <c r="N5309" s="1" t="str">
        <f t="shared" si="3080"/>
        <v>0</v>
      </c>
      <c r="O5309" s="1" t="str">
        <f t="shared" si="3082"/>
        <v>0</v>
      </c>
    </row>
    <row r="5310" s="1" customFormat="1" spans="1:15">
      <c r="A5310" s="1" t="str">
        <f t="shared" si="3068"/>
        <v>202406</v>
      </c>
      <c r="B5310" s="1" t="str">
        <f t="shared" si="3069"/>
        <v>150525100</v>
      </c>
      <c r="C5310" s="1" t="str">
        <f>"1014622573"</f>
        <v>1014622573</v>
      </c>
      <c r="D5310" s="1" t="str">
        <f>"152326195002100417"</f>
        <v>152326195002100417</v>
      </c>
      <c r="E5310" s="1" t="s">
        <v>4741</v>
      </c>
      <c r="F5310" s="1" t="s">
        <v>25</v>
      </c>
      <c r="G5310" s="1" t="s">
        <v>17</v>
      </c>
      <c r="H5310" s="1" t="str">
        <f>"74"</f>
        <v>74</v>
      </c>
      <c r="I5310" s="1" t="str">
        <f t="shared" si="3081"/>
        <v>160</v>
      </c>
      <c r="J5310" s="1" t="str">
        <f t="shared" si="3076"/>
        <v>0</v>
      </c>
      <c r="K5310" s="1" t="str">
        <f t="shared" si="3077"/>
        <v>103</v>
      </c>
      <c r="L5310" s="1" t="str">
        <f t="shared" si="3078"/>
        <v>47</v>
      </c>
      <c r="M5310" s="1" t="str">
        <f t="shared" si="3074"/>
        <v>0</v>
      </c>
      <c r="N5310" s="1" t="str">
        <f t="shared" si="3080"/>
        <v>0</v>
      </c>
      <c r="O5310" s="1" t="str">
        <f t="shared" si="3082"/>
        <v>0</v>
      </c>
    </row>
    <row r="5311" s="1" customFormat="1" spans="1:15">
      <c r="A5311" s="1" t="str">
        <f t="shared" si="3068"/>
        <v>202406</v>
      </c>
      <c r="B5311" s="1" t="str">
        <f t="shared" si="3069"/>
        <v>150525100</v>
      </c>
      <c r="C5311" s="1" t="str">
        <f>"1014624438"</f>
        <v>1014624438</v>
      </c>
      <c r="D5311" s="1" t="str">
        <f>"152326194205120667"</f>
        <v>152326194205120667</v>
      </c>
      <c r="E5311" s="1" t="s">
        <v>812</v>
      </c>
      <c r="F5311" s="1" t="s">
        <v>16</v>
      </c>
      <c r="G5311" s="1" t="s">
        <v>17</v>
      </c>
      <c r="H5311" s="1" t="str">
        <f>"82"</f>
        <v>82</v>
      </c>
      <c r="I5311" s="1" t="str">
        <f>"170"</f>
        <v>170</v>
      </c>
      <c r="J5311" s="1" t="str">
        <f t="shared" si="3076"/>
        <v>0</v>
      </c>
      <c r="K5311" s="1" t="str">
        <f t="shared" si="3077"/>
        <v>103</v>
      </c>
      <c r="L5311" s="1" t="str">
        <f t="shared" si="3078"/>
        <v>47</v>
      </c>
      <c r="M5311" s="1" t="str">
        <f t="shared" si="3074"/>
        <v>0</v>
      </c>
      <c r="N5311" s="1" t="str">
        <f t="shared" si="3080"/>
        <v>0</v>
      </c>
      <c r="O5311" s="1" t="str">
        <f t="shared" si="3082"/>
        <v>0</v>
      </c>
    </row>
    <row r="5312" s="1" customFormat="1" spans="1:15">
      <c r="A5312" s="1" t="str">
        <f t="shared" si="3068"/>
        <v>202406</v>
      </c>
      <c r="B5312" s="1" t="str">
        <f t="shared" si="3069"/>
        <v>150525100</v>
      </c>
      <c r="C5312" s="1" t="str">
        <f>"1014629340"</f>
        <v>1014629340</v>
      </c>
      <c r="D5312" s="1" t="str">
        <f>"152326195105110415"</f>
        <v>152326195105110415</v>
      </c>
      <c r="E5312" s="1" t="s">
        <v>5250</v>
      </c>
      <c r="F5312" s="1" t="s">
        <v>25</v>
      </c>
      <c r="G5312" s="1" t="s">
        <v>17</v>
      </c>
      <c r="H5312" s="1" t="str">
        <f t="shared" si="3083"/>
        <v>73</v>
      </c>
      <c r="I5312" s="1" t="str">
        <f t="shared" ref="I5312:I5317" si="3084">"160"</f>
        <v>160</v>
      </c>
      <c r="J5312" s="1" t="str">
        <f t="shared" si="3076"/>
        <v>0</v>
      </c>
      <c r="K5312" s="1" t="str">
        <f t="shared" si="3077"/>
        <v>103</v>
      </c>
      <c r="L5312" s="1" t="str">
        <f t="shared" si="3078"/>
        <v>47</v>
      </c>
      <c r="M5312" s="1" t="str">
        <f t="shared" si="3074"/>
        <v>0</v>
      </c>
      <c r="N5312" s="1" t="str">
        <f t="shared" si="3080"/>
        <v>0</v>
      </c>
      <c r="O5312" s="1" t="str">
        <f t="shared" si="3082"/>
        <v>0</v>
      </c>
    </row>
    <row r="5313" s="1" customFormat="1" spans="1:15">
      <c r="A5313" s="1" t="str">
        <f t="shared" si="3068"/>
        <v>202406</v>
      </c>
      <c r="B5313" s="1" t="str">
        <f t="shared" si="3069"/>
        <v>150525100</v>
      </c>
      <c r="C5313" s="1" t="str">
        <f>"1014629341"</f>
        <v>1014629341</v>
      </c>
      <c r="D5313" s="1" t="str">
        <f>"152326195110120423"</f>
        <v>152326195110120423</v>
      </c>
      <c r="E5313" s="1" t="s">
        <v>5251</v>
      </c>
      <c r="F5313" s="1" t="s">
        <v>16</v>
      </c>
      <c r="G5313" s="1" t="s">
        <v>17</v>
      </c>
      <c r="H5313" s="1" t="str">
        <f t="shared" si="3083"/>
        <v>73</v>
      </c>
      <c r="I5313" s="1" t="str">
        <f t="shared" si="3084"/>
        <v>160</v>
      </c>
      <c r="J5313" s="1" t="str">
        <f t="shared" si="3076"/>
        <v>0</v>
      </c>
      <c r="K5313" s="1" t="str">
        <f t="shared" si="3077"/>
        <v>103</v>
      </c>
      <c r="L5313" s="1" t="str">
        <f t="shared" si="3078"/>
        <v>47</v>
      </c>
      <c r="M5313" s="1" t="str">
        <f t="shared" si="3074"/>
        <v>0</v>
      </c>
      <c r="N5313" s="1" t="str">
        <f t="shared" si="3080"/>
        <v>0</v>
      </c>
      <c r="O5313" s="1" t="str">
        <f t="shared" si="3082"/>
        <v>0</v>
      </c>
    </row>
    <row r="5314" s="1" customFormat="1" spans="1:15">
      <c r="A5314" s="1" t="str">
        <f t="shared" ref="A5314:A5377" si="3085">"202406"</f>
        <v>202406</v>
      </c>
      <c r="B5314" s="1" t="str">
        <f t="shared" ref="B5314:B5377" si="3086">"150525100"</f>
        <v>150525100</v>
      </c>
      <c r="C5314" s="1" t="str">
        <f>"1014629342"</f>
        <v>1014629342</v>
      </c>
      <c r="D5314" s="1" t="str">
        <f>"152326195103300426"</f>
        <v>152326195103300426</v>
      </c>
      <c r="E5314" s="1" t="s">
        <v>5252</v>
      </c>
      <c r="F5314" s="1" t="s">
        <v>16</v>
      </c>
      <c r="G5314" s="1" t="s">
        <v>17</v>
      </c>
      <c r="H5314" s="1" t="str">
        <f t="shared" si="3083"/>
        <v>73</v>
      </c>
      <c r="I5314" s="1" t="str">
        <f t="shared" si="3084"/>
        <v>160</v>
      </c>
      <c r="J5314" s="1" t="str">
        <f t="shared" si="3076"/>
        <v>0</v>
      </c>
      <c r="K5314" s="1" t="str">
        <f t="shared" si="3077"/>
        <v>103</v>
      </c>
      <c r="L5314" s="1" t="str">
        <f t="shared" si="3078"/>
        <v>47</v>
      </c>
      <c r="M5314" s="1" t="str">
        <f t="shared" si="3074"/>
        <v>0</v>
      </c>
      <c r="N5314" s="1" t="str">
        <f t="shared" si="3080"/>
        <v>0</v>
      </c>
      <c r="O5314" s="1" t="str">
        <f t="shared" si="3082"/>
        <v>0</v>
      </c>
    </row>
    <row r="5315" s="1" customFormat="1" spans="1:15">
      <c r="A5315" s="1" t="str">
        <f t="shared" si="3085"/>
        <v>202406</v>
      </c>
      <c r="B5315" s="1" t="str">
        <f t="shared" si="3086"/>
        <v>150525100</v>
      </c>
      <c r="C5315" s="1" t="str">
        <f>"1014629402"</f>
        <v>1014629402</v>
      </c>
      <c r="D5315" s="1" t="str">
        <f>"152326194803310014"</f>
        <v>152326194803310014</v>
      </c>
      <c r="E5315" s="1" t="s">
        <v>5253</v>
      </c>
      <c r="F5315" s="1" t="s">
        <v>25</v>
      </c>
      <c r="G5315" s="1" t="s">
        <v>17</v>
      </c>
      <c r="H5315" s="1" t="str">
        <f>"76"</f>
        <v>76</v>
      </c>
      <c r="I5315" s="1" t="str">
        <f t="shared" si="3084"/>
        <v>160</v>
      </c>
      <c r="J5315" s="1" t="str">
        <f t="shared" si="3076"/>
        <v>0</v>
      </c>
      <c r="K5315" s="1" t="str">
        <f t="shared" si="3077"/>
        <v>103</v>
      </c>
      <c r="L5315" s="1" t="str">
        <f t="shared" si="3078"/>
        <v>47</v>
      </c>
      <c r="M5315" s="1" t="str">
        <f t="shared" si="3074"/>
        <v>0</v>
      </c>
      <c r="N5315" s="1" t="str">
        <f t="shared" si="3080"/>
        <v>0</v>
      </c>
      <c r="O5315" s="1" t="str">
        <f t="shared" si="3082"/>
        <v>0</v>
      </c>
    </row>
    <row r="5316" s="1" customFormat="1" spans="1:15">
      <c r="A5316" s="1" t="str">
        <f t="shared" si="3085"/>
        <v>202406</v>
      </c>
      <c r="B5316" s="1" t="str">
        <f t="shared" si="3086"/>
        <v>150525100</v>
      </c>
      <c r="C5316" s="1" t="str">
        <f>"1014619419"</f>
        <v>1014619419</v>
      </c>
      <c r="D5316" s="1" t="str">
        <f>"152326194607253817"</f>
        <v>152326194607253817</v>
      </c>
      <c r="E5316" s="1" t="s">
        <v>5254</v>
      </c>
      <c r="F5316" s="1" t="s">
        <v>25</v>
      </c>
      <c r="G5316" s="1" t="s">
        <v>17</v>
      </c>
      <c r="H5316" s="1" t="str">
        <f>"78"</f>
        <v>78</v>
      </c>
      <c r="I5316" s="1" t="str">
        <f t="shared" si="3084"/>
        <v>160</v>
      </c>
      <c r="J5316" s="1" t="str">
        <f t="shared" si="3076"/>
        <v>0</v>
      </c>
      <c r="K5316" s="1" t="str">
        <f t="shared" si="3077"/>
        <v>103</v>
      </c>
      <c r="L5316" s="1" t="str">
        <f t="shared" si="3078"/>
        <v>47</v>
      </c>
      <c r="M5316" s="1" t="str">
        <f t="shared" si="3074"/>
        <v>0</v>
      </c>
      <c r="N5316" s="1" t="str">
        <f t="shared" si="3080"/>
        <v>0</v>
      </c>
      <c r="O5316" s="1" t="str">
        <f t="shared" si="3082"/>
        <v>0</v>
      </c>
    </row>
    <row r="5317" s="1" customFormat="1" spans="1:15">
      <c r="A5317" s="1" t="str">
        <f t="shared" si="3085"/>
        <v>202406</v>
      </c>
      <c r="B5317" s="1" t="str">
        <f t="shared" si="3086"/>
        <v>150525100</v>
      </c>
      <c r="C5317" s="1" t="str">
        <f>"1014619428"</f>
        <v>1014619428</v>
      </c>
      <c r="D5317" s="1" t="str">
        <f>"152326195011090679"</f>
        <v>152326195011090679</v>
      </c>
      <c r="E5317" s="1" t="s">
        <v>558</v>
      </c>
      <c r="F5317" s="1" t="s">
        <v>25</v>
      </c>
      <c r="G5317" s="1" t="s">
        <v>19</v>
      </c>
      <c r="H5317" s="1" t="str">
        <f>"74"</f>
        <v>74</v>
      </c>
      <c r="I5317" s="1" t="str">
        <f t="shared" si="3084"/>
        <v>160</v>
      </c>
      <c r="J5317" s="1" t="str">
        <f t="shared" si="3076"/>
        <v>0</v>
      </c>
      <c r="K5317" s="1" t="str">
        <f t="shared" si="3077"/>
        <v>103</v>
      </c>
      <c r="L5317" s="1" t="str">
        <f t="shared" si="3078"/>
        <v>47</v>
      </c>
      <c r="M5317" s="1" t="str">
        <f t="shared" si="3074"/>
        <v>0</v>
      </c>
      <c r="N5317" s="1" t="str">
        <f t="shared" si="3080"/>
        <v>0</v>
      </c>
      <c r="O5317" s="1" t="str">
        <f t="shared" si="3082"/>
        <v>0</v>
      </c>
    </row>
    <row r="5318" s="1" customFormat="1" spans="1:15">
      <c r="A5318" s="1" t="str">
        <f t="shared" si="3085"/>
        <v>202406</v>
      </c>
      <c r="B5318" s="1" t="str">
        <f t="shared" si="3086"/>
        <v>150525100</v>
      </c>
      <c r="C5318" s="1" t="str">
        <f>"1014619441"</f>
        <v>1014619441</v>
      </c>
      <c r="D5318" s="1" t="str">
        <f>"152326194109260678"</f>
        <v>152326194109260678</v>
      </c>
      <c r="E5318" s="1" t="s">
        <v>5255</v>
      </c>
      <c r="F5318" s="1" t="s">
        <v>25</v>
      </c>
      <c r="G5318" s="1" t="s">
        <v>17</v>
      </c>
      <c r="H5318" s="1" t="str">
        <f>"83"</f>
        <v>83</v>
      </c>
      <c r="I5318" s="1" t="str">
        <f>"170"</f>
        <v>170</v>
      </c>
      <c r="J5318" s="1" t="str">
        <f t="shared" si="3076"/>
        <v>0</v>
      </c>
      <c r="K5318" s="1" t="str">
        <f t="shared" si="3077"/>
        <v>103</v>
      </c>
      <c r="L5318" s="1" t="str">
        <f t="shared" si="3078"/>
        <v>47</v>
      </c>
      <c r="M5318" s="1" t="str">
        <f t="shared" si="3074"/>
        <v>0</v>
      </c>
      <c r="N5318" s="1" t="str">
        <f t="shared" si="3080"/>
        <v>0</v>
      </c>
      <c r="O5318" s="1" t="str">
        <f t="shared" si="3082"/>
        <v>0</v>
      </c>
    </row>
    <row r="5319" s="1" customFormat="1" spans="1:15">
      <c r="A5319" s="1" t="str">
        <f t="shared" si="3085"/>
        <v>202406</v>
      </c>
      <c r="B5319" s="1" t="str">
        <f t="shared" si="3086"/>
        <v>150525100</v>
      </c>
      <c r="C5319" s="1" t="str">
        <f>"1014619443"</f>
        <v>1014619443</v>
      </c>
      <c r="D5319" s="1" t="str">
        <f>"152326194812090690"</f>
        <v>152326194812090690</v>
      </c>
      <c r="E5319" s="1" t="s">
        <v>5256</v>
      </c>
      <c r="F5319" s="1" t="s">
        <v>25</v>
      </c>
      <c r="G5319" s="1" t="s">
        <v>17</v>
      </c>
      <c r="H5319" s="1" t="str">
        <f>"76"</f>
        <v>76</v>
      </c>
      <c r="I5319" s="1" t="str">
        <f t="shared" ref="I5319:I5326" si="3087">"160"</f>
        <v>160</v>
      </c>
      <c r="J5319" s="1" t="str">
        <f t="shared" si="3076"/>
        <v>0</v>
      </c>
      <c r="K5319" s="1" t="str">
        <f t="shared" si="3077"/>
        <v>103</v>
      </c>
      <c r="L5319" s="1" t="str">
        <f t="shared" si="3078"/>
        <v>47</v>
      </c>
      <c r="M5319" s="1" t="str">
        <f t="shared" si="3074"/>
        <v>0</v>
      </c>
      <c r="N5319" s="1" t="str">
        <f t="shared" si="3080"/>
        <v>0</v>
      </c>
      <c r="O5319" s="1" t="str">
        <f t="shared" si="3082"/>
        <v>0</v>
      </c>
    </row>
    <row r="5320" s="1" customFormat="1" spans="1:15">
      <c r="A5320" s="1" t="str">
        <f t="shared" si="3085"/>
        <v>202406</v>
      </c>
      <c r="B5320" s="1" t="str">
        <f t="shared" si="3086"/>
        <v>150525100</v>
      </c>
      <c r="C5320" s="1" t="str">
        <f>"1014622958"</f>
        <v>1014622958</v>
      </c>
      <c r="D5320" s="1" t="str">
        <f>"152326194002240415"</f>
        <v>152326194002240415</v>
      </c>
      <c r="E5320" s="1" t="s">
        <v>5257</v>
      </c>
      <c r="F5320" s="1" t="s">
        <v>25</v>
      </c>
      <c r="G5320" s="1" t="s">
        <v>17</v>
      </c>
      <c r="H5320" s="1" t="str">
        <f>"84"</f>
        <v>84</v>
      </c>
      <c r="I5320" s="1" t="str">
        <f>"170"</f>
        <v>170</v>
      </c>
      <c r="J5320" s="1" t="str">
        <f t="shared" si="3076"/>
        <v>0</v>
      </c>
      <c r="K5320" s="1" t="str">
        <f t="shared" si="3077"/>
        <v>103</v>
      </c>
      <c r="L5320" s="1" t="str">
        <f t="shared" si="3078"/>
        <v>47</v>
      </c>
      <c r="M5320" s="1" t="str">
        <f t="shared" si="3074"/>
        <v>0</v>
      </c>
      <c r="N5320" s="1" t="str">
        <f t="shared" si="3080"/>
        <v>0</v>
      </c>
      <c r="O5320" s="1" t="str">
        <f t="shared" si="3082"/>
        <v>0</v>
      </c>
    </row>
    <row r="5321" s="1" customFormat="1" spans="1:15">
      <c r="A5321" s="1" t="str">
        <f t="shared" si="3085"/>
        <v>202406</v>
      </c>
      <c r="B5321" s="1" t="str">
        <f t="shared" si="3086"/>
        <v>150525100</v>
      </c>
      <c r="C5321" s="1" t="str">
        <f>"1014629846"</f>
        <v>1014629846</v>
      </c>
      <c r="D5321" s="1" t="str">
        <f>"152326194607063079"</f>
        <v>152326194607063079</v>
      </c>
      <c r="E5321" s="1" t="s">
        <v>5258</v>
      </c>
      <c r="F5321" s="1" t="s">
        <v>25</v>
      </c>
      <c r="G5321" s="1" t="s">
        <v>17</v>
      </c>
      <c r="H5321" s="1" t="str">
        <f>"78"</f>
        <v>78</v>
      </c>
      <c r="I5321" s="1" t="str">
        <f t="shared" si="3087"/>
        <v>160</v>
      </c>
      <c r="J5321" s="1" t="str">
        <f t="shared" si="3076"/>
        <v>0</v>
      </c>
      <c r="K5321" s="1" t="str">
        <f t="shared" si="3077"/>
        <v>103</v>
      </c>
      <c r="L5321" s="1" t="str">
        <f t="shared" si="3078"/>
        <v>47</v>
      </c>
      <c r="M5321" s="1" t="str">
        <f t="shared" si="3074"/>
        <v>0</v>
      </c>
      <c r="N5321" s="1" t="str">
        <f t="shared" si="3080"/>
        <v>0</v>
      </c>
      <c r="O5321" s="1" t="str">
        <f t="shared" si="3082"/>
        <v>0</v>
      </c>
    </row>
    <row r="5322" s="1" customFormat="1" spans="1:15">
      <c r="A5322" s="1" t="str">
        <f t="shared" si="3085"/>
        <v>202406</v>
      </c>
      <c r="B5322" s="1" t="str">
        <f t="shared" si="3086"/>
        <v>150525100</v>
      </c>
      <c r="C5322" s="1" t="str">
        <f>"1014629848"</f>
        <v>1014629848</v>
      </c>
      <c r="D5322" s="1" t="str">
        <f>"152326194608153084"</f>
        <v>152326194608153084</v>
      </c>
      <c r="E5322" s="1" t="s">
        <v>102</v>
      </c>
      <c r="F5322" s="1" t="s">
        <v>16</v>
      </c>
      <c r="G5322" s="1" t="s">
        <v>17</v>
      </c>
      <c r="H5322" s="1" t="str">
        <f>"78"</f>
        <v>78</v>
      </c>
      <c r="I5322" s="1" t="str">
        <f t="shared" si="3087"/>
        <v>160</v>
      </c>
      <c r="J5322" s="1" t="str">
        <f t="shared" si="3076"/>
        <v>0</v>
      </c>
      <c r="K5322" s="1" t="str">
        <f t="shared" si="3077"/>
        <v>103</v>
      </c>
      <c r="L5322" s="1" t="str">
        <f t="shared" si="3078"/>
        <v>47</v>
      </c>
      <c r="M5322" s="1" t="str">
        <f t="shared" si="3074"/>
        <v>0</v>
      </c>
      <c r="N5322" s="1" t="str">
        <f t="shared" si="3080"/>
        <v>0</v>
      </c>
      <c r="O5322" s="1" t="str">
        <f t="shared" si="3082"/>
        <v>0</v>
      </c>
    </row>
    <row r="5323" s="1" customFormat="1" spans="1:15">
      <c r="A5323" s="1" t="str">
        <f t="shared" si="3085"/>
        <v>202406</v>
      </c>
      <c r="B5323" s="1" t="str">
        <f t="shared" si="3086"/>
        <v>150525100</v>
      </c>
      <c r="C5323" s="1" t="str">
        <f>"1014629892"</f>
        <v>1014629892</v>
      </c>
      <c r="D5323" s="1" t="str">
        <f>"152326194912063825"</f>
        <v>152326194912063825</v>
      </c>
      <c r="E5323" s="1" t="s">
        <v>5259</v>
      </c>
      <c r="F5323" s="1" t="s">
        <v>16</v>
      </c>
      <c r="G5323" s="1" t="s">
        <v>19</v>
      </c>
      <c r="H5323" s="1" t="str">
        <f>"75"</f>
        <v>75</v>
      </c>
      <c r="I5323" s="1" t="str">
        <f t="shared" si="3087"/>
        <v>160</v>
      </c>
      <c r="J5323" s="1" t="str">
        <f t="shared" si="3076"/>
        <v>0</v>
      </c>
      <c r="K5323" s="1" t="str">
        <f t="shared" si="3077"/>
        <v>103</v>
      </c>
      <c r="L5323" s="1" t="str">
        <f t="shared" si="3078"/>
        <v>47</v>
      </c>
      <c r="M5323" s="1" t="str">
        <f t="shared" si="3074"/>
        <v>0</v>
      </c>
      <c r="N5323" s="1" t="str">
        <f t="shared" si="3080"/>
        <v>0</v>
      </c>
      <c r="O5323" s="1" t="str">
        <f t="shared" si="3082"/>
        <v>0</v>
      </c>
    </row>
    <row r="5324" s="1" customFormat="1" spans="1:15">
      <c r="A5324" s="1" t="str">
        <f t="shared" si="3085"/>
        <v>202406</v>
      </c>
      <c r="B5324" s="1" t="str">
        <f t="shared" si="3086"/>
        <v>150525100</v>
      </c>
      <c r="C5324" s="1" t="str">
        <f>"1014629901"</f>
        <v>1014629901</v>
      </c>
      <c r="D5324" s="1" t="str">
        <f>"152326195011083823"</f>
        <v>152326195011083823</v>
      </c>
      <c r="E5324" s="1" t="s">
        <v>5260</v>
      </c>
      <c r="F5324" s="1" t="s">
        <v>16</v>
      </c>
      <c r="G5324" s="1" t="s">
        <v>19</v>
      </c>
      <c r="H5324" s="1" t="str">
        <f>"74"</f>
        <v>74</v>
      </c>
      <c r="I5324" s="1" t="str">
        <f t="shared" si="3087"/>
        <v>160</v>
      </c>
      <c r="J5324" s="1" t="str">
        <f t="shared" si="3076"/>
        <v>0</v>
      </c>
      <c r="K5324" s="1" t="str">
        <f t="shared" si="3077"/>
        <v>103</v>
      </c>
      <c r="L5324" s="1" t="str">
        <f t="shared" si="3078"/>
        <v>47</v>
      </c>
      <c r="M5324" s="1" t="str">
        <f t="shared" si="3074"/>
        <v>0</v>
      </c>
      <c r="N5324" s="1" t="str">
        <f t="shared" si="3080"/>
        <v>0</v>
      </c>
      <c r="O5324" s="1" t="str">
        <f t="shared" si="3082"/>
        <v>0</v>
      </c>
    </row>
    <row r="5325" s="1" customFormat="1" spans="1:15">
      <c r="A5325" s="1" t="str">
        <f t="shared" si="3085"/>
        <v>202406</v>
      </c>
      <c r="B5325" s="1" t="str">
        <f t="shared" si="3086"/>
        <v>150525100</v>
      </c>
      <c r="C5325" s="1" t="str">
        <f>"1014629923"</f>
        <v>1014629923</v>
      </c>
      <c r="D5325" s="1" t="str">
        <f>"152326194601040028"</f>
        <v>152326194601040028</v>
      </c>
      <c r="E5325" s="1" t="s">
        <v>3253</v>
      </c>
      <c r="F5325" s="1" t="s">
        <v>16</v>
      </c>
      <c r="G5325" s="1" t="s">
        <v>17</v>
      </c>
      <c r="H5325" s="1" t="str">
        <f>"79"</f>
        <v>79</v>
      </c>
      <c r="I5325" s="1" t="str">
        <f t="shared" si="3087"/>
        <v>160</v>
      </c>
      <c r="J5325" s="1" t="str">
        <f t="shared" si="3076"/>
        <v>0</v>
      </c>
      <c r="K5325" s="1" t="str">
        <f t="shared" si="3077"/>
        <v>103</v>
      </c>
      <c r="L5325" s="1" t="str">
        <f t="shared" si="3078"/>
        <v>47</v>
      </c>
      <c r="M5325" s="1" t="str">
        <f t="shared" si="3074"/>
        <v>0</v>
      </c>
      <c r="N5325" s="1" t="str">
        <f t="shared" si="3080"/>
        <v>0</v>
      </c>
      <c r="O5325" s="1" t="str">
        <f t="shared" si="3082"/>
        <v>0</v>
      </c>
    </row>
    <row r="5326" s="1" customFormat="1" spans="1:15">
      <c r="A5326" s="1" t="str">
        <f t="shared" si="3085"/>
        <v>202406</v>
      </c>
      <c r="B5326" s="1" t="str">
        <f t="shared" si="3086"/>
        <v>150525100</v>
      </c>
      <c r="C5326" s="1" t="str">
        <f>"1014629936"</f>
        <v>1014629936</v>
      </c>
      <c r="D5326" s="1" t="str">
        <f>"152326195107280012"</f>
        <v>152326195107280012</v>
      </c>
      <c r="E5326" s="1" t="s">
        <v>5261</v>
      </c>
      <c r="F5326" s="1" t="s">
        <v>25</v>
      </c>
      <c r="G5326" s="1" t="s">
        <v>17</v>
      </c>
      <c r="H5326" s="1" t="str">
        <f>"73"</f>
        <v>73</v>
      </c>
      <c r="I5326" s="1" t="str">
        <f t="shared" si="3087"/>
        <v>160</v>
      </c>
      <c r="J5326" s="1" t="str">
        <f t="shared" si="3076"/>
        <v>0</v>
      </c>
      <c r="K5326" s="1" t="str">
        <f t="shared" si="3077"/>
        <v>103</v>
      </c>
      <c r="L5326" s="1" t="str">
        <f t="shared" si="3078"/>
        <v>47</v>
      </c>
      <c r="M5326" s="1" t="str">
        <f t="shared" si="3074"/>
        <v>0</v>
      </c>
      <c r="N5326" s="1" t="str">
        <f t="shared" si="3080"/>
        <v>0</v>
      </c>
      <c r="O5326" s="1" t="str">
        <f t="shared" si="3082"/>
        <v>0</v>
      </c>
    </row>
    <row r="5327" s="1" customFormat="1" spans="1:15">
      <c r="A5327" s="1" t="str">
        <f t="shared" si="3085"/>
        <v>202406</v>
      </c>
      <c r="B5327" s="1" t="str">
        <f t="shared" si="3086"/>
        <v>150525100</v>
      </c>
      <c r="C5327" s="1" t="str">
        <f>"1014562748"</f>
        <v>1014562748</v>
      </c>
      <c r="D5327" s="1" t="str">
        <f>"152326195201260413"</f>
        <v>152326195201260413</v>
      </c>
      <c r="E5327" s="1" t="s">
        <v>5262</v>
      </c>
      <c r="F5327" s="1" t="s">
        <v>25</v>
      </c>
      <c r="G5327" s="1" t="s">
        <v>17</v>
      </c>
      <c r="H5327" s="1" t="str">
        <f>"72"</f>
        <v>72</v>
      </c>
      <c r="I5327" s="1" t="str">
        <f>"162.16"</f>
        <v>162.16</v>
      </c>
      <c r="J5327" s="1" t="str">
        <f t="shared" si="3076"/>
        <v>0</v>
      </c>
      <c r="K5327" s="1" t="str">
        <f t="shared" si="3077"/>
        <v>103</v>
      </c>
      <c r="L5327" s="1" t="str">
        <f t="shared" si="3078"/>
        <v>47</v>
      </c>
      <c r="M5327" s="1" t="str">
        <f t="shared" si="3074"/>
        <v>0</v>
      </c>
      <c r="N5327" s="1" t="str">
        <f t="shared" si="3080"/>
        <v>0</v>
      </c>
      <c r="O5327" s="1" t="str">
        <f>"2.16"</f>
        <v>2.16</v>
      </c>
    </row>
    <row r="5328" s="1" customFormat="1" spans="1:15">
      <c r="A5328" s="1" t="str">
        <f t="shared" si="3085"/>
        <v>202406</v>
      </c>
      <c r="B5328" s="1" t="str">
        <f t="shared" si="3086"/>
        <v>150525100</v>
      </c>
      <c r="C5328" s="1" t="str">
        <f>"1014549843"</f>
        <v>1014549843</v>
      </c>
      <c r="D5328" s="1" t="str">
        <f>"152326196104300676"</f>
        <v>152326196104300676</v>
      </c>
      <c r="E5328" s="1" t="s">
        <v>5263</v>
      </c>
      <c r="F5328" s="1" t="s">
        <v>25</v>
      </c>
      <c r="G5328" s="1" t="s">
        <v>17</v>
      </c>
      <c r="H5328" s="1" t="str">
        <f>"63"</f>
        <v>63</v>
      </c>
      <c r="I5328" s="1" t="str">
        <f>"161.04"</f>
        <v>161.04</v>
      </c>
      <c r="J5328" s="1" t="str">
        <f t="shared" si="3076"/>
        <v>0</v>
      </c>
      <c r="K5328" s="1" t="str">
        <f t="shared" si="3077"/>
        <v>103</v>
      </c>
      <c r="L5328" s="1" t="str">
        <f t="shared" si="3078"/>
        <v>47</v>
      </c>
      <c r="M5328" s="1" t="str">
        <f t="shared" si="3074"/>
        <v>0</v>
      </c>
      <c r="N5328" s="1" t="str">
        <f t="shared" si="3080"/>
        <v>0</v>
      </c>
      <c r="O5328" s="1" t="str">
        <f>"11.04"</f>
        <v>11.04</v>
      </c>
    </row>
    <row r="5329" s="1" customFormat="1" spans="1:15">
      <c r="A5329" s="1" t="str">
        <f t="shared" si="3085"/>
        <v>202406</v>
      </c>
      <c r="B5329" s="1" t="str">
        <f t="shared" si="3086"/>
        <v>150525100</v>
      </c>
      <c r="C5329" s="1" t="str">
        <f>"1014550343"</f>
        <v>1014550343</v>
      </c>
      <c r="D5329" s="1" t="str">
        <f>"152326196210120679"</f>
        <v>152326196210120679</v>
      </c>
      <c r="E5329" s="1" t="s">
        <v>5264</v>
      </c>
      <c r="F5329" s="1" t="s">
        <v>25</v>
      </c>
      <c r="G5329" s="1" t="s">
        <v>17</v>
      </c>
      <c r="H5329" s="1" t="str">
        <f>"62"</f>
        <v>62</v>
      </c>
      <c r="I5329" s="1" t="str">
        <f>"163.16"</f>
        <v>163.16</v>
      </c>
      <c r="J5329" s="1" t="str">
        <f t="shared" si="3076"/>
        <v>0</v>
      </c>
      <c r="K5329" s="1" t="str">
        <f t="shared" si="3077"/>
        <v>103</v>
      </c>
      <c r="L5329" s="1" t="str">
        <f t="shared" si="3078"/>
        <v>47</v>
      </c>
      <c r="M5329" s="1" t="str">
        <f t="shared" si="3074"/>
        <v>0</v>
      </c>
      <c r="N5329" s="1" t="str">
        <f t="shared" si="3080"/>
        <v>0</v>
      </c>
      <c r="O5329" s="1" t="str">
        <f>"13.16"</f>
        <v>13.16</v>
      </c>
    </row>
    <row r="5330" s="1" customFormat="1" spans="1:15">
      <c r="A5330" s="1" t="str">
        <f t="shared" si="3085"/>
        <v>202406</v>
      </c>
      <c r="B5330" s="1" t="str">
        <f t="shared" si="3086"/>
        <v>150525100</v>
      </c>
      <c r="C5330" s="1" t="str">
        <f>"1014550361"</f>
        <v>1014550361</v>
      </c>
      <c r="D5330" s="1" t="str">
        <f>"152326196302230664"</f>
        <v>152326196302230664</v>
      </c>
      <c r="E5330" s="1" t="s">
        <v>5027</v>
      </c>
      <c r="F5330" s="1" t="s">
        <v>16</v>
      </c>
      <c r="G5330" s="1" t="s">
        <v>17</v>
      </c>
      <c r="H5330" s="1" t="str">
        <f>"61"</f>
        <v>61</v>
      </c>
      <c r="I5330" s="1" t="str">
        <f>"167.32"</f>
        <v>167.32</v>
      </c>
      <c r="J5330" s="1" t="str">
        <f t="shared" si="3076"/>
        <v>0</v>
      </c>
      <c r="K5330" s="1" t="str">
        <f t="shared" si="3077"/>
        <v>103</v>
      </c>
      <c r="L5330" s="1" t="str">
        <f t="shared" si="3078"/>
        <v>47</v>
      </c>
      <c r="M5330" s="1" t="str">
        <f t="shared" si="3074"/>
        <v>0</v>
      </c>
      <c r="N5330" s="1" t="str">
        <f t="shared" si="3080"/>
        <v>0</v>
      </c>
      <c r="O5330" s="1" t="str">
        <f>"17.32"</f>
        <v>17.32</v>
      </c>
    </row>
    <row r="5331" s="1" customFormat="1" spans="1:15">
      <c r="A5331" s="1" t="str">
        <f t="shared" si="3085"/>
        <v>202406</v>
      </c>
      <c r="B5331" s="1" t="str">
        <f t="shared" si="3086"/>
        <v>150525100</v>
      </c>
      <c r="C5331" s="1" t="str">
        <f>"1014567705"</f>
        <v>1014567705</v>
      </c>
      <c r="D5331" s="1" t="str">
        <f>"152326195712293815"</f>
        <v>152326195712293815</v>
      </c>
      <c r="E5331" s="1" t="s">
        <v>5265</v>
      </c>
      <c r="F5331" s="1" t="s">
        <v>25</v>
      </c>
      <c r="G5331" s="1" t="s">
        <v>19</v>
      </c>
      <c r="H5331" s="1" t="str">
        <f>"67"</f>
        <v>67</v>
      </c>
      <c r="I5331" s="1" t="str">
        <f>"156.11"</f>
        <v>156.11</v>
      </c>
      <c r="J5331" s="1" t="str">
        <f t="shared" si="3076"/>
        <v>0</v>
      </c>
      <c r="K5331" s="1" t="str">
        <f t="shared" si="3077"/>
        <v>103</v>
      </c>
      <c r="L5331" s="1" t="str">
        <f t="shared" si="3078"/>
        <v>47</v>
      </c>
      <c r="M5331" s="1" t="str">
        <f t="shared" si="3074"/>
        <v>0</v>
      </c>
      <c r="N5331" s="1" t="str">
        <f t="shared" si="3080"/>
        <v>0</v>
      </c>
      <c r="O5331" s="1" t="str">
        <f>"6.11"</f>
        <v>6.11</v>
      </c>
    </row>
    <row r="5332" s="1" customFormat="1" spans="1:15">
      <c r="A5332" s="1" t="str">
        <f t="shared" si="3085"/>
        <v>202406</v>
      </c>
      <c r="B5332" s="1" t="str">
        <f t="shared" si="3086"/>
        <v>150525100</v>
      </c>
      <c r="C5332" s="1" t="str">
        <f>"1014562767"</f>
        <v>1014562767</v>
      </c>
      <c r="D5332" s="1" t="s">
        <v>5266</v>
      </c>
      <c r="E5332" s="1" t="s">
        <v>5267</v>
      </c>
      <c r="F5332" s="1" t="s">
        <v>16</v>
      </c>
      <c r="G5332" s="1" t="s">
        <v>17</v>
      </c>
      <c r="H5332" s="1" t="str">
        <f>"62"</f>
        <v>62</v>
      </c>
      <c r="I5332" s="1" t="str">
        <f>"165.44"</f>
        <v>165.44</v>
      </c>
      <c r="J5332" s="1" t="str">
        <f t="shared" si="3076"/>
        <v>0</v>
      </c>
      <c r="K5332" s="1" t="str">
        <f t="shared" si="3077"/>
        <v>103</v>
      </c>
      <c r="L5332" s="1" t="str">
        <f t="shared" si="3078"/>
        <v>47</v>
      </c>
      <c r="M5332" s="1" t="str">
        <f t="shared" si="3074"/>
        <v>0</v>
      </c>
      <c r="N5332" s="1" t="str">
        <f t="shared" si="3080"/>
        <v>0</v>
      </c>
      <c r="O5332" s="1" t="str">
        <f>"15.44"</f>
        <v>15.44</v>
      </c>
    </row>
    <row r="5333" s="1" customFormat="1" spans="1:15">
      <c r="A5333" s="1" t="str">
        <f t="shared" si="3085"/>
        <v>202406</v>
      </c>
      <c r="B5333" s="1" t="str">
        <f t="shared" si="3086"/>
        <v>150525100</v>
      </c>
      <c r="C5333" s="1" t="str">
        <f>"1014562775"</f>
        <v>1014562775</v>
      </c>
      <c r="D5333" s="1" t="s">
        <v>5268</v>
      </c>
      <c r="E5333" s="1" t="s">
        <v>5269</v>
      </c>
      <c r="F5333" s="1" t="s">
        <v>25</v>
      </c>
      <c r="G5333" s="1" t="s">
        <v>17</v>
      </c>
      <c r="H5333" s="1" t="str">
        <f>"71"</f>
        <v>71</v>
      </c>
      <c r="I5333" s="1" t="str">
        <f>"163.18"</f>
        <v>163.18</v>
      </c>
      <c r="J5333" s="1" t="str">
        <f t="shared" si="3076"/>
        <v>0</v>
      </c>
      <c r="K5333" s="1" t="str">
        <f t="shared" si="3077"/>
        <v>103</v>
      </c>
      <c r="L5333" s="1" t="str">
        <f t="shared" si="3078"/>
        <v>47</v>
      </c>
      <c r="M5333" s="1" t="str">
        <f t="shared" si="3074"/>
        <v>0</v>
      </c>
      <c r="N5333" s="1" t="str">
        <f t="shared" si="3080"/>
        <v>0</v>
      </c>
      <c r="O5333" s="1" t="str">
        <f>"3.18"</f>
        <v>3.18</v>
      </c>
    </row>
    <row r="5334" s="1" customFormat="1" spans="1:15">
      <c r="A5334" s="1" t="str">
        <f t="shared" si="3085"/>
        <v>202406</v>
      </c>
      <c r="B5334" s="1" t="str">
        <f t="shared" si="3086"/>
        <v>150525100</v>
      </c>
      <c r="C5334" s="1" t="str">
        <f>"1014562784"</f>
        <v>1014562784</v>
      </c>
      <c r="D5334" s="1" t="str">
        <f>"152326195306120425"</f>
        <v>152326195306120425</v>
      </c>
      <c r="E5334" s="1" t="s">
        <v>5270</v>
      </c>
      <c r="F5334" s="1" t="s">
        <v>16</v>
      </c>
      <c r="G5334" s="1" t="s">
        <v>19</v>
      </c>
      <c r="H5334" s="1" t="str">
        <f>"71"</f>
        <v>71</v>
      </c>
      <c r="I5334" s="1" t="str">
        <f>"163.18"</f>
        <v>163.18</v>
      </c>
      <c r="J5334" s="1" t="str">
        <f t="shared" si="3076"/>
        <v>0</v>
      </c>
      <c r="K5334" s="1" t="str">
        <f t="shared" si="3077"/>
        <v>103</v>
      </c>
      <c r="L5334" s="1" t="str">
        <f t="shared" si="3078"/>
        <v>47</v>
      </c>
      <c r="M5334" s="1" t="str">
        <f t="shared" si="3074"/>
        <v>0</v>
      </c>
      <c r="N5334" s="1" t="str">
        <f t="shared" si="3080"/>
        <v>0</v>
      </c>
      <c r="O5334" s="1" t="str">
        <f>"3.18"</f>
        <v>3.18</v>
      </c>
    </row>
    <row r="5335" s="1" customFormat="1" spans="1:15">
      <c r="A5335" s="1" t="str">
        <f t="shared" si="3085"/>
        <v>202406</v>
      </c>
      <c r="B5335" s="1" t="str">
        <f t="shared" si="3086"/>
        <v>150525100</v>
      </c>
      <c r="C5335" s="1" t="str">
        <f>"1014569582"</f>
        <v>1014569582</v>
      </c>
      <c r="D5335" s="1" t="str">
        <f>"152326195609070429"</f>
        <v>152326195609070429</v>
      </c>
      <c r="E5335" s="1" t="s">
        <v>5271</v>
      </c>
      <c r="F5335" s="1" t="s">
        <v>16</v>
      </c>
      <c r="G5335" s="1" t="s">
        <v>17</v>
      </c>
      <c r="H5335" s="1" t="str">
        <f>"68"</f>
        <v>68</v>
      </c>
      <c r="I5335" s="1" t="str">
        <f>"156"</f>
        <v>156</v>
      </c>
      <c r="J5335" s="1" t="str">
        <f t="shared" si="3076"/>
        <v>0</v>
      </c>
      <c r="K5335" s="1" t="str">
        <f t="shared" si="3077"/>
        <v>103</v>
      </c>
      <c r="L5335" s="1" t="str">
        <f t="shared" si="3078"/>
        <v>47</v>
      </c>
      <c r="M5335" s="1" t="str">
        <f t="shared" si="3074"/>
        <v>0</v>
      </c>
      <c r="N5335" s="1" t="str">
        <f t="shared" si="3080"/>
        <v>0</v>
      </c>
      <c r="O5335" s="1" t="str">
        <f>"6"</f>
        <v>6</v>
      </c>
    </row>
    <row r="5336" s="1" customFormat="1" spans="1:15">
      <c r="A5336" s="1" t="str">
        <f t="shared" si="3085"/>
        <v>202406</v>
      </c>
      <c r="B5336" s="1" t="str">
        <f t="shared" si="3086"/>
        <v>150525100</v>
      </c>
      <c r="C5336" s="1" t="str">
        <f>"1014569597"</f>
        <v>1014569597</v>
      </c>
      <c r="D5336" s="1" t="str">
        <f>"152326196010100438"</f>
        <v>152326196010100438</v>
      </c>
      <c r="E5336" s="1" t="s">
        <v>5272</v>
      </c>
      <c r="F5336" s="1" t="s">
        <v>25</v>
      </c>
      <c r="G5336" s="1" t="s">
        <v>19</v>
      </c>
      <c r="H5336" s="1" t="str">
        <f>"64"</f>
        <v>64</v>
      </c>
      <c r="I5336" s="1" t="str">
        <f>"159.27"</f>
        <v>159.27</v>
      </c>
      <c r="J5336" s="1" t="str">
        <f t="shared" si="3076"/>
        <v>0</v>
      </c>
      <c r="K5336" s="1" t="str">
        <f t="shared" si="3077"/>
        <v>103</v>
      </c>
      <c r="L5336" s="1" t="str">
        <f t="shared" si="3078"/>
        <v>47</v>
      </c>
      <c r="M5336" s="1" t="str">
        <f t="shared" si="3074"/>
        <v>0</v>
      </c>
      <c r="N5336" s="1" t="str">
        <f t="shared" si="3080"/>
        <v>0</v>
      </c>
      <c r="O5336" s="1" t="str">
        <f>"9.27"</f>
        <v>9.27</v>
      </c>
    </row>
    <row r="5337" s="1" customFormat="1" spans="1:15">
      <c r="A5337" s="1" t="str">
        <f t="shared" si="3085"/>
        <v>202406</v>
      </c>
      <c r="B5337" s="1" t="str">
        <f t="shared" si="3086"/>
        <v>150525100</v>
      </c>
      <c r="C5337" s="1" t="str">
        <f>"1014549847"</f>
        <v>1014549847</v>
      </c>
      <c r="D5337" s="1" t="str">
        <f>"152326196109030660"</f>
        <v>152326196109030660</v>
      </c>
      <c r="E5337" s="1" t="s">
        <v>5273</v>
      </c>
      <c r="F5337" s="1" t="s">
        <v>16</v>
      </c>
      <c r="G5337" s="1" t="s">
        <v>19</v>
      </c>
      <c r="H5337" s="1" t="str">
        <f>"63"</f>
        <v>63</v>
      </c>
      <c r="I5337" s="1" t="str">
        <f>"161.11"</f>
        <v>161.11</v>
      </c>
      <c r="J5337" s="1" t="str">
        <f t="shared" si="3076"/>
        <v>0</v>
      </c>
      <c r="K5337" s="1" t="str">
        <f t="shared" si="3077"/>
        <v>103</v>
      </c>
      <c r="L5337" s="1" t="str">
        <f t="shared" si="3078"/>
        <v>47</v>
      </c>
      <c r="M5337" s="1" t="str">
        <f t="shared" si="3074"/>
        <v>0</v>
      </c>
      <c r="N5337" s="1" t="str">
        <f t="shared" si="3080"/>
        <v>0</v>
      </c>
      <c r="O5337" s="1" t="str">
        <f>"11.11"</f>
        <v>11.11</v>
      </c>
    </row>
    <row r="5338" s="1" customFormat="1" spans="1:15">
      <c r="A5338" s="1" t="str">
        <f t="shared" si="3085"/>
        <v>202406</v>
      </c>
      <c r="B5338" s="1" t="str">
        <f t="shared" si="3086"/>
        <v>150525100</v>
      </c>
      <c r="C5338" s="1" t="str">
        <f>"1014550380"</f>
        <v>1014550380</v>
      </c>
      <c r="D5338" s="1" t="str">
        <f>"152326196308250674"</f>
        <v>152326196308250674</v>
      </c>
      <c r="E5338" s="1" t="s">
        <v>4734</v>
      </c>
      <c r="F5338" s="1" t="s">
        <v>25</v>
      </c>
      <c r="G5338" s="1" t="s">
        <v>17</v>
      </c>
      <c r="H5338" s="1" t="str">
        <f>"61"</f>
        <v>61</v>
      </c>
      <c r="I5338" s="1" t="str">
        <f>"171.53"</f>
        <v>171.53</v>
      </c>
      <c r="J5338" s="1" t="str">
        <f t="shared" si="3076"/>
        <v>0</v>
      </c>
      <c r="K5338" s="1" t="str">
        <f t="shared" si="3077"/>
        <v>103</v>
      </c>
      <c r="L5338" s="1" t="str">
        <f t="shared" si="3078"/>
        <v>47</v>
      </c>
      <c r="M5338" s="1" t="str">
        <f t="shared" si="3074"/>
        <v>0</v>
      </c>
      <c r="N5338" s="1" t="str">
        <f t="shared" si="3080"/>
        <v>0</v>
      </c>
      <c r="O5338" s="1" t="str">
        <f>"21.53"</f>
        <v>21.53</v>
      </c>
    </row>
    <row r="5339" s="1" customFormat="1" spans="1:15">
      <c r="A5339" s="1" t="str">
        <f t="shared" si="3085"/>
        <v>202406</v>
      </c>
      <c r="B5339" s="1" t="str">
        <f t="shared" si="3086"/>
        <v>150525100</v>
      </c>
      <c r="C5339" s="1" t="str">
        <f>"1014550398"</f>
        <v>1014550398</v>
      </c>
      <c r="D5339" s="1" t="s">
        <v>5274</v>
      </c>
      <c r="E5339" s="1" t="s">
        <v>655</v>
      </c>
      <c r="F5339" s="1" t="s">
        <v>16</v>
      </c>
      <c r="G5339" s="1" t="s">
        <v>17</v>
      </c>
      <c r="H5339" s="1" t="str">
        <f>"72"</f>
        <v>72</v>
      </c>
      <c r="I5339" s="1" t="str">
        <f>"162.15"</f>
        <v>162.15</v>
      </c>
      <c r="J5339" s="1" t="str">
        <f t="shared" si="3076"/>
        <v>0</v>
      </c>
      <c r="K5339" s="1" t="str">
        <f t="shared" si="3077"/>
        <v>103</v>
      </c>
      <c r="L5339" s="1" t="str">
        <f t="shared" si="3078"/>
        <v>47</v>
      </c>
      <c r="M5339" s="1" t="str">
        <f t="shared" si="3074"/>
        <v>0</v>
      </c>
      <c r="N5339" s="1" t="str">
        <f t="shared" si="3080"/>
        <v>0</v>
      </c>
      <c r="O5339" s="1" t="str">
        <f>"2.15"</f>
        <v>2.15</v>
      </c>
    </row>
    <row r="5340" s="1" customFormat="1" spans="1:15">
      <c r="A5340" s="1" t="str">
        <f t="shared" si="3085"/>
        <v>202406</v>
      </c>
      <c r="B5340" s="1" t="str">
        <f t="shared" si="3086"/>
        <v>150525100</v>
      </c>
      <c r="C5340" s="1" t="str">
        <f>"1014548986"</f>
        <v>1014548986</v>
      </c>
      <c r="D5340" s="1" t="str">
        <f>"152326195301253333"</f>
        <v>152326195301253333</v>
      </c>
      <c r="E5340" s="1" t="s">
        <v>5275</v>
      </c>
      <c r="F5340" s="1" t="s">
        <v>25</v>
      </c>
      <c r="G5340" s="1" t="s">
        <v>19</v>
      </c>
      <c r="H5340" s="1" t="str">
        <f>"71"</f>
        <v>71</v>
      </c>
      <c r="I5340" s="1" t="str">
        <f>"163.16"</f>
        <v>163.16</v>
      </c>
      <c r="J5340" s="1" t="str">
        <f t="shared" si="3076"/>
        <v>0</v>
      </c>
      <c r="K5340" s="1" t="str">
        <f t="shared" si="3077"/>
        <v>103</v>
      </c>
      <c r="L5340" s="1" t="str">
        <f t="shared" si="3078"/>
        <v>47</v>
      </c>
      <c r="M5340" s="1" t="str">
        <f t="shared" si="3074"/>
        <v>0</v>
      </c>
      <c r="N5340" s="1" t="str">
        <f t="shared" si="3080"/>
        <v>0</v>
      </c>
      <c r="O5340" s="1" t="str">
        <f>"3.16"</f>
        <v>3.16</v>
      </c>
    </row>
    <row r="5341" s="1" customFormat="1" spans="1:15">
      <c r="A5341" s="1" t="str">
        <f t="shared" si="3085"/>
        <v>202406</v>
      </c>
      <c r="B5341" s="1" t="str">
        <f t="shared" si="3086"/>
        <v>150525100</v>
      </c>
      <c r="C5341" s="1" t="str">
        <f>"1014584908"</f>
        <v>1014584908</v>
      </c>
      <c r="D5341" s="1" t="str">
        <f>"152326196106250414"</f>
        <v>152326196106250414</v>
      </c>
      <c r="E5341" s="1" t="s">
        <v>5276</v>
      </c>
      <c r="F5341" s="1" t="s">
        <v>25</v>
      </c>
      <c r="G5341" s="1" t="s">
        <v>19</v>
      </c>
      <c r="H5341" s="1" t="str">
        <f>"63"</f>
        <v>63</v>
      </c>
      <c r="I5341" s="1" t="str">
        <f>"160.31"</f>
        <v>160.31</v>
      </c>
      <c r="J5341" s="1" t="str">
        <f t="shared" si="3076"/>
        <v>0</v>
      </c>
      <c r="K5341" s="1" t="str">
        <f t="shared" si="3077"/>
        <v>103</v>
      </c>
      <c r="L5341" s="1" t="str">
        <f t="shared" si="3078"/>
        <v>47</v>
      </c>
      <c r="M5341" s="1" t="str">
        <f t="shared" si="3074"/>
        <v>0</v>
      </c>
      <c r="N5341" s="1" t="str">
        <f t="shared" si="3080"/>
        <v>0</v>
      </c>
      <c r="O5341" s="1" t="str">
        <f>"10.31"</f>
        <v>10.31</v>
      </c>
    </row>
    <row r="5342" s="1" customFormat="1" spans="1:15">
      <c r="A5342" s="1" t="str">
        <f t="shared" si="3085"/>
        <v>202406</v>
      </c>
      <c r="B5342" s="1" t="str">
        <f t="shared" si="3086"/>
        <v>150525100</v>
      </c>
      <c r="C5342" s="1" t="str">
        <f>"1040641580"</f>
        <v>1040641580</v>
      </c>
      <c r="D5342" s="1" t="str">
        <f>"152326196011133071"</f>
        <v>152326196011133071</v>
      </c>
      <c r="E5342" s="1" t="s">
        <v>3283</v>
      </c>
      <c r="F5342" s="1" t="s">
        <v>25</v>
      </c>
      <c r="G5342" s="1" t="s">
        <v>17</v>
      </c>
      <c r="H5342" s="1" t="str">
        <f>"64"</f>
        <v>64</v>
      </c>
      <c r="I5342" s="1" t="str">
        <f>"158.65"</f>
        <v>158.65</v>
      </c>
      <c r="J5342" s="1" t="str">
        <f t="shared" si="3076"/>
        <v>0</v>
      </c>
      <c r="K5342" s="1" t="str">
        <f t="shared" si="3077"/>
        <v>103</v>
      </c>
      <c r="L5342" s="1" t="str">
        <f t="shared" si="3078"/>
        <v>47</v>
      </c>
      <c r="M5342" s="1" t="str">
        <f t="shared" si="3074"/>
        <v>0</v>
      </c>
      <c r="N5342" s="1" t="str">
        <f t="shared" si="3080"/>
        <v>0</v>
      </c>
      <c r="O5342" s="1" t="str">
        <f>"8.65"</f>
        <v>8.65</v>
      </c>
    </row>
    <row r="5343" s="1" customFormat="1" spans="1:15">
      <c r="A5343" s="1" t="str">
        <f t="shared" si="3085"/>
        <v>202406</v>
      </c>
      <c r="B5343" s="1" t="str">
        <f t="shared" si="3086"/>
        <v>150525100</v>
      </c>
      <c r="C5343" s="1" t="str">
        <f>"1040681572"</f>
        <v>1040681572</v>
      </c>
      <c r="D5343" s="1" t="str">
        <f>"152326196310010020"</f>
        <v>152326196310010020</v>
      </c>
      <c r="E5343" s="1" t="s">
        <v>1893</v>
      </c>
      <c r="F5343" s="1" t="s">
        <v>16</v>
      </c>
      <c r="G5343" s="1" t="s">
        <v>17</v>
      </c>
      <c r="H5343" s="1" t="str">
        <f>"61"</f>
        <v>61</v>
      </c>
      <c r="I5343" s="1" t="str">
        <f>"205.24"</f>
        <v>205.24</v>
      </c>
      <c r="J5343" s="1" t="str">
        <f t="shared" si="3076"/>
        <v>0</v>
      </c>
      <c r="K5343" s="1" t="str">
        <f t="shared" si="3077"/>
        <v>103</v>
      </c>
      <c r="L5343" s="1" t="str">
        <f t="shared" si="3078"/>
        <v>47</v>
      </c>
      <c r="M5343" s="1" t="str">
        <f t="shared" si="3074"/>
        <v>0</v>
      </c>
      <c r="N5343" s="1" t="str">
        <f t="shared" si="3080"/>
        <v>0</v>
      </c>
      <c r="O5343" s="1" t="str">
        <f>"55.24"</f>
        <v>55.24</v>
      </c>
    </row>
    <row r="5344" s="1" customFormat="1" spans="1:15">
      <c r="A5344" s="1" t="str">
        <f t="shared" si="3085"/>
        <v>202406</v>
      </c>
      <c r="B5344" s="1" t="str">
        <f t="shared" si="3086"/>
        <v>150525100</v>
      </c>
      <c r="C5344" s="1" t="str">
        <f>"1040681585"</f>
        <v>1040681585</v>
      </c>
      <c r="D5344" s="1" t="str">
        <f>"152326195711090020"</f>
        <v>152326195711090020</v>
      </c>
      <c r="E5344" s="1" t="s">
        <v>5277</v>
      </c>
      <c r="F5344" s="1" t="s">
        <v>16</v>
      </c>
      <c r="G5344" s="1" t="s">
        <v>19</v>
      </c>
      <c r="H5344" s="1" t="str">
        <f>"67"</f>
        <v>67</v>
      </c>
      <c r="I5344" s="1" t="str">
        <f>"154.88"</f>
        <v>154.88</v>
      </c>
      <c r="J5344" s="1" t="str">
        <f t="shared" si="3076"/>
        <v>0</v>
      </c>
      <c r="K5344" s="1" t="str">
        <f t="shared" si="3077"/>
        <v>103</v>
      </c>
      <c r="L5344" s="1" t="str">
        <f t="shared" si="3078"/>
        <v>47</v>
      </c>
      <c r="M5344" s="1" t="str">
        <f t="shared" ref="M5344:M5407" si="3088">"0"</f>
        <v>0</v>
      </c>
      <c r="N5344" s="1" t="str">
        <f t="shared" si="3080"/>
        <v>0</v>
      </c>
      <c r="O5344" s="1" t="str">
        <f>"4.88"</f>
        <v>4.88</v>
      </c>
    </row>
    <row r="5345" s="1" customFormat="1" spans="1:15">
      <c r="A5345" s="1" t="str">
        <f t="shared" si="3085"/>
        <v>202406</v>
      </c>
      <c r="B5345" s="1" t="str">
        <f t="shared" si="3086"/>
        <v>150525100</v>
      </c>
      <c r="C5345" s="1" t="str">
        <f>"1040681509"</f>
        <v>1040681509</v>
      </c>
      <c r="D5345" s="1" t="str">
        <f>"152326195710143813"</f>
        <v>152326195710143813</v>
      </c>
      <c r="E5345" s="1" t="s">
        <v>5278</v>
      </c>
      <c r="F5345" s="1" t="s">
        <v>25</v>
      </c>
      <c r="G5345" s="1" t="s">
        <v>19</v>
      </c>
      <c r="H5345" s="1" t="str">
        <f>"67"</f>
        <v>67</v>
      </c>
      <c r="I5345" s="1" t="str">
        <f>"154.88"</f>
        <v>154.88</v>
      </c>
      <c r="J5345" s="1" t="str">
        <f t="shared" si="3076"/>
        <v>0</v>
      </c>
      <c r="K5345" s="1" t="str">
        <f t="shared" si="3077"/>
        <v>103</v>
      </c>
      <c r="L5345" s="1" t="str">
        <f t="shared" si="3078"/>
        <v>47</v>
      </c>
      <c r="M5345" s="1" t="str">
        <f t="shared" si="3088"/>
        <v>0</v>
      </c>
      <c r="N5345" s="1" t="str">
        <f t="shared" si="3080"/>
        <v>0</v>
      </c>
      <c r="O5345" s="1" t="str">
        <f>"4.88"</f>
        <v>4.88</v>
      </c>
    </row>
    <row r="5346" s="1" customFormat="1" spans="1:15">
      <c r="A5346" s="1" t="str">
        <f t="shared" si="3085"/>
        <v>202406</v>
      </c>
      <c r="B5346" s="1" t="str">
        <f t="shared" si="3086"/>
        <v>150525100</v>
      </c>
      <c r="C5346" s="1" t="str">
        <f>"1040681511"</f>
        <v>1040681511</v>
      </c>
      <c r="D5346" s="1" t="str">
        <f>"152326196007123823"</f>
        <v>152326196007123823</v>
      </c>
      <c r="E5346" s="1" t="s">
        <v>5279</v>
      </c>
      <c r="F5346" s="1" t="s">
        <v>16</v>
      </c>
      <c r="G5346" s="1" t="s">
        <v>19</v>
      </c>
      <c r="H5346" s="1" t="str">
        <f>"64"</f>
        <v>64</v>
      </c>
      <c r="I5346" s="1" t="str">
        <f>"157.97"</f>
        <v>157.97</v>
      </c>
      <c r="J5346" s="1" t="str">
        <f t="shared" si="3076"/>
        <v>0</v>
      </c>
      <c r="K5346" s="1" t="str">
        <f t="shared" si="3077"/>
        <v>103</v>
      </c>
      <c r="L5346" s="1" t="str">
        <f t="shared" si="3078"/>
        <v>47</v>
      </c>
      <c r="M5346" s="1" t="str">
        <f t="shared" si="3088"/>
        <v>0</v>
      </c>
      <c r="N5346" s="1" t="str">
        <f t="shared" si="3080"/>
        <v>0</v>
      </c>
      <c r="O5346" s="1" t="str">
        <f>"7.97"</f>
        <v>7.97</v>
      </c>
    </row>
    <row r="5347" s="1" customFormat="1" spans="1:15">
      <c r="A5347" s="1" t="str">
        <f t="shared" si="3085"/>
        <v>202406</v>
      </c>
      <c r="B5347" s="1" t="str">
        <f t="shared" si="3086"/>
        <v>150525100</v>
      </c>
      <c r="C5347" s="1" t="str">
        <f>"1040681537"</f>
        <v>1040681537</v>
      </c>
      <c r="D5347" s="1" t="str">
        <f>"152326195606023088"</f>
        <v>152326195606023088</v>
      </c>
      <c r="E5347" s="1" t="s">
        <v>5280</v>
      </c>
      <c r="F5347" s="1" t="s">
        <v>16</v>
      </c>
      <c r="G5347" s="1" t="s">
        <v>17</v>
      </c>
      <c r="H5347" s="1" t="str">
        <f>"68"</f>
        <v>68</v>
      </c>
      <c r="I5347" s="1" t="str">
        <f>"154.82"</f>
        <v>154.82</v>
      </c>
      <c r="J5347" s="1" t="str">
        <f t="shared" si="3076"/>
        <v>0</v>
      </c>
      <c r="K5347" s="1" t="str">
        <f t="shared" si="3077"/>
        <v>103</v>
      </c>
      <c r="L5347" s="1" t="str">
        <f t="shared" si="3078"/>
        <v>47</v>
      </c>
      <c r="M5347" s="1" t="str">
        <f t="shared" si="3088"/>
        <v>0</v>
      </c>
      <c r="N5347" s="1" t="str">
        <f t="shared" si="3080"/>
        <v>0</v>
      </c>
      <c r="O5347" s="1" t="str">
        <f>"4.82"</f>
        <v>4.82</v>
      </c>
    </row>
    <row r="5348" s="1" customFormat="1" spans="1:15">
      <c r="A5348" s="1" t="str">
        <f t="shared" si="3085"/>
        <v>202406</v>
      </c>
      <c r="B5348" s="1" t="str">
        <f t="shared" si="3086"/>
        <v>150525100</v>
      </c>
      <c r="C5348" s="1" t="str">
        <f>"1040681611"</f>
        <v>1040681611</v>
      </c>
      <c r="D5348" s="1" t="str">
        <f>"152326195907171201"</f>
        <v>152326195907171201</v>
      </c>
      <c r="E5348" s="1" t="s">
        <v>5281</v>
      </c>
      <c r="F5348" s="1" t="s">
        <v>16</v>
      </c>
      <c r="G5348" s="1" t="s">
        <v>19</v>
      </c>
      <c r="H5348" s="1" t="str">
        <f>"65"</f>
        <v>65</v>
      </c>
      <c r="I5348" s="1" t="str">
        <f>"156.91"</f>
        <v>156.91</v>
      </c>
      <c r="J5348" s="1" t="str">
        <f t="shared" si="3076"/>
        <v>0</v>
      </c>
      <c r="K5348" s="1" t="str">
        <f t="shared" si="3077"/>
        <v>103</v>
      </c>
      <c r="L5348" s="1" t="str">
        <f t="shared" si="3078"/>
        <v>47</v>
      </c>
      <c r="M5348" s="1" t="str">
        <f t="shared" si="3088"/>
        <v>0</v>
      </c>
      <c r="N5348" s="1" t="str">
        <f t="shared" si="3080"/>
        <v>0</v>
      </c>
      <c r="O5348" s="1" t="str">
        <f>"6.91"</f>
        <v>6.91</v>
      </c>
    </row>
    <row r="5349" s="1" customFormat="1" spans="1:15">
      <c r="A5349" s="1" t="str">
        <f t="shared" si="3085"/>
        <v>202406</v>
      </c>
      <c r="B5349" s="1" t="str">
        <f t="shared" si="3086"/>
        <v>150525100</v>
      </c>
      <c r="C5349" s="1" t="str">
        <f>"1040681615"</f>
        <v>1040681615</v>
      </c>
      <c r="D5349" s="1" t="str">
        <f>"152326195510223827"</f>
        <v>152326195510223827</v>
      </c>
      <c r="E5349" s="1" t="s">
        <v>5282</v>
      </c>
      <c r="F5349" s="1" t="s">
        <v>16</v>
      </c>
      <c r="G5349" s="1" t="s">
        <v>17</v>
      </c>
      <c r="H5349" s="1" t="str">
        <f>"69"</f>
        <v>69</v>
      </c>
      <c r="I5349" s="1" t="str">
        <f>"153.81"</f>
        <v>153.81</v>
      </c>
      <c r="J5349" s="1" t="str">
        <f t="shared" si="3076"/>
        <v>0</v>
      </c>
      <c r="K5349" s="1" t="str">
        <f t="shared" si="3077"/>
        <v>103</v>
      </c>
      <c r="L5349" s="1" t="str">
        <f t="shared" si="3078"/>
        <v>47</v>
      </c>
      <c r="M5349" s="1" t="str">
        <f t="shared" si="3088"/>
        <v>0</v>
      </c>
      <c r="N5349" s="1" t="str">
        <f t="shared" si="3080"/>
        <v>0</v>
      </c>
      <c r="O5349" s="1" t="str">
        <f>"3.81"</f>
        <v>3.81</v>
      </c>
    </row>
    <row r="5350" s="1" customFormat="1" spans="1:15">
      <c r="A5350" s="1" t="str">
        <f t="shared" si="3085"/>
        <v>202406</v>
      </c>
      <c r="B5350" s="1" t="str">
        <f t="shared" si="3086"/>
        <v>150525100</v>
      </c>
      <c r="C5350" s="1" t="str">
        <f>"1040681619"</f>
        <v>1040681619</v>
      </c>
      <c r="D5350" s="1" t="s">
        <v>5283</v>
      </c>
      <c r="E5350" s="1" t="s">
        <v>5284</v>
      </c>
      <c r="F5350" s="1" t="s">
        <v>25</v>
      </c>
      <c r="G5350" s="1" t="s">
        <v>17</v>
      </c>
      <c r="H5350" s="1" t="str">
        <f>"63"</f>
        <v>63</v>
      </c>
      <c r="I5350" s="1" t="str">
        <f>"159.83"</f>
        <v>159.83</v>
      </c>
      <c r="J5350" s="1" t="str">
        <f t="shared" si="3076"/>
        <v>0</v>
      </c>
      <c r="K5350" s="1" t="str">
        <f t="shared" si="3077"/>
        <v>103</v>
      </c>
      <c r="L5350" s="1" t="str">
        <f t="shared" si="3078"/>
        <v>47</v>
      </c>
      <c r="M5350" s="1" t="str">
        <f t="shared" si="3088"/>
        <v>0</v>
      </c>
      <c r="N5350" s="1" t="str">
        <f t="shared" si="3080"/>
        <v>0</v>
      </c>
      <c r="O5350" s="1" t="str">
        <f>"9.83"</f>
        <v>9.83</v>
      </c>
    </row>
    <row r="5351" s="1" customFormat="1" spans="1:15">
      <c r="A5351" s="1" t="str">
        <f t="shared" si="3085"/>
        <v>202406</v>
      </c>
      <c r="B5351" s="1" t="str">
        <f t="shared" si="3086"/>
        <v>150525100</v>
      </c>
      <c r="C5351" s="1" t="str">
        <f>"1040681625"</f>
        <v>1040681625</v>
      </c>
      <c r="D5351" s="1" t="str">
        <f>"152326196310023817"</f>
        <v>152326196310023817</v>
      </c>
      <c r="E5351" s="1" t="s">
        <v>5285</v>
      </c>
      <c r="F5351" s="1" t="s">
        <v>25</v>
      </c>
      <c r="G5351" s="1" t="s">
        <v>19</v>
      </c>
      <c r="H5351" s="1" t="str">
        <f>"61"</f>
        <v>61</v>
      </c>
      <c r="I5351" s="1" t="str">
        <f>"176.95"</f>
        <v>176.95</v>
      </c>
      <c r="J5351" s="1" t="str">
        <f t="shared" si="3076"/>
        <v>0</v>
      </c>
      <c r="K5351" s="1" t="str">
        <f t="shared" si="3077"/>
        <v>103</v>
      </c>
      <c r="L5351" s="1" t="str">
        <f t="shared" si="3078"/>
        <v>47</v>
      </c>
      <c r="M5351" s="1" t="str">
        <f t="shared" si="3088"/>
        <v>0</v>
      </c>
      <c r="N5351" s="1" t="str">
        <f t="shared" si="3080"/>
        <v>0</v>
      </c>
      <c r="O5351" s="1" t="str">
        <f>"26.95"</f>
        <v>26.95</v>
      </c>
    </row>
    <row r="5352" s="1" customFormat="1" spans="1:15">
      <c r="A5352" s="1" t="str">
        <f t="shared" si="3085"/>
        <v>202406</v>
      </c>
      <c r="B5352" s="1" t="str">
        <f t="shared" si="3086"/>
        <v>150525100</v>
      </c>
      <c r="C5352" s="1" t="str">
        <f>"1014612791"</f>
        <v>1014612791</v>
      </c>
      <c r="D5352" s="1" t="s">
        <v>5286</v>
      </c>
      <c r="E5352" s="1" t="s">
        <v>5287</v>
      </c>
      <c r="F5352" s="1" t="s">
        <v>25</v>
      </c>
      <c r="G5352" s="1" t="s">
        <v>19</v>
      </c>
      <c r="H5352" s="1" t="str">
        <f>"74"</f>
        <v>74</v>
      </c>
      <c r="I5352" s="1" t="str">
        <f t="shared" ref="I5352:I5360" si="3089">"160"</f>
        <v>160</v>
      </c>
      <c r="J5352" s="1" t="str">
        <f t="shared" si="3076"/>
        <v>0</v>
      </c>
      <c r="K5352" s="1" t="str">
        <f t="shared" si="3077"/>
        <v>103</v>
      </c>
      <c r="L5352" s="1" t="str">
        <f t="shared" si="3078"/>
        <v>47</v>
      </c>
      <c r="M5352" s="1" t="str">
        <f t="shared" si="3088"/>
        <v>0</v>
      </c>
      <c r="N5352" s="1" t="str">
        <f t="shared" si="3080"/>
        <v>0</v>
      </c>
      <c r="O5352" s="1" t="str">
        <f t="shared" ref="O5352:O5384" si="3090">"0"</f>
        <v>0</v>
      </c>
    </row>
    <row r="5353" s="1" customFormat="1" spans="1:15">
      <c r="A5353" s="1" t="str">
        <f t="shared" si="3085"/>
        <v>202406</v>
      </c>
      <c r="B5353" s="1" t="str">
        <f t="shared" si="3086"/>
        <v>150525100</v>
      </c>
      <c r="C5353" s="1" t="str">
        <f>"1014612809"</f>
        <v>1014612809</v>
      </c>
      <c r="D5353" s="1" t="str">
        <f>"152326193911060919"</f>
        <v>152326193911060919</v>
      </c>
      <c r="E5353" s="1" t="s">
        <v>5288</v>
      </c>
      <c r="F5353" s="1" t="s">
        <v>25</v>
      </c>
      <c r="G5353" s="1" t="s">
        <v>19</v>
      </c>
      <c r="H5353" s="1" t="str">
        <f>"85"</f>
        <v>85</v>
      </c>
      <c r="I5353" s="1" t="str">
        <f>"170"</f>
        <v>170</v>
      </c>
      <c r="J5353" s="1" t="str">
        <f t="shared" si="3076"/>
        <v>0</v>
      </c>
      <c r="K5353" s="1" t="str">
        <f t="shared" si="3077"/>
        <v>103</v>
      </c>
      <c r="L5353" s="1" t="str">
        <f t="shared" si="3078"/>
        <v>47</v>
      </c>
      <c r="M5353" s="1" t="str">
        <f t="shared" si="3088"/>
        <v>0</v>
      </c>
      <c r="N5353" s="1" t="str">
        <f t="shared" si="3080"/>
        <v>0</v>
      </c>
      <c r="O5353" s="1" t="str">
        <f t="shared" si="3090"/>
        <v>0</v>
      </c>
    </row>
    <row r="5354" s="1" customFormat="1" spans="1:15">
      <c r="A5354" s="1" t="str">
        <f t="shared" si="3085"/>
        <v>202406</v>
      </c>
      <c r="B5354" s="1" t="str">
        <f t="shared" si="3086"/>
        <v>150525100</v>
      </c>
      <c r="C5354" s="1" t="str">
        <f>"1014622507"</f>
        <v>1014622507</v>
      </c>
      <c r="D5354" s="1" t="str">
        <f>"152326194201083328"</f>
        <v>152326194201083328</v>
      </c>
      <c r="E5354" s="1" t="s">
        <v>5289</v>
      </c>
      <c r="F5354" s="1" t="s">
        <v>16</v>
      </c>
      <c r="G5354" s="1" t="s">
        <v>17</v>
      </c>
      <c r="H5354" s="1" t="str">
        <f>"82"</f>
        <v>82</v>
      </c>
      <c r="I5354" s="1" t="str">
        <f>"1630"</f>
        <v>1630</v>
      </c>
      <c r="J5354" s="1" t="str">
        <f t="shared" ref="J5354:L5354" si="3091">"0"</f>
        <v>0</v>
      </c>
      <c r="K5354" s="1" t="str">
        <f t="shared" si="3091"/>
        <v>0</v>
      </c>
      <c r="L5354" s="1" t="str">
        <f t="shared" si="3091"/>
        <v>0</v>
      </c>
      <c r="M5354" s="1" t="str">
        <f t="shared" si="3088"/>
        <v>0</v>
      </c>
      <c r="N5354" s="1" t="str">
        <f t="shared" si="3080"/>
        <v>0</v>
      </c>
      <c r="O5354" s="1" t="str">
        <f t="shared" si="3090"/>
        <v>0</v>
      </c>
    </row>
    <row r="5355" s="1" customFormat="1" spans="1:15">
      <c r="A5355" s="1" t="str">
        <f t="shared" si="3085"/>
        <v>202406</v>
      </c>
      <c r="B5355" s="1" t="str">
        <f t="shared" si="3086"/>
        <v>150525100</v>
      </c>
      <c r="C5355" s="1" t="str">
        <f>"1014623895"</f>
        <v>1014623895</v>
      </c>
      <c r="D5355" s="1" t="str">
        <f>"152326195109050675"</f>
        <v>152326195109050675</v>
      </c>
      <c r="E5355" s="1" t="s">
        <v>5290</v>
      </c>
      <c r="F5355" s="1" t="s">
        <v>25</v>
      </c>
      <c r="G5355" s="1" t="s">
        <v>17</v>
      </c>
      <c r="H5355" s="1" t="str">
        <f t="shared" ref="H5355:H5358" si="3092">"73"</f>
        <v>73</v>
      </c>
      <c r="I5355" s="1" t="str">
        <f t="shared" si="3089"/>
        <v>160</v>
      </c>
      <c r="J5355" s="1" t="str">
        <f t="shared" ref="J5355:J5360" si="3093">"0"</f>
        <v>0</v>
      </c>
      <c r="K5355" s="1" t="str">
        <f t="shared" ref="K5355:K5360" si="3094">"103"</f>
        <v>103</v>
      </c>
      <c r="L5355" s="1" t="str">
        <f t="shared" ref="L5355:L5360" si="3095">"47"</f>
        <v>47</v>
      </c>
      <c r="M5355" s="1" t="str">
        <f t="shared" si="3088"/>
        <v>0</v>
      </c>
      <c r="N5355" s="1" t="str">
        <f t="shared" si="3080"/>
        <v>0</v>
      </c>
      <c r="O5355" s="1" t="str">
        <f t="shared" si="3090"/>
        <v>0</v>
      </c>
    </row>
    <row r="5356" s="1" customFormat="1" spans="1:15">
      <c r="A5356" s="1" t="str">
        <f t="shared" si="3085"/>
        <v>202406</v>
      </c>
      <c r="B5356" s="1" t="str">
        <f t="shared" si="3086"/>
        <v>150525100</v>
      </c>
      <c r="C5356" s="1" t="str">
        <f>"1014623898"</f>
        <v>1014623898</v>
      </c>
      <c r="D5356" s="1" t="str">
        <f>"152326195004170697"</f>
        <v>152326195004170697</v>
      </c>
      <c r="E5356" s="1" t="s">
        <v>5291</v>
      </c>
      <c r="F5356" s="1" t="s">
        <v>25</v>
      </c>
      <c r="G5356" s="1" t="s">
        <v>17</v>
      </c>
      <c r="H5356" s="1" t="str">
        <f>"74"</f>
        <v>74</v>
      </c>
      <c r="I5356" s="1" t="str">
        <f t="shared" si="3089"/>
        <v>160</v>
      </c>
      <c r="J5356" s="1" t="str">
        <f t="shared" si="3093"/>
        <v>0</v>
      </c>
      <c r="K5356" s="1" t="str">
        <f t="shared" si="3094"/>
        <v>103</v>
      </c>
      <c r="L5356" s="1" t="str">
        <f t="shared" si="3095"/>
        <v>47</v>
      </c>
      <c r="M5356" s="1" t="str">
        <f t="shared" si="3088"/>
        <v>0</v>
      </c>
      <c r="N5356" s="1" t="str">
        <f t="shared" si="3080"/>
        <v>0</v>
      </c>
      <c r="O5356" s="1" t="str">
        <f t="shared" si="3090"/>
        <v>0</v>
      </c>
    </row>
    <row r="5357" s="1" customFormat="1" spans="1:15">
      <c r="A5357" s="1" t="str">
        <f t="shared" si="3085"/>
        <v>202406</v>
      </c>
      <c r="B5357" s="1" t="str">
        <f t="shared" si="3086"/>
        <v>150525100</v>
      </c>
      <c r="C5357" s="1" t="str">
        <f>"1014623905"</f>
        <v>1014623905</v>
      </c>
      <c r="D5357" s="1" t="str">
        <f>"152326195106250663"</f>
        <v>152326195106250663</v>
      </c>
      <c r="E5357" s="1" t="s">
        <v>5292</v>
      </c>
      <c r="F5357" s="1" t="s">
        <v>16</v>
      </c>
      <c r="G5357" s="1" t="s">
        <v>17</v>
      </c>
      <c r="H5357" s="1" t="str">
        <f t="shared" si="3092"/>
        <v>73</v>
      </c>
      <c r="I5357" s="1" t="str">
        <f t="shared" si="3089"/>
        <v>160</v>
      </c>
      <c r="J5357" s="1" t="str">
        <f t="shared" si="3093"/>
        <v>0</v>
      </c>
      <c r="K5357" s="1" t="str">
        <f t="shared" si="3094"/>
        <v>103</v>
      </c>
      <c r="L5357" s="1" t="str">
        <f t="shared" si="3095"/>
        <v>47</v>
      </c>
      <c r="M5357" s="1" t="str">
        <f t="shared" si="3088"/>
        <v>0</v>
      </c>
      <c r="N5357" s="1" t="str">
        <f t="shared" si="3080"/>
        <v>0</v>
      </c>
      <c r="O5357" s="1" t="str">
        <f t="shared" si="3090"/>
        <v>0</v>
      </c>
    </row>
    <row r="5358" s="1" customFormat="1" spans="1:15">
      <c r="A5358" s="1" t="str">
        <f t="shared" si="3085"/>
        <v>202406</v>
      </c>
      <c r="B5358" s="1" t="str">
        <f t="shared" si="3086"/>
        <v>150525100</v>
      </c>
      <c r="C5358" s="1" t="str">
        <f>"1014623909"</f>
        <v>1014623909</v>
      </c>
      <c r="D5358" s="1" t="str">
        <f>"152326195111130666"</f>
        <v>152326195111130666</v>
      </c>
      <c r="E5358" s="1" t="s">
        <v>5293</v>
      </c>
      <c r="F5358" s="1" t="s">
        <v>16</v>
      </c>
      <c r="G5358" s="1" t="s">
        <v>17</v>
      </c>
      <c r="H5358" s="1" t="str">
        <f t="shared" si="3092"/>
        <v>73</v>
      </c>
      <c r="I5358" s="1" t="str">
        <f t="shared" si="3089"/>
        <v>160</v>
      </c>
      <c r="J5358" s="1" t="str">
        <f t="shared" si="3093"/>
        <v>0</v>
      </c>
      <c r="K5358" s="1" t="str">
        <f t="shared" si="3094"/>
        <v>103</v>
      </c>
      <c r="L5358" s="1" t="str">
        <f t="shared" si="3095"/>
        <v>47</v>
      </c>
      <c r="M5358" s="1" t="str">
        <f t="shared" si="3088"/>
        <v>0</v>
      </c>
      <c r="N5358" s="1" t="str">
        <f t="shared" si="3080"/>
        <v>0</v>
      </c>
      <c r="O5358" s="1" t="str">
        <f t="shared" si="3090"/>
        <v>0</v>
      </c>
    </row>
    <row r="5359" s="1" customFormat="1" spans="1:15">
      <c r="A5359" s="1" t="str">
        <f t="shared" si="3085"/>
        <v>202406</v>
      </c>
      <c r="B5359" s="1" t="str">
        <f t="shared" si="3086"/>
        <v>150525100</v>
      </c>
      <c r="C5359" s="1" t="str">
        <f>"1014623910"</f>
        <v>1014623910</v>
      </c>
      <c r="D5359" s="1" t="str">
        <f>"152326194902030675"</f>
        <v>152326194902030675</v>
      </c>
      <c r="E5359" s="1" t="s">
        <v>5294</v>
      </c>
      <c r="F5359" s="1" t="s">
        <v>25</v>
      </c>
      <c r="G5359" s="1" t="s">
        <v>17</v>
      </c>
      <c r="H5359" s="1" t="str">
        <f t="shared" ref="H5359:H5363" si="3096">"75"</f>
        <v>75</v>
      </c>
      <c r="I5359" s="1" t="str">
        <f t="shared" si="3089"/>
        <v>160</v>
      </c>
      <c r="J5359" s="1" t="str">
        <f t="shared" si="3093"/>
        <v>0</v>
      </c>
      <c r="K5359" s="1" t="str">
        <f t="shared" si="3094"/>
        <v>103</v>
      </c>
      <c r="L5359" s="1" t="str">
        <f t="shared" si="3095"/>
        <v>47</v>
      </c>
      <c r="M5359" s="1" t="str">
        <f t="shared" si="3088"/>
        <v>0</v>
      </c>
      <c r="N5359" s="1" t="str">
        <f t="shared" si="3080"/>
        <v>0</v>
      </c>
      <c r="O5359" s="1" t="str">
        <f t="shared" si="3090"/>
        <v>0</v>
      </c>
    </row>
    <row r="5360" s="1" customFormat="1" spans="1:15">
      <c r="A5360" s="1" t="str">
        <f t="shared" si="3085"/>
        <v>202406</v>
      </c>
      <c r="B5360" s="1" t="str">
        <f t="shared" si="3086"/>
        <v>150525100</v>
      </c>
      <c r="C5360" s="1" t="str">
        <f>"1014624382"</f>
        <v>1014624382</v>
      </c>
      <c r="D5360" s="1" t="str">
        <f>"152326195111090924"</f>
        <v>152326195111090924</v>
      </c>
      <c r="E5360" s="1" t="s">
        <v>5295</v>
      </c>
      <c r="F5360" s="1" t="s">
        <v>16</v>
      </c>
      <c r="G5360" s="1" t="s">
        <v>19</v>
      </c>
      <c r="H5360" s="1" t="str">
        <f>"73"</f>
        <v>73</v>
      </c>
      <c r="I5360" s="1" t="str">
        <f t="shared" si="3089"/>
        <v>160</v>
      </c>
      <c r="J5360" s="1" t="str">
        <f t="shared" si="3093"/>
        <v>0</v>
      </c>
      <c r="K5360" s="1" t="str">
        <f t="shared" si="3094"/>
        <v>103</v>
      </c>
      <c r="L5360" s="1" t="str">
        <f t="shared" si="3095"/>
        <v>47</v>
      </c>
      <c r="M5360" s="1" t="str">
        <f t="shared" si="3088"/>
        <v>0</v>
      </c>
      <c r="N5360" s="1" t="str">
        <f t="shared" si="3080"/>
        <v>0</v>
      </c>
      <c r="O5360" s="1" t="str">
        <f t="shared" si="3090"/>
        <v>0</v>
      </c>
    </row>
    <row r="5361" s="1" customFormat="1" spans="1:15">
      <c r="A5361" s="1" t="str">
        <f t="shared" si="3085"/>
        <v>202406</v>
      </c>
      <c r="B5361" s="1" t="str">
        <f t="shared" si="3086"/>
        <v>150525100</v>
      </c>
      <c r="C5361" s="1" t="str">
        <f>"1014624388"</f>
        <v>1014624388</v>
      </c>
      <c r="D5361" s="1" t="str">
        <f>"152326194904110927"</f>
        <v>152326194904110927</v>
      </c>
      <c r="E5361" s="1" t="s">
        <v>5296</v>
      </c>
      <c r="F5361" s="1" t="s">
        <v>16</v>
      </c>
      <c r="G5361" s="1" t="s">
        <v>19</v>
      </c>
      <c r="H5361" s="1" t="str">
        <f t="shared" si="3096"/>
        <v>75</v>
      </c>
      <c r="I5361" s="1" t="str">
        <f>"1600"</f>
        <v>1600</v>
      </c>
      <c r="J5361" s="1" t="str">
        <f>"1440"</f>
        <v>1440</v>
      </c>
      <c r="K5361" s="1" t="str">
        <f>"1030"</f>
        <v>1030</v>
      </c>
      <c r="L5361" s="1" t="str">
        <f>"470"</f>
        <v>470</v>
      </c>
      <c r="M5361" s="1" t="str">
        <f t="shared" si="3088"/>
        <v>0</v>
      </c>
      <c r="N5361" s="1" t="str">
        <f t="shared" si="3080"/>
        <v>0</v>
      </c>
      <c r="O5361" s="1" t="str">
        <f t="shared" si="3090"/>
        <v>0</v>
      </c>
    </row>
    <row r="5362" s="1" customFormat="1" spans="1:15">
      <c r="A5362" s="1" t="str">
        <f t="shared" si="3085"/>
        <v>202406</v>
      </c>
      <c r="B5362" s="1" t="str">
        <f t="shared" si="3086"/>
        <v>150525100</v>
      </c>
      <c r="C5362" s="1" t="str">
        <f>"1014619352"</f>
        <v>1014619352</v>
      </c>
      <c r="D5362" s="1" t="str">
        <f>"152326195109160671"</f>
        <v>152326195109160671</v>
      </c>
      <c r="E5362" s="1" t="s">
        <v>5297</v>
      </c>
      <c r="F5362" s="1" t="s">
        <v>25</v>
      </c>
      <c r="G5362" s="1" t="s">
        <v>17</v>
      </c>
      <c r="H5362" s="1" t="str">
        <f>"73"</f>
        <v>73</v>
      </c>
      <c r="I5362" s="1" t="str">
        <f t="shared" ref="I5362:I5368" si="3097">"160"</f>
        <v>160</v>
      </c>
      <c r="J5362" s="1" t="str">
        <f t="shared" ref="J5362:J5413" si="3098">"0"</f>
        <v>0</v>
      </c>
      <c r="K5362" s="1" t="str">
        <f t="shared" ref="K5362:K5380" si="3099">"103"</f>
        <v>103</v>
      </c>
      <c r="L5362" s="1" t="str">
        <f t="shared" ref="L5362:L5380" si="3100">"47"</f>
        <v>47</v>
      </c>
      <c r="M5362" s="1" t="str">
        <f t="shared" si="3088"/>
        <v>0</v>
      </c>
      <c r="N5362" s="1" t="str">
        <f t="shared" si="3080"/>
        <v>0</v>
      </c>
      <c r="O5362" s="1" t="str">
        <f t="shared" si="3090"/>
        <v>0</v>
      </c>
    </row>
    <row r="5363" s="1" customFormat="1" spans="1:15">
      <c r="A5363" s="1" t="str">
        <f t="shared" si="3085"/>
        <v>202406</v>
      </c>
      <c r="B5363" s="1" t="str">
        <f t="shared" si="3086"/>
        <v>150525100</v>
      </c>
      <c r="C5363" s="1" t="str">
        <f>"1014619363"</f>
        <v>1014619363</v>
      </c>
      <c r="D5363" s="1" t="str">
        <f>"152326194903050678"</f>
        <v>152326194903050678</v>
      </c>
      <c r="E5363" s="1" t="s">
        <v>5298</v>
      </c>
      <c r="F5363" s="1" t="s">
        <v>25</v>
      </c>
      <c r="G5363" s="1" t="s">
        <v>17</v>
      </c>
      <c r="H5363" s="1" t="str">
        <f t="shared" si="3096"/>
        <v>75</v>
      </c>
      <c r="I5363" s="1" t="str">
        <f t="shared" si="3097"/>
        <v>160</v>
      </c>
      <c r="J5363" s="1" t="str">
        <f t="shared" si="3098"/>
        <v>0</v>
      </c>
      <c r="K5363" s="1" t="str">
        <f t="shared" si="3099"/>
        <v>103</v>
      </c>
      <c r="L5363" s="1" t="str">
        <f t="shared" si="3100"/>
        <v>47</v>
      </c>
      <c r="M5363" s="1" t="str">
        <f t="shared" si="3088"/>
        <v>0</v>
      </c>
      <c r="N5363" s="1" t="str">
        <f t="shared" si="3080"/>
        <v>0</v>
      </c>
      <c r="O5363" s="1" t="str">
        <f t="shared" si="3090"/>
        <v>0</v>
      </c>
    </row>
    <row r="5364" s="1" customFormat="1" spans="1:15">
      <c r="A5364" s="1" t="str">
        <f t="shared" si="3085"/>
        <v>202406</v>
      </c>
      <c r="B5364" s="1" t="str">
        <f t="shared" si="3086"/>
        <v>150525100</v>
      </c>
      <c r="C5364" s="1" t="str">
        <f>"1014623388"</f>
        <v>1014623388</v>
      </c>
      <c r="D5364" s="1" t="str">
        <f>"152326194504243085"</f>
        <v>152326194504243085</v>
      </c>
      <c r="E5364" s="1" t="s">
        <v>5299</v>
      </c>
      <c r="F5364" s="1" t="s">
        <v>16</v>
      </c>
      <c r="G5364" s="1" t="s">
        <v>19</v>
      </c>
      <c r="H5364" s="1" t="str">
        <f>"79"</f>
        <v>79</v>
      </c>
      <c r="I5364" s="1" t="str">
        <f t="shared" si="3097"/>
        <v>160</v>
      </c>
      <c r="J5364" s="1" t="str">
        <f t="shared" si="3098"/>
        <v>0</v>
      </c>
      <c r="K5364" s="1" t="str">
        <f t="shared" si="3099"/>
        <v>103</v>
      </c>
      <c r="L5364" s="1" t="str">
        <f t="shared" si="3100"/>
        <v>47</v>
      </c>
      <c r="M5364" s="1" t="str">
        <f t="shared" si="3088"/>
        <v>0</v>
      </c>
      <c r="N5364" s="1" t="str">
        <f t="shared" ref="N5364:N5427" si="3101">"0"</f>
        <v>0</v>
      </c>
      <c r="O5364" s="1" t="str">
        <f t="shared" si="3090"/>
        <v>0</v>
      </c>
    </row>
    <row r="5365" s="1" customFormat="1" spans="1:15">
      <c r="A5365" s="1" t="str">
        <f t="shared" si="3085"/>
        <v>202406</v>
      </c>
      <c r="B5365" s="1" t="str">
        <f t="shared" si="3086"/>
        <v>150525100</v>
      </c>
      <c r="C5365" s="1" t="str">
        <f>"1014623397"</f>
        <v>1014623397</v>
      </c>
      <c r="D5365" s="1" t="str">
        <f>"152326194809163828"</f>
        <v>152326194809163828</v>
      </c>
      <c r="E5365" s="1" t="s">
        <v>5300</v>
      </c>
      <c r="F5365" s="1" t="s">
        <v>16</v>
      </c>
      <c r="G5365" s="1" t="s">
        <v>19</v>
      </c>
      <c r="H5365" s="1" t="str">
        <f>"76"</f>
        <v>76</v>
      </c>
      <c r="I5365" s="1" t="str">
        <f t="shared" si="3097"/>
        <v>160</v>
      </c>
      <c r="J5365" s="1" t="str">
        <f t="shared" si="3098"/>
        <v>0</v>
      </c>
      <c r="K5365" s="1" t="str">
        <f t="shared" si="3099"/>
        <v>103</v>
      </c>
      <c r="L5365" s="1" t="str">
        <f t="shared" si="3100"/>
        <v>47</v>
      </c>
      <c r="M5365" s="1" t="str">
        <f t="shared" si="3088"/>
        <v>0</v>
      </c>
      <c r="N5365" s="1" t="str">
        <f t="shared" si="3101"/>
        <v>0</v>
      </c>
      <c r="O5365" s="1" t="str">
        <f t="shared" si="3090"/>
        <v>0</v>
      </c>
    </row>
    <row r="5366" s="1" customFormat="1" spans="1:15">
      <c r="A5366" s="1" t="str">
        <f t="shared" si="3085"/>
        <v>202406</v>
      </c>
      <c r="B5366" s="1" t="str">
        <f t="shared" si="3086"/>
        <v>150525100</v>
      </c>
      <c r="C5366" s="1" t="str">
        <f>"1014623398"</f>
        <v>1014623398</v>
      </c>
      <c r="D5366" s="1" t="str">
        <f>"152326195101183828"</f>
        <v>152326195101183828</v>
      </c>
      <c r="E5366" s="1" t="s">
        <v>5301</v>
      </c>
      <c r="F5366" s="1" t="s">
        <v>16</v>
      </c>
      <c r="G5366" s="1" t="s">
        <v>19</v>
      </c>
      <c r="H5366" s="1" t="str">
        <f>"73"</f>
        <v>73</v>
      </c>
      <c r="I5366" s="1" t="str">
        <f t="shared" si="3097"/>
        <v>160</v>
      </c>
      <c r="J5366" s="1" t="str">
        <f t="shared" si="3098"/>
        <v>0</v>
      </c>
      <c r="K5366" s="1" t="str">
        <f t="shared" si="3099"/>
        <v>103</v>
      </c>
      <c r="L5366" s="1" t="str">
        <f t="shared" si="3100"/>
        <v>47</v>
      </c>
      <c r="M5366" s="1" t="str">
        <f t="shared" si="3088"/>
        <v>0</v>
      </c>
      <c r="N5366" s="1" t="str">
        <f t="shared" si="3101"/>
        <v>0</v>
      </c>
      <c r="O5366" s="1" t="str">
        <f t="shared" si="3090"/>
        <v>0</v>
      </c>
    </row>
    <row r="5367" s="1" customFormat="1" spans="1:15">
      <c r="A5367" s="1" t="str">
        <f t="shared" si="3085"/>
        <v>202406</v>
      </c>
      <c r="B5367" s="1" t="str">
        <f t="shared" si="3086"/>
        <v>150525100</v>
      </c>
      <c r="C5367" s="1" t="str">
        <f>"1014623404"</f>
        <v>1014623404</v>
      </c>
      <c r="D5367" s="1" t="s">
        <v>5302</v>
      </c>
      <c r="E5367" s="1" t="s">
        <v>5303</v>
      </c>
      <c r="F5367" s="1" t="s">
        <v>16</v>
      </c>
      <c r="G5367" s="1" t="s">
        <v>19</v>
      </c>
      <c r="H5367" s="1" t="str">
        <f>"74"</f>
        <v>74</v>
      </c>
      <c r="I5367" s="1" t="str">
        <f t="shared" si="3097"/>
        <v>160</v>
      </c>
      <c r="J5367" s="1" t="str">
        <f t="shared" si="3098"/>
        <v>0</v>
      </c>
      <c r="K5367" s="1" t="str">
        <f t="shared" si="3099"/>
        <v>103</v>
      </c>
      <c r="L5367" s="1" t="str">
        <f t="shared" si="3100"/>
        <v>47</v>
      </c>
      <c r="M5367" s="1" t="str">
        <f t="shared" si="3088"/>
        <v>0</v>
      </c>
      <c r="N5367" s="1" t="str">
        <f t="shared" si="3101"/>
        <v>0</v>
      </c>
      <c r="O5367" s="1" t="str">
        <f t="shared" si="3090"/>
        <v>0</v>
      </c>
    </row>
    <row r="5368" s="1" customFormat="1" spans="1:15">
      <c r="A5368" s="1" t="str">
        <f t="shared" si="3085"/>
        <v>202406</v>
      </c>
      <c r="B5368" s="1" t="str">
        <f t="shared" si="3086"/>
        <v>150525100</v>
      </c>
      <c r="C5368" s="1" t="str">
        <f>"1014629303"</f>
        <v>1014629303</v>
      </c>
      <c r="D5368" s="1" t="str">
        <f>"152326194607133815"</f>
        <v>152326194607133815</v>
      </c>
      <c r="E5368" s="1" t="s">
        <v>5304</v>
      </c>
      <c r="F5368" s="1" t="s">
        <v>25</v>
      </c>
      <c r="G5368" s="1" t="s">
        <v>17</v>
      </c>
      <c r="H5368" s="1" t="str">
        <f>"78"</f>
        <v>78</v>
      </c>
      <c r="I5368" s="1" t="str">
        <f t="shared" si="3097"/>
        <v>160</v>
      </c>
      <c r="J5368" s="1" t="str">
        <f t="shared" si="3098"/>
        <v>0</v>
      </c>
      <c r="K5368" s="1" t="str">
        <f t="shared" si="3099"/>
        <v>103</v>
      </c>
      <c r="L5368" s="1" t="str">
        <f t="shared" si="3100"/>
        <v>47</v>
      </c>
      <c r="M5368" s="1" t="str">
        <f t="shared" si="3088"/>
        <v>0</v>
      </c>
      <c r="N5368" s="1" t="str">
        <f t="shared" si="3101"/>
        <v>0</v>
      </c>
      <c r="O5368" s="1" t="str">
        <f t="shared" si="3090"/>
        <v>0</v>
      </c>
    </row>
    <row r="5369" s="1" customFormat="1" spans="1:15">
      <c r="A5369" s="1" t="str">
        <f t="shared" si="3085"/>
        <v>202406</v>
      </c>
      <c r="B5369" s="1" t="str">
        <f t="shared" si="3086"/>
        <v>150525100</v>
      </c>
      <c r="C5369" s="1" t="str">
        <f>"1014629329"</f>
        <v>1014629329</v>
      </c>
      <c r="D5369" s="1" t="str">
        <f>"152326194206110428"</f>
        <v>152326194206110428</v>
      </c>
      <c r="E5369" s="1" t="s">
        <v>1742</v>
      </c>
      <c r="F5369" s="1" t="s">
        <v>16</v>
      </c>
      <c r="G5369" s="1" t="s">
        <v>17</v>
      </c>
      <c r="H5369" s="1" t="str">
        <f>"82"</f>
        <v>82</v>
      </c>
      <c r="I5369" s="1" t="str">
        <f>"170"</f>
        <v>170</v>
      </c>
      <c r="J5369" s="1" t="str">
        <f t="shared" si="3098"/>
        <v>0</v>
      </c>
      <c r="K5369" s="1" t="str">
        <f t="shared" si="3099"/>
        <v>103</v>
      </c>
      <c r="L5369" s="1" t="str">
        <f t="shared" si="3100"/>
        <v>47</v>
      </c>
      <c r="M5369" s="1" t="str">
        <f t="shared" si="3088"/>
        <v>0</v>
      </c>
      <c r="N5369" s="1" t="str">
        <f t="shared" si="3101"/>
        <v>0</v>
      </c>
      <c r="O5369" s="1" t="str">
        <f t="shared" si="3090"/>
        <v>0</v>
      </c>
    </row>
    <row r="5370" s="1" customFormat="1" spans="1:15">
      <c r="A5370" s="1" t="str">
        <f t="shared" si="3085"/>
        <v>202406</v>
      </c>
      <c r="B5370" s="1" t="str">
        <f t="shared" si="3086"/>
        <v>150525100</v>
      </c>
      <c r="C5370" s="1" t="str">
        <f>"1014629384"</f>
        <v>1014629384</v>
      </c>
      <c r="D5370" s="1" t="str">
        <f>"152326194501250028"</f>
        <v>152326194501250028</v>
      </c>
      <c r="E5370" s="1" t="s">
        <v>202</v>
      </c>
      <c r="F5370" s="1" t="s">
        <v>16</v>
      </c>
      <c r="G5370" s="1" t="s">
        <v>17</v>
      </c>
      <c r="H5370" s="1" t="str">
        <f>"79"</f>
        <v>79</v>
      </c>
      <c r="I5370" s="1" t="str">
        <f t="shared" ref="I5370:I5380" si="3102">"160"</f>
        <v>160</v>
      </c>
      <c r="J5370" s="1" t="str">
        <f t="shared" si="3098"/>
        <v>0</v>
      </c>
      <c r="K5370" s="1" t="str">
        <f t="shared" si="3099"/>
        <v>103</v>
      </c>
      <c r="L5370" s="1" t="str">
        <f t="shared" si="3100"/>
        <v>47</v>
      </c>
      <c r="M5370" s="1" t="str">
        <f t="shared" si="3088"/>
        <v>0</v>
      </c>
      <c r="N5370" s="1" t="str">
        <f t="shared" si="3101"/>
        <v>0</v>
      </c>
      <c r="O5370" s="1" t="str">
        <f t="shared" si="3090"/>
        <v>0</v>
      </c>
    </row>
    <row r="5371" s="1" customFormat="1" spans="1:15">
      <c r="A5371" s="1" t="str">
        <f t="shared" si="3085"/>
        <v>202406</v>
      </c>
      <c r="B5371" s="1" t="str">
        <f t="shared" si="3086"/>
        <v>150525100</v>
      </c>
      <c r="C5371" s="1" t="str">
        <f>"1014629422"</f>
        <v>1014629422</v>
      </c>
      <c r="D5371" s="1" t="str">
        <f>"152326195102203827"</f>
        <v>152326195102203827</v>
      </c>
      <c r="E5371" s="1" t="s">
        <v>5305</v>
      </c>
      <c r="F5371" s="1" t="s">
        <v>16</v>
      </c>
      <c r="G5371" s="1" t="s">
        <v>19</v>
      </c>
      <c r="H5371" s="1" t="str">
        <f>"73"</f>
        <v>73</v>
      </c>
      <c r="I5371" s="1" t="str">
        <f t="shared" si="3102"/>
        <v>160</v>
      </c>
      <c r="J5371" s="1" t="str">
        <f t="shared" si="3098"/>
        <v>0</v>
      </c>
      <c r="K5371" s="1" t="str">
        <f t="shared" si="3099"/>
        <v>103</v>
      </c>
      <c r="L5371" s="1" t="str">
        <f t="shared" si="3100"/>
        <v>47</v>
      </c>
      <c r="M5371" s="1" t="str">
        <f t="shared" si="3088"/>
        <v>0</v>
      </c>
      <c r="N5371" s="1" t="str">
        <f t="shared" si="3101"/>
        <v>0</v>
      </c>
      <c r="O5371" s="1" t="str">
        <f t="shared" si="3090"/>
        <v>0</v>
      </c>
    </row>
    <row r="5372" s="1" customFormat="1" spans="1:15">
      <c r="A5372" s="1" t="str">
        <f t="shared" si="3085"/>
        <v>202406</v>
      </c>
      <c r="B5372" s="1" t="str">
        <f t="shared" si="3086"/>
        <v>150525100</v>
      </c>
      <c r="C5372" s="1" t="str">
        <f>"1014629433"</f>
        <v>1014629433</v>
      </c>
      <c r="D5372" s="1" t="str">
        <f>"152326193510050410"</f>
        <v>152326193510050410</v>
      </c>
      <c r="E5372" s="1" t="s">
        <v>5306</v>
      </c>
      <c r="F5372" s="1" t="s">
        <v>25</v>
      </c>
      <c r="G5372" s="1" t="s">
        <v>19</v>
      </c>
      <c r="H5372" s="1" t="str">
        <f>"89"</f>
        <v>89</v>
      </c>
      <c r="I5372" s="1" t="str">
        <f>"170"</f>
        <v>170</v>
      </c>
      <c r="J5372" s="1" t="str">
        <f t="shared" si="3098"/>
        <v>0</v>
      </c>
      <c r="K5372" s="1" t="str">
        <f t="shared" si="3099"/>
        <v>103</v>
      </c>
      <c r="L5372" s="1" t="str">
        <f t="shared" si="3100"/>
        <v>47</v>
      </c>
      <c r="M5372" s="1" t="str">
        <f t="shared" si="3088"/>
        <v>0</v>
      </c>
      <c r="N5372" s="1" t="str">
        <f t="shared" si="3101"/>
        <v>0</v>
      </c>
      <c r="O5372" s="1" t="str">
        <f t="shared" si="3090"/>
        <v>0</v>
      </c>
    </row>
    <row r="5373" s="1" customFormat="1" spans="1:15">
      <c r="A5373" s="1" t="str">
        <f t="shared" si="3085"/>
        <v>202406</v>
      </c>
      <c r="B5373" s="1" t="str">
        <f t="shared" si="3086"/>
        <v>150525100</v>
      </c>
      <c r="C5373" s="1" t="str">
        <f>"1014612835"</f>
        <v>1014612835</v>
      </c>
      <c r="D5373" s="1" t="str">
        <f>"152326194911200429"</f>
        <v>152326194911200429</v>
      </c>
      <c r="E5373" s="1" t="s">
        <v>1742</v>
      </c>
      <c r="F5373" s="1" t="s">
        <v>16</v>
      </c>
      <c r="G5373" s="1" t="s">
        <v>17</v>
      </c>
      <c r="H5373" s="1" t="str">
        <f>"75"</f>
        <v>75</v>
      </c>
      <c r="I5373" s="1" t="str">
        <f t="shared" si="3102"/>
        <v>160</v>
      </c>
      <c r="J5373" s="1" t="str">
        <f t="shared" si="3098"/>
        <v>0</v>
      </c>
      <c r="K5373" s="1" t="str">
        <f t="shared" si="3099"/>
        <v>103</v>
      </c>
      <c r="L5373" s="1" t="str">
        <f t="shared" si="3100"/>
        <v>47</v>
      </c>
      <c r="M5373" s="1" t="str">
        <f t="shared" si="3088"/>
        <v>0</v>
      </c>
      <c r="N5373" s="1" t="str">
        <f t="shared" si="3101"/>
        <v>0</v>
      </c>
      <c r="O5373" s="1" t="str">
        <f t="shared" si="3090"/>
        <v>0</v>
      </c>
    </row>
    <row r="5374" s="1" customFormat="1" spans="1:15">
      <c r="A5374" s="1" t="str">
        <f t="shared" si="3085"/>
        <v>202406</v>
      </c>
      <c r="B5374" s="1" t="str">
        <f t="shared" si="3086"/>
        <v>150525100</v>
      </c>
      <c r="C5374" s="1" t="str">
        <f>"1014613118"</f>
        <v>1014613118</v>
      </c>
      <c r="D5374" s="1" t="str">
        <f>"152326195003010413"</f>
        <v>152326195003010413</v>
      </c>
      <c r="E5374" s="1" t="s">
        <v>5307</v>
      </c>
      <c r="F5374" s="1" t="s">
        <v>25</v>
      </c>
      <c r="G5374" s="1" t="s">
        <v>17</v>
      </c>
      <c r="H5374" s="1" t="str">
        <f>"74"</f>
        <v>74</v>
      </c>
      <c r="I5374" s="1" t="str">
        <f t="shared" si="3102"/>
        <v>160</v>
      </c>
      <c r="J5374" s="1" t="str">
        <f t="shared" si="3098"/>
        <v>0</v>
      </c>
      <c r="K5374" s="1" t="str">
        <f t="shared" si="3099"/>
        <v>103</v>
      </c>
      <c r="L5374" s="1" t="str">
        <f t="shared" si="3100"/>
        <v>47</v>
      </c>
      <c r="M5374" s="1" t="str">
        <f t="shared" si="3088"/>
        <v>0</v>
      </c>
      <c r="N5374" s="1" t="str">
        <f t="shared" si="3101"/>
        <v>0</v>
      </c>
      <c r="O5374" s="1" t="str">
        <f t="shared" si="3090"/>
        <v>0</v>
      </c>
    </row>
    <row r="5375" s="1" customFormat="1" spans="1:15">
      <c r="A5375" s="1" t="str">
        <f t="shared" si="3085"/>
        <v>202406</v>
      </c>
      <c r="B5375" s="1" t="str">
        <f t="shared" si="3086"/>
        <v>150525100</v>
      </c>
      <c r="C5375" s="1" t="str">
        <f>"1014613123"</f>
        <v>1014613123</v>
      </c>
      <c r="D5375" s="1" t="s">
        <v>5308</v>
      </c>
      <c r="E5375" s="1" t="s">
        <v>5309</v>
      </c>
      <c r="F5375" s="1" t="s">
        <v>25</v>
      </c>
      <c r="G5375" s="1" t="s">
        <v>17</v>
      </c>
      <c r="H5375" s="1" t="str">
        <f>"73"</f>
        <v>73</v>
      </c>
      <c r="I5375" s="1" t="str">
        <f t="shared" si="3102"/>
        <v>160</v>
      </c>
      <c r="J5375" s="1" t="str">
        <f t="shared" si="3098"/>
        <v>0</v>
      </c>
      <c r="K5375" s="1" t="str">
        <f t="shared" si="3099"/>
        <v>103</v>
      </c>
      <c r="L5375" s="1" t="str">
        <f t="shared" si="3100"/>
        <v>47</v>
      </c>
      <c r="M5375" s="1" t="str">
        <f t="shared" si="3088"/>
        <v>0</v>
      </c>
      <c r="N5375" s="1" t="str">
        <f t="shared" si="3101"/>
        <v>0</v>
      </c>
      <c r="O5375" s="1" t="str">
        <f t="shared" si="3090"/>
        <v>0</v>
      </c>
    </row>
    <row r="5376" s="1" customFormat="1" spans="1:15">
      <c r="A5376" s="1" t="str">
        <f t="shared" si="3085"/>
        <v>202406</v>
      </c>
      <c r="B5376" s="1" t="str">
        <f t="shared" si="3086"/>
        <v>150525100</v>
      </c>
      <c r="C5376" s="1" t="str">
        <f>"1014623926"</f>
        <v>1014623926</v>
      </c>
      <c r="D5376" s="1" t="str">
        <f>"152326194702030662"</f>
        <v>152326194702030662</v>
      </c>
      <c r="E5376" s="1" t="s">
        <v>5310</v>
      </c>
      <c r="F5376" s="1" t="s">
        <v>16</v>
      </c>
      <c r="G5376" s="1" t="s">
        <v>17</v>
      </c>
      <c r="H5376" s="1" t="str">
        <f>"77"</f>
        <v>77</v>
      </c>
      <c r="I5376" s="1" t="str">
        <f t="shared" si="3102"/>
        <v>160</v>
      </c>
      <c r="J5376" s="1" t="str">
        <f t="shared" si="3098"/>
        <v>0</v>
      </c>
      <c r="K5376" s="1" t="str">
        <f t="shared" si="3099"/>
        <v>103</v>
      </c>
      <c r="L5376" s="1" t="str">
        <f t="shared" si="3100"/>
        <v>47</v>
      </c>
      <c r="M5376" s="1" t="str">
        <f t="shared" si="3088"/>
        <v>0</v>
      </c>
      <c r="N5376" s="1" t="str">
        <f t="shared" si="3101"/>
        <v>0</v>
      </c>
      <c r="O5376" s="1" t="str">
        <f t="shared" si="3090"/>
        <v>0</v>
      </c>
    </row>
    <row r="5377" s="1" customFormat="1" spans="1:15">
      <c r="A5377" s="1" t="str">
        <f t="shared" si="3085"/>
        <v>202406</v>
      </c>
      <c r="B5377" s="1" t="str">
        <f t="shared" si="3086"/>
        <v>150525100</v>
      </c>
      <c r="C5377" s="1" t="str">
        <f>"1014623935"</f>
        <v>1014623935</v>
      </c>
      <c r="D5377" s="1" t="s">
        <v>5311</v>
      </c>
      <c r="E5377" s="1" t="s">
        <v>5312</v>
      </c>
      <c r="F5377" s="1" t="s">
        <v>25</v>
      </c>
      <c r="G5377" s="1" t="s">
        <v>19</v>
      </c>
      <c r="H5377" s="1" t="str">
        <f>"80"</f>
        <v>80</v>
      </c>
      <c r="I5377" s="1" t="str">
        <f t="shared" si="3102"/>
        <v>160</v>
      </c>
      <c r="J5377" s="1" t="str">
        <f t="shared" si="3098"/>
        <v>0</v>
      </c>
      <c r="K5377" s="1" t="str">
        <f t="shared" si="3099"/>
        <v>103</v>
      </c>
      <c r="L5377" s="1" t="str">
        <f t="shared" si="3100"/>
        <v>47</v>
      </c>
      <c r="M5377" s="1" t="str">
        <f t="shared" si="3088"/>
        <v>0</v>
      </c>
      <c r="N5377" s="1" t="str">
        <f t="shared" si="3101"/>
        <v>0</v>
      </c>
      <c r="O5377" s="1" t="str">
        <f t="shared" si="3090"/>
        <v>0</v>
      </c>
    </row>
    <row r="5378" s="1" customFormat="1" spans="1:15">
      <c r="A5378" s="1" t="str">
        <f t="shared" ref="A5378:A5441" si="3103">"202406"</f>
        <v>202406</v>
      </c>
      <c r="B5378" s="1" t="str">
        <f t="shared" ref="B5378:B5441" si="3104">"150525100"</f>
        <v>150525100</v>
      </c>
      <c r="C5378" s="1" t="str">
        <f>"1014623951"</f>
        <v>1014623951</v>
      </c>
      <c r="D5378" s="1" t="str">
        <f>"152326194608220662"</f>
        <v>152326194608220662</v>
      </c>
      <c r="E5378" s="1" t="s">
        <v>414</v>
      </c>
      <c r="F5378" s="1" t="s">
        <v>16</v>
      </c>
      <c r="G5378" s="1" t="s">
        <v>17</v>
      </c>
      <c r="H5378" s="1" t="str">
        <f t="shared" ref="H5378:H5380" si="3105">"78"</f>
        <v>78</v>
      </c>
      <c r="I5378" s="1" t="str">
        <f t="shared" si="3102"/>
        <v>160</v>
      </c>
      <c r="J5378" s="1" t="str">
        <f t="shared" si="3098"/>
        <v>0</v>
      </c>
      <c r="K5378" s="1" t="str">
        <f t="shared" si="3099"/>
        <v>103</v>
      </c>
      <c r="L5378" s="1" t="str">
        <f t="shared" si="3100"/>
        <v>47</v>
      </c>
      <c r="M5378" s="1" t="str">
        <f t="shared" si="3088"/>
        <v>0</v>
      </c>
      <c r="N5378" s="1" t="str">
        <f t="shared" si="3101"/>
        <v>0</v>
      </c>
      <c r="O5378" s="1" t="str">
        <f t="shared" si="3090"/>
        <v>0</v>
      </c>
    </row>
    <row r="5379" s="1" customFormat="1" spans="1:15">
      <c r="A5379" s="1" t="str">
        <f t="shared" si="3103"/>
        <v>202406</v>
      </c>
      <c r="B5379" s="1" t="str">
        <f t="shared" si="3104"/>
        <v>150525100</v>
      </c>
      <c r="C5379" s="1" t="str">
        <f>"1014624408"</f>
        <v>1014624408</v>
      </c>
      <c r="D5379" s="1" t="str">
        <f>"152326194611270660"</f>
        <v>152326194611270660</v>
      </c>
      <c r="E5379" s="1" t="s">
        <v>5313</v>
      </c>
      <c r="F5379" s="1" t="s">
        <v>16</v>
      </c>
      <c r="G5379" s="1" t="s">
        <v>17</v>
      </c>
      <c r="H5379" s="1" t="str">
        <f t="shared" si="3105"/>
        <v>78</v>
      </c>
      <c r="I5379" s="1" t="str">
        <f t="shared" si="3102"/>
        <v>160</v>
      </c>
      <c r="J5379" s="1" t="str">
        <f t="shared" si="3098"/>
        <v>0</v>
      </c>
      <c r="K5379" s="1" t="str">
        <f t="shared" si="3099"/>
        <v>103</v>
      </c>
      <c r="L5379" s="1" t="str">
        <f t="shared" si="3100"/>
        <v>47</v>
      </c>
      <c r="M5379" s="1" t="str">
        <f t="shared" si="3088"/>
        <v>0</v>
      </c>
      <c r="N5379" s="1" t="str">
        <f t="shared" si="3101"/>
        <v>0</v>
      </c>
      <c r="O5379" s="1" t="str">
        <f t="shared" si="3090"/>
        <v>0</v>
      </c>
    </row>
    <row r="5380" s="1" customFormat="1" spans="1:15">
      <c r="A5380" s="1" t="str">
        <f t="shared" si="3103"/>
        <v>202406</v>
      </c>
      <c r="B5380" s="1" t="str">
        <f t="shared" si="3104"/>
        <v>150525100</v>
      </c>
      <c r="C5380" s="1" t="str">
        <f>"1014619409"</f>
        <v>1014619409</v>
      </c>
      <c r="D5380" s="1" t="str">
        <f>"152326194605153812"</f>
        <v>152326194605153812</v>
      </c>
      <c r="E5380" s="1" t="s">
        <v>5314</v>
      </c>
      <c r="F5380" s="1" t="s">
        <v>25</v>
      </c>
      <c r="G5380" s="1" t="s">
        <v>17</v>
      </c>
      <c r="H5380" s="1" t="str">
        <f t="shared" si="3105"/>
        <v>78</v>
      </c>
      <c r="I5380" s="1" t="str">
        <f t="shared" si="3102"/>
        <v>160</v>
      </c>
      <c r="J5380" s="1" t="str">
        <f t="shared" si="3098"/>
        <v>0</v>
      </c>
      <c r="K5380" s="1" t="str">
        <f t="shared" si="3099"/>
        <v>103</v>
      </c>
      <c r="L5380" s="1" t="str">
        <f t="shared" si="3100"/>
        <v>47</v>
      </c>
      <c r="M5380" s="1" t="str">
        <f t="shared" si="3088"/>
        <v>0</v>
      </c>
      <c r="N5380" s="1" t="str">
        <f t="shared" si="3101"/>
        <v>0</v>
      </c>
      <c r="O5380" s="1" t="str">
        <f t="shared" si="3090"/>
        <v>0</v>
      </c>
    </row>
    <row r="5381" s="1" customFormat="1" spans="1:15">
      <c r="A5381" s="1" t="str">
        <f t="shared" si="3103"/>
        <v>202406</v>
      </c>
      <c r="B5381" s="1" t="str">
        <f t="shared" si="3104"/>
        <v>150525100</v>
      </c>
      <c r="C5381" s="1" t="str">
        <f>"1014630123"</f>
        <v>1014630123</v>
      </c>
      <c r="D5381" s="1" t="s">
        <v>5315</v>
      </c>
      <c r="E5381" s="1" t="s">
        <v>5316</v>
      </c>
      <c r="F5381" s="1" t="s">
        <v>16</v>
      </c>
      <c r="G5381" s="1" t="s">
        <v>17</v>
      </c>
      <c r="H5381" s="1" t="str">
        <f>"77"</f>
        <v>77</v>
      </c>
      <c r="I5381" s="1" t="str">
        <f>"1800"</f>
        <v>1800</v>
      </c>
      <c r="J5381" s="1" t="str">
        <f t="shared" si="3098"/>
        <v>0</v>
      </c>
      <c r="K5381" s="1" t="str">
        <f>"0"</f>
        <v>0</v>
      </c>
      <c r="L5381" s="1" t="str">
        <f>"0"</f>
        <v>0</v>
      </c>
      <c r="M5381" s="1" t="str">
        <f t="shared" si="3088"/>
        <v>0</v>
      </c>
      <c r="N5381" s="1" t="str">
        <f t="shared" si="3101"/>
        <v>0</v>
      </c>
      <c r="O5381" s="1" t="str">
        <f t="shared" si="3090"/>
        <v>0</v>
      </c>
    </row>
    <row r="5382" s="1" customFormat="1" spans="1:15">
      <c r="A5382" s="1" t="str">
        <f t="shared" si="3103"/>
        <v>202406</v>
      </c>
      <c r="B5382" s="1" t="str">
        <f t="shared" si="3104"/>
        <v>150525100</v>
      </c>
      <c r="C5382" s="1" t="str">
        <f>"1014630156"</f>
        <v>1014630156</v>
      </c>
      <c r="D5382" s="1" t="str">
        <f>"152326194907290425"</f>
        <v>152326194907290425</v>
      </c>
      <c r="E5382" s="1" t="s">
        <v>5317</v>
      </c>
      <c r="F5382" s="1" t="s">
        <v>16</v>
      </c>
      <c r="G5382" s="1" t="s">
        <v>17</v>
      </c>
      <c r="H5382" s="1" t="str">
        <f>"75"</f>
        <v>75</v>
      </c>
      <c r="I5382" s="1" t="str">
        <f t="shared" ref="I5382:I5384" si="3106">"160"</f>
        <v>160</v>
      </c>
      <c r="J5382" s="1" t="str">
        <f t="shared" si="3098"/>
        <v>0</v>
      </c>
      <c r="K5382" s="1" t="str">
        <f t="shared" ref="K5382:K5413" si="3107">"103"</f>
        <v>103</v>
      </c>
      <c r="L5382" s="1" t="str">
        <f t="shared" ref="L5382:L5413" si="3108">"47"</f>
        <v>47</v>
      </c>
      <c r="M5382" s="1" t="str">
        <f t="shared" si="3088"/>
        <v>0</v>
      </c>
      <c r="N5382" s="1" t="str">
        <f t="shared" si="3101"/>
        <v>0</v>
      </c>
      <c r="O5382" s="1" t="str">
        <f t="shared" si="3090"/>
        <v>0</v>
      </c>
    </row>
    <row r="5383" s="1" customFormat="1" spans="1:15">
      <c r="A5383" s="1" t="str">
        <f t="shared" si="3103"/>
        <v>202406</v>
      </c>
      <c r="B5383" s="1" t="str">
        <f t="shared" si="3104"/>
        <v>150525100</v>
      </c>
      <c r="C5383" s="1" t="str">
        <f>"1014629985"</f>
        <v>1014629985</v>
      </c>
      <c r="D5383" s="1" t="str">
        <f>"152326194909143824"</f>
        <v>152326194909143824</v>
      </c>
      <c r="E5383" s="1" t="s">
        <v>5318</v>
      </c>
      <c r="F5383" s="1" t="s">
        <v>16</v>
      </c>
      <c r="G5383" s="1" t="s">
        <v>17</v>
      </c>
      <c r="H5383" s="1" t="str">
        <f>"75"</f>
        <v>75</v>
      </c>
      <c r="I5383" s="1" t="str">
        <f t="shared" si="3106"/>
        <v>160</v>
      </c>
      <c r="J5383" s="1" t="str">
        <f t="shared" si="3098"/>
        <v>0</v>
      </c>
      <c r="K5383" s="1" t="str">
        <f t="shared" si="3107"/>
        <v>103</v>
      </c>
      <c r="L5383" s="1" t="str">
        <f t="shared" si="3108"/>
        <v>47</v>
      </c>
      <c r="M5383" s="1" t="str">
        <f t="shared" si="3088"/>
        <v>0</v>
      </c>
      <c r="N5383" s="1" t="str">
        <f t="shared" si="3101"/>
        <v>0</v>
      </c>
      <c r="O5383" s="1" t="str">
        <f t="shared" si="3090"/>
        <v>0</v>
      </c>
    </row>
    <row r="5384" s="1" customFormat="1" spans="1:15">
      <c r="A5384" s="1" t="str">
        <f t="shared" si="3103"/>
        <v>202406</v>
      </c>
      <c r="B5384" s="1" t="str">
        <f t="shared" si="3104"/>
        <v>150525100</v>
      </c>
      <c r="C5384" s="1" t="str">
        <f>"1014629997"</f>
        <v>1014629997</v>
      </c>
      <c r="D5384" s="1" t="s">
        <v>5319</v>
      </c>
      <c r="E5384" s="1" t="s">
        <v>5320</v>
      </c>
      <c r="F5384" s="1" t="s">
        <v>25</v>
      </c>
      <c r="G5384" s="1" t="s">
        <v>17</v>
      </c>
      <c r="H5384" s="1" t="str">
        <f>"78"</f>
        <v>78</v>
      </c>
      <c r="I5384" s="1" t="str">
        <f t="shared" si="3106"/>
        <v>160</v>
      </c>
      <c r="J5384" s="1" t="str">
        <f t="shared" si="3098"/>
        <v>0</v>
      </c>
      <c r="K5384" s="1" t="str">
        <f t="shared" si="3107"/>
        <v>103</v>
      </c>
      <c r="L5384" s="1" t="str">
        <f t="shared" si="3108"/>
        <v>47</v>
      </c>
      <c r="M5384" s="1" t="str">
        <f t="shared" si="3088"/>
        <v>0</v>
      </c>
      <c r="N5384" s="1" t="str">
        <f t="shared" si="3101"/>
        <v>0</v>
      </c>
      <c r="O5384" s="1" t="str">
        <f t="shared" si="3090"/>
        <v>0</v>
      </c>
    </row>
    <row r="5385" s="1" customFormat="1" spans="1:15">
      <c r="A5385" s="1" t="str">
        <f t="shared" si="3103"/>
        <v>202406</v>
      </c>
      <c r="B5385" s="1" t="str">
        <f t="shared" si="3104"/>
        <v>150525100</v>
      </c>
      <c r="C5385" s="1" t="str">
        <f>"1014588997"</f>
        <v>1014588997</v>
      </c>
      <c r="D5385" s="1" t="str">
        <f>"152326195902100420"</f>
        <v>152326195902100420</v>
      </c>
      <c r="E5385" s="1" t="s">
        <v>5321</v>
      </c>
      <c r="F5385" s="1" t="s">
        <v>16</v>
      </c>
      <c r="G5385" s="1" t="s">
        <v>17</v>
      </c>
      <c r="H5385" s="1" t="str">
        <f>"65"</f>
        <v>65</v>
      </c>
      <c r="I5385" s="1" t="str">
        <f>"158.12"</f>
        <v>158.12</v>
      </c>
      <c r="J5385" s="1" t="str">
        <f t="shared" si="3098"/>
        <v>0</v>
      </c>
      <c r="K5385" s="1" t="str">
        <f t="shared" si="3107"/>
        <v>103</v>
      </c>
      <c r="L5385" s="1" t="str">
        <f t="shared" si="3108"/>
        <v>47</v>
      </c>
      <c r="M5385" s="1" t="str">
        <f t="shared" si="3088"/>
        <v>0</v>
      </c>
      <c r="N5385" s="1" t="str">
        <f t="shared" si="3101"/>
        <v>0</v>
      </c>
      <c r="O5385" s="1" t="str">
        <f>"8.12"</f>
        <v>8.12</v>
      </c>
    </row>
    <row r="5386" s="1" customFormat="1" spans="1:15">
      <c r="A5386" s="1" t="str">
        <f t="shared" si="3103"/>
        <v>202406</v>
      </c>
      <c r="B5386" s="1" t="str">
        <f t="shared" si="3104"/>
        <v>150525100</v>
      </c>
      <c r="C5386" s="1" t="str">
        <f>"1014588999"</f>
        <v>1014588999</v>
      </c>
      <c r="D5386" s="1" t="str">
        <f>"152326196112250429"</f>
        <v>152326196112250429</v>
      </c>
      <c r="E5386" s="1" t="s">
        <v>5322</v>
      </c>
      <c r="F5386" s="1" t="s">
        <v>16</v>
      </c>
      <c r="G5386" s="1" t="s">
        <v>17</v>
      </c>
      <c r="H5386" s="1" t="str">
        <f>"63"</f>
        <v>63</v>
      </c>
      <c r="I5386" s="1" t="str">
        <f>"161.16"</f>
        <v>161.16</v>
      </c>
      <c r="J5386" s="1" t="str">
        <f t="shared" si="3098"/>
        <v>0</v>
      </c>
      <c r="K5386" s="1" t="str">
        <f t="shared" si="3107"/>
        <v>103</v>
      </c>
      <c r="L5386" s="1" t="str">
        <f t="shared" si="3108"/>
        <v>47</v>
      </c>
      <c r="M5386" s="1" t="str">
        <f t="shared" si="3088"/>
        <v>0</v>
      </c>
      <c r="N5386" s="1" t="str">
        <f t="shared" si="3101"/>
        <v>0</v>
      </c>
      <c r="O5386" s="1" t="str">
        <f>"11.16"</f>
        <v>11.16</v>
      </c>
    </row>
    <row r="5387" s="1" customFormat="1" spans="1:15">
      <c r="A5387" s="1" t="str">
        <f t="shared" si="3103"/>
        <v>202406</v>
      </c>
      <c r="B5387" s="1" t="str">
        <f t="shared" si="3104"/>
        <v>150525100</v>
      </c>
      <c r="C5387" s="1" t="str">
        <f>"1014589015"</f>
        <v>1014589015</v>
      </c>
      <c r="D5387" s="1" t="str">
        <f>"152326196209260455"</f>
        <v>152326196209260455</v>
      </c>
      <c r="E5387" s="1" t="s">
        <v>5323</v>
      </c>
      <c r="F5387" s="1" t="s">
        <v>25</v>
      </c>
      <c r="G5387" s="1" t="s">
        <v>17</v>
      </c>
      <c r="H5387" s="1" t="str">
        <f>"62"</f>
        <v>62</v>
      </c>
      <c r="I5387" s="1" t="str">
        <f>"163.13"</f>
        <v>163.13</v>
      </c>
      <c r="J5387" s="1" t="str">
        <f t="shared" si="3098"/>
        <v>0</v>
      </c>
      <c r="K5387" s="1" t="str">
        <f t="shared" si="3107"/>
        <v>103</v>
      </c>
      <c r="L5387" s="1" t="str">
        <f t="shared" si="3108"/>
        <v>47</v>
      </c>
      <c r="M5387" s="1" t="str">
        <f t="shared" si="3088"/>
        <v>0</v>
      </c>
      <c r="N5387" s="1" t="str">
        <f t="shared" si="3101"/>
        <v>0</v>
      </c>
      <c r="O5387" s="1" t="str">
        <f>"13.13"</f>
        <v>13.13</v>
      </c>
    </row>
    <row r="5388" s="1" customFormat="1" spans="1:15">
      <c r="A5388" s="1" t="str">
        <f t="shared" si="3103"/>
        <v>202406</v>
      </c>
      <c r="B5388" s="1" t="str">
        <f t="shared" si="3104"/>
        <v>150525100</v>
      </c>
      <c r="C5388" s="1" t="str">
        <f>"1014613166"</f>
        <v>1014613166</v>
      </c>
      <c r="D5388" s="1" t="str">
        <f>"152326195011093319"</f>
        <v>152326195011093319</v>
      </c>
      <c r="E5388" s="1" t="s">
        <v>5324</v>
      </c>
      <c r="F5388" s="1" t="s">
        <v>25</v>
      </c>
      <c r="G5388" s="1" t="s">
        <v>19</v>
      </c>
      <c r="H5388" s="1" t="str">
        <f>"74"</f>
        <v>74</v>
      </c>
      <c r="I5388" s="1" t="str">
        <f t="shared" ref="I5388:I5391" si="3109">"160"</f>
        <v>160</v>
      </c>
      <c r="J5388" s="1" t="str">
        <f t="shared" si="3098"/>
        <v>0</v>
      </c>
      <c r="K5388" s="1" t="str">
        <f t="shared" si="3107"/>
        <v>103</v>
      </c>
      <c r="L5388" s="1" t="str">
        <f t="shared" si="3108"/>
        <v>47</v>
      </c>
      <c r="M5388" s="1" t="str">
        <f t="shared" si="3088"/>
        <v>0</v>
      </c>
      <c r="N5388" s="1" t="str">
        <f t="shared" si="3101"/>
        <v>0</v>
      </c>
      <c r="O5388" s="1" t="str">
        <f t="shared" ref="O5388:O5409" si="3110">"0"</f>
        <v>0</v>
      </c>
    </row>
    <row r="5389" s="1" customFormat="1" spans="1:15">
      <c r="A5389" s="1" t="str">
        <f t="shared" si="3103"/>
        <v>202406</v>
      </c>
      <c r="B5389" s="1" t="str">
        <f t="shared" si="3104"/>
        <v>150525100</v>
      </c>
      <c r="C5389" s="1" t="str">
        <f>"1014613174"</f>
        <v>1014613174</v>
      </c>
      <c r="D5389" s="1" t="str">
        <f>"152326195107230912"</f>
        <v>152326195107230912</v>
      </c>
      <c r="E5389" s="1" t="s">
        <v>5325</v>
      </c>
      <c r="F5389" s="1" t="s">
        <v>25</v>
      </c>
      <c r="G5389" s="1" t="s">
        <v>19</v>
      </c>
      <c r="H5389" s="1" t="str">
        <f>"73"</f>
        <v>73</v>
      </c>
      <c r="I5389" s="1" t="str">
        <f t="shared" si="3109"/>
        <v>160</v>
      </c>
      <c r="J5389" s="1" t="str">
        <f t="shared" si="3098"/>
        <v>0</v>
      </c>
      <c r="K5389" s="1" t="str">
        <f t="shared" si="3107"/>
        <v>103</v>
      </c>
      <c r="L5389" s="1" t="str">
        <f t="shared" si="3108"/>
        <v>47</v>
      </c>
      <c r="M5389" s="1" t="str">
        <f t="shared" si="3088"/>
        <v>0</v>
      </c>
      <c r="N5389" s="1" t="str">
        <f t="shared" si="3101"/>
        <v>0</v>
      </c>
      <c r="O5389" s="1" t="str">
        <f t="shared" si="3110"/>
        <v>0</v>
      </c>
    </row>
    <row r="5390" s="1" customFormat="1" spans="1:15">
      <c r="A5390" s="1" t="str">
        <f t="shared" si="3103"/>
        <v>202406</v>
      </c>
      <c r="B5390" s="1" t="str">
        <f t="shared" si="3104"/>
        <v>150525100</v>
      </c>
      <c r="C5390" s="1" t="str">
        <f>"1014613178"</f>
        <v>1014613178</v>
      </c>
      <c r="D5390" s="1" t="str">
        <f>"152326194404100917"</f>
        <v>152326194404100917</v>
      </c>
      <c r="E5390" s="1" t="s">
        <v>5326</v>
      </c>
      <c r="F5390" s="1" t="s">
        <v>25</v>
      </c>
      <c r="G5390" s="1" t="s">
        <v>19</v>
      </c>
      <c r="H5390" s="1" t="str">
        <f>"80"</f>
        <v>80</v>
      </c>
      <c r="I5390" s="1" t="str">
        <f t="shared" ref="I5390:I5394" si="3111">"170"</f>
        <v>170</v>
      </c>
      <c r="J5390" s="1" t="str">
        <f t="shared" si="3098"/>
        <v>0</v>
      </c>
      <c r="K5390" s="1" t="str">
        <f t="shared" si="3107"/>
        <v>103</v>
      </c>
      <c r="L5390" s="1" t="str">
        <f t="shared" si="3108"/>
        <v>47</v>
      </c>
      <c r="M5390" s="1" t="str">
        <f t="shared" si="3088"/>
        <v>0</v>
      </c>
      <c r="N5390" s="1" t="str">
        <f t="shared" si="3101"/>
        <v>0</v>
      </c>
      <c r="O5390" s="1" t="str">
        <f t="shared" si="3110"/>
        <v>0</v>
      </c>
    </row>
    <row r="5391" s="1" customFormat="1" spans="1:15">
      <c r="A5391" s="1" t="str">
        <f t="shared" si="3103"/>
        <v>202406</v>
      </c>
      <c r="B5391" s="1" t="str">
        <f t="shared" si="3104"/>
        <v>150525100</v>
      </c>
      <c r="C5391" s="1" t="str">
        <f>"1014622234"</f>
        <v>1014622234</v>
      </c>
      <c r="D5391" s="1" t="str">
        <f>"152326194409220424"</f>
        <v>152326194409220424</v>
      </c>
      <c r="E5391" s="1" t="s">
        <v>5327</v>
      </c>
      <c r="F5391" s="1" t="s">
        <v>16</v>
      </c>
      <c r="G5391" s="1" t="s">
        <v>17</v>
      </c>
      <c r="H5391" s="1" t="str">
        <f>"80"</f>
        <v>80</v>
      </c>
      <c r="I5391" s="1" t="str">
        <f t="shared" si="3109"/>
        <v>160</v>
      </c>
      <c r="J5391" s="1" t="str">
        <f t="shared" si="3098"/>
        <v>0</v>
      </c>
      <c r="K5391" s="1" t="str">
        <f t="shared" si="3107"/>
        <v>103</v>
      </c>
      <c r="L5391" s="1" t="str">
        <f t="shared" si="3108"/>
        <v>47</v>
      </c>
      <c r="M5391" s="1" t="str">
        <f t="shared" si="3088"/>
        <v>0</v>
      </c>
      <c r="N5391" s="1" t="str">
        <f t="shared" si="3101"/>
        <v>0</v>
      </c>
      <c r="O5391" s="1" t="str">
        <f t="shared" si="3110"/>
        <v>0</v>
      </c>
    </row>
    <row r="5392" s="1" customFormat="1" spans="1:15">
      <c r="A5392" s="1" t="str">
        <f t="shared" si="3103"/>
        <v>202406</v>
      </c>
      <c r="B5392" s="1" t="str">
        <f t="shared" si="3104"/>
        <v>150525100</v>
      </c>
      <c r="C5392" s="1" t="str">
        <f>"1014622617"</f>
        <v>1014622617</v>
      </c>
      <c r="D5392" s="1" t="str">
        <f>"152326194006070679"</f>
        <v>152326194006070679</v>
      </c>
      <c r="E5392" s="1" t="s">
        <v>5328</v>
      </c>
      <c r="F5392" s="1" t="s">
        <v>25</v>
      </c>
      <c r="G5392" s="1" t="s">
        <v>17</v>
      </c>
      <c r="H5392" s="1" t="str">
        <f>"84"</f>
        <v>84</v>
      </c>
      <c r="I5392" s="1" t="str">
        <f t="shared" si="3111"/>
        <v>170</v>
      </c>
      <c r="J5392" s="1" t="str">
        <f t="shared" si="3098"/>
        <v>0</v>
      </c>
      <c r="K5392" s="1" t="str">
        <f t="shared" si="3107"/>
        <v>103</v>
      </c>
      <c r="L5392" s="1" t="str">
        <f t="shared" si="3108"/>
        <v>47</v>
      </c>
      <c r="M5392" s="1" t="str">
        <f t="shared" si="3088"/>
        <v>0</v>
      </c>
      <c r="N5392" s="1" t="str">
        <f t="shared" si="3101"/>
        <v>0</v>
      </c>
      <c r="O5392" s="1" t="str">
        <f t="shared" si="3110"/>
        <v>0</v>
      </c>
    </row>
    <row r="5393" s="1" customFormat="1" spans="1:15">
      <c r="A5393" s="1" t="str">
        <f t="shared" si="3103"/>
        <v>202406</v>
      </c>
      <c r="B5393" s="1" t="str">
        <f t="shared" si="3104"/>
        <v>150525100</v>
      </c>
      <c r="C5393" s="1" t="str">
        <f>"1014622621"</f>
        <v>1014622621</v>
      </c>
      <c r="D5393" s="1" t="str">
        <f>"152326194307080678"</f>
        <v>152326194307080678</v>
      </c>
      <c r="E5393" s="1" t="s">
        <v>5329</v>
      </c>
      <c r="F5393" s="1" t="s">
        <v>25</v>
      </c>
      <c r="G5393" s="1" t="s">
        <v>17</v>
      </c>
      <c r="H5393" s="1" t="str">
        <f>"81"</f>
        <v>81</v>
      </c>
      <c r="I5393" s="1" t="str">
        <f t="shared" si="3111"/>
        <v>170</v>
      </c>
      <c r="J5393" s="1" t="str">
        <f t="shared" si="3098"/>
        <v>0</v>
      </c>
      <c r="K5393" s="1" t="str">
        <f t="shared" si="3107"/>
        <v>103</v>
      </c>
      <c r="L5393" s="1" t="str">
        <f t="shared" si="3108"/>
        <v>47</v>
      </c>
      <c r="M5393" s="1" t="str">
        <f t="shared" si="3088"/>
        <v>0</v>
      </c>
      <c r="N5393" s="1" t="str">
        <f t="shared" si="3101"/>
        <v>0</v>
      </c>
      <c r="O5393" s="1" t="str">
        <f t="shared" si="3110"/>
        <v>0</v>
      </c>
    </row>
    <row r="5394" s="1" customFormat="1" spans="1:15">
      <c r="A5394" s="1" t="str">
        <f t="shared" si="3103"/>
        <v>202406</v>
      </c>
      <c r="B5394" s="1" t="str">
        <f t="shared" si="3104"/>
        <v>150525100</v>
      </c>
      <c r="C5394" s="1" t="str">
        <f>"1014622630"</f>
        <v>1014622630</v>
      </c>
      <c r="D5394" s="1" t="str">
        <f>"152326193704040675"</f>
        <v>152326193704040675</v>
      </c>
      <c r="E5394" s="1" t="s">
        <v>5330</v>
      </c>
      <c r="F5394" s="1" t="s">
        <v>25</v>
      </c>
      <c r="G5394" s="1" t="s">
        <v>17</v>
      </c>
      <c r="H5394" s="1" t="str">
        <f>"87"</f>
        <v>87</v>
      </c>
      <c r="I5394" s="1" t="str">
        <f t="shared" si="3111"/>
        <v>170</v>
      </c>
      <c r="J5394" s="1" t="str">
        <f t="shared" si="3098"/>
        <v>0</v>
      </c>
      <c r="K5394" s="1" t="str">
        <f t="shared" si="3107"/>
        <v>103</v>
      </c>
      <c r="L5394" s="1" t="str">
        <f t="shared" si="3108"/>
        <v>47</v>
      </c>
      <c r="M5394" s="1" t="str">
        <f t="shared" si="3088"/>
        <v>0</v>
      </c>
      <c r="N5394" s="1" t="str">
        <f t="shared" si="3101"/>
        <v>0</v>
      </c>
      <c r="O5394" s="1" t="str">
        <f t="shared" si="3110"/>
        <v>0</v>
      </c>
    </row>
    <row r="5395" s="1" customFormat="1" spans="1:15">
      <c r="A5395" s="1" t="str">
        <f t="shared" si="3103"/>
        <v>202406</v>
      </c>
      <c r="B5395" s="1" t="str">
        <f t="shared" si="3104"/>
        <v>150525100</v>
      </c>
      <c r="C5395" s="1" t="str">
        <f>"1014623985"</f>
        <v>1014623985</v>
      </c>
      <c r="D5395" s="1" t="str">
        <f>"152326194801160665"</f>
        <v>152326194801160665</v>
      </c>
      <c r="E5395" s="1" t="s">
        <v>1177</v>
      </c>
      <c r="F5395" s="1" t="s">
        <v>16</v>
      </c>
      <c r="G5395" s="1" t="s">
        <v>17</v>
      </c>
      <c r="H5395" s="1" t="str">
        <f>"76"</f>
        <v>76</v>
      </c>
      <c r="I5395" s="1" t="str">
        <f t="shared" ref="I5395:I5398" si="3112">"160"</f>
        <v>160</v>
      </c>
      <c r="J5395" s="1" t="str">
        <f t="shared" si="3098"/>
        <v>0</v>
      </c>
      <c r="K5395" s="1" t="str">
        <f t="shared" si="3107"/>
        <v>103</v>
      </c>
      <c r="L5395" s="1" t="str">
        <f t="shared" si="3108"/>
        <v>47</v>
      </c>
      <c r="M5395" s="1" t="str">
        <f t="shared" si="3088"/>
        <v>0</v>
      </c>
      <c r="N5395" s="1" t="str">
        <f t="shared" si="3101"/>
        <v>0</v>
      </c>
      <c r="O5395" s="1" t="str">
        <f t="shared" si="3110"/>
        <v>0</v>
      </c>
    </row>
    <row r="5396" s="1" customFormat="1" spans="1:15">
      <c r="A5396" s="1" t="str">
        <f t="shared" si="3103"/>
        <v>202406</v>
      </c>
      <c r="B5396" s="1" t="str">
        <f t="shared" si="3104"/>
        <v>150525100</v>
      </c>
      <c r="C5396" s="1" t="str">
        <f>"1014623992"</f>
        <v>1014623992</v>
      </c>
      <c r="D5396" s="1" t="s">
        <v>5331</v>
      </c>
      <c r="E5396" s="1" t="s">
        <v>5332</v>
      </c>
      <c r="F5396" s="1" t="s">
        <v>25</v>
      </c>
      <c r="G5396" s="1" t="s">
        <v>17</v>
      </c>
      <c r="H5396" s="1" t="str">
        <f>"74"</f>
        <v>74</v>
      </c>
      <c r="I5396" s="1" t="str">
        <f t="shared" si="3112"/>
        <v>160</v>
      </c>
      <c r="J5396" s="1" t="str">
        <f t="shared" si="3098"/>
        <v>0</v>
      </c>
      <c r="K5396" s="1" t="str">
        <f t="shared" si="3107"/>
        <v>103</v>
      </c>
      <c r="L5396" s="1" t="str">
        <f t="shared" si="3108"/>
        <v>47</v>
      </c>
      <c r="M5396" s="1" t="str">
        <f t="shared" si="3088"/>
        <v>0</v>
      </c>
      <c r="N5396" s="1" t="str">
        <f t="shared" si="3101"/>
        <v>0</v>
      </c>
      <c r="O5396" s="1" t="str">
        <f t="shared" si="3110"/>
        <v>0</v>
      </c>
    </row>
    <row r="5397" s="1" customFormat="1" spans="1:15">
      <c r="A5397" s="1" t="str">
        <f t="shared" si="3103"/>
        <v>202406</v>
      </c>
      <c r="B5397" s="1" t="str">
        <f t="shared" si="3104"/>
        <v>150525100</v>
      </c>
      <c r="C5397" s="1" t="str">
        <f>"1014624470"</f>
        <v>1014624470</v>
      </c>
      <c r="D5397" s="1" t="str">
        <f>"152326194911190910"</f>
        <v>152326194911190910</v>
      </c>
      <c r="E5397" s="1" t="s">
        <v>5333</v>
      </c>
      <c r="F5397" s="1" t="s">
        <v>25</v>
      </c>
      <c r="G5397" s="1" t="s">
        <v>19</v>
      </c>
      <c r="H5397" s="1" t="str">
        <f>"75"</f>
        <v>75</v>
      </c>
      <c r="I5397" s="1" t="str">
        <f t="shared" si="3112"/>
        <v>160</v>
      </c>
      <c r="J5397" s="1" t="str">
        <f t="shared" si="3098"/>
        <v>0</v>
      </c>
      <c r="K5397" s="1" t="str">
        <f t="shared" si="3107"/>
        <v>103</v>
      </c>
      <c r="L5397" s="1" t="str">
        <f t="shared" si="3108"/>
        <v>47</v>
      </c>
      <c r="M5397" s="1" t="str">
        <f t="shared" si="3088"/>
        <v>0</v>
      </c>
      <c r="N5397" s="1" t="str">
        <f t="shared" si="3101"/>
        <v>0</v>
      </c>
      <c r="O5397" s="1" t="str">
        <f t="shared" si="3110"/>
        <v>0</v>
      </c>
    </row>
    <row r="5398" s="1" customFormat="1" spans="1:15">
      <c r="A5398" s="1" t="str">
        <f t="shared" si="3103"/>
        <v>202406</v>
      </c>
      <c r="B5398" s="1" t="str">
        <f t="shared" si="3104"/>
        <v>150525100</v>
      </c>
      <c r="C5398" s="1" t="str">
        <f>"1014624490"</f>
        <v>1014624490</v>
      </c>
      <c r="D5398" s="1" t="str">
        <f>"152326194609150678"</f>
        <v>152326194609150678</v>
      </c>
      <c r="E5398" s="1" t="s">
        <v>5334</v>
      </c>
      <c r="F5398" s="1" t="s">
        <v>25</v>
      </c>
      <c r="G5398" s="1" t="s">
        <v>17</v>
      </c>
      <c r="H5398" s="1" t="str">
        <f>"78"</f>
        <v>78</v>
      </c>
      <c r="I5398" s="1" t="str">
        <f t="shared" si="3112"/>
        <v>160</v>
      </c>
      <c r="J5398" s="1" t="str">
        <f t="shared" si="3098"/>
        <v>0</v>
      </c>
      <c r="K5398" s="1" t="str">
        <f t="shared" si="3107"/>
        <v>103</v>
      </c>
      <c r="L5398" s="1" t="str">
        <f t="shared" si="3108"/>
        <v>47</v>
      </c>
      <c r="M5398" s="1" t="str">
        <f t="shared" si="3088"/>
        <v>0</v>
      </c>
      <c r="N5398" s="1" t="str">
        <f t="shared" si="3101"/>
        <v>0</v>
      </c>
      <c r="O5398" s="1" t="str">
        <f t="shared" si="3110"/>
        <v>0</v>
      </c>
    </row>
    <row r="5399" s="1" customFormat="1" spans="1:15">
      <c r="A5399" s="1" t="str">
        <f t="shared" si="3103"/>
        <v>202406</v>
      </c>
      <c r="B5399" s="1" t="str">
        <f t="shared" si="3104"/>
        <v>150525100</v>
      </c>
      <c r="C5399" s="1" t="str">
        <f>"1014619451"</f>
        <v>1014619451</v>
      </c>
      <c r="D5399" s="1" t="s">
        <v>5335</v>
      </c>
      <c r="E5399" s="1" t="s">
        <v>5336</v>
      </c>
      <c r="F5399" s="1" t="s">
        <v>25</v>
      </c>
      <c r="G5399" s="1" t="s">
        <v>17</v>
      </c>
      <c r="H5399" s="1" t="str">
        <f>"86"</f>
        <v>86</v>
      </c>
      <c r="I5399" s="1" t="str">
        <f>"170"</f>
        <v>170</v>
      </c>
      <c r="J5399" s="1" t="str">
        <f t="shared" si="3098"/>
        <v>0</v>
      </c>
      <c r="K5399" s="1" t="str">
        <f t="shared" si="3107"/>
        <v>103</v>
      </c>
      <c r="L5399" s="1" t="str">
        <f t="shared" si="3108"/>
        <v>47</v>
      </c>
      <c r="M5399" s="1" t="str">
        <f t="shared" si="3088"/>
        <v>0</v>
      </c>
      <c r="N5399" s="1" t="str">
        <f t="shared" si="3101"/>
        <v>0</v>
      </c>
      <c r="O5399" s="1" t="str">
        <f t="shared" si="3110"/>
        <v>0</v>
      </c>
    </row>
    <row r="5400" s="1" customFormat="1" spans="1:15">
      <c r="A5400" s="1" t="str">
        <f t="shared" si="3103"/>
        <v>202406</v>
      </c>
      <c r="B5400" s="1" t="str">
        <f t="shared" si="3104"/>
        <v>150525100</v>
      </c>
      <c r="C5400" s="1" t="str">
        <f>"1014619454"</f>
        <v>1014619454</v>
      </c>
      <c r="D5400" s="1" t="str">
        <f>"152326195112190679"</f>
        <v>152326195112190679</v>
      </c>
      <c r="E5400" s="1" t="s">
        <v>5337</v>
      </c>
      <c r="F5400" s="1" t="s">
        <v>25</v>
      </c>
      <c r="G5400" s="1" t="s">
        <v>17</v>
      </c>
      <c r="H5400" s="1" t="str">
        <f>"73"</f>
        <v>73</v>
      </c>
      <c r="I5400" s="1" t="str">
        <f t="shared" ref="I5400:I5405" si="3113">"160"</f>
        <v>160</v>
      </c>
      <c r="J5400" s="1" t="str">
        <f t="shared" si="3098"/>
        <v>0</v>
      </c>
      <c r="K5400" s="1" t="str">
        <f t="shared" si="3107"/>
        <v>103</v>
      </c>
      <c r="L5400" s="1" t="str">
        <f t="shared" si="3108"/>
        <v>47</v>
      </c>
      <c r="M5400" s="1" t="str">
        <f t="shared" si="3088"/>
        <v>0</v>
      </c>
      <c r="N5400" s="1" t="str">
        <f t="shared" si="3101"/>
        <v>0</v>
      </c>
      <c r="O5400" s="1" t="str">
        <f t="shared" si="3110"/>
        <v>0</v>
      </c>
    </row>
    <row r="5401" s="1" customFormat="1" spans="1:15">
      <c r="A5401" s="1" t="str">
        <f t="shared" si="3103"/>
        <v>202406</v>
      </c>
      <c r="B5401" s="1" t="str">
        <f t="shared" si="3104"/>
        <v>150525100</v>
      </c>
      <c r="C5401" s="1" t="str">
        <f>"1014619637"</f>
        <v>1014619637</v>
      </c>
      <c r="D5401" s="1" t="str">
        <f>"152326194901293086"</f>
        <v>152326194901293086</v>
      </c>
      <c r="E5401" s="1" t="s">
        <v>5338</v>
      </c>
      <c r="F5401" s="1" t="s">
        <v>16</v>
      </c>
      <c r="G5401" s="1" t="s">
        <v>17</v>
      </c>
      <c r="H5401" s="1" t="str">
        <f>"75"</f>
        <v>75</v>
      </c>
      <c r="I5401" s="1" t="str">
        <f t="shared" si="3113"/>
        <v>160</v>
      </c>
      <c r="J5401" s="1" t="str">
        <f t="shared" si="3098"/>
        <v>0</v>
      </c>
      <c r="K5401" s="1" t="str">
        <f t="shared" si="3107"/>
        <v>103</v>
      </c>
      <c r="L5401" s="1" t="str">
        <f t="shared" si="3108"/>
        <v>47</v>
      </c>
      <c r="M5401" s="1" t="str">
        <f t="shared" si="3088"/>
        <v>0</v>
      </c>
      <c r="N5401" s="1" t="str">
        <f t="shared" si="3101"/>
        <v>0</v>
      </c>
      <c r="O5401" s="1" t="str">
        <f t="shared" si="3110"/>
        <v>0</v>
      </c>
    </row>
    <row r="5402" s="1" customFormat="1" spans="1:15">
      <c r="A5402" s="1" t="str">
        <f t="shared" si="3103"/>
        <v>202406</v>
      </c>
      <c r="B5402" s="1" t="str">
        <f t="shared" si="3104"/>
        <v>150525100</v>
      </c>
      <c r="C5402" s="1" t="str">
        <f>"1014622980"</f>
        <v>1014622980</v>
      </c>
      <c r="D5402" s="1" t="str">
        <f>"152326194805090422"</f>
        <v>152326194805090422</v>
      </c>
      <c r="E5402" s="1" t="s">
        <v>4364</v>
      </c>
      <c r="F5402" s="1" t="s">
        <v>16</v>
      </c>
      <c r="G5402" s="1" t="s">
        <v>17</v>
      </c>
      <c r="H5402" s="1" t="str">
        <f>"76"</f>
        <v>76</v>
      </c>
      <c r="I5402" s="1" t="str">
        <f t="shared" si="3113"/>
        <v>160</v>
      </c>
      <c r="J5402" s="1" t="str">
        <f t="shared" si="3098"/>
        <v>0</v>
      </c>
      <c r="K5402" s="1" t="str">
        <f t="shared" si="3107"/>
        <v>103</v>
      </c>
      <c r="L5402" s="1" t="str">
        <f t="shared" si="3108"/>
        <v>47</v>
      </c>
      <c r="M5402" s="1" t="str">
        <f t="shared" si="3088"/>
        <v>0</v>
      </c>
      <c r="N5402" s="1" t="str">
        <f t="shared" si="3101"/>
        <v>0</v>
      </c>
      <c r="O5402" s="1" t="str">
        <f t="shared" si="3110"/>
        <v>0</v>
      </c>
    </row>
    <row r="5403" s="1" customFormat="1" spans="1:15">
      <c r="A5403" s="1" t="str">
        <f t="shared" si="3103"/>
        <v>202406</v>
      </c>
      <c r="B5403" s="1" t="str">
        <f t="shared" si="3104"/>
        <v>150525100</v>
      </c>
      <c r="C5403" s="1" t="str">
        <f>"1014629643"</f>
        <v>1014629643</v>
      </c>
      <c r="D5403" s="1" t="str">
        <f>"152326194806110077"</f>
        <v>152326194806110077</v>
      </c>
      <c r="E5403" s="1" t="s">
        <v>5339</v>
      </c>
      <c r="F5403" s="1" t="s">
        <v>25</v>
      </c>
      <c r="G5403" s="1" t="s">
        <v>17</v>
      </c>
      <c r="H5403" s="1" t="str">
        <f>"76"</f>
        <v>76</v>
      </c>
      <c r="I5403" s="1" t="str">
        <f t="shared" si="3113"/>
        <v>160</v>
      </c>
      <c r="J5403" s="1" t="str">
        <f t="shared" si="3098"/>
        <v>0</v>
      </c>
      <c r="K5403" s="1" t="str">
        <f t="shared" si="3107"/>
        <v>103</v>
      </c>
      <c r="L5403" s="1" t="str">
        <f t="shared" si="3108"/>
        <v>47</v>
      </c>
      <c r="M5403" s="1" t="str">
        <f t="shared" si="3088"/>
        <v>0</v>
      </c>
      <c r="N5403" s="1" t="str">
        <f t="shared" si="3101"/>
        <v>0</v>
      </c>
      <c r="O5403" s="1" t="str">
        <f t="shared" si="3110"/>
        <v>0</v>
      </c>
    </row>
    <row r="5404" s="1" customFormat="1" spans="1:15">
      <c r="A5404" s="1" t="str">
        <f t="shared" si="3103"/>
        <v>202406</v>
      </c>
      <c r="B5404" s="1" t="str">
        <f t="shared" si="3104"/>
        <v>150525100</v>
      </c>
      <c r="C5404" s="1" t="str">
        <f>"1014629657"</f>
        <v>1014629657</v>
      </c>
      <c r="D5404" s="1" t="str">
        <f>"152326195012230020"</f>
        <v>152326195012230020</v>
      </c>
      <c r="E5404" s="1" t="s">
        <v>5340</v>
      </c>
      <c r="F5404" s="1" t="s">
        <v>16</v>
      </c>
      <c r="G5404" s="1" t="s">
        <v>17</v>
      </c>
      <c r="H5404" s="1" t="str">
        <f t="shared" ref="H5404:H5408" si="3114">"74"</f>
        <v>74</v>
      </c>
      <c r="I5404" s="1" t="str">
        <f t="shared" si="3113"/>
        <v>160</v>
      </c>
      <c r="J5404" s="1" t="str">
        <f t="shared" si="3098"/>
        <v>0</v>
      </c>
      <c r="K5404" s="1" t="str">
        <f t="shared" si="3107"/>
        <v>103</v>
      </c>
      <c r="L5404" s="1" t="str">
        <f t="shared" si="3108"/>
        <v>47</v>
      </c>
      <c r="M5404" s="1" t="str">
        <f t="shared" si="3088"/>
        <v>0</v>
      </c>
      <c r="N5404" s="1" t="str">
        <f t="shared" si="3101"/>
        <v>0</v>
      </c>
      <c r="O5404" s="1" t="str">
        <f t="shared" si="3110"/>
        <v>0</v>
      </c>
    </row>
    <row r="5405" s="1" customFormat="1" spans="1:15">
      <c r="A5405" s="1" t="str">
        <f t="shared" si="3103"/>
        <v>202406</v>
      </c>
      <c r="B5405" s="1" t="str">
        <f t="shared" si="3104"/>
        <v>150525100</v>
      </c>
      <c r="C5405" s="1" t="str">
        <f>"1014629668"</f>
        <v>1014629668</v>
      </c>
      <c r="D5405" s="1" t="str">
        <f>"152326195003200022"</f>
        <v>152326195003200022</v>
      </c>
      <c r="E5405" s="1" t="s">
        <v>5341</v>
      </c>
      <c r="F5405" s="1" t="s">
        <v>16</v>
      </c>
      <c r="G5405" s="1" t="s">
        <v>17</v>
      </c>
      <c r="H5405" s="1" t="str">
        <f t="shared" si="3114"/>
        <v>74</v>
      </c>
      <c r="I5405" s="1" t="str">
        <f t="shared" si="3113"/>
        <v>160</v>
      </c>
      <c r="J5405" s="1" t="str">
        <f t="shared" si="3098"/>
        <v>0</v>
      </c>
      <c r="K5405" s="1" t="str">
        <f t="shared" si="3107"/>
        <v>103</v>
      </c>
      <c r="L5405" s="1" t="str">
        <f t="shared" si="3108"/>
        <v>47</v>
      </c>
      <c r="M5405" s="1" t="str">
        <f t="shared" si="3088"/>
        <v>0</v>
      </c>
      <c r="N5405" s="1" t="str">
        <f t="shared" si="3101"/>
        <v>0</v>
      </c>
      <c r="O5405" s="1" t="str">
        <f t="shared" si="3110"/>
        <v>0</v>
      </c>
    </row>
    <row r="5406" s="1" customFormat="1" spans="1:15">
      <c r="A5406" s="1" t="str">
        <f t="shared" si="3103"/>
        <v>202406</v>
      </c>
      <c r="B5406" s="1" t="str">
        <f t="shared" si="3104"/>
        <v>150525100</v>
      </c>
      <c r="C5406" s="1" t="str">
        <f>"1014629675"</f>
        <v>1014629675</v>
      </c>
      <c r="D5406" s="1" t="str">
        <f>"152326194001140025"</f>
        <v>152326194001140025</v>
      </c>
      <c r="E5406" s="1" t="s">
        <v>5342</v>
      </c>
      <c r="F5406" s="1" t="s">
        <v>16</v>
      </c>
      <c r="G5406" s="1" t="s">
        <v>17</v>
      </c>
      <c r="H5406" s="1" t="str">
        <f>"84"</f>
        <v>84</v>
      </c>
      <c r="I5406" s="1" t="str">
        <f>"170"</f>
        <v>170</v>
      </c>
      <c r="J5406" s="1" t="str">
        <f t="shared" si="3098"/>
        <v>0</v>
      </c>
      <c r="K5406" s="1" t="str">
        <f t="shared" si="3107"/>
        <v>103</v>
      </c>
      <c r="L5406" s="1" t="str">
        <f t="shared" si="3108"/>
        <v>47</v>
      </c>
      <c r="M5406" s="1" t="str">
        <f t="shared" si="3088"/>
        <v>0</v>
      </c>
      <c r="N5406" s="1" t="str">
        <f t="shared" si="3101"/>
        <v>0</v>
      </c>
      <c r="O5406" s="1" t="str">
        <f t="shared" si="3110"/>
        <v>0</v>
      </c>
    </row>
    <row r="5407" s="1" customFormat="1" spans="1:15">
      <c r="A5407" s="1" t="str">
        <f t="shared" si="3103"/>
        <v>202406</v>
      </c>
      <c r="B5407" s="1" t="str">
        <f t="shared" si="3104"/>
        <v>150525100</v>
      </c>
      <c r="C5407" s="1" t="str">
        <f>"1014629692"</f>
        <v>1014629692</v>
      </c>
      <c r="D5407" s="1" t="str">
        <f>"152326194707273823"</f>
        <v>152326194707273823</v>
      </c>
      <c r="E5407" s="1" t="s">
        <v>5343</v>
      </c>
      <c r="F5407" s="1" t="s">
        <v>16</v>
      </c>
      <c r="G5407" s="1" t="s">
        <v>17</v>
      </c>
      <c r="H5407" s="1" t="str">
        <f>"77"</f>
        <v>77</v>
      </c>
      <c r="I5407" s="1" t="str">
        <f t="shared" ref="I5407:I5409" si="3115">"160"</f>
        <v>160</v>
      </c>
      <c r="J5407" s="1" t="str">
        <f t="shared" si="3098"/>
        <v>0</v>
      </c>
      <c r="K5407" s="1" t="str">
        <f t="shared" si="3107"/>
        <v>103</v>
      </c>
      <c r="L5407" s="1" t="str">
        <f t="shared" si="3108"/>
        <v>47</v>
      </c>
      <c r="M5407" s="1" t="str">
        <f t="shared" si="3088"/>
        <v>0</v>
      </c>
      <c r="N5407" s="1" t="str">
        <f t="shared" si="3101"/>
        <v>0</v>
      </c>
      <c r="O5407" s="1" t="str">
        <f t="shared" si="3110"/>
        <v>0</v>
      </c>
    </row>
    <row r="5408" s="1" customFormat="1" spans="1:15">
      <c r="A5408" s="1" t="str">
        <f t="shared" si="3103"/>
        <v>202406</v>
      </c>
      <c r="B5408" s="1" t="str">
        <f t="shared" si="3104"/>
        <v>150525100</v>
      </c>
      <c r="C5408" s="1" t="str">
        <f>"1014629704"</f>
        <v>1014629704</v>
      </c>
      <c r="D5408" s="1" t="str">
        <f>"152326195010183822"</f>
        <v>152326195010183822</v>
      </c>
      <c r="E5408" s="1" t="s">
        <v>707</v>
      </c>
      <c r="F5408" s="1" t="s">
        <v>16</v>
      </c>
      <c r="G5408" s="1" t="s">
        <v>17</v>
      </c>
      <c r="H5408" s="1" t="str">
        <f t="shared" si="3114"/>
        <v>74</v>
      </c>
      <c r="I5408" s="1" t="str">
        <f t="shared" si="3115"/>
        <v>160</v>
      </c>
      <c r="J5408" s="1" t="str">
        <f t="shared" si="3098"/>
        <v>0</v>
      </c>
      <c r="K5408" s="1" t="str">
        <f t="shared" si="3107"/>
        <v>103</v>
      </c>
      <c r="L5408" s="1" t="str">
        <f t="shared" si="3108"/>
        <v>47</v>
      </c>
      <c r="M5408" s="1" t="str">
        <f t="shared" ref="M5408:M5471" si="3116">"0"</f>
        <v>0</v>
      </c>
      <c r="N5408" s="1" t="str">
        <f t="shared" si="3101"/>
        <v>0</v>
      </c>
      <c r="O5408" s="1" t="str">
        <f t="shared" si="3110"/>
        <v>0</v>
      </c>
    </row>
    <row r="5409" s="1" customFormat="1" spans="1:15">
      <c r="A5409" s="1" t="str">
        <f t="shared" si="3103"/>
        <v>202406</v>
      </c>
      <c r="B5409" s="1" t="str">
        <f t="shared" si="3104"/>
        <v>150525100</v>
      </c>
      <c r="C5409" s="1" t="str">
        <f>"1014629723"</f>
        <v>1014629723</v>
      </c>
      <c r="D5409" s="1" t="str">
        <f>"152326194709203079"</f>
        <v>152326194709203079</v>
      </c>
      <c r="E5409" s="1" t="s">
        <v>5344</v>
      </c>
      <c r="F5409" s="1" t="s">
        <v>25</v>
      </c>
      <c r="G5409" s="1" t="s">
        <v>17</v>
      </c>
      <c r="H5409" s="1" t="str">
        <f>"77"</f>
        <v>77</v>
      </c>
      <c r="I5409" s="1" t="str">
        <f t="shared" si="3115"/>
        <v>160</v>
      </c>
      <c r="J5409" s="1" t="str">
        <f t="shared" si="3098"/>
        <v>0</v>
      </c>
      <c r="K5409" s="1" t="str">
        <f t="shared" si="3107"/>
        <v>103</v>
      </c>
      <c r="L5409" s="1" t="str">
        <f t="shared" si="3108"/>
        <v>47</v>
      </c>
      <c r="M5409" s="1" t="str">
        <f t="shared" si="3116"/>
        <v>0</v>
      </c>
      <c r="N5409" s="1" t="str">
        <f t="shared" si="3101"/>
        <v>0</v>
      </c>
      <c r="O5409" s="1" t="str">
        <f t="shared" si="3110"/>
        <v>0</v>
      </c>
    </row>
    <row r="5410" s="1" customFormat="1" spans="1:15">
      <c r="A5410" s="1" t="str">
        <f t="shared" si="3103"/>
        <v>202406</v>
      </c>
      <c r="B5410" s="1" t="str">
        <f t="shared" si="3104"/>
        <v>150525100</v>
      </c>
      <c r="C5410" s="1" t="str">
        <f>"1014589069"</f>
        <v>1014589069</v>
      </c>
      <c r="D5410" s="1" t="str">
        <f>"152326195412080420"</f>
        <v>152326195412080420</v>
      </c>
      <c r="E5410" s="1" t="s">
        <v>5345</v>
      </c>
      <c r="F5410" s="1" t="s">
        <v>16</v>
      </c>
      <c r="G5410" s="1" t="s">
        <v>17</v>
      </c>
      <c r="H5410" s="1" t="str">
        <f>"70"</f>
        <v>70</v>
      </c>
      <c r="I5410" s="1" t="str">
        <f>"154.15"</f>
        <v>154.15</v>
      </c>
      <c r="J5410" s="1" t="str">
        <f t="shared" si="3098"/>
        <v>0</v>
      </c>
      <c r="K5410" s="1" t="str">
        <f t="shared" si="3107"/>
        <v>103</v>
      </c>
      <c r="L5410" s="1" t="str">
        <f t="shared" si="3108"/>
        <v>47</v>
      </c>
      <c r="M5410" s="1" t="str">
        <f t="shared" si="3116"/>
        <v>0</v>
      </c>
      <c r="N5410" s="1" t="str">
        <f t="shared" si="3101"/>
        <v>0</v>
      </c>
      <c r="O5410" s="1" t="str">
        <f>"4.15"</f>
        <v>4.15</v>
      </c>
    </row>
    <row r="5411" s="1" customFormat="1" spans="1:15">
      <c r="A5411" s="1" t="str">
        <f t="shared" si="3103"/>
        <v>202406</v>
      </c>
      <c r="B5411" s="1" t="str">
        <f t="shared" si="3104"/>
        <v>150525100</v>
      </c>
      <c r="C5411" s="1" t="str">
        <f>"1014612976"</f>
        <v>1014612976</v>
      </c>
      <c r="D5411" s="1" t="str">
        <f>"152326195012040921"</f>
        <v>152326195012040921</v>
      </c>
      <c r="E5411" s="1" t="s">
        <v>5346</v>
      </c>
      <c r="F5411" s="1" t="s">
        <v>16</v>
      </c>
      <c r="G5411" s="1" t="s">
        <v>19</v>
      </c>
      <c r="H5411" s="1" t="str">
        <f>"74"</f>
        <v>74</v>
      </c>
      <c r="I5411" s="1" t="str">
        <f t="shared" ref="I5411:I5413" si="3117">"160"</f>
        <v>160</v>
      </c>
      <c r="J5411" s="1" t="str">
        <f t="shared" si="3098"/>
        <v>0</v>
      </c>
      <c r="K5411" s="1" t="str">
        <f t="shared" si="3107"/>
        <v>103</v>
      </c>
      <c r="L5411" s="1" t="str">
        <f t="shared" si="3108"/>
        <v>47</v>
      </c>
      <c r="M5411" s="1" t="str">
        <f t="shared" si="3116"/>
        <v>0</v>
      </c>
      <c r="N5411" s="1" t="str">
        <f t="shared" si="3101"/>
        <v>0</v>
      </c>
      <c r="O5411" s="1" t="str">
        <f t="shared" ref="O5411:O5448" si="3118">"0"</f>
        <v>0</v>
      </c>
    </row>
    <row r="5412" s="1" customFormat="1" spans="1:15">
      <c r="A5412" s="1" t="str">
        <f t="shared" si="3103"/>
        <v>202406</v>
      </c>
      <c r="B5412" s="1" t="str">
        <f t="shared" si="3104"/>
        <v>150525100</v>
      </c>
      <c r="C5412" s="1" t="str">
        <f>"1014613264"</f>
        <v>1014613264</v>
      </c>
      <c r="D5412" s="1" t="str">
        <f>"152326194604200429"</f>
        <v>152326194604200429</v>
      </c>
      <c r="E5412" s="1" t="s">
        <v>5347</v>
      </c>
      <c r="F5412" s="1" t="s">
        <v>16</v>
      </c>
      <c r="G5412" s="1" t="s">
        <v>17</v>
      </c>
      <c r="H5412" s="1" t="str">
        <f>"78"</f>
        <v>78</v>
      </c>
      <c r="I5412" s="1" t="str">
        <f t="shared" si="3117"/>
        <v>160</v>
      </c>
      <c r="J5412" s="1" t="str">
        <f t="shared" si="3098"/>
        <v>0</v>
      </c>
      <c r="K5412" s="1" t="str">
        <f t="shared" si="3107"/>
        <v>103</v>
      </c>
      <c r="L5412" s="1" t="str">
        <f t="shared" si="3108"/>
        <v>47</v>
      </c>
      <c r="M5412" s="1" t="str">
        <f t="shared" si="3116"/>
        <v>0</v>
      </c>
      <c r="N5412" s="1" t="str">
        <f t="shared" si="3101"/>
        <v>0</v>
      </c>
      <c r="O5412" s="1" t="str">
        <f t="shared" si="3118"/>
        <v>0</v>
      </c>
    </row>
    <row r="5413" s="1" customFormat="1" spans="1:15">
      <c r="A5413" s="1" t="str">
        <f t="shared" si="3103"/>
        <v>202406</v>
      </c>
      <c r="B5413" s="1" t="str">
        <f t="shared" si="3104"/>
        <v>150525100</v>
      </c>
      <c r="C5413" s="1" t="str">
        <f>"1014613272"</f>
        <v>1014613272</v>
      </c>
      <c r="D5413" s="1" t="s">
        <v>5348</v>
      </c>
      <c r="E5413" s="1" t="s">
        <v>5349</v>
      </c>
      <c r="F5413" s="1" t="s">
        <v>16</v>
      </c>
      <c r="G5413" s="1" t="s">
        <v>17</v>
      </c>
      <c r="H5413" s="1" t="str">
        <f>"74"</f>
        <v>74</v>
      </c>
      <c r="I5413" s="1" t="str">
        <f t="shared" si="3117"/>
        <v>160</v>
      </c>
      <c r="J5413" s="1" t="str">
        <f t="shared" si="3098"/>
        <v>0</v>
      </c>
      <c r="K5413" s="1" t="str">
        <f t="shared" si="3107"/>
        <v>103</v>
      </c>
      <c r="L5413" s="1" t="str">
        <f t="shared" si="3108"/>
        <v>47</v>
      </c>
      <c r="M5413" s="1" t="str">
        <f t="shared" si="3116"/>
        <v>0</v>
      </c>
      <c r="N5413" s="1" t="str">
        <f t="shared" si="3101"/>
        <v>0</v>
      </c>
      <c r="O5413" s="1" t="str">
        <f t="shared" si="3118"/>
        <v>0</v>
      </c>
    </row>
    <row r="5414" s="1" customFormat="1" spans="1:15">
      <c r="A5414" s="1" t="str">
        <f t="shared" si="3103"/>
        <v>202406</v>
      </c>
      <c r="B5414" s="1" t="str">
        <f t="shared" si="3104"/>
        <v>150525100</v>
      </c>
      <c r="C5414" s="1" t="str">
        <f>"1014613287"</f>
        <v>1014613287</v>
      </c>
      <c r="D5414" s="1" t="str">
        <f>"152326193510293826"</f>
        <v>152326193510293826</v>
      </c>
      <c r="E5414" s="1" t="s">
        <v>5350</v>
      </c>
      <c r="F5414" s="1" t="s">
        <v>16</v>
      </c>
      <c r="G5414" s="1" t="s">
        <v>17</v>
      </c>
      <c r="H5414" s="1" t="str">
        <f>"89"</f>
        <v>89</v>
      </c>
      <c r="I5414" s="1" t="str">
        <f>"1530"</f>
        <v>1530</v>
      </c>
      <c r="J5414" s="1" t="str">
        <f>"1360"</f>
        <v>1360</v>
      </c>
      <c r="K5414" s="1" t="str">
        <f>"927"</f>
        <v>927</v>
      </c>
      <c r="L5414" s="1" t="str">
        <f>"423"</f>
        <v>423</v>
      </c>
      <c r="M5414" s="1" t="str">
        <f t="shared" si="3116"/>
        <v>0</v>
      </c>
      <c r="N5414" s="1" t="str">
        <f t="shared" si="3101"/>
        <v>0</v>
      </c>
      <c r="O5414" s="1" t="str">
        <f t="shared" si="3118"/>
        <v>0</v>
      </c>
    </row>
    <row r="5415" s="1" customFormat="1" spans="1:15">
      <c r="A5415" s="1" t="str">
        <f t="shared" si="3103"/>
        <v>202406</v>
      </c>
      <c r="B5415" s="1" t="str">
        <f t="shared" si="3104"/>
        <v>150525100</v>
      </c>
      <c r="C5415" s="1" t="str">
        <f>"1014622305"</f>
        <v>1014622305</v>
      </c>
      <c r="D5415" s="1" t="str">
        <f>"152326194412210665"</f>
        <v>152326194412210665</v>
      </c>
      <c r="E5415" s="1" t="s">
        <v>5351</v>
      </c>
      <c r="F5415" s="1" t="s">
        <v>16</v>
      </c>
      <c r="G5415" s="1" t="s">
        <v>17</v>
      </c>
      <c r="H5415" s="1" t="str">
        <f>"80"</f>
        <v>80</v>
      </c>
      <c r="I5415" s="1" t="str">
        <f t="shared" ref="I5415:I5417" si="3119">"160"</f>
        <v>160</v>
      </c>
      <c r="J5415" s="1" t="str">
        <f t="shared" ref="J5415:J5448" si="3120">"0"</f>
        <v>0</v>
      </c>
      <c r="K5415" s="1" t="str">
        <f t="shared" ref="K5415:K5448" si="3121">"103"</f>
        <v>103</v>
      </c>
      <c r="L5415" s="1" t="str">
        <f t="shared" ref="L5415:L5448" si="3122">"47"</f>
        <v>47</v>
      </c>
      <c r="M5415" s="1" t="str">
        <f t="shared" si="3116"/>
        <v>0</v>
      </c>
      <c r="N5415" s="1" t="str">
        <f t="shared" si="3101"/>
        <v>0</v>
      </c>
      <c r="O5415" s="1" t="str">
        <f t="shared" si="3118"/>
        <v>0</v>
      </c>
    </row>
    <row r="5416" s="1" customFormat="1" spans="1:15">
      <c r="A5416" s="1" t="str">
        <f t="shared" si="3103"/>
        <v>202406</v>
      </c>
      <c r="B5416" s="1" t="str">
        <f t="shared" si="3104"/>
        <v>150525100</v>
      </c>
      <c r="C5416" s="1" t="str">
        <f>"1014622709"</f>
        <v>1014622709</v>
      </c>
      <c r="D5416" s="1" t="str">
        <f>"152326194510080024"</f>
        <v>152326194510080024</v>
      </c>
      <c r="E5416" s="1" t="s">
        <v>2995</v>
      </c>
      <c r="F5416" s="1" t="s">
        <v>16</v>
      </c>
      <c r="G5416" s="1" t="s">
        <v>17</v>
      </c>
      <c r="H5416" s="1" t="str">
        <f>"79"</f>
        <v>79</v>
      </c>
      <c r="I5416" s="1" t="str">
        <f t="shared" si="3119"/>
        <v>160</v>
      </c>
      <c r="J5416" s="1" t="str">
        <f t="shared" si="3120"/>
        <v>0</v>
      </c>
      <c r="K5416" s="1" t="str">
        <f t="shared" si="3121"/>
        <v>103</v>
      </c>
      <c r="L5416" s="1" t="str">
        <f t="shared" si="3122"/>
        <v>47</v>
      </c>
      <c r="M5416" s="1" t="str">
        <f t="shared" si="3116"/>
        <v>0</v>
      </c>
      <c r="N5416" s="1" t="str">
        <f t="shared" si="3101"/>
        <v>0</v>
      </c>
      <c r="O5416" s="1" t="str">
        <f t="shared" si="3118"/>
        <v>0</v>
      </c>
    </row>
    <row r="5417" s="1" customFormat="1" spans="1:15">
      <c r="A5417" s="1" t="str">
        <f t="shared" si="3103"/>
        <v>202406</v>
      </c>
      <c r="B5417" s="1" t="str">
        <f t="shared" si="3104"/>
        <v>150525100</v>
      </c>
      <c r="C5417" s="1" t="str">
        <f>"1014622713"</f>
        <v>1014622713</v>
      </c>
      <c r="D5417" s="1" t="str">
        <f>"152326194509093346"</f>
        <v>152326194509093346</v>
      </c>
      <c r="E5417" s="1" t="s">
        <v>2478</v>
      </c>
      <c r="F5417" s="1" t="s">
        <v>16</v>
      </c>
      <c r="G5417" s="1" t="s">
        <v>17</v>
      </c>
      <c r="H5417" s="1" t="str">
        <f>"79"</f>
        <v>79</v>
      </c>
      <c r="I5417" s="1" t="str">
        <f t="shared" si="3119"/>
        <v>160</v>
      </c>
      <c r="J5417" s="1" t="str">
        <f t="shared" si="3120"/>
        <v>0</v>
      </c>
      <c r="K5417" s="1" t="str">
        <f t="shared" si="3121"/>
        <v>103</v>
      </c>
      <c r="L5417" s="1" t="str">
        <f t="shared" si="3122"/>
        <v>47</v>
      </c>
      <c r="M5417" s="1" t="str">
        <f t="shared" si="3116"/>
        <v>0</v>
      </c>
      <c r="N5417" s="1" t="str">
        <f t="shared" si="3101"/>
        <v>0</v>
      </c>
      <c r="O5417" s="1" t="str">
        <f t="shared" si="3118"/>
        <v>0</v>
      </c>
    </row>
    <row r="5418" s="1" customFormat="1" spans="1:15">
      <c r="A5418" s="1" t="str">
        <f t="shared" si="3103"/>
        <v>202406</v>
      </c>
      <c r="B5418" s="1" t="str">
        <f t="shared" si="3104"/>
        <v>150525100</v>
      </c>
      <c r="C5418" s="1" t="str">
        <f>"1014622718"</f>
        <v>1014622718</v>
      </c>
      <c r="D5418" s="1" t="str">
        <f>"152326194306133328"</f>
        <v>152326194306133328</v>
      </c>
      <c r="E5418" s="1" t="s">
        <v>2531</v>
      </c>
      <c r="F5418" s="1" t="s">
        <v>16</v>
      </c>
      <c r="G5418" s="1" t="s">
        <v>96</v>
      </c>
      <c r="H5418" s="1" t="str">
        <f t="shared" ref="H5418:H5422" si="3123">"81"</f>
        <v>81</v>
      </c>
      <c r="I5418" s="1" t="str">
        <f t="shared" ref="I5418:I5422" si="3124">"170"</f>
        <v>170</v>
      </c>
      <c r="J5418" s="1" t="str">
        <f t="shared" si="3120"/>
        <v>0</v>
      </c>
      <c r="K5418" s="1" t="str">
        <f t="shared" si="3121"/>
        <v>103</v>
      </c>
      <c r="L5418" s="1" t="str">
        <f t="shared" si="3122"/>
        <v>47</v>
      </c>
      <c r="M5418" s="1" t="str">
        <f t="shared" si="3116"/>
        <v>0</v>
      </c>
      <c r="N5418" s="1" t="str">
        <f t="shared" si="3101"/>
        <v>0</v>
      </c>
      <c r="O5418" s="1" t="str">
        <f t="shared" si="3118"/>
        <v>0</v>
      </c>
    </row>
    <row r="5419" s="1" customFormat="1" spans="1:15">
      <c r="A5419" s="1" t="str">
        <f t="shared" si="3103"/>
        <v>202406</v>
      </c>
      <c r="B5419" s="1" t="str">
        <f t="shared" si="3104"/>
        <v>150525100</v>
      </c>
      <c r="C5419" s="1" t="str">
        <f>"1014624083"</f>
        <v>1014624083</v>
      </c>
      <c r="D5419" s="1" t="str">
        <f>"152326194310223078"</f>
        <v>152326194310223078</v>
      </c>
      <c r="E5419" s="1" t="s">
        <v>5352</v>
      </c>
      <c r="F5419" s="1" t="s">
        <v>25</v>
      </c>
      <c r="G5419" s="1" t="s">
        <v>17</v>
      </c>
      <c r="H5419" s="1" t="str">
        <f t="shared" si="3123"/>
        <v>81</v>
      </c>
      <c r="I5419" s="1" t="str">
        <f t="shared" si="3124"/>
        <v>170</v>
      </c>
      <c r="J5419" s="1" t="str">
        <f t="shared" si="3120"/>
        <v>0</v>
      </c>
      <c r="K5419" s="1" t="str">
        <f t="shared" si="3121"/>
        <v>103</v>
      </c>
      <c r="L5419" s="1" t="str">
        <f t="shared" si="3122"/>
        <v>47</v>
      </c>
      <c r="M5419" s="1" t="str">
        <f t="shared" si="3116"/>
        <v>0</v>
      </c>
      <c r="N5419" s="1" t="str">
        <f t="shared" si="3101"/>
        <v>0</v>
      </c>
      <c r="O5419" s="1" t="str">
        <f t="shared" si="3118"/>
        <v>0</v>
      </c>
    </row>
    <row r="5420" s="1" customFormat="1" spans="1:15">
      <c r="A5420" s="1" t="str">
        <f t="shared" si="3103"/>
        <v>202406</v>
      </c>
      <c r="B5420" s="1" t="str">
        <f t="shared" si="3104"/>
        <v>150525100</v>
      </c>
      <c r="C5420" s="1" t="str">
        <f>"1014619571"</f>
        <v>1014619571</v>
      </c>
      <c r="D5420" s="1" t="str">
        <f>"152326194904166381"</f>
        <v>152326194904166381</v>
      </c>
      <c r="E5420" s="1" t="s">
        <v>1300</v>
      </c>
      <c r="F5420" s="1" t="s">
        <v>16</v>
      </c>
      <c r="G5420" s="1" t="s">
        <v>17</v>
      </c>
      <c r="H5420" s="1" t="str">
        <f>"75"</f>
        <v>75</v>
      </c>
      <c r="I5420" s="1" t="str">
        <f t="shared" ref="I5420:I5423" si="3125">"160"</f>
        <v>160</v>
      </c>
      <c r="J5420" s="1" t="str">
        <f t="shared" si="3120"/>
        <v>0</v>
      </c>
      <c r="K5420" s="1" t="str">
        <f t="shared" si="3121"/>
        <v>103</v>
      </c>
      <c r="L5420" s="1" t="str">
        <f t="shared" si="3122"/>
        <v>47</v>
      </c>
      <c r="M5420" s="1" t="str">
        <f t="shared" si="3116"/>
        <v>0</v>
      </c>
      <c r="N5420" s="1" t="str">
        <f t="shared" si="3101"/>
        <v>0</v>
      </c>
      <c r="O5420" s="1" t="str">
        <f t="shared" si="3118"/>
        <v>0</v>
      </c>
    </row>
    <row r="5421" s="1" customFormat="1" spans="1:15">
      <c r="A5421" s="1" t="str">
        <f t="shared" si="3103"/>
        <v>202406</v>
      </c>
      <c r="B5421" s="1" t="str">
        <f t="shared" si="3104"/>
        <v>150525100</v>
      </c>
      <c r="C5421" s="1" t="str">
        <f>"1014619573"</f>
        <v>1014619573</v>
      </c>
      <c r="D5421" s="1" t="s">
        <v>5353</v>
      </c>
      <c r="E5421" s="1" t="s">
        <v>5354</v>
      </c>
      <c r="F5421" s="1" t="s">
        <v>16</v>
      </c>
      <c r="G5421" s="1" t="s">
        <v>17</v>
      </c>
      <c r="H5421" s="1" t="str">
        <f>"77"</f>
        <v>77</v>
      </c>
      <c r="I5421" s="1" t="str">
        <f t="shared" si="3125"/>
        <v>160</v>
      </c>
      <c r="J5421" s="1" t="str">
        <f t="shared" si="3120"/>
        <v>0</v>
      </c>
      <c r="K5421" s="1" t="str">
        <f t="shared" si="3121"/>
        <v>103</v>
      </c>
      <c r="L5421" s="1" t="str">
        <f t="shared" si="3122"/>
        <v>47</v>
      </c>
      <c r="M5421" s="1" t="str">
        <f t="shared" si="3116"/>
        <v>0</v>
      </c>
      <c r="N5421" s="1" t="str">
        <f t="shared" si="3101"/>
        <v>0</v>
      </c>
      <c r="O5421" s="1" t="str">
        <f t="shared" si="3118"/>
        <v>0</v>
      </c>
    </row>
    <row r="5422" s="1" customFormat="1" spans="1:15">
      <c r="A5422" s="1" t="str">
        <f t="shared" si="3103"/>
        <v>202406</v>
      </c>
      <c r="B5422" s="1" t="str">
        <f t="shared" si="3104"/>
        <v>150525100</v>
      </c>
      <c r="C5422" s="1" t="str">
        <f>"1014619725"</f>
        <v>1014619725</v>
      </c>
      <c r="D5422" s="1" t="s">
        <v>5355</v>
      </c>
      <c r="E5422" s="1" t="s">
        <v>4465</v>
      </c>
      <c r="F5422" s="1" t="s">
        <v>16</v>
      </c>
      <c r="G5422" s="1" t="s">
        <v>19</v>
      </c>
      <c r="H5422" s="1" t="str">
        <f t="shared" si="3123"/>
        <v>81</v>
      </c>
      <c r="I5422" s="1" t="str">
        <f t="shared" si="3124"/>
        <v>170</v>
      </c>
      <c r="J5422" s="1" t="str">
        <f t="shared" si="3120"/>
        <v>0</v>
      </c>
      <c r="K5422" s="1" t="str">
        <f t="shared" si="3121"/>
        <v>103</v>
      </c>
      <c r="L5422" s="1" t="str">
        <f t="shared" si="3122"/>
        <v>47</v>
      </c>
      <c r="M5422" s="1" t="str">
        <f t="shared" si="3116"/>
        <v>0</v>
      </c>
      <c r="N5422" s="1" t="str">
        <f t="shared" si="3101"/>
        <v>0</v>
      </c>
      <c r="O5422" s="1" t="str">
        <f t="shared" si="3118"/>
        <v>0</v>
      </c>
    </row>
    <row r="5423" s="1" customFormat="1" spans="1:15">
      <c r="A5423" s="1" t="str">
        <f t="shared" si="3103"/>
        <v>202406</v>
      </c>
      <c r="B5423" s="1" t="str">
        <f t="shared" si="3104"/>
        <v>150525100</v>
      </c>
      <c r="C5423" s="1" t="str">
        <f>"1014619731"</f>
        <v>1014619731</v>
      </c>
      <c r="D5423" s="1" t="str">
        <f>"152326194911036120"</f>
        <v>152326194911036120</v>
      </c>
      <c r="E5423" s="1" t="s">
        <v>5356</v>
      </c>
      <c r="F5423" s="1" t="s">
        <v>16</v>
      </c>
      <c r="G5423" s="1" t="s">
        <v>19</v>
      </c>
      <c r="H5423" s="1" t="str">
        <f>"75"</f>
        <v>75</v>
      </c>
      <c r="I5423" s="1" t="str">
        <f t="shared" si="3125"/>
        <v>160</v>
      </c>
      <c r="J5423" s="1" t="str">
        <f t="shared" si="3120"/>
        <v>0</v>
      </c>
      <c r="K5423" s="1" t="str">
        <f t="shared" si="3121"/>
        <v>103</v>
      </c>
      <c r="L5423" s="1" t="str">
        <f t="shared" si="3122"/>
        <v>47</v>
      </c>
      <c r="M5423" s="1" t="str">
        <f t="shared" si="3116"/>
        <v>0</v>
      </c>
      <c r="N5423" s="1" t="str">
        <f t="shared" si="3101"/>
        <v>0</v>
      </c>
      <c r="O5423" s="1" t="str">
        <f t="shared" si="3118"/>
        <v>0</v>
      </c>
    </row>
    <row r="5424" s="1" customFormat="1" spans="1:15">
      <c r="A5424" s="1" t="str">
        <f t="shared" si="3103"/>
        <v>202406</v>
      </c>
      <c r="B5424" s="1" t="str">
        <f t="shared" si="3104"/>
        <v>150525100</v>
      </c>
      <c r="C5424" s="1" t="str">
        <f>"1014619733"</f>
        <v>1014619733</v>
      </c>
      <c r="D5424" s="1" t="str">
        <f>"152326194007120674"</f>
        <v>152326194007120674</v>
      </c>
      <c r="E5424" s="1" t="s">
        <v>5357</v>
      </c>
      <c r="F5424" s="1" t="s">
        <v>25</v>
      </c>
      <c r="G5424" s="1" t="s">
        <v>17</v>
      </c>
      <c r="H5424" s="1" t="str">
        <f>"84"</f>
        <v>84</v>
      </c>
      <c r="I5424" s="1" t="str">
        <f>"170"</f>
        <v>170</v>
      </c>
      <c r="J5424" s="1" t="str">
        <f t="shared" si="3120"/>
        <v>0</v>
      </c>
      <c r="K5424" s="1" t="str">
        <f t="shared" si="3121"/>
        <v>103</v>
      </c>
      <c r="L5424" s="1" t="str">
        <f t="shared" si="3122"/>
        <v>47</v>
      </c>
      <c r="M5424" s="1" t="str">
        <f t="shared" si="3116"/>
        <v>0</v>
      </c>
      <c r="N5424" s="1" t="str">
        <f t="shared" si="3101"/>
        <v>0</v>
      </c>
      <c r="O5424" s="1" t="str">
        <f t="shared" si="3118"/>
        <v>0</v>
      </c>
    </row>
    <row r="5425" s="1" customFormat="1" spans="1:15">
      <c r="A5425" s="1" t="str">
        <f t="shared" si="3103"/>
        <v>202406</v>
      </c>
      <c r="B5425" s="1" t="str">
        <f t="shared" si="3104"/>
        <v>150525100</v>
      </c>
      <c r="C5425" s="1" t="str">
        <f>"1014629597"</f>
        <v>1014629597</v>
      </c>
      <c r="D5425" s="1" t="str">
        <f>"152326195007250027"</f>
        <v>152326195007250027</v>
      </c>
      <c r="E5425" s="1" t="s">
        <v>5358</v>
      </c>
      <c r="F5425" s="1" t="s">
        <v>16</v>
      </c>
      <c r="G5425" s="1" t="s">
        <v>17</v>
      </c>
      <c r="H5425" s="1" t="str">
        <f>"74"</f>
        <v>74</v>
      </c>
      <c r="I5425" s="1" t="str">
        <f t="shared" ref="I5425:I5440" si="3126">"160"</f>
        <v>160</v>
      </c>
      <c r="J5425" s="1" t="str">
        <f t="shared" si="3120"/>
        <v>0</v>
      </c>
      <c r="K5425" s="1" t="str">
        <f t="shared" si="3121"/>
        <v>103</v>
      </c>
      <c r="L5425" s="1" t="str">
        <f t="shared" si="3122"/>
        <v>47</v>
      </c>
      <c r="M5425" s="1" t="str">
        <f t="shared" si="3116"/>
        <v>0</v>
      </c>
      <c r="N5425" s="1" t="str">
        <f t="shared" si="3101"/>
        <v>0</v>
      </c>
      <c r="O5425" s="1" t="str">
        <f t="shared" si="3118"/>
        <v>0</v>
      </c>
    </row>
    <row r="5426" s="1" customFormat="1" spans="1:15">
      <c r="A5426" s="1" t="str">
        <f t="shared" si="3103"/>
        <v>202406</v>
      </c>
      <c r="B5426" s="1" t="str">
        <f t="shared" si="3104"/>
        <v>150525100</v>
      </c>
      <c r="C5426" s="1" t="str">
        <f>"1014629611"</f>
        <v>1014629611</v>
      </c>
      <c r="D5426" s="1" t="str">
        <f>"152326195102170025"</f>
        <v>152326195102170025</v>
      </c>
      <c r="E5426" s="1" t="s">
        <v>5359</v>
      </c>
      <c r="F5426" s="1" t="s">
        <v>16</v>
      </c>
      <c r="G5426" s="1" t="s">
        <v>17</v>
      </c>
      <c r="H5426" s="1" t="str">
        <f>"73"</f>
        <v>73</v>
      </c>
      <c r="I5426" s="1" t="str">
        <f t="shared" si="3126"/>
        <v>160</v>
      </c>
      <c r="J5426" s="1" t="str">
        <f t="shared" si="3120"/>
        <v>0</v>
      </c>
      <c r="K5426" s="1" t="str">
        <f t="shared" si="3121"/>
        <v>103</v>
      </c>
      <c r="L5426" s="1" t="str">
        <f t="shared" si="3122"/>
        <v>47</v>
      </c>
      <c r="M5426" s="1" t="str">
        <f t="shared" si="3116"/>
        <v>0</v>
      </c>
      <c r="N5426" s="1" t="str">
        <f t="shared" si="3101"/>
        <v>0</v>
      </c>
      <c r="O5426" s="1" t="str">
        <f t="shared" si="3118"/>
        <v>0</v>
      </c>
    </row>
    <row r="5427" s="1" customFormat="1" spans="1:15">
      <c r="A5427" s="1" t="str">
        <f t="shared" si="3103"/>
        <v>202406</v>
      </c>
      <c r="B5427" s="1" t="str">
        <f t="shared" si="3104"/>
        <v>150525100</v>
      </c>
      <c r="C5427" s="1" t="str">
        <f>"1014629612"</f>
        <v>1014629612</v>
      </c>
      <c r="D5427" s="1" t="str">
        <f>"152326194708060029"</f>
        <v>152326194708060029</v>
      </c>
      <c r="E5427" s="1" t="s">
        <v>5360</v>
      </c>
      <c r="F5427" s="1" t="s">
        <v>16</v>
      </c>
      <c r="G5427" s="1" t="s">
        <v>17</v>
      </c>
      <c r="H5427" s="1" t="str">
        <f>"77"</f>
        <v>77</v>
      </c>
      <c r="I5427" s="1" t="str">
        <f t="shared" si="3126"/>
        <v>160</v>
      </c>
      <c r="J5427" s="1" t="str">
        <f t="shared" si="3120"/>
        <v>0</v>
      </c>
      <c r="K5427" s="1" t="str">
        <f t="shared" si="3121"/>
        <v>103</v>
      </c>
      <c r="L5427" s="1" t="str">
        <f t="shared" si="3122"/>
        <v>47</v>
      </c>
      <c r="M5427" s="1" t="str">
        <f t="shared" si="3116"/>
        <v>0</v>
      </c>
      <c r="N5427" s="1" t="str">
        <f t="shared" si="3101"/>
        <v>0</v>
      </c>
      <c r="O5427" s="1" t="str">
        <f t="shared" si="3118"/>
        <v>0</v>
      </c>
    </row>
    <row r="5428" s="1" customFormat="1" spans="1:15">
      <c r="A5428" s="1" t="str">
        <f t="shared" si="3103"/>
        <v>202406</v>
      </c>
      <c r="B5428" s="1" t="str">
        <f t="shared" si="3104"/>
        <v>150525100</v>
      </c>
      <c r="C5428" s="1" t="str">
        <f>"1014623088"</f>
        <v>1014623088</v>
      </c>
      <c r="D5428" s="1" t="str">
        <f>"152326194907143820"</f>
        <v>152326194907143820</v>
      </c>
      <c r="E5428" s="1" t="s">
        <v>5361</v>
      </c>
      <c r="F5428" s="1" t="s">
        <v>16</v>
      </c>
      <c r="G5428" s="1" t="s">
        <v>19</v>
      </c>
      <c r="H5428" s="1" t="str">
        <f>"75"</f>
        <v>75</v>
      </c>
      <c r="I5428" s="1" t="str">
        <f t="shared" si="3126"/>
        <v>160</v>
      </c>
      <c r="J5428" s="1" t="str">
        <f t="shared" si="3120"/>
        <v>0</v>
      </c>
      <c r="K5428" s="1" t="str">
        <f t="shared" si="3121"/>
        <v>103</v>
      </c>
      <c r="L5428" s="1" t="str">
        <f t="shared" si="3122"/>
        <v>47</v>
      </c>
      <c r="M5428" s="1" t="str">
        <f t="shared" si="3116"/>
        <v>0</v>
      </c>
      <c r="N5428" s="1" t="str">
        <f t="shared" ref="N5428:N5491" si="3127">"0"</f>
        <v>0</v>
      </c>
      <c r="O5428" s="1" t="str">
        <f t="shared" si="3118"/>
        <v>0</v>
      </c>
    </row>
    <row r="5429" s="1" customFormat="1" spans="1:15">
      <c r="A5429" s="1" t="str">
        <f t="shared" si="3103"/>
        <v>202406</v>
      </c>
      <c r="B5429" s="1" t="str">
        <f t="shared" si="3104"/>
        <v>150525100</v>
      </c>
      <c r="C5429" s="1" t="str">
        <f>"1014623589"</f>
        <v>1014623589</v>
      </c>
      <c r="D5429" s="1" t="str">
        <f>"152326195008020418"</f>
        <v>152326195008020418</v>
      </c>
      <c r="E5429" s="1" t="s">
        <v>5362</v>
      </c>
      <c r="F5429" s="1" t="s">
        <v>25</v>
      </c>
      <c r="G5429" s="1" t="s">
        <v>17</v>
      </c>
      <c r="H5429" s="1" t="str">
        <f>"74"</f>
        <v>74</v>
      </c>
      <c r="I5429" s="1" t="str">
        <f t="shared" si="3126"/>
        <v>160</v>
      </c>
      <c r="J5429" s="1" t="str">
        <f t="shared" si="3120"/>
        <v>0</v>
      </c>
      <c r="K5429" s="1" t="str">
        <f t="shared" si="3121"/>
        <v>103</v>
      </c>
      <c r="L5429" s="1" t="str">
        <f t="shared" si="3122"/>
        <v>47</v>
      </c>
      <c r="M5429" s="1" t="str">
        <f t="shared" si="3116"/>
        <v>0</v>
      </c>
      <c r="N5429" s="1" t="str">
        <f t="shared" si="3127"/>
        <v>0</v>
      </c>
      <c r="O5429" s="1" t="str">
        <f t="shared" si="3118"/>
        <v>0</v>
      </c>
    </row>
    <row r="5430" s="1" customFormat="1" spans="1:15">
      <c r="A5430" s="1" t="str">
        <f t="shared" si="3103"/>
        <v>202406</v>
      </c>
      <c r="B5430" s="1" t="str">
        <f t="shared" si="3104"/>
        <v>150525100</v>
      </c>
      <c r="C5430" s="1" t="str">
        <f>"1014630007"</f>
        <v>1014630007</v>
      </c>
      <c r="D5430" s="1" t="str">
        <f>"152326194806070028"</f>
        <v>152326194806070028</v>
      </c>
      <c r="E5430" s="1" t="s">
        <v>5363</v>
      </c>
      <c r="F5430" s="1" t="s">
        <v>16</v>
      </c>
      <c r="G5430" s="1" t="s">
        <v>17</v>
      </c>
      <c r="H5430" s="1" t="str">
        <f>"76"</f>
        <v>76</v>
      </c>
      <c r="I5430" s="1" t="str">
        <f t="shared" si="3126"/>
        <v>160</v>
      </c>
      <c r="J5430" s="1" t="str">
        <f t="shared" si="3120"/>
        <v>0</v>
      </c>
      <c r="K5430" s="1" t="str">
        <f t="shared" si="3121"/>
        <v>103</v>
      </c>
      <c r="L5430" s="1" t="str">
        <f t="shared" si="3122"/>
        <v>47</v>
      </c>
      <c r="M5430" s="1" t="str">
        <f t="shared" si="3116"/>
        <v>0</v>
      </c>
      <c r="N5430" s="1" t="str">
        <f t="shared" si="3127"/>
        <v>0</v>
      </c>
      <c r="O5430" s="1" t="str">
        <f t="shared" si="3118"/>
        <v>0</v>
      </c>
    </row>
    <row r="5431" s="1" customFormat="1" spans="1:15">
      <c r="A5431" s="1" t="str">
        <f t="shared" si="3103"/>
        <v>202406</v>
      </c>
      <c r="B5431" s="1" t="str">
        <f t="shared" si="3104"/>
        <v>150525100</v>
      </c>
      <c r="C5431" s="1" t="str">
        <f>"1014630022"</f>
        <v>1014630022</v>
      </c>
      <c r="D5431" s="1" t="str">
        <f>"152326194602030024"</f>
        <v>152326194602030024</v>
      </c>
      <c r="E5431" s="1" t="s">
        <v>5364</v>
      </c>
      <c r="F5431" s="1" t="s">
        <v>16</v>
      </c>
      <c r="G5431" s="1" t="s">
        <v>17</v>
      </c>
      <c r="H5431" s="1" t="str">
        <f>"78"</f>
        <v>78</v>
      </c>
      <c r="I5431" s="1" t="str">
        <f t="shared" si="3126"/>
        <v>160</v>
      </c>
      <c r="J5431" s="1" t="str">
        <f t="shared" si="3120"/>
        <v>0</v>
      </c>
      <c r="K5431" s="1" t="str">
        <f t="shared" si="3121"/>
        <v>103</v>
      </c>
      <c r="L5431" s="1" t="str">
        <f t="shared" si="3122"/>
        <v>47</v>
      </c>
      <c r="M5431" s="1" t="str">
        <f t="shared" si="3116"/>
        <v>0</v>
      </c>
      <c r="N5431" s="1" t="str">
        <f t="shared" si="3127"/>
        <v>0</v>
      </c>
      <c r="O5431" s="1" t="str">
        <f t="shared" si="3118"/>
        <v>0</v>
      </c>
    </row>
    <row r="5432" s="1" customFormat="1" spans="1:15">
      <c r="A5432" s="1" t="str">
        <f t="shared" si="3103"/>
        <v>202406</v>
      </c>
      <c r="B5432" s="1" t="str">
        <f t="shared" si="3104"/>
        <v>150525100</v>
      </c>
      <c r="C5432" s="1" t="str">
        <f>"1014630027"</f>
        <v>1014630027</v>
      </c>
      <c r="D5432" s="1" t="str">
        <f>"152326194612070679"</f>
        <v>152326194612070679</v>
      </c>
      <c r="E5432" s="1" t="s">
        <v>5365</v>
      </c>
      <c r="F5432" s="1" t="s">
        <v>25</v>
      </c>
      <c r="G5432" s="1" t="s">
        <v>17</v>
      </c>
      <c r="H5432" s="1" t="str">
        <f>"78"</f>
        <v>78</v>
      </c>
      <c r="I5432" s="1" t="str">
        <f t="shared" si="3126"/>
        <v>160</v>
      </c>
      <c r="J5432" s="1" t="str">
        <f t="shared" si="3120"/>
        <v>0</v>
      </c>
      <c r="K5432" s="1" t="str">
        <f t="shared" si="3121"/>
        <v>103</v>
      </c>
      <c r="L5432" s="1" t="str">
        <f t="shared" si="3122"/>
        <v>47</v>
      </c>
      <c r="M5432" s="1" t="str">
        <f t="shared" si="3116"/>
        <v>0</v>
      </c>
      <c r="N5432" s="1" t="str">
        <f t="shared" si="3127"/>
        <v>0</v>
      </c>
      <c r="O5432" s="1" t="str">
        <f t="shared" si="3118"/>
        <v>0</v>
      </c>
    </row>
    <row r="5433" s="1" customFormat="1" spans="1:15">
      <c r="A5433" s="1" t="str">
        <f t="shared" si="3103"/>
        <v>202406</v>
      </c>
      <c r="B5433" s="1" t="str">
        <f t="shared" si="3104"/>
        <v>150525100</v>
      </c>
      <c r="C5433" s="1" t="str">
        <f>"1014630064"</f>
        <v>1014630064</v>
      </c>
      <c r="D5433" s="1" t="str">
        <f>"152326194908283075"</f>
        <v>152326194908283075</v>
      </c>
      <c r="E5433" s="1" t="s">
        <v>5366</v>
      </c>
      <c r="F5433" s="1" t="s">
        <v>25</v>
      </c>
      <c r="G5433" s="1" t="s">
        <v>96</v>
      </c>
      <c r="H5433" s="1" t="str">
        <f>"75"</f>
        <v>75</v>
      </c>
      <c r="I5433" s="1" t="str">
        <f t="shared" si="3126"/>
        <v>160</v>
      </c>
      <c r="J5433" s="1" t="str">
        <f t="shared" si="3120"/>
        <v>0</v>
      </c>
      <c r="K5433" s="1" t="str">
        <f t="shared" si="3121"/>
        <v>103</v>
      </c>
      <c r="L5433" s="1" t="str">
        <f t="shared" si="3122"/>
        <v>47</v>
      </c>
      <c r="M5433" s="1" t="str">
        <f t="shared" si="3116"/>
        <v>0</v>
      </c>
      <c r="N5433" s="1" t="str">
        <f t="shared" si="3127"/>
        <v>0</v>
      </c>
      <c r="O5433" s="1" t="str">
        <f t="shared" si="3118"/>
        <v>0</v>
      </c>
    </row>
    <row r="5434" s="1" customFormat="1" spans="1:15">
      <c r="A5434" s="1" t="str">
        <f t="shared" si="3103"/>
        <v>202406</v>
      </c>
      <c r="B5434" s="1" t="str">
        <f t="shared" si="3104"/>
        <v>150525100</v>
      </c>
      <c r="C5434" s="1" t="str">
        <f>"1014630117"</f>
        <v>1014630117</v>
      </c>
      <c r="D5434" s="1" t="str">
        <f>"152326194703263820"</f>
        <v>152326194703263820</v>
      </c>
      <c r="E5434" s="1" t="s">
        <v>3728</v>
      </c>
      <c r="F5434" s="1" t="s">
        <v>16</v>
      </c>
      <c r="G5434" s="1" t="s">
        <v>17</v>
      </c>
      <c r="H5434" s="1" t="str">
        <f>"77"</f>
        <v>77</v>
      </c>
      <c r="I5434" s="1" t="str">
        <f t="shared" si="3126"/>
        <v>160</v>
      </c>
      <c r="J5434" s="1" t="str">
        <f t="shared" si="3120"/>
        <v>0</v>
      </c>
      <c r="K5434" s="1" t="str">
        <f t="shared" si="3121"/>
        <v>103</v>
      </c>
      <c r="L5434" s="1" t="str">
        <f t="shared" si="3122"/>
        <v>47</v>
      </c>
      <c r="M5434" s="1" t="str">
        <f t="shared" si="3116"/>
        <v>0</v>
      </c>
      <c r="N5434" s="1" t="str">
        <f t="shared" si="3127"/>
        <v>0</v>
      </c>
      <c r="O5434" s="1" t="str">
        <f t="shared" si="3118"/>
        <v>0</v>
      </c>
    </row>
    <row r="5435" s="1" customFormat="1" spans="1:15">
      <c r="A5435" s="1" t="str">
        <f t="shared" si="3103"/>
        <v>202406</v>
      </c>
      <c r="B5435" s="1" t="str">
        <f t="shared" si="3104"/>
        <v>150525100</v>
      </c>
      <c r="C5435" s="1" t="str">
        <f>"1014630118"</f>
        <v>1014630118</v>
      </c>
      <c r="D5435" s="1" t="str">
        <f>"152326194707233821"</f>
        <v>152326194707233821</v>
      </c>
      <c r="E5435" s="1" t="s">
        <v>5367</v>
      </c>
      <c r="F5435" s="1" t="s">
        <v>16</v>
      </c>
      <c r="G5435" s="1" t="s">
        <v>17</v>
      </c>
      <c r="H5435" s="1" t="str">
        <f>"77"</f>
        <v>77</v>
      </c>
      <c r="I5435" s="1" t="str">
        <f t="shared" si="3126"/>
        <v>160</v>
      </c>
      <c r="J5435" s="1" t="str">
        <f t="shared" si="3120"/>
        <v>0</v>
      </c>
      <c r="K5435" s="1" t="str">
        <f t="shared" si="3121"/>
        <v>103</v>
      </c>
      <c r="L5435" s="1" t="str">
        <f t="shared" si="3122"/>
        <v>47</v>
      </c>
      <c r="M5435" s="1" t="str">
        <f t="shared" si="3116"/>
        <v>0</v>
      </c>
      <c r="N5435" s="1" t="str">
        <f t="shared" si="3127"/>
        <v>0</v>
      </c>
      <c r="O5435" s="1" t="str">
        <f t="shared" si="3118"/>
        <v>0</v>
      </c>
    </row>
    <row r="5436" s="1" customFormat="1" spans="1:15">
      <c r="A5436" s="1" t="str">
        <f t="shared" si="3103"/>
        <v>202406</v>
      </c>
      <c r="B5436" s="1" t="str">
        <f t="shared" si="3104"/>
        <v>150525100</v>
      </c>
      <c r="C5436" s="1" t="str">
        <f>"1014621868"</f>
        <v>1014621868</v>
      </c>
      <c r="D5436" s="1" t="str">
        <f>"152326194810113318"</f>
        <v>152326194810113318</v>
      </c>
      <c r="E5436" s="1" t="s">
        <v>5368</v>
      </c>
      <c r="F5436" s="1" t="s">
        <v>25</v>
      </c>
      <c r="G5436" s="1" t="s">
        <v>19</v>
      </c>
      <c r="H5436" s="1" t="str">
        <f>"76"</f>
        <v>76</v>
      </c>
      <c r="I5436" s="1" t="str">
        <f t="shared" si="3126"/>
        <v>160</v>
      </c>
      <c r="J5436" s="1" t="str">
        <f t="shared" si="3120"/>
        <v>0</v>
      </c>
      <c r="K5436" s="1" t="str">
        <f t="shared" si="3121"/>
        <v>103</v>
      </c>
      <c r="L5436" s="1" t="str">
        <f t="shared" si="3122"/>
        <v>47</v>
      </c>
      <c r="M5436" s="1" t="str">
        <f t="shared" si="3116"/>
        <v>0</v>
      </c>
      <c r="N5436" s="1" t="str">
        <f t="shared" si="3127"/>
        <v>0</v>
      </c>
      <c r="O5436" s="1" t="str">
        <f t="shared" si="3118"/>
        <v>0</v>
      </c>
    </row>
    <row r="5437" s="1" customFormat="1" spans="1:15">
      <c r="A5437" s="1" t="str">
        <f t="shared" si="3103"/>
        <v>202406</v>
      </c>
      <c r="B5437" s="1" t="str">
        <f t="shared" si="3104"/>
        <v>150525100</v>
      </c>
      <c r="C5437" s="1" t="str">
        <f>"1014622250"</f>
        <v>1014622250</v>
      </c>
      <c r="D5437" s="1" t="str">
        <f>"152326194809220423"</f>
        <v>152326194809220423</v>
      </c>
      <c r="E5437" s="1" t="s">
        <v>5369</v>
      </c>
      <c r="F5437" s="1" t="s">
        <v>16</v>
      </c>
      <c r="G5437" s="1" t="s">
        <v>17</v>
      </c>
      <c r="H5437" s="1" t="str">
        <f>"76"</f>
        <v>76</v>
      </c>
      <c r="I5437" s="1" t="str">
        <f t="shared" si="3126"/>
        <v>160</v>
      </c>
      <c r="J5437" s="1" t="str">
        <f t="shared" si="3120"/>
        <v>0</v>
      </c>
      <c r="K5437" s="1" t="str">
        <f t="shared" si="3121"/>
        <v>103</v>
      </c>
      <c r="L5437" s="1" t="str">
        <f t="shared" si="3122"/>
        <v>47</v>
      </c>
      <c r="M5437" s="1" t="str">
        <f t="shared" si="3116"/>
        <v>0</v>
      </c>
      <c r="N5437" s="1" t="str">
        <f t="shared" si="3127"/>
        <v>0</v>
      </c>
      <c r="O5437" s="1" t="str">
        <f t="shared" si="3118"/>
        <v>0</v>
      </c>
    </row>
    <row r="5438" s="1" customFormat="1" spans="1:15">
      <c r="A5438" s="1" t="str">
        <f t="shared" si="3103"/>
        <v>202406</v>
      </c>
      <c r="B5438" s="1" t="str">
        <f t="shared" si="3104"/>
        <v>150525100</v>
      </c>
      <c r="C5438" s="1" t="str">
        <f>"1014622263"</f>
        <v>1014622263</v>
      </c>
      <c r="D5438" s="1" t="s">
        <v>5370</v>
      </c>
      <c r="E5438" s="1" t="s">
        <v>5371</v>
      </c>
      <c r="F5438" s="1" t="s">
        <v>16</v>
      </c>
      <c r="G5438" s="1" t="s">
        <v>17</v>
      </c>
      <c r="H5438" s="1" t="str">
        <f>"73"</f>
        <v>73</v>
      </c>
      <c r="I5438" s="1" t="str">
        <f t="shared" si="3126"/>
        <v>160</v>
      </c>
      <c r="J5438" s="1" t="str">
        <f t="shared" si="3120"/>
        <v>0</v>
      </c>
      <c r="K5438" s="1" t="str">
        <f t="shared" si="3121"/>
        <v>103</v>
      </c>
      <c r="L5438" s="1" t="str">
        <f t="shared" si="3122"/>
        <v>47</v>
      </c>
      <c r="M5438" s="1" t="str">
        <f t="shared" si="3116"/>
        <v>0</v>
      </c>
      <c r="N5438" s="1" t="str">
        <f t="shared" si="3127"/>
        <v>0</v>
      </c>
      <c r="O5438" s="1" t="str">
        <f t="shared" si="3118"/>
        <v>0</v>
      </c>
    </row>
    <row r="5439" s="1" customFormat="1" spans="1:15">
      <c r="A5439" s="1" t="str">
        <f t="shared" si="3103"/>
        <v>202406</v>
      </c>
      <c r="B5439" s="1" t="str">
        <f t="shared" si="3104"/>
        <v>150525100</v>
      </c>
      <c r="C5439" s="1" t="str">
        <f>"1014619482"</f>
        <v>1014619482</v>
      </c>
      <c r="D5439" s="1" t="str">
        <f>"152326194912040412"</f>
        <v>152326194912040412</v>
      </c>
      <c r="E5439" s="1" t="s">
        <v>2860</v>
      </c>
      <c r="F5439" s="1" t="s">
        <v>25</v>
      </c>
      <c r="G5439" s="1" t="s">
        <v>17</v>
      </c>
      <c r="H5439" s="1" t="str">
        <f t="shared" ref="H5439:H5444" si="3128">"75"</f>
        <v>75</v>
      </c>
      <c r="I5439" s="1" t="str">
        <f t="shared" si="3126"/>
        <v>160</v>
      </c>
      <c r="J5439" s="1" t="str">
        <f t="shared" si="3120"/>
        <v>0</v>
      </c>
      <c r="K5439" s="1" t="str">
        <f t="shared" si="3121"/>
        <v>103</v>
      </c>
      <c r="L5439" s="1" t="str">
        <f t="shared" si="3122"/>
        <v>47</v>
      </c>
      <c r="M5439" s="1" t="str">
        <f t="shared" si="3116"/>
        <v>0</v>
      </c>
      <c r="N5439" s="1" t="str">
        <f t="shared" si="3127"/>
        <v>0</v>
      </c>
      <c r="O5439" s="1" t="str">
        <f t="shared" si="3118"/>
        <v>0</v>
      </c>
    </row>
    <row r="5440" s="1" customFormat="1" spans="1:15">
      <c r="A5440" s="1" t="str">
        <f t="shared" si="3103"/>
        <v>202406</v>
      </c>
      <c r="B5440" s="1" t="str">
        <f t="shared" si="3104"/>
        <v>150525100</v>
      </c>
      <c r="C5440" s="1" t="str">
        <f>"1014619646"</f>
        <v>1014619646</v>
      </c>
      <c r="D5440" s="1" t="str">
        <f>"152326194905076409"</f>
        <v>152326194905076409</v>
      </c>
      <c r="E5440" s="1" t="s">
        <v>5372</v>
      </c>
      <c r="F5440" s="1" t="s">
        <v>16</v>
      </c>
      <c r="G5440" s="1" t="s">
        <v>5373</v>
      </c>
      <c r="H5440" s="1" t="str">
        <f t="shared" si="3128"/>
        <v>75</v>
      </c>
      <c r="I5440" s="1" t="str">
        <f t="shared" si="3126"/>
        <v>160</v>
      </c>
      <c r="J5440" s="1" t="str">
        <f t="shared" si="3120"/>
        <v>0</v>
      </c>
      <c r="K5440" s="1" t="str">
        <f t="shared" si="3121"/>
        <v>103</v>
      </c>
      <c r="L5440" s="1" t="str">
        <f t="shared" si="3122"/>
        <v>47</v>
      </c>
      <c r="M5440" s="1" t="str">
        <f t="shared" si="3116"/>
        <v>0</v>
      </c>
      <c r="N5440" s="1" t="str">
        <f t="shared" si="3127"/>
        <v>0</v>
      </c>
      <c r="O5440" s="1" t="str">
        <f t="shared" si="3118"/>
        <v>0</v>
      </c>
    </row>
    <row r="5441" s="1" customFormat="1" spans="1:15">
      <c r="A5441" s="1" t="str">
        <f t="shared" si="3103"/>
        <v>202406</v>
      </c>
      <c r="B5441" s="1" t="str">
        <f t="shared" si="3104"/>
        <v>150525100</v>
      </c>
      <c r="C5441" s="1" t="str">
        <f>"1014619647"</f>
        <v>1014619647</v>
      </c>
      <c r="D5441" s="1" t="str">
        <f>"152326194302240660"</f>
        <v>152326194302240660</v>
      </c>
      <c r="E5441" s="1" t="s">
        <v>501</v>
      </c>
      <c r="F5441" s="1" t="s">
        <v>16</v>
      </c>
      <c r="G5441" s="1" t="s">
        <v>96</v>
      </c>
      <c r="H5441" s="1" t="str">
        <f>"81"</f>
        <v>81</v>
      </c>
      <c r="I5441" s="1" t="str">
        <f t="shared" ref="I5441:I5443" si="3129">"170"</f>
        <v>170</v>
      </c>
      <c r="J5441" s="1" t="str">
        <f t="shared" si="3120"/>
        <v>0</v>
      </c>
      <c r="K5441" s="1" t="str">
        <f t="shared" si="3121"/>
        <v>103</v>
      </c>
      <c r="L5441" s="1" t="str">
        <f t="shared" si="3122"/>
        <v>47</v>
      </c>
      <c r="M5441" s="1" t="str">
        <f t="shared" si="3116"/>
        <v>0</v>
      </c>
      <c r="N5441" s="1" t="str">
        <f t="shared" si="3127"/>
        <v>0</v>
      </c>
      <c r="O5441" s="1" t="str">
        <f t="shared" si="3118"/>
        <v>0</v>
      </c>
    </row>
    <row r="5442" s="1" customFormat="1" spans="1:15">
      <c r="A5442" s="1" t="str">
        <f t="shared" ref="A5442:A5505" si="3130">"202406"</f>
        <v>202406</v>
      </c>
      <c r="B5442" s="1" t="str">
        <f t="shared" ref="B5442:B5505" si="3131">"150525100"</f>
        <v>150525100</v>
      </c>
      <c r="C5442" s="1" t="str">
        <f>"1014619651"</f>
        <v>1014619651</v>
      </c>
      <c r="D5442" s="1" t="str">
        <f>"152326194110260667"</f>
        <v>152326194110260667</v>
      </c>
      <c r="E5442" s="1" t="s">
        <v>5374</v>
      </c>
      <c r="F5442" s="1" t="s">
        <v>16</v>
      </c>
      <c r="G5442" s="1" t="s">
        <v>96</v>
      </c>
      <c r="H5442" s="1" t="str">
        <f>"83"</f>
        <v>83</v>
      </c>
      <c r="I5442" s="1" t="str">
        <f t="shared" si="3129"/>
        <v>170</v>
      </c>
      <c r="J5442" s="1" t="str">
        <f t="shared" si="3120"/>
        <v>0</v>
      </c>
      <c r="K5442" s="1" t="str">
        <f t="shared" si="3121"/>
        <v>103</v>
      </c>
      <c r="L5442" s="1" t="str">
        <f t="shared" si="3122"/>
        <v>47</v>
      </c>
      <c r="M5442" s="1" t="str">
        <f t="shared" si="3116"/>
        <v>0</v>
      </c>
      <c r="N5442" s="1" t="str">
        <f t="shared" si="3127"/>
        <v>0</v>
      </c>
      <c r="O5442" s="1" t="str">
        <f t="shared" si="3118"/>
        <v>0</v>
      </c>
    </row>
    <row r="5443" s="1" customFormat="1" spans="1:15">
      <c r="A5443" s="1" t="str">
        <f t="shared" si="3130"/>
        <v>202406</v>
      </c>
      <c r="B5443" s="1" t="str">
        <f t="shared" si="3131"/>
        <v>150525100</v>
      </c>
      <c r="C5443" s="1" t="str">
        <f>"1014623022"</f>
        <v>1014623022</v>
      </c>
      <c r="D5443" s="1" t="str">
        <f>"152326194307040027"</f>
        <v>152326194307040027</v>
      </c>
      <c r="E5443" s="1" t="s">
        <v>5375</v>
      </c>
      <c r="F5443" s="1" t="s">
        <v>16</v>
      </c>
      <c r="G5443" s="1" t="s">
        <v>17</v>
      </c>
      <c r="H5443" s="1" t="str">
        <f>"81"</f>
        <v>81</v>
      </c>
      <c r="I5443" s="1" t="str">
        <f t="shared" si="3129"/>
        <v>170</v>
      </c>
      <c r="J5443" s="1" t="str">
        <f t="shared" si="3120"/>
        <v>0</v>
      </c>
      <c r="K5443" s="1" t="str">
        <f t="shared" si="3121"/>
        <v>103</v>
      </c>
      <c r="L5443" s="1" t="str">
        <f t="shared" si="3122"/>
        <v>47</v>
      </c>
      <c r="M5443" s="1" t="str">
        <f t="shared" si="3116"/>
        <v>0</v>
      </c>
      <c r="N5443" s="1" t="str">
        <f t="shared" si="3127"/>
        <v>0</v>
      </c>
      <c r="O5443" s="1" t="str">
        <f t="shared" si="3118"/>
        <v>0</v>
      </c>
    </row>
    <row r="5444" s="1" customFormat="1" spans="1:15">
      <c r="A5444" s="1" t="str">
        <f t="shared" si="3130"/>
        <v>202406</v>
      </c>
      <c r="B5444" s="1" t="str">
        <f t="shared" si="3131"/>
        <v>150525100</v>
      </c>
      <c r="C5444" s="1" t="str">
        <f>"1014623541"</f>
        <v>1014623541</v>
      </c>
      <c r="D5444" s="1" t="str">
        <f>"152326194911263825"</f>
        <v>152326194911263825</v>
      </c>
      <c r="E5444" s="1" t="s">
        <v>5376</v>
      </c>
      <c r="F5444" s="1" t="s">
        <v>16</v>
      </c>
      <c r="G5444" s="1" t="s">
        <v>19</v>
      </c>
      <c r="H5444" s="1" t="str">
        <f t="shared" si="3128"/>
        <v>75</v>
      </c>
      <c r="I5444" s="1" t="str">
        <f t="shared" ref="I5444:I5448" si="3132">"160"</f>
        <v>160</v>
      </c>
      <c r="J5444" s="1" t="str">
        <f t="shared" si="3120"/>
        <v>0</v>
      </c>
      <c r="K5444" s="1" t="str">
        <f t="shared" si="3121"/>
        <v>103</v>
      </c>
      <c r="L5444" s="1" t="str">
        <f t="shared" si="3122"/>
        <v>47</v>
      </c>
      <c r="M5444" s="1" t="str">
        <f t="shared" si="3116"/>
        <v>0</v>
      </c>
      <c r="N5444" s="1" t="str">
        <f t="shared" si="3127"/>
        <v>0</v>
      </c>
      <c r="O5444" s="1" t="str">
        <f t="shared" si="3118"/>
        <v>0</v>
      </c>
    </row>
    <row r="5445" s="1" customFormat="1" spans="1:15">
      <c r="A5445" s="1" t="str">
        <f t="shared" si="3130"/>
        <v>202406</v>
      </c>
      <c r="B5445" s="1" t="str">
        <f t="shared" si="3131"/>
        <v>150525100</v>
      </c>
      <c r="C5445" s="1" t="str">
        <f>"1014629489"</f>
        <v>1014629489</v>
      </c>
      <c r="D5445" s="1" t="str">
        <f>"152326194010093822"</f>
        <v>152326194010093822</v>
      </c>
      <c r="E5445" s="1" t="s">
        <v>5377</v>
      </c>
      <c r="F5445" s="1" t="s">
        <v>16</v>
      </c>
      <c r="G5445" s="1" t="s">
        <v>19</v>
      </c>
      <c r="H5445" s="1" t="str">
        <f>"84"</f>
        <v>84</v>
      </c>
      <c r="I5445" s="1" t="str">
        <f>"170"</f>
        <v>170</v>
      </c>
      <c r="J5445" s="1" t="str">
        <f t="shared" si="3120"/>
        <v>0</v>
      </c>
      <c r="K5445" s="1" t="str">
        <f t="shared" si="3121"/>
        <v>103</v>
      </c>
      <c r="L5445" s="1" t="str">
        <f t="shared" si="3122"/>
        <v>47</v>
      </c>
      <c r="M5445" s="1" t="str">
        <f t="shared" si="3116"/>
        <v>0</v>
      </c>
      <c r="N5445" s="1" t="str">
        <f t="shared" si="3127"/>
        <v>0</v>
      </c>
      <c r="O5445" s="1" t="str">
        <f t="shared" si="3118"/>
        <v>0</v>
      </c>
    </row>
    <row r="5446" s="1" customFormat="1" spans="1:15">
      <c r="A5446" s="1" t="str">
        <f t="shared" si="3130"/>
        <v>202406</v>
      </c>
      <c r="B5446" s="1" t="str">
        <f t="shared" si="3131"/>
        <v>150525100</v>
      </c>
      <c r="C5446" s="1" t="str">
        <f>"1014629544"</f>
        <v>1014629544</v>
      </c>
      <c r="D5446" s="1" t="s">
        <v>5378</v>
      </c>
      <c r="E5446" s="1" t="s">
        <v>5379</v>
      </c>
      <c r="F5446" s="1" t="s">
        <v>16</v>
      </c>
      <c r="G5446" s="1" t="s">
        <v>17</v>
      </c>
      <c r="H5446" s="1" t="str">
        <f>"80"</f>
        <v>80</v>
      </c>
      <c r="I5446" s="1" t="str">
        <f>"170"</f>
        <v>170</v>
      </c>
      <c r="J5446" s="1" t="str">
        <f t="shared" si="3120"/>
        <v>0</v>
      </c>
      <c r="K5446" s="1" t="str">
        <f t="shared" si="3121"/>
        <v>103</v>
      </c>
      <c r="L5446" s="1" t="str">
        <f t="shared" si="3122"/>
        <v>47</v>
      </c>
      <c r="M5446" s="1" t="str">
        <f t="shared" si="3116"/>
        <v>0</v>
      </c>
      <c r="N5446" s="1" t="str">
        <f t="shared" si="3127"/>
        <v>0</v>
      </c>
      <c r="O5446" s="1" t="str">
        <f t="shared" si="3118"/>
        <v>0</v>
      </c>
    </row>
    <row r="5447" s="1" customFormat="1" spans="1:15">
      <c r="A5447" s="1" t="str">
        <f t="shared" si="3130"/>
        <v>202406</v>
      </c>
      <c r="B5447" s="1" t="str">
        <f t="shared" si="3131"/>
        <v>150525100</v>
      </c>
      <c r="C5447" s="1" t="str">
        <f>"1014629546"</f>
        <v>1014629546</v>
      </c>
      <c r="D5447" s="1" t="str">
        <f>"152326194703053073"</f>
        <v>152326194703053073</v>
      </c>
      <c r="E5447" s="1" t="s">
        <v>5380</v>
      </c>
      <c r="F5447" s="1" t="s">
        <v>25</v>
      </c>
      <c r="G5447" s="1" t="s">
        <v>17</v>
      </c>
      <c r="H5447" s="1" t="str">
        <f>"77"</f>
        <v>77</v>
      </c>
      <c r="I5447" s="1" t="str">
        <f t="shared" si="3132"/>
        <v>160</v>
      </c>
      <c r="J5447" s="1" t="str">
        <f t="shared" si="3120"/>
        <v>0</v>
      </c>
      <c r="K5447" s="1" t="str">
        <f t="shared" si="3121"/>
        <v>103</v>
      </c>
      <c r="L5447" s="1" t="str">
        <f t="shared" si="3122"/>
        <v>47</v>
      </c>
      <c r="M5447" s="1" t="str">
        <f t="shared" si="3116"/>
        <v>0</v>
      </c>
      <c r="N5447" s="1" t="str">
        <f t="shared" si="3127"/>
        <v>0</v>
      </c>
      <c r="O5447" s="1" t="str">
        <f t="shared" si="3118"/>
        <v>0</v>
      </c>
    </row>
    <row r="5448" s="1" customFormat="1" spans="1:15">
      <c r="A5448" s="1" t="str">
        <f t="shared" si="3130"/>
        <v>202406</v>
      </c>
      <c r="B5448" s="1" t="str">
        <f t="shared" si="3131"/>
        <v>150525100</v>
      </c>
      <c r="C5448" s="1" t="str">
        <f>"1014629551"</f>
        <v>1014629551</v>
      </c>
      <c r="D5448" s="1" t="str">
        <f>"152326195011122589"</f>
        <v>152326195011122589</v>
      </c>
      <c r="E5448" s="1" t="s">
        <v>5381</v>
      </c>
      <c r="F5448" s="1" t="s">
        <v>16</v>
      </c>
      <c r="G5448" s="1" t="s">
        <v>19</v>
      </c>
      <c r="H5448" s="1" t="str">
        <f>"74"</f>
        <v>74</v>
      </c>
      <c r="I5448" s="1" t="str">
        <f t="shared" si="3132"/>
        <v>160</v>
      </c>
      <c r="J5448" s="1" t="str">
        <f t="shared" si="3120"/>
        <v>0</v>
      </c>
      <c r="K5448" s="1" t="str">
        <f t="shared" si="3121"/>
        <v>103</v>
      </c>
      <c r="L5448" s="1" t="str">
        <f t="shared" si="3122"/>
        <v>47</v>
      </c>
      <c r="M5448" s="1" t="str">
        <f t="shared" si="3116"/>
        <v>0</v>
      </c>
      <c r="N5448" s="1" t="str">
        <f t="shared" si="3127"/>
        <v>0</v>
      </c>
      <c r="O5448" s="1" t="str">
        <f t="shared" si="3118"/>
        <v>0</v>
      </c>
    </row>
    <row r="5449" s="1" customFormat="1" spans="1:15">
      <c r="A5449" s="1" t="str">
        <f t="shared" si="3130"/>
        <v>202406</v>
      </c>
      <c r="B5449" s="1" t="str">
        <f t="shared" si="3131"/>
        <v>150525100</v>
      </c>
      <c r="C5449" s="1" t="str">
        <f>"1014589101"</f>
        <v>1014589101</v>
      </c>
      <c r="D5449" s="1" t="str">
        <f>"152326196310220415"</f>
        <v>152326196310220415</v>
      </c>
      <c r="E5449" s="1" t="s">
        <v>5382</v>
      </c>
      <c r="F5449" s="1" t="s">
        <v>25</v>
      </c>
      <c r="G5449" s="1" t="s">
        <v>17</v>
      </c>
      <c r="H5449" s="1" t="str">
        <f>"61"</f>
        <v>61</v>
      </c>
      <c r="I5449" s="1" t="str">
        <f>"990.54"</f>
        <v>990.54</v>
      </c>
      <c r="J5449" s="1" t="str">
        <f>"825.45"</f>
        <v>825.45</v>
      </c>
      <c r="K5449" s="1" t="str">
        <f>"618"</f>
        <v>618</v>
      </c>
      <c r="L5449" s="1" t="str">
        <f>"282"</f>
        <v>282</v>
      </c>
      <c r="M5449" s="1" t="str">
        <f t="shared" si="3116"/>
        <v>0</v>
      </c>
      <c r="N5449" s="1" t="str">
        <f t="shared" si="3127"/>
        <v>0</v>
      </c>
      <c r="O5449" s="1" t="str">
        <f>"90.54"</f>
        <v>90.54</v>
      </c>
    </row>
    <row r="5450" s="1" customFormat="1" spans="1:15">
      <c r="A5450" s="1" t="str">
        <f t="shared" si="3130"/>
        <v>202406</v>
      </c>
      <c r="B5450" s="1" t="str">
        <f t="shared" si="3131"/>
        <v>150525100</v>
      </c>
      <c r="C5450" s="1" t="str">
        <f>"1014612962"</f>
        <v>1014612962</v>
      </c>
      <c r="D5450" s="1" t="str">
        <f>"152326195009170928"</f>
        <v>152326195009170928</v>
      </c>
      <c r="E5450" s="1" t="s">
        <v>5383</v>
      </c>
      <c r="F5450" s="1" t="s">
        <v>16</v>
      </c>
      <c r="G5450" s="1" t="s">
        <v>19</v>
      </c>
      <c r="H5450" s="1" t="str">
        <f>"74"</f>
        <v>74</v>
      </c>
      <c r="I5450" s="1" t="str">
        <f t="shared" ref="I5450:I5452" si="3133">"160"</f>
        <v>160</v>
      </c>
      <c r="J5450" s="1" t="str">
        <f t="shared" ref="J5450:J5457" si="3134">"0"</f>
        <v>0</v>
      </c>
      <c r="K5450" s="1" t="str">
        <f t="shared" ref="K5450:K5457" si="3135">"103"</f>
        <v>103</v>
      </c>
      <c r="L5450" s="1" t="str">
        <f t="shared" ref="L5450:L5457" si="3136">"47"</f>
        <v>47</v>
      </c>
      <c r="M5450" s="1" t="str">
        <f t="shared" si="3116"/>
        <v>0</v>
      </c>
      <c r="N5450" s="1" t="str">
        <f t="shared" si="3127"/>
        <v>0</v>
      </c>
      <c r="O5450" s="1" t="str">
        <f t="shared" ref="O5450:O5470" si="3137">"0"</f>
        <v>0</v>
      </c>
    </row>
    <row r="5451" s="1" customFormat="1" spans="1:15">
      <c r="A5451" s="1" t="str">
        <f t="shared" si="3130"/>
        <v>202406</v>
      </c>
      <c r="B5451" s="1" t="str">
        <f t="shared" si="3131"/>
        <v>150525100</v>
      </c>
      <c r="C5451" s="1" t="str">
        <f>"1014613225"</f>
        <v>1014613225</v>
      </c>
      <c r="D5451" s="1" t="str">
        <f>"152326195103190423"</f>
        <v>152326195103190423</v>
      </c>
      <c r="E5451" s="1" t="s">
        <v>5384</v>
      </c>
      <c r="F5451" s="1" t="s">
        <v>16</v>
      </c>
      <c r="G5451" s="1" t="s">
        <v>17</v>
      </c>
      <c r="H5451" s="1" t="str">
        <f>"73"</f>
        <v>73</v>
      </c>
      <c r="I5451" s="1" t="str">
        <f t="shared" si="3133"/>
        <v>160</v>
      </c>
      <c r="J5451" s="1" t="str">
        <f t="shared" si="3134"/>
        <v>0</v>
      </c>
      <c r="K5451" s="1" t="str">
        <f t="shared" si="3135"/>
        <v>103</v>
      </c>
      <c r="L5451" s="1" t="str">
        <f t="shared" si="3136"/>
        <v>47</v>
      </c>
      <c r="M5451" s="1" t="str">
        <f t="shared" si="3116"/>
        <v>0</v>
      </c>
      <c r="N5451" s="1" t="str">
        <f t="shared" si="3127"/>
        <v>0</v>
      </c>
      <c r="O5451" s="1" t="str">
        <f t="shared" si="3137"/>
        <v>0</v>
      </c>
    </row>
    <row r="5452" s="1" customFormat="1" spans="1:15">
      <c r="A5452" s="1" t="str">
        <f t="shared" si="3130"/>
        <v>202406</v>
      </c>
      <c r="B5452" s="1" t="str">
        <f t="shared" si="3131"/>
        <v>150525100</v>
      </c>
      <c r="C5452" s="1" t="str">
        <f>"1014613241"</f>
        <v>1014613241</v>
      </c>
      <c r="D5452" s="1" t="str">
        <f>"152326194811100420"</f>
        <v>152326194811100420</v>
      </c>
      <c r="E5452" s="1" t="s">
        <v>5385</v>
      </c>
      <c r="F5452" s="1" t="s">
        <v>16</v>
      </c>
      <c r="G5452" s="1" t="s">
        <v>17</v>
      </c>
      <c r="H5452" s="1" t="str">
        <f>"76"</f>
        <v>76</v>
      </c>
      <c r="I5452" s="1" t="str">
        <f t="shared" si="3133"/>
        <v>160</v>
      </c>
      <c r="J5452" s="1" t="str">
        <f t="shared" si="3134"/>
        <v>0</v>
      </c>
      <c r="K5452" s="1" t="str">
        <f t="shared" si="3135"/>
        <v>103</v>
      </c>
      <c r="L5452" s="1" t="str">
        <f t="shared" si="3136"/>
        <v>47</v>
      </c>
      <c r="M5452" s="1" t="str">
        <f t="shared" si="3116"/>
        <v>0</v>
      </c>
      <c r="N5452" s="1" t="str">
        <f t="shared" si="3127"/>
        <v>0</v>
      </c>
      <c r="O5452" s="1" t="str">
        <f t="shared" si="3137"/>
        <v>0</v>
      </c>
    </row>
    <row r="5453" s="1" customFormat="1" spans="1:15">
      <c r="A5453" s="1" t="str">
        <f t="shared" si="3130"/>
        <v>202406</v>
      </c>
      <c r="B5453" s="1" t="str">
        <f t="shared" si="3131"/>
        <v>150525100</v>
      </c>
      <c r="C5453" s="1" t="str">
        <f>"1014613245"</f>
        <v>1014613245</v>
      </c>
      <c r="D5453" s="1" t="str">
        <f>"152326193810100424"</f>
        <v>152326193810100424</v>
      </c>
      <c r="E5453" s="1" t="s">
        <v>741</v>
      </c>
      <c r="F5453" s="1" t="s">
        <v>16</v>
      </c>
      <c r="G5453" s="1" t="s">
        <v>17</v>
      </c>
      <c r="H5453" s="1" t="str">
        <f>"86"</f>
        <v>86</v>
      </c>
      <c r="I5453" s="1" t="str">
        <f>"170"</f>
        <v>170</v>
      </c>
      <c r="J5453" s="1" t="str">
        <f t="shared" si="3134"/>
        <v>0</v>
      </c>
      <c r="K5453" s="1" t="str">
        <f t="shared" si="3135"/>
        <v>103</v>
      </c>
      <c r="L5453" s="1" t="str">
        <f t="shared" si="3136"/>
        <v>47</v>
      </c>
      <c r="M5453" s="1" t="str">
        <f t="shared" si="3116"/>
        <v>0</v>
      </c>
      <c r="N5453" s="1" t="str">
        <f t="shared" si="3127"/>
        <v>0</v>
      </c>
      <c r="O5453" s="1" t="str">
        <f t="shared" si="3137"/>
        <v>0</v>
      </c>
    </row>
    <row r="5454" s="1" customFormat="1" spans="1:15">
      <c r="A5454" s="1" t="str">
        <f t="shared" si="3130"/>
        <v>202406</v>
      </c>
      <c r="B5454" s="1" t="str">
        <f t="shared" si="3131"/>
        <v>150525100</v>
      </c>
      <c r="C5454" s="1" t="str">
        <f>"1014613252"</f>
        <v>1014613252</v>
      </c>
      <c r="D5454" s="1" t="str">
        <f>"152326194902130422"</f>
        <v>152326194902130422</v>
      </c>
      <c r="E5454" s="1" t="s">
        <v>2850</v>
      </c>
      <c r="F5454" s="1" t="s">
        <v>16</v>
      </c>
      <c r="G5454" s="1" t="s">
        <v>17</v>
      </c>
      <c r="H5454" s="1" t="str">
        <f>"75"</f>
        <v>75</v>
      </c>
      <c r="I5454" s="1" t="str">
        <f t="shared" ref="I5454:I5457" si="3138">"160"</f>
        <v>160</v>
      </c>
      <c r="J5454" s="1" t="str">
        <f t="shared" si="3134"/>
        <v>0</v>
      </c>
      <c r="K5454" s="1" t="str">
        <f t="shared" si="3135"/>
        <v>103</v>
      </c>
      <c r="L5454" s="1" t="str">
        <f t="shared" si="3136"/>
        <v>47</v>
      </c>
      <c r="M5454" s="1" t="str">
        <f t="shared" si="3116"/>
        <v>0</v>
      </c>
      <c r="N5454" s="1" t="str">
        <f t="shared" si="3127"/>
        <v>0</v>
      </c>
      <c r="O5454" s="1" t="str">
        <f t="shared" si="3137"/>
        <v>0</v>
      </c>
    </row>
    <row r="5455" s="1" customFormat="1" spans="1:15">
      <c r="A5455" s="1" t="str">
        <f t="shared" si="3130"/>
        <v>202406</v>
      </c>
      <c r="B5455" s="1" t="str">
        <f t="shared" si="3131"/>
        <v>150525100</v>
      </c>
      <c r="C5455" s="1" t="str">
        <f>"1014621875"</f>
        <v>1014621875</v>
      </c>
      <c r="D5455" s="1" t="str">
        <f>"152326194906023317"</f>
        <v>152326194906023317</v>
      </c>
      <c r="E5455" s="1" t="s">
        <v>5386</v>
      </c>
      <c r="F5455" s="1" t="s">
        <v>25</v>
      </c>
      <c r="G5455" s="1" t="s">
        <v>17</v>
      </c>
      <c r="H5455" s="1" t="str">
        <f>"75"</f>
        <v>75</v>
      </c>
      <c r="I5455" s="1" t="str">
        <f t="shared" si="3138"/>
        <v>160</v>
      </c>
      <c r="J5455" s="1" t="str">
        <f t="shared" si="3134"/>
        <v>0</v>
      </c>
      <c r="K5455" s="1" t="str">
        <f t="shared" si="3135"/>
        <v>103</v>
      </c>
      <c r="L5455" s="1" t="str">
        <f t="shared" si="3136"/>
        <v>47</v>
      </c>
      <c r="M5455" s="1" t="str">
        <f t="shared" si="3116"/>
        <v>0</v>
      </c>
      <c r="N5455" s="1" t="str">
        <f t="shared" si="3127"/>
        <v>0</v>
      </c>
      <c r="O5455" s="1" t="str">
        <f t="shared" si="3137"/>
        <v>0</v>
      </c>
    </row>
    <row r="5456" s="1" customFormat="1" spans="1:15">
      <c r="A5456" s="1" t="str">
        <f t="shared" si="3130"/>
        <v>202406</v>
      </c>
      <c r="B5456" s="1" t="str">
        <f t="shared" si="3131"/>
        <v>150525100</v>
      </c>
      <c r="C5456" s="1" t="str">
        <f>"1014621887"</f>
        <v>1014621887</v>
      </c>
      <c r="D5456" s="1" t="str">
        <f>"152326195005243317"</f>
        <v>152326195005243317</v>
      </c>
      <c r="E5456" s="1" t="s">
        <v>5387</v>
      </c>
      <c r="F5456" s="1" t="s">
        <v>25</v>
      </c>
      <c r="G5456" s="1" t="s">
        <v>17</v>
      </c>
      <c r="H5456" s="1" t="str">
        <f>"74"</f>
        <v>74</v>
      </c>
      <c r="I5456" s="1" t="str">
        <f t="shared" si="3138"/>
        <v>160</v>
      </c>
      <c r="J5456" s="1" t="str">
        <f t="shared" si="3134"/>
        <v>0</v>
      </c>
      <c r="K5456" s="1" t="str">
        <f t="shared" si="3135"/>
        <v>103</v>
      </c>
      <c r="L5456" s="1" t="str">
        <f t="shared" si="3136"/>
        <v>47</v>
      </c>
      <c r="M5456" s="1" t="str">
        <f t="shared" si="3116"/>
        <v>0</v>
      </c>
      <c r="N5456" s="1" t="str">
        <f t="shared" si="3127"/>
        <v>0</v>
      </c>
      <c r="O5456" s="1" t="str">
        <f t="shared" si="3137"/>
        <v>0</v>
      </c>
    </row>
    <row r="5457" s="1" customFormat="1" spans="1:15">
      <c r="A5457" s="1" t="str">
        <f t="shared" si="3130"/>
        <v>202406</v>
      </c>
      <c r="B5457" s="1" t="str">
        <f t="shared" si="3131"/>
        <v>150525100</v>
      </c>
      <c r="C5457" s="1" t="str">
        <f>"1014622277"</f>
        <v>1014622277</v>
      </c>
      <c r="D5457" s="1" t="str">
        <f>"152326194901070421"</f>
        <v>152326194901070421</v>
      </c>
      <c r="E5457" s="1" t="s">
        <v>5388</v>
      </c>
      <c r="F5457" s="1" t="s">
        <v>16</v>
      </c>
      <c r="G5457" s="1" t="s">
        <v>17</v>
      </c>
      <c r="H5457" s="1" t="str">
        <f>"76"</f>
        <v>76</v>
      </c>
      <c r="I5457" s="1" t="str">
        <f t="shared" si="3138"/>
        <v>160</v>
      </c>
      <c r="J5457" s="1" t="str">
        <f t="shared" si="3134"/>
        <v>0</v>
      </c>
      <c r="K5457" s="1" t="str">
        <f t="shared" si="3135"/>
        <v>103</v>
      </c>
      <c r="L5457" s="1" t="str">
        <f t="shared" si="3136"/>
        <v>47</v>
      </c>
      <c r="M5457" s="1" t="str">
        <f t="shared" si="3116"/>
        <v>0</v>
      </c>
      <c r="N5457" s="1" t="str">
        <f t="shared" si="3127"/>
        <v>0</v>
      </c>
      <c r="O5457" s="1" t="str">
        <f t="shared" si="3137"/>
        <v>0</v>
      </c>
    </row>
    <row r="5458" s="1" customFormat="1" spans="1:15">
      <c r="A5458" s="1" t="str">
        <f t="shared" si="3130"/>
        <v>202406</v>
      </c>
      <c r="B5458" s="1" t="str">
        <f t="shared" si="3131"/>
        <v>150525100</v>
      </c>
      <c r="C5458" s="1" t="str">
        <f>"1014622670"</f>
        <v>1014622670</v>
      </c>
      <c r="D5458" s="1" t="str">
        <f>"152326194207220661"</f>
        <v>152326194207220661</v>
      </c>
      <c r="E5458" s="1" t="s">
        <v>5389</v>
      </c>
      <c r="F5458" s="1" t="s">
        <v>16</v>
      </c>
      <c r="G5458" s="1" t="s">
        <v>17</v>
      </c>
      <c r="H5458" s="1" t="str">
        <f>"82"</f>
        <v>82</v>
      </c>
      <c r="I5458" s="1" t="str">
        <f>"1700"</f>
        <v>1700</v>
      </c>
      <c r="J5458" s="1" t="str">
        <f>"1530"</f>
        <v>1530</v>
      </c>
      <c r="K5458" s="1" t="str">
        <f>"1030"</f>
        <v>1030</v>
      </c>
      <c r="L5458" s="1" t="str">
        <f>"470"</f>
        <v>470</v>
      </c>
      <c r="M5458" s="1" t="str">
        <f t="shared" si="3116"/>
        <v>0</v>
      </c>
      <c r="N5458" s="1" t="str">
        <f t="shared" si="3127"/>
        <v>0</v>
      </c>
      <c r="O5458" s="1" t="str">
        <f t="shared" si="3137"/>
        <v>0</v>
      </c>
    </row>
    <row r="5459" s="1" customFormat="1" spans="1:15">
      <c r="A5459" s="1" t="str">
        <f t="shared" si="3130"/>
        <v>202406</v>
      </c>
      <c r="B5459" s="1" t="str">
        <f t="shared" si="3131"/>
        <v>150525100</v>
      </c>
      <c r="C5459" s="1" t="str">
        <f>"1014624033"</f>
        <v>1014624033</v>
      </c>
      <c r="D5459" s="1" t="str">
        <f>"152326193502103076"</f>
        <v>152326193502103076</v>
      </c>
      <c r="E5459" s="1" t="s">
        <v>5390</v>
      </c>
      <c r="F5459" s="1" t="s">
        <v>25</v>
      </c>
      <c r="G5459" s="1" t="s">
        <v>17</v>
      </c>
      <c r="H5459" s="1" t="str">
        <f>"89"</f>
        <v>89</v>
      </c>
      <c r="I5459" s="1" t="str">
        <f>"170"</f>
        <v>170</v>
      </c>
      <c r="J5459" s="1" t="str">
        <f t="shared" ref="J5459:J5476" si="3139">"0"</f>
        <v>0</v>
      </c>
      <c r="K5459" s="1" t="str">
        <f t="shared" ref="K5459:K5476" si="3140">"103"</f>
        <v>103</v>
      </c>
      <c r="L5459" s="1" t="str">
        <f t="shared" ref="L5459:L5476" si="3141">"47"</f>
        <v>47</v>
      </c>
      <c r="M5459" s="1" t="str">
        <f t="shared" si="3116"/>
        <v>0</v>
      </c>
      <c r="N5459" s="1" t="str">
        <f t="shared" si="3127"/>
        <v>0</v>
      </c>
      <c r="O5459" s="1" t="str">
        <f t="shared" si="3137"/>
        <v>0</v>
      </c>
    </row>
    <row r="5460" s="1" customFormat="1" spans="1:15">
      <c r="A5460" s="1" t="str">
        <f t="shared" si="3130"/>
        <v>202406</v>
      </c>
      <c r="B5460" s="1" t="str">
        <f t="shared" si="3131"/>
        <v>150525100</v>
      </c>
      <c r="C5460" s="1" t="str">
        <f>"1014624535"</f>
        <v>1014624535</v>
      </c>
      <c r="D5460" s="1" t="str">
        <f>"152326195110280662"</f>
        <v>152326195110280662</v>
      </c>
      <c r="E5460" s="1" t="s">
        <v>5391</v>
      </c>
      <c r="F5460" s="1" t="s">
        <v>16</v>
      </c>
      <c r="G5460" s="1" t="s">
        <v>17</v>
      </c>
      <c r="H5460" s="1" t="str">
        <f>"73"</f>
        <v>73</v>
      </c>
      <c r="I5460" s="1" t="str">
        <f t="shared" ref="I5460:I5463" si="3142">"160"</f>
        <v>160</v>
      </c>
      <c r="J5460" s="1" t="str">
        <f t="shared" si="3139"/>
        <v>0</v>
      </c>
      <c r="K5460" s="1" t="str">
        <f t="shared" si="3140"/>
        <v>103</v>
      </c>
      <c r="L5460" s="1" t="str">
        <f t="shared" si="3141"/>
        <v>47</v>
      </c>
      <c r="M5460" s="1" t="str">
        <f t="shared" si="3116"/>
        <v>0</v>
      </c>
      <c r="N5460" s="1" t="str">
        <f t="shared" si="3127"/>
        <v>0</v>
      </c>
      <c r="O5460" s="1" t="str">
        <f t="shared" si="3137"/>
        <v>0</v>
      </c>
    </row>
    <row r="5461" s="1" customFormat="1" spans="1:15">
      <c r="A5461" s="1" t="str">
        <f t="shared" si="3130"/>
        <v>202406</v>
      </c>
      <c r="B5461" s="1" t="str">
        <f t="shared" si="3131"/>
        <v>150525100</v>
      </c>
      <c r="C5461" s="1" t="str">
        <f>"1014624545"</f>
        <v>1014624545</v>
      </c>
      <c r="D5461" s="1" t="str">
        <f>"152326194608120661"</f>
        <v>152326194608120661</v>
      </c>
      <c r="E5461" s="1" t="s">
        <v>5392</v>
      </c>
      <c r="F5461" s="1" t="s">
        <v>16</v>
      </c>
      <c r="G5461" s="1" t="s">
        <v>17</v>
      </c>
      <c r="H5461" s="1" t="str">
        <f>"78"</f>
        <v>78</v>
      </c>
      <c r="I5461" s="1" t="str">
        <f t="shared" si="3142"/>
        <v>160</v>
      </c>
      <c r="J5461" s="1" t="str">
        <f t="shared" si="3139"/>
        <v>0</v>
      </c>
      <c r="K5461" s="1" t="str">
        <f t="shared" si="3140"/>
        <v>103</v>
      </c>
      <c r="L5461" s="1" t="str">
        <f t="shared" si="3141"/>
        <v>47</v>
      </c>
      <c r="M5461" s="1" t="str">
        <f t="shared" si="3116"/>
        <v>0</v>
      </c>
      <c r="N5461" s="1" t="str">
        <f t="shared" si="3127"/>
        <v>0</v>
      </c>
      <c r="O5461" s="1" t="str">
        <f t="shared" si="3137"/>
        <v>0</v>
      </c>
    </row>
    <row r="5462" s="1" customFormat="1" spans="1:15">
      <c r="A5462" s="1" t="str">
        <f t="shared" si="3130"/>
        <v>202406</v>
      </c>
      <c r="B5462" s="1" t="str">
        <f t="shared" si="3131"/>
        <v>150525100</v>
      </c>
      <c r="C5462" s="1" t="str">
        <f>"1014624554"</f>
        <v>1014624554</v>
      </c>
      <c r="D5462" s="1" t="str">
        <f>"152326194912030679"</f>
        <v>152326194912030679</v>
      </c>
      <c r="E5462" s="1" t="s">
        <v>5393</v>
      </c>
      <c r="F5462" s="1" t="s">
        <v>25</v>
      </c>
      <c r="G5462" s="1" t="s">
        <v>17</v>
      </c>
      <c r="H5462" s="1" t="str">
        <f>"75"</f>
        <v>75</v>
      </c>
      <c r="I5462" s="1" t="str">
        <f t="shared" si="3142"/>
        <v>160</v>
      </c>
      <c r="J5462" s="1" t="str">
        <f t="shared" si="3139"/>
        <v>0</v>
      </c>
      <c r="K5462" s="1" t="str">
        <f t="shared" si="3140"/>
        <v>103</v>
      </c>
      <c r="L5462" s="1" t="str">
        <f t="shared" si="3141"/>
        <v>47</v>
      </c>
      <c r="M5462" s="1" t="str">
        <f t="shared" si="3116"/>
        <v>0</v>
      </c>
      <c r="N5462" s="1" t="str">
        <f t="shared" si="3127"/>
        <v>0</v>
      </c>
      <c r="O5462" s="1" t="str">
        <f t="shared" si="3137"/>
        <v>0</v>
      </c>
    </row>
    <row r="5463" s="1" customFormat="1" spans="1:15">
      <c r="A5463" s="1" t="str">
        <f t="shared" si="3130"/>
        <v>202406</v>
      </c>
      <c r="B5463" s="1" t="str">
        <f t="shared" si="3131"/>
        <v>150525100</v>
      </c>
      <c r="C5463" s="1" t="str">
        <f>"1014619522"</f>
        <v>1014619522</v>
      </c>
      <c r="D5463" s="1" t="str">
        <f>"152326194801043071"</f>
        <v>152326194801043071</v>
      </c>
      <c r="E5463" s="1" t="s">
        <v>5394</v>
      </c>
      <c r="F5463" s="1" t="s">
        <v>25</v>
      </c>
      <c r="G5463" s="1" t="s">
        <v>17</v>
      </c>
      <c r="H5463" s="1" t="str">
        <f>"77"</f>
        <v>77</v>
      </c>
      <c r="I5463" s="1" t="str">
        <f t="shared" si="3142"/>
        <v>160</v>
      </c>
      <c r="J5463" s="1" t="str">
        <f t="shared" si="3139"/>
        <v>0</v>
      </c>
      <c r="K5463" s="1" t="str">
        <f t="shared" si="3140"/>
        <v>103</v>
      </c>
      <c r="L5463" s="1" t="str">
        <f t="shared" si="3141"/>
        <v>47</v>
      </c>
      <c r="M5463" s="1" t="str">
        <f t="shared" si="3116"/>
        <v>0</v>
      </c>
      <c r="N5463" s="1" t="str">
        <f t="shared" si="3127"/>
        <v>0</v>
      </c>
      <c r="O5463" s="1" t="str">
        <f t="shared" si="3137"/>
        <v>0</v>
      </c>
    </row>
    <row r="5464" s="1" customFormat="1" spans="1:15">
      <c r="A5464" s="1" t="str">
        <f t="shared" si="3130"/>
        <v>202406</v>
      </c>
      <c r="B5464" s="1" t="str">
        <f t="shared" si="3131"/>
        <v>150525100</v>
      </c>
      <c r="C5464" s="1" t="str">
        <f>"1014619538"</f>
        <v>1014619538</v>
      </c>
      <c r="D5464" s="1" t="str">
        <f>"152326193410130675"</f>
        <v>152326193410130675</v>
      </c>
      <c r="E5464" s="1" t="s">
        <v>5395</v>
      </c>
      <c r="F5464" s="1" t="s">
        <v>25</v>
      </c>
      <c r="G5464" s="1" t="s">
        <v>96</v>
      </c>
      <c r="H5464" s="1" t="str">
        <f>"90"</f>
        <v>90</v>
      </c>
      <c r="I5464" s="1" t="str">
        <f>"170"</f>
        <v>170</v>
      </c>
      <c r="J5464" s="1" t="str">
        <f t="shared" si="3139"/>
        <v>0</v>
      </c>
      <c r="K5464" s="1" t="str">
        <f t="shared" si="3140"/>
        <v>103</v>
      </c>
      <c r="L5464" s="1" t="str">
        <f t="shared" si="3141"/>
        <v>47</v>
      </c>
      <c r="M5464" s="1" t="str">
        <f t="shared" si="3116"/>
        <v>0</v>
      </c>
      <c r="N5464" s="1" t="str">
        <f t="shared" si="3127"/>
        <v>0</v>
      </c>
      <c r="O5464" s="1" t="str">
        <f t="shared" si="3137"/>
        <v>0</v>
      </c>
    </row>
    <row r="5465" s="1" customFormat="1" spans="1:15">
      <c r="A5465" s="1" t="str">
        <f t="shared" si="3130"/>
        <v>202406</v>
      </c>
      <c r="B5465" s="1" t="str">
        <f t="shared" si="3131"/>
        <v>150525100</v>
      </c>
      <c r="C5465" s="1" t="str">
        <f>"1014619540"</f>
        <v>1014619540</v>
      </c>
      <c r="D5465" s="1" t="str">
        <f>"152326194804123819"</f>
        <v>152326194804123819</v>
      </c>
      <c r="E5465" s="1" t="s">
        <v>5396</v>
      </c>
      <c r="F5465" s="1" t="s">
        <v>25</v>
      </c>
      <c r="G5465" s="1" t="s">
        <v>96</v>
      </c>
      <c r="H5465" s="1" t="str">
        <f>"76"</f>
        <v>76</v>
      </c>
      <c r="I5465" s="1" t="str">
        <f t="shared" ref="I5465:I5467" si="3143">"160"</f>
        <v>160</v>
      </c>
      <c r="J5465" s="1" t="str">
        <f t="shared" si="3139"/>
        <v>0</v>
      </c>
      <c r="K5465" s="1" t="str">
        <f t="shared" si="3140"/>
        <v>103</v>
      </c>
      <c r="L5465" s="1" t="str">
        <f t="shared" si="3141"/>
        <v>47</v>
      </c>
      <c r="M5465" s="1" t="str">
        <f t="shared" si="3116"/>
        <v>0</v>
      </c>
      <c r="N5465" s="1" t="str">
        <f t="shared" si="3127"/>
        <v>0</v>
      </c>
      <c r="O5465" s="1" t="str">
        <f t="shared" si="3137"/>
        <v>0</v>
      </c>
    </row>
    <row r="5466" s="1" customFormat="1" spans="1:15">
      <c r="A5466" s="1" t="str">
        <f t="shared" si="3130"/>
        <v>202406</v>
      </c>
      <c r="B5466" s="1" t="str">
        <f t="shared" si="3131"/>
        <v>150525100</v>
      </c>
      <c r="C5466" s="1" t="str">
        <f>"1014619672"</f>
        <v>1014619672</v>
      </c>
      <c r="D5466" s="1" t="str">
        <f>"152326195003033076"</f>
        <v>152326195003033076</v>
      </c>
      <c r="E5466" s="1" t="s">
        <v>5397</v>
      </c>
      <c r="F5466" s="1" t="s">
        <v>25</v>
      </c>
      <c r="G5466" s="1" t="s">
        <v>17</v>
      </c>
      <c r="H5466" s="1" t="str">
        <f>"74"</f>
        <v>74</v>
      </c>
      <c r="I5466" s="1" t="str">
        <f t="shared" si="3143"/>
        <v>160</v>
      </c>
      <c r="J5466" s="1" t="str">
        <f t="shared" si="3139"/>
        <v>0</v>
      </c>
      <c r="K5466" s="1" t="str">
        <f t="shared" si="3140"/>
        <v>103</v>
      </c>
      <c r="L5466" s="1" t="str">
        <f t="shared" si="3141"/>
        <v>47</v>
      </c>
      <c r="M5466" s="1" t="str">
        <f t="shared" si="3116"/>
        <v>0</v>
      </c>
      <c r="N5466" s="1" t="str">
        <f t="shared" si="3127"/>
        <v>0</v>
      </c>
      <c r="O5466" s="1" t="str">
        <f t="shared" si="3137"/>
        <v>0</v>
      </c>
    </row>
    <row r="5467" s="1" customFormat="1" spans="1:15">
      <c r="A5467" s="1" t="str">
        <f t="shared" si="3130"/>
        <v>202406</v>
      </c>
      <c r="B5467" s="1" t="str">
        <f t="shared" si="3131"/>
        <v>150525100</v>
      </c>
      <c r="C5467" s="1" t="str">
        <f>"1014619690"</f>
        <v>1014619690</v>
      </c>
      <c r="D5467" s="1" t="str">
        <f>"152326194802113828"</f>
        <v>152326194802113828</v>
      </c>
      <c r="E5467" s="1" t="s">
        <v>563</v>
      </c>
      <c r="F5467" s="1" t="s">
        <v>16</v>
      </c>
      <c r="G5467" s="1" t="s">
        <v>96</v>
      </c>
      <c r="H5467" s="1" t="str">
        <f>"76"</f>
        <v>76</v>
      </c>
      <c r="I5467" s="1" t="str">
        <f t="shared" si="3143"/>
        <v>160</v>
      </c>
      <c r="J5467" s="1" t="str">
        <f t="shared" si="3139"/>
        <v>0</v>
      </c>
      <c r="K5467" s="1" t="str">
        <f t="shared" si="3140"/>
        <v>103</v>
      </c>
      <c r="L5467" s="1" t="str">
        <f t="shared" si="3141"/>
        <v>47</v>
      </c>
      <c r="M5467" s="1" t="str">
        <f t="shared" si="3116"/>
        <v>0</v>
      </c>
      <c r="N5467" s="1" t="str">
        <f t="shared" si="3127"/>
        <v>0</v>
      </c>
      <c r="O5467" s="1" t="str">
        <f t="shared" si="3137"/>
        <v>0</v>
      </c>
    </row>
    <row r="5468" s="1" customFormat="1" spans="1:15">
      <c r="A5468" s="1" t="str">
        <f t="shared" si="3130"/>
        <v>202406</v>
      </c>
      <c r="B5468" s="1" t="str">
        <f t="shared" si="3131"/>
        <v>150525100</v>
      </c>
      <c r="C5468" s="1" t="str">
        <f>"1014623033"</f>
        <v>1014623033</v>
      </c>
      <c r="D5468" s="1" t="str">
        <f>"152326194105200029"</f>
        <v>152326194105200029</v>
      </c>
      <c r="E5468" s="1" t="s">
        <v>5398</v>
      </c>
      <c r="F5468" s="1" t="s">
        <v>16</v>
      </c>
      <c r="G5468" s="1" t="s">
        <v>19</v>
      </c>
      <c r="H5468" s="1" t="str">
        <f>"83"</f>
        <v>83</v>
      </c>
      <c r="I5468" s="1" t="str">
        <f>"170"</f>
        <v>170</v>
      </c>
      <c r="J5468" s="1" t="str">
        <f t="shared" si="3139"/>
        <v>0</v>
      </c>
      <c r="K5468" s="1" t="str">
        <f t="shared" si="3140"/>
        <v>103</v>
      </c>
      <c r="L5468" s="1" t="str">
        <f t="shared" si="3141"/>
        <v>47</v>
      </c>
      <c r="M5468" s="1" t="str">
        <f t="shared" si="3116"/>
        <v>0</v>
      </c>
      <c r="N5468" s="1" t="str">
        <f t="shared" si="3127"/>
        <v>0</v>
      </c>
      <c r="O5468" s="1" t="str">
        <f t="shared" si="3137"/>
        <v>0</v>
      </c>
    </row>
    <row r="5469" s="1" customFormat="1" spans="1:15">
      <c r="A5469" s="1" t="str">
        <f t="shared" si="3130"/>
        <v>202406</v>
      </c>
      <c r="B5469" s="1" t="str">
        <f t="shared" si="3131"/>
        <v>150525100</v>
      </c>
      <c r="C5469" s="1" t="str">
        <f>"1014629228"</f>
        <v>1014629228</v>
      </c>
      <c r="D5469" s="1" t="str">
        <f>"152326194903163090"</f>
        <v>152326194903163090</v>
      </c>
      <c r="E5469" s="1" t="s">
        <v>5399</v>
      </c>
      <c r="F5469" s="1" t="s">
        <v>25</v>
      </c>
      <c r="G5469" s="1" t="s">
        <v>17</v>
      </c>
      <c r="H5469" s="1" t="str">
        <f>"75"</f>
        <v>75</v>
      </c>
      <c r="I5469" s="1" t="str">
        <f t="shared" ref="I5469:I5475" si="3144">"160"</f>
        <v>160</v>
      </c>
      <c r="J5469" s="1" t="str">
        <f t="shared" si="3139"/>
        <v>0</v>
      </c>
      <c r="K5469" s="1" t="str">
        <f t="shared" si="3140"/>
        <v>103</v>
      </c>
      <c r="L5469" s="1" t="str">
        <f t="shared" si="3141"/>
        <v>47</v>
      </c>
      <c r="M5469" s="1" t="str">
        <f t="shared" si="3116"/>
        <v>0</v>
      </c>
      <c r="N5469" s="1" t="str">
        <f t="shared" si="3127"/>
        <v>0</v>
      </c>
      <c r="O5469" s="1" t="str">
        <f t="shared" si="3137"/>
        <v>0</v>
      </c>
    </row>
    <row r="5470" s="1" customFormat="1" spans="1:15">
      <c r="A5470" s="1" t="str">
        <f t="shared" si="3130"/>
        <v>202406</v>
      </c>
      <c r="B5470" s="1" t="str">
        <f t="shared" si="3131"/>
        <v>150525100</v>
      </c>
      <c r="C5470" s="1" t="str">
        <f>"1014629285"</f>
        <v>1014629285</v>
      </c>
      <c r="D5470" s="1" t="s">
        <v>5400</v>
      </c>
      <c r="E5470" s="1" t="s">
        <v>919</v>
      </c>
      <c r="F5470" s="1" t="s">
        <v>16</v>
      </c>
      <c r="G5470" s="1" t="s">
        <v>17</v>
      </c>
      <c r="H5470" s="1" t="str">
        <f>"74"</f>
        <v>74</v>
      </c>
      <c r="I5470" s="1" t="str">
        <f t="shared" si="3144"/>
        <v>160</v>
      </c>
      <c r="J5470" s="1" t="str">
        <f t="shared" si="3139"/>
        <v>0</v>
      </c>
      <c r="K5470" s="1" t="str">
        <f t="shared" si="3140"/>
        <v>103</v>
      </c>
      <c r="L5470" s="1" t="str">
        <f t="shared" si="3141"/>
        <v>47</v>
      </c>
      <c r="M5470" s="1" t="str">
        <f t="shared" si="3116"/>
        <v>0</v>
      </c>
      <c r="N5470" s="1" t="str">
        <f t="shared" si="3127"/>
        <v>0</v>
      </c>
      <c r="O5470" s="1" t="str">
        <f t="shared" si="3137"/>
        <v>0</v>
      </c>
    </row>
    <row r="5471" s="1" customFormat="1" spans="1:15">
      <c r="A5471" s="1" t="str">
        <f t="shared" si="3130"/>
        <v>202406</v>
      </c>
      <c r="B5471" s="1" t="str">
        <f t="shared" si="3131"/>
        <v>150525100</v>
      </c>
      <c r="C5471" s="1" t="str">
        <f>"1014589154"</f>
        <v>1014589154</v>
      </c>
      <c r="D5471" s="1" t="str">
        <f>"152326196304180429"</f>
        <v>152326196304180429</v>
      </c>
      <c r="E5471" s="1" t="s">
        <v>5401</v>
      </c>
      <c r="F5471" s="1" t="s">
        <v>16</v>
      </c>
      <c r="G5471" s="1" t="s">
        <v>17</v>
      </c>
      <c r="H5471" s="1" t="str">
        <f>"61"</f>
        <v>61</v>
      </c>
      <c r="I5471" s="1" t="str">
        <f>"166.5"</f>
        <v>166.5</v>
      </c>
      <c r="J5471" s="1" t="str">
        <f t="shared" si="3139"/>
        <v>0</v>
      </c>
      <c r="K5471" s="1" t="str">
        <f t="shared" si="3140"/>
        <v>103</v>
      </c>
      <c r="L5471" s="1" t="str">
        <f t="shared" si="3141"/>
        <v>47</v>
      </c>
      <c r="M5471" s="1" t="str">
        <f t="shared" si="3116"/>
        <v>0</v>
      </c>
      <c r="N5471" s="1" t="str">
        <f t="shared" si="3127"/>
        <v>0</v>
      </c>
      <c r="O5471" s="1" t="str">
        <f>"16.5"</f>
        <v>16.5</v>
      </c>
    </row>
    <row r="5472" s="1" customFormat="1" spans="1:15">
      <c r="A5472" s="1" t="str">
        <f t="shared" si="3130"/>
        <v>202406</v>
      </c>
      <c r="B5472" s="1" t="str">
        <f t="shared" si="3131"/>
        <v>150525100</v>
      </c>
      <c r="C5472" s="1" t="str">
        <f>"1014589168"</f>
        <v>1014589168</v>
      </c>
      <c r="D5472" s="1" t="str">
        <f>"152326195408190424"</f>
        <v>152326195408190424</v>
      </c>
      <c r="E5472" s="1" t="s">
        <v>4118</v>
      </c>
      <c r="F5472" s="1" t="s">
        <v>16</v>
      </c>
      <c r="G5472" s="1" t="s">
        <v>17</v>
      </c>
      <c r="H5472" s="1" t="str">
        <f>"70"</f>
        <v>70</v>
      </c>
      <c r="I5472" s="1" t="str">
        <f>"154.15"</f>
        <v>154.15</v>
      </c>
      <c r="J5472" s="1" t="str">
        <f t="shared" si="3139"/>
        <v>0</v>
      </c>
      <c r="K5472" s="1" t="str">
        <f t="shared" si="3140"/>
        <v>103</v>
      </c>
      <c r="L5472" s="1" t="str">
        <f t="shared" si="3141"/>
        <v>47</v>
      </c>
      <c r="M5472" s="1" t="str">
        <f t="shared" ref="M5472:M5535" si="3145">"0"</f>
        <v>0</v>
      </c>
      <c r="N5472" s="1" t="str">
        <f t="shared" si="3127"/>
        <v>0</v>
      </c>
      <c r="O5472" s="1" t="str">
        <f>"4.15"</f>
        <v>4.15</v>
      </c>
    </row>
    <row r="5473" s="1" customFormat="1" spans="1:15">
      <c r="A5473" s="1" t="str">
        <f t="shared" si="3130"/>
        <v>202406</v>
      </c>
      <c r="B5473" s="1" t="str">
        <f t="shared" si="3131"/>
        <v>150525100</v>
      </c>
      <c r="C5473" s="1" t="str">
        <f>"1014589169"</f>
        <v>1014589169</v>
      </c>
      <c r="D5473" s="1" t="str">
        <f>"152326196005180429"</f>
        <v>152326196005180429</v>
      </c>
      <c r="E5473" s="1" t="s">
        <v>4505</v>
      </c>
      <c r="F5473" s="1" t="s">
        <v>16</v>
      </c>
      <c r="G5473" s="1" t="s">
        <v>17</v>
      </c>
      <c r="H5473" s="1" t="str">
        <f>"64"</f>
        <v>64</v>
      </c>
      <c r="I5473" s="1" t="str">
        <f>"159.21"</f>
        <v>159.21</v>
      </c>
      <c r="J5473" s="1" t="str">
        <f t="shared" si="3139"/>
        <v>0</v>
      </c>
      <c r="K5473" s="1" t="str">
        <f t="shared" si="3140"/>
        <v>103</v>
      </c>
      <c r="L5473" s="1" t="str">
        <f t="shared" si="3141"/>
        <v>47</v>
      </c>
      <c r="M5473" s="1" t="str">
        <f t="shared" si="3145"/>
        <v>0</v>
      </c>
      <c r="N5473" s="1" t="str">
        <f t="shared" si="3127"/>
        <v>0</v>
      </c>
      <c r="O5473" s="1" t="str">
        <f>"9.21"</f>
        <v>9.21</v>
      </c>
    </row>
    <row r="5474" s="1" customFormat="1" spans="1:15">
      <c r="A5474" s="1" t="str">
        <f t="shared" si="3130"/>
        <v>202406</v>
      </c>
      <c r="B5474" s="1" t="str">
        <f t="shared" si="3131"/>
        <v>150525100</v>
      </c>
      <c r="C5474" s="1" t="str">
        <f>"1014613008"</f>
        <v>1014613008</v>
      </c>
      <c r="D5474" s="1" t="str">
        <f>"152326195106290921"</f>
        <v>152326195106290921</v>
      </c>
      <c r="E5474" s="1" t="s">
        <v>5402</v>
      </c>
      <c r="F5474" s="1" t="s">
        <v>16</v>
      </c>
      <c r="G5474" s="1" t="s">
        <v>19</v>
      </c>
      <c r="H5474" s="1" t="str">
        <f>"73"</f>
        <v>73</v>
      </c>
      <c r="I5474" s="1" t="str">
        <f t="shared" si="3144"/>
        <v>160</v>
      </c>
      <c r="J5474" s="1" t="str">
        <f t="shared" si="3139"/>
        <v>0</v>
      </c>
      <c r="K5474" s="1" t="str">
        <f t="shared" si="3140"/>
        <v>103</v>
      </c>
      <c r="L5474" s="1" t="str">
        <f t="shared" si="3141"/>
        <v>47</v>
      </c>
      <c r="M5474" s="1" t="str">
        <f t="shared" si="3145"/>
        <v>0</v>
      </c>
      <c r="N5474" s="1" t="str">
        <f t="shared" si="3127"/>
        <v>0</v>
      </c>
      <c r="O5474" s="1" t="str">
        <f t="shared" ref="O5474:O5496" si="3146">"0"</f>
        <v>0</v>
      </c>
    </row>
    <row r="5475" s="1" customFormat="1" spans="1:15">
      <c r="A5475" s="1" t="str">
        <f t="shared" si="3130"/>
        <v>202406</v>
      </c>
      <c r="B5475" s="1" t="str">
        <f t="shared" si="3131"/>
        <v>150525100</v>
      </c>
      <c r="C5475" s="1" t="str">
        <f>"1014613009"</f>
        <v>1014613009</v>
      </c>
      <c r="D5475" s="1" t="s">
        <v>5403</v>
      </c>
      <c r="E5475" s="1" t="s">
        <v>4767</v>
      </c>
      <c r="F5475" s="1" t="s">
        <v>16</v>
      </c>
      <c r="G5475" s="1" t="s">
        <v>19</v>
      </c>
      <c r="H5475" s="1" t="str">
        <f>"73"</f>
        <v>73</v>
      </c>
      <c r="I5475" s="1" t="str">
        <f t="shared" si="3144"/>
        <v>160</v>
      </c>
      <c r="J5475" s="1" t="str">
        <f t="shared" si="3139"/>
        <v>0</v>
      </c>
      <c r="K5475" s="1" t="str">
        <f t="shared" si="3140"/>
        <v>103</v>
      </c>
      <c r="L5475" s="1" t="str">
        <f t="shared" si="3141"/>
        <v>47</v>
      </c>
      <c r="M5475" s="1" t="str">
        <f t="shared" si="3145"/>
        <v>0</v>
      </c>
      <c r="N5475" s="1" t="str">
        <f t="shared" si="3127"/>
        <v>0</v>
      </c>
      <c r="O5475" s="1" t="str">
        <f t="shared" si="3146"/>
        <v>0</v>
      </c>
    </row>
    <row r="5476" s="1" customFormat="1" spans="1:15">
      <c r="A5476" s="1" t="str">
        <f t="shared" si="3130"/>
        <v>202406</v>
      </c>
      <c r="B5476" s="1" t="str">
        <f t="shared" si="3131"/>
        <v>150525100</v>
      </c>
      <c r="C5476" s="1" t="str">
        <f>"1014613020"</f>
        <v>1014613020</v>
      </c>
      <c r="D5476" s="1" t="str">
        <f>"152326193012120922"</f>
        <v>152326193012120922</v>
      </c>
      <c r="E5476" s="1" t="s">
        <v>5404</v>
      </c>
      <c r="F5476" s="1" t="s">
        <v>16</v>
      </c>
      <c r="G5476" s="1" t="s">
        <v>19</v>
      </c>
      <c r="H5476" s="1" t="str">
        <f>"94"</f>
        <v>94</v>
      </c>
      <c r="I5476" s="1" t="str">
        <f>"170"</f>
        <v>170</v>
      </c>
      <c r="J5476" s="1" t="str">
        <f t="shared" si="3139"/>
        <v>0</v>
      </c>
      <c r="K5476" s="1" t="str">
        <f t="shared" si="3140"/>
        <v>103</v>
      </c>
      <c r="L5476" s="1" t="str">
        <f t="shared" si="3141"/>
        <v>47</v>
      </c>
      <c r="M5476" s="1" t="str">
        <f t="shared" si="3145"/>
        <v>0</v>
      </c>
      <c r="N5476" s="1" t="str">
        <f t="shared" si="3127"/>
        <v>0</v>
      </c>
      <c r="O5476" s="1" t="str">
        <f t="shared" si="3146"/>
        <v>0</v>
      </c>
    </row>
    <row r="5477" s="1" customFormat="1" spans="1:15">
      <c r="A5477" s="1" t="str">
        <f t="shared" si="3130"/>
        <v>202406</v>
      </c>
      <c r="B5477" s="1" t="str">
        <f t="shared" si="3131"/>
        <v>150525100</v>
      </c>
      <c r="C5477" s="1" t="str">
        <f>"1014613029"</f>
        <v>1014613029</v>
      </c>
      <c r="D5477" s="1" t="str">
        <f>"152326193611250921"</f>
        <v>152326193611250921</v>
      </c>
      <c r="E5477" s="1" t="s">
        <v>5405</v>
      </c>
      <c r="F5477" s="1" t="s">
        <v>16</v>
      </c>
      <c r="G5477" s="1" t="s">
        <v>19</v>
      </c>
      <c r="H5477" s="1" t="str">
        <f t="shared" ref="H5477:H5482" si="3147">"88"</f>
        <v>88</v>
      </c>
      <c r="I5477" s="1" t="str">
        <f>"1190"</f>
        <v>1190</v>
      </c>
      <c r="J5477" s="1" t="str">
        <f>"1020"</f>
        <v>1020</v>
      </c>
      <c r="K5477" s="1" t="str">
        <f>"721"</f>
        <v>721</v>
      </c>
      <c r="L5477" s="1" t="str">
        <f>"329"</f>
        <v>329</v>
      </c>
      <c r="M5477" s="1" t="str">
        <f t="shared" si="3145"/>
        <v>0</v>
      </c>
      <c r="N5477" s="1" t="str">
        <f t="shared" si="3127"/>
        <v>0</v>
      </c>
      <c r="O5477" s="1" t="str">
        <f t="shared" si="3146"/>
        <v>0</v>
      </c>
    </row>
    <row r="5478" s="1" customFormat="1" spans="1:15">
      <c r="A5478" s="1" t="str">
        <f t="shared" si="3130"/>
        <v>202406</v>
      </c>
      <c r="B5478" s="1" t="str">
        <f t="shared" si="3131"/>
        <v>150525100</v>
      </c>
      <c r="C5478" s="1" t="str">
        <f>"1014613030"</f>
        <v>1014613030</v>
      </c>
      <c r="D5478" s="1" t="str">
        <f>"152326193604100925"</f>
        <v>152326193604100925</v>
      </c>
      <c r="E5478" s="1" t="s">
        <v>5406</v>
      </c>
      <c r="F5478" s="1" t="s">
        <v>16</v>
      </c>
      <c r="G5478" s="1" t="s">
        <v>19</v>
      </c>
      <c r="H5478" s="1" t="str">
        <f t="shared" si="3147"/>
        <v>88</v>
      </c>
      <c r="I5478" s="1" t="str">
        <f t="shared" ref="I5478:I5483" si="3148">"170"</f>
        <v>170</v>
      </c>
      <c r="J5478" s="1" t="str">
        <f t="shared" ref="J5478:J5518" si="3149">"0"</f>
        <v>0</v>
      </c>
      <c r="K5478" s="1" t="str">
        <f t="shared" ref="K5478:K5518" si="3150">"103"</f>
        <v>103</v>
      </c>
      <c r="L5478" s="1" t="str">
        <f t="shared" ref="L5478:L5518" si="3151">"47"</f>
        <v>47</v>
      </c>
      <c r="M5478" s="1" t="str">
        <f t="shared" si="3145"/>
        <v>0</v>
      </c>
      <c r="N5478" s="1" t="str">
        <f t="shared" si="3127"/>
        <v>0</v>
      </c>
      <c r="O5478" s="1" t="str">
        <f t="shared" si="3146"/>
        <v>0</v>
      </c>
    </row>
    <row r="5479" s="1" customFormat="1" spans="1:15">
      <c r="A5479" s="1" t="str">
        <f t="shared" si="3130"/>
        <v>202406</v>
      </c>
      <c r="B5479" s="1" t="str">
        <f t="shared" si="3131"/>
        <v>150525100</v>
      </c>
      <c r="C5479" s="1" t="str">
        <f>"1014613303"</f>
        <v>1014613303</v>
      </c>
      <c r="D5479" s="1" t="str">
        <f>"152326194601270413"</f>
        <v>152326194601270413</v>
      </c>
      <c r="E5479" s="1" t="s">
        <v>5407</v>
      </c>
      <c r="F5479" s="1" t="s">
        <v>25</v>
      </c>
      <c r="G5479" s="1" t="s">
        <v>17</v>
      </c>
      <c r="H5479" s="1" t="str">
        <f>"78"</f>
        <v>78</v>
      </c>
      <c r="I5479" s="1" t="str">
        <f t="shared" ref="I5479:I5481" si="3152">"160"</f>
        <v>160</v>
      </c>
      <c r="J5479" s="1" t="str">
        <f t="shared" si="3149"/>
        <v>0</v>
      </c>
      <c r="K5479" s="1" t="str">
        <f t="shared" si="3150"/>
        <v>103</v>
      </c>
      <c r="L5479" s="1" t="str">
        <f t="shared" si="3151"/>
        <v>47</v>
      </c>
      <c r="M5479" s="1" t="str">
        <f t="shared" si="3145"/>
        <v>0</v>
      </c>
      <c r="N5479" s="1" t="str">
        <f t="shared" si="3127"/>
        <v>0</v>
      </c>
      <c r="O5479" s="1" t="str">
        <f t="shared" si="3146"/>
        <v>0</v>
      </c>
    </row>
    <row r="5480" s="1" customFormat="1" spans="1:15">
      <c r="A5480" s="1" t="str">
        <f t="shared" si="3130"/>
        <v>202406</v>
      </c>
      <c r="B5480" s="1" t="str">
        <f t="shared" si="3131"/>
        <v>150525100</v>
      </c>
      <c r="C5480" s="1" t="str">
        <f>"1014613317"</f>
        <v>1014613317</v>
      </c>
      <c r="D5480" s="1" t="str">
        <f>"152326194905240416"</f>
        <v>152326194905240416</v>
      </c>
      <c r="E5480" s="1" t="s">
        <v>5408</v>
      </c>
      <c r="F5480" s="1" t="s">
        <v>25</v>
      </c>
      <c r="G5480" s="1" t="s">
        <v>17</v>
      </c>
      <c r="H5480" s="1" t="str">
        <f>"75"</f>
        <v>75</v>
      </c>
      <c r="I5480" s="1" t="str">
        <f t="shared" si="3152"/>
        <v>160</v>
      </c>
      <c r="J5480" s="1" t="str">
        <f t="shared" si="3149"/>
        <v>0</v>
      </c>
      <c r="K5480" s="1" t="str">
        <f t="shared" si="3150"/>
        <v>103</v>
      </c>
      <c r="L5480" s="1" t="str">
        <f t="shared" si="3151"/>
        <v>47</v>
      </c>
      <c r="M5480" s="1" t="str">
        <f t="shared" si="3145"/>
        <v>0</v>
      </c>
      <c r="N5480" s="1" t="str">
        <f t="shared" si="3127"/>
        <v>0</v>
      </c>
      <c r="O5480" s="1" t="str">
        <f t="shared" si="3146"/>
        <v>0</v>
      </c>
    </row>
    <row r="5481" s="1" customFormat="1" spans="1:15">
      <c r="A5481" s="1" t="str">
        <f t="shared" si="3130"/>
        <v>202406</v>
      </c>
      <c r="B5481" s="1" t="str">
        <f t="shared" si="3131"/>
        <v>150525100</v>
      </c>
      <c r="C5481" s="1" t="str">
        <f>"1014621947"</f>
        <v>1014621947</v>
      </c>
      <c r="D5481" s="1" t="str">
        <f>"152326194812160679"</f>
        <v>152326194812160679</v>
      </c>
      <c r="E5481" s="1" t="s">
        <v>4167</v>
      </c>
      <c r="F5481" s="1" t="s">
        <v>25</v>
      </c>
      <c r="G5481" s="1" t="s">
        <v>19</v>
      </c>
      <c r="H5481" s="1" t="str">
        <f>"76"</f>
        <v>76</v>
      </c>
      <c r="I5481" s="1" t="str">
        <f t="shared" si="3152"/>
        <v>160</v>
      </c>
      <c r="J5481" s="1" t="str">
        <f t="shared" si="3149"/>
        <v>0</v>
      </c>
      <c r="K5481" s="1" t="str">
        <f t="shared" si="3150"/>
        <v>103</v>
      </c>
      <c r="L5481" s="1" t="str">
        <f t="shared" si="3151"/>
        <v>47</v>
      </c>
      <c r="M5481" s="1" t="str">
        <f t="shared" si="3145"/>
        <v>0</v>
      </c>
      <c r="N5481" s="1" t="str">
        <f t="shared" si="3127"/>
        <v>0</v>
      </c>
      <c r="O5481" s="1" t="str">
        <f t="shared" si="3146"/>
        <v>0</v>
      </c>
    </row>
    <row r="5482" s="1" customFormat="1" spans="1:15">
      <c r="A5482" s="1" t="str">
        <f t="shared" si="3130"/>
        <v>202406</v>
      </c>
      <c r="B5482" s="1" t="str">
        <f t="shared" si="3131"/>
        <v>150525100</v>
      </c>
      <c r="C5482" s="1" t="str">
        <f>"1014622344"</f>
        <v>1014622344</v>
      </c>
      <c r="D5482" s="1" t="str">
        <f>"152326193611120668"</f>
        <v>152326193611120668</v>
      </c>
      <c r="E5482" s="1" t="s">
        <v>5409</v>
      </c>
      <c r="F5482" s="1" t="s">
        <v>16</v>
      </c>
      <c r="G5482" s="1" t="s">
        <v>17</v>
      </c>
      <c r="H5482" s="1" t="str">
        <f t="shared" si="3147"/>
        <v>88</v>
      </c>
      <c r="I5482" s="1" t="str">
        <f t="shared" si="3148"/>
        <v>170</v>
      </c>
      <c r="J5482" s="1" t="str">
        <f t="shared" si="3149"/>
        <v>0</v>
      </c>
      <c r="K5482" s="1" t="str">
        <f t="shared" si="3150"/>
        <v>103</v>
      </c>
      <c r="L5482" s="1" t="str">
        <f t="shared" si="3151"/>
        <v>47</v>
      </c>
      <c r="M5482" s="1" t="str">
        <f t="shared" si="3145"/>
        <v>0</v>
      </c>
      <c r="N5482" s="1" t="str">
        <f t="shared" si="3127"/>
        <v>0</v>
      </c>
      <c r="O5482" s="1" t="str">
        <f t="shared" si="3146"/>
        <v>0</v>
      </c>
    </row>
    <row r="5483" s="1" customFormat="1" spans="1:15">
      <c r="A5483" s="1" t="str">
        <f t="shared" si="3130"/>
        <v>202406</v>
      </c>
      <c r="B5483" s="1" t="str">
        <f t="shared" si="3131"/>
        <v>150525100</v>
      </c>
      <c r="C5483" s="1" t="str">
        <f>"1014624097"</f>
        <v>1014624097</v>
      </c>
      <c r="D5483" s="1" t="str">
        <f>"152326193302183083"</f>
        <v>152326193302183083</v>
      </c>
      <c r="E5483" s="1" t="s">
        <v>5410</v>
      </c>
      <c r="F5483" s="1" t="s">
        <v>16</v>
      </c>
      <c r="G5483" s="1" t="s">
        <v>17</v>
      </c>
      <c r="H5483" s="1" t="str">
        <f>"91"</f>
        <v>91</v>
      </c>
      <c r="I5483" s="1" t="str">
        <f t="shared" si="3148"/>
        <v>170</v>
      </c>
      <c r="J5483" s="1" t="str">
        <f t="shared" si="3149"/>
        <v>0</v>
      </c>
      <c r="K5483" s="1" t="str">
        <f t="shared" si="3150"/>
        <v>103</v>
      </c>
      <c r="L5483" s="1" t="str">
        <f t="shared" si="3151"/>
        <v>47</v>
      </c>
      <c r="M5483" s="1" t="str">
        <f t="shared" si="3145"/>
        <v>0</v>
      </c>
      <c r="N5483" s="1" t="str">
        <f t="shared" si="3127"/>
        <v>0</v>
      </c>
      <c r="O5483" s="1" t="str">
        <f t="shared" si="3146"/>
        <v>0</v>
      </c>
    </row>
    <row r="5484" s="1" customFormat="1" spans="1:15">
      <c r="A5484" s="1" t="str">
        <f t="shared" si="3130"/>
        <v>202406</v>
      </c>
      <c r="B5484" s="1" t="str">
        <f t="shared" si="3131"/>
        <v>150525100</v>
      </c>
      <c r="C5484" s="1" t="str">
        <f>"1014624114"</f>
        <v>1014624114</v>
      </c>
      <c r="D5484" s="1" t="str">
        <f>"152326194902053076"</f>
        <v>152326194902053076</v>
      </c>
      <c r="E5484" s="1" t="s">
        <v>5411</v>
      </c>
      <c r="F5484" s="1" t="s">
        <v>25</v>
      </c>
      <c r="G5484" s="1" t="s">
        <v>17</v>
      </c>
      <c r="H5484" s="1" t="str">
        <f>"75"</f>
        <v>75</v>
      </c>
      <c r="I5484" s="1" t="str">
        <f t="shared" ref="I5484:I5486" si="3153">"160"</f>
        <v>160</v>
      </c>
      <c r="J5484" s="1" t="str">
        <f t="shared" si="3149"/>
        <v>0</v>
      </c>
      <c r="K5484" s="1" t="str">
        <f t="shared" si="3150"/>
        <v>103</v>
      </c>
      <c r="L5484" s="1" t="str">
        <f t="shared" si="3151"/>
        <v>47</v>
      </c>
      <c r="M5484" s="1" t="str">
        <f t="shared" si="3145"/>
        <v>0</v>
      </c>
      <c r="N5484" s="1" t="str">
        <f t="shared" si="3127"/>
        <v>0</v>
      </c>
      <c r="O5484" s="1" t="str">
        <f t="shared" si="3146"/>
        <v>0</v>
      </c>
    </row>
    <row r="5485" s="1" customFormat="1" spans="1:15">
      <c r="A5485" s="1" t="str">
        <f t="shared" si="3130"/>
        <v>202406</v>
      </c>
      <c r="B5485" s="1" t="str">
        <f t="shared" si="3131"/>
        <v>150525100</v>
      </c>
      <c r="C5485" s="1" t="str">
        <f>"1014624616"</f>
        <v>1014624616</v>
      </c>
      <c r="D5485" s="1" t="str">
        <f>"152326194407080923"</f>
        <v>152326194407080923</v>
      </c>
      <c r="E5485" s="1" t="s">
        <v>5412</v>
      </c>
      <c r="F5485" s="1" t="s">
        <v>16</v>
      </c>
      <c r="G5485" s="1" t="s">
        <v>19</v>
      </c>
      <c r="H5485" s="1" t="str">
        <f>"80"</f>
        <v>80</v>
      </c>
      <c r="I5485" s="1" t="str">
        <f t="shared" si="3153"/>
        <v>160</v>
      </c>
      <c r="J5485" s="1" t="str">
        <f t="shared" si="3149"/>
        <v>0</v>
      </c>
      <c r="K5485" s="1" t="str">
        <f t="shared" si="3150"/>
        <v>103</v>
      </c>
      <c r="L5485" s="1" t="str">
        <f t="shared" si="3151"/>
        <v>47</v>
      </c>
      <c r="M5485" s="1" t="str">
        <f t="shared" si="3145"/>
        <v>0</v>
      </c>
      <c r="N5485" s="1" t="str">
        <f t="shared" si="3127"/>
        <v>0</v>
      </c>
      <c r="O5485" s="1" t="str">
        <f t="shared" si="3146"/>
        <v>0</v>
      </c>
    </row>
    <row r="5486" s="1" customFormat="1" spans="1:15">
      <c r="A5486" s="1" t="str">
        <f t="shared" si="3130"/>
        <v>202406</v>
      </c>
      <c r="B5486" s="1" t="str">
        <f t="shared" si="3131"/>
        <v>150525100</v>
      </c>
      <c r="C5486" s="1" t="str">
        <f>"1014629247"</f>
        <v>1014629247</v>
      </c>
      <c r="D5486" s="1" t="str">
        <f>"152326194501240014"</f>
        <v>152326194501240014</v>
      </c>
      <c r="E5486" s="1" t="s">
        <v>5413</v>
      </c>
      <c r="F5486" s="1" t="s">
        <v>25</v>
      </c>
      <c r="G5486" s="1" t="s">
        <v>19</v>
      </c>
      <c r="H5486" s="1" t="str">
        <f>"79"</f>
        <v>79</v>
      </c>
      <c r="I5486" s="1" t="str">
        <f t="shared" si="3153"/>
        <v>160</v>
      </c>
      <c r="J5486" s="1" t="str">
        <f t="shared" si="3149"/>
        <v>0</v>
      </c>
      <c r="K5486" s="1" t="str">
        <f t="shared" si="3150"/>
        <v>103</v>
      </c>
      <c r="L5486" s="1" t="str">
        <f t="shared" si="3151"/>
        <v>47</v>
      </c>
      <c r="M5486" s="1" t="str">
        <f t="shared" si="3145"/>
        <v>0</v>
      </c>
      <c r="N5486" s="1" t="str">
        <f t="shared" si="3127"/>
        <v>0</v>
      </c>
      <c r="O5486" s="1" t="str">
        <f t="shared" si="3146"/>
        <v>0</v>
      </c>
    </row>
    <row r="5487" s="1" customFormat="1" spans="1:15">
      <c r="A5487" s="1" t="str">
        <f t="shared" si="3130"/>
        <v>202406</v>
      </c>
      <c r="B5487" s="1" t="str">
        <f t="shared" si="3131"/>
        <v>150525100</v>
      </c>
      <c r="C5487" s="1" t="str">
        <f>"1014619736"</f>
        <v>1014619736</v>
      </c>
      <c r="D5487" s="1" t="str">
        <f>"152326193508070674"</f>
        <v>152326193508070674</v>
      </c>
      <c r="E5487" s="1" t="s">
        <v>5414</v>
      </c>
      <c r="F5487" s="1" t="s">
        <v>25</v>
      </c>
      <c r="G5487" s="1" t="s">
        <v>17</v>
      </c>
      <c r="H5487" s="1" t="str">
        <f>"89"</f>
        <v>89</v>
      </c>
      <c r="I5487" s="1" t="str">
        <f>"170"</f>
        <v>170</v>
      </c>
      <c r="J5487" s="1" t="str">
        <f t="shared" si="3149"/>
        <v>0</v>
      </c>
      <c r="K5487" s="1" t="str">
        <f t="shared" si="3150"/>
        <v>103</v>
      </c>
      <c r="L5487" s="1" t="str">
        <f t="shared" si="3151"/>
        <v>47</v>
      </c>
      <c r="M5487" s="1" t="str">
        <f t="shared" si="3145"/>
        <v>0</v>
      </c>
      <c r="N5487" s="1" t="str">
        <f t="shared" si="3127"/>
        <v>0</v>
      </c>
      <c r="O5487" s="1" t="str">
        <f t="shared" si="3146"/>
        <v>0</v>
      </c>
    </row>
    <row r="5488" s="1" customFormat="1" spans="1:15">
      <c r="A5488" s="1" t="str">
        <f t="shared" si="3130"/>
        <v>202406</v>
      </c>
      <c r="B5488" s="1" t="str">
        <f t="shared" si="3131"/>
        <v>150525100</v>
      </c>
      <c r="C5488" s="1" t="str">
        <f>"1014619766"</f>
        <v>1014619766</v>
      </c>
      <c r="D5488" s="1" t="str">
        <f>"152326194207073075"</f>
        <v>152326194207073075</v>
      </c>
      <c r="E5488" s="1" t="s">
        <v>5415</v>
      </c>
      <c r="F5488" s="1" t="s">
        <v>25</v>
      </c>
      <c r="G5488" s="1" t="s">
        <v>17</v>
      </c>
      <c r="H5488" s="1" t="str">
        <f>"82"</f>
        <v>82</v>
      </c>
      <c r="I5488" s="1" t="str">
        <f>"170"</f>
        <v>170</v>
      </c>
      <c r="J5488" s="1" t="str">
        <f t="shared" si="3149"/>
        <v>0</v>
      </c>
      <c r="K5488" s="1" t="str">
        <f t="shared" si="3150"/>
        <v>103</v>
      </c>
      <c r="L5488" s="1" t="str">
        <f t="shared" si="3151"/>
        <v>47</v>
      </c>
      <c r="M5488" s="1" t="str">
        <f t="shared" si="3145"/>
        <v>0</v>
      </c>
      <c r="N5488" s="1" t="str">
        <f t="shared" si="3127"/>
        <v>0</v>
      </c>
      <c r="O5488" s="1" t="str">
        <f t="shared" si="3146"/>
        <v>0</v>
      </c>
    </row>
    <row r="5489" s="1" customFormat="1" spans="1:15">
      <c r="A5489" s="1" t="str">
        <f t="shared" si="3130"/>
        <v>202406</v>
      </c>
      <c r="B5489" s="1" t="str">
        <f t="shared" si="3131"/>
        <v>150525100</v>
      </c>
      <c r="C5489" s="1" t="str">
        <f>"1014629372"</f>
        <v>1014629372</v>
      </c>
      <c r="D5489" s="1" t="str">
        <f>"152326195109250028"</f>
        <v>152326195109250028</v>
      </c>
      <c r="E5489" s="1" t="s">
        <v>5416</v>
      </c>
      <c r="F5489" s="1" t="s">
        <v>16</v>
      </c>
      <c r="G5489" s="1" t="s">
        <v>17</v>
      </c>
      <c r="H5489" s="1" t="str">
        <f>"73"</f>
        <v>73</v>
      </c>
      <c r="I5489" s="1" t="str">
        <f t="shared" ref="I5489:I5495" si="3154">"160"</f>
        <v>160</v>
      </c>
      <c r="J5489" s="1" t="str">
        <f t="shared" si="3149"/>
        <v>0</v>
      </c>
      <c r="K5489" s="1" t="str">
        <f t="shared" si="3150"/>
        <v>103</v>
      </c>
      <c r="L5489" s="1" t="str">
        <f t="shared" si="3151"/>
        <v>47</v>
      </c>
      <c r="M5489" s="1" t="str">
        <f t="shared" si="3145"/>
        <v>0</v>
      </c>
      <c r="N5489" s="1" t="str">
        <f t="shared" si="3127"/>
        <v>0</v>
      </c>
      <c r="O5489" s="1" t="str">
        <f t="shared" si="3146"/>
        <v>0</v>
      </c>
    </row>
    <row r="5490" s="1" customFormat="1" spans="1:15">
      <c r="A5490" s="1" t="str">
        <f t="shared" si="3130"/>
        <v>202406</v>
      </c>
      <c r="B5490" s="1" t="str">
        <f t="shared" si="3131"/>
        <v>150525100</v>
      </c>
      <c r="C5490" s="1" t="str">
        <f>"1014623111"</f>
        <v>1014623111</v>
      </c>
      <c r="D5490" s="1" t="str">
        <f>"152326195005250429"</f>
        <v>152326195005250429</v>
      </c>
      <c r="E5490" s="1" t="s">
        <v>5417</v>
      </c>
      <c r="F5490" s="1" t="s">
        <v>16</v>
      </c>
      <c r="G5490" s="1" t="s">
        <v>17</v>
      </c>
      <c r="H5490" s="1" t="str">
        <f>"74"</f>
        <v>74</v>
      </c>
      <c r="I5490" s="1" t="str">
        <f t="shared" si="3154"/>
        <v>160</v>
      </c>
      <c r="J5490" s="1" t="str">
        <f t="shared" si="3149"/>
        <v>0</v>
      </c>
      <c r="K5490" s="1" t="str">
        <f t="shared" si="3150"/>
        <v>103</v>
      </c>
      <c r="L5490" s="1" t="str">
        <f t="shared" si="3151"/>
        <v>47</v>
      </c>
      <c r="M5490" s="1" t="str">
        <f t="shared" si="3145"/>
        <v>0</v>
      </c>
      <c r="N5490" s="1" t="str">
        <f t="shared" si="3127"/>
        <v>0</v>
      </c>
      <c r="O5490" s="1" t="str">
        <f t="shared" si="3146"/>
        <v>0</v>
      </c>
    </row>
    <row r="5491" s="1" customFormat="1" spans="1:15">
      <c r="A5491" s="1" t="str">
        <f t="shared" si="3130"/>
        <v>202406</v>
      </c>
      <c r="B5491" s="1" t="str">
        <f t="shared" si="3131"/>
        <v>150525100</v>
      </c>
      <c r="C5491" s="1" t="str">
        <f>"1014623608"</f>
        <v>1014623608</v>
      </c>
      <c r="D5491" s="1" t="str">
        <f>"152326194702140415"</f>
        <v>152326194702140415</v>
      </c>
      <c r="E5491" s="1" t="s">
        <v>5418</v>
      </c>
      <c r="F5491" s="1" t="s">
        <v>25</v>
      </c>
      <c r="G5491" s="1" t="s">
        <v>17</v>
      </c>
      <c r="H5491" s="1" t="str">
        <f>"77"</f>
        <v>77</v>
      </c>
      <c r="I5491" s="1" t="str">
        <f t="shared" si="3154"/>
        <v>160</v>
      </c>
      <c r="J5491" s="1" t="str">
        <f t="shared" si="3149"/>
        <v>0</v>
      </c>
      <c r="K5491" s="1" t="str">
        <f t="shared" si="3150"/>
        <v>103</v>
      </c>
      <c r="L5491" s="1" t="str">
        <f t="shared" si="3151"/>
        <v>47</v>
      </c>
      <c r="M5491" s="1" t="str">
        <f t="shared" si="3145"/>
        <v>0</v>
      </c>
      <c r="N5491" s="1" t="str">
        <f t="shared" si="3127"/>
        <v>0</v>
      </c>
      <c r="O5491" s="1" t="str">
        <f t="shared" si="3146"/>
        <v>0</v>
      </c>
    </row>
    <row r="5492" s="1" customFormat="1" spans="1:15">
      <c r="A5492" s="1" t="str">
        <f t="shared" si="3130"/>
        <v>202406</v>
      </c>
      <c r="B5492" s="1" t="str">
        <f t="shared" si="3131"/>
        <v>150525100</v>
      </c>
      <c r="C5492" s="1" t="str">
        <f>"1014623614"</f>
        <v>1014623614</v>
      </c>
      <c r="D5492" s="1" t="str">
        <f>"152326195001220417"</f>
        <v>152326195001220417</v>
      </c>
      <c r="E5492" s="1" t="s">
        <v>5419</v>
      </c>
      <c r="F5492" s="1" t="s">
        <v>25</v>
      </c>
      <c r="G5492" s="1" t="s">
        <v>17</v>
      </c>
      <c r="H5492" s="1" t="str">
        <f>"74"</f>
        <v>74</v>
      </c>
      <c r="I5492" s="1" t="str">
        <f t="shared" si="3154"/>
        <v>160</v>
      </c>
      <c r="J5492" s="1" t="str">
        <f t="shared" si="3149"/>
        <v>0</v>
      </c>
      <c r="K5492" s="1" t="str">
        <f t="shared" si="3150"/>
        <v>103</v>
      </c>
      <c r="L5492" s="1" t="str">
        <f t="shared" si="3151"/>
        <v>47</v>
      </c>
      <c r="M5492" s="1" t="str">
        <f t="shared" si="3145"/>
        <v>0</v>
      </c>
      <c r="N5492" s="1" t="str">
        <f t="shared" ref="N5492:N5555" si="3155">"0"</f>
        <v>0</v>
      </c>
      <c r="O5492" s="1" t="str">
        <f t="shared" si="3146"/>
        <v>0</v>
      </c>
    </row>
    <row r="5493" s="1" customFormat="1" spans="1:15">
      <c r="A5493" s="1" t="str">
        <f t="shared" si="3130"/>
        <v>202406</v>
      </c>
      <c r="B5493" s="1" t="str">
        <f t="shared" si="3131"/>
        <v>150525100</v>
      </c>
      <c r="C5493" s="1" t="str">
        <f>"1014623621"</f>
        <v>1014623621</v>
      </c>
      <c r="D5493" s="1" t="str">
        <f>"152326194908070416"</f>
        <v>152326194908070416</v>
      </c>
      <c r="E5493" s="1" t="s">
        <v>5420</v>
      </c>
      <c r="F5493" s="1" t="s">
        <v>25</v>
      </c>
      <c r="G5493" s="1" t="s">
        <v>17</v>
      </c>
      <c r="H5493" s="1" t="str">
        <f t="shared" ref="H5493:H5498" si="3156">"75"</f>
        <v>75</v>
      </c>
      <c r="I5493" s="1" t="str">
        <f t="shared" si="3154"/>
        <v>160</v>
      </c>
      <c r="J5493" s="1" t="str">
        <f t="shared" si="3149"/>
        <v>0</v>
      </c>
      <c r="K5493" s="1" t="str">
        <f t="shared" si="3150"/>
        <v>103</v>
      </c>
      <c r="L5493" s="1" t="str">
        <f t="shared" si="3151"/>
        <v>47</v>
      </c>
      <c r="M5493" s="1" t="str">
        <f t="shared" si="3145"/>
        <v>0</v>
      </c>
      <c r="N5493" s="1" t="str">
        <f t="shared" si="3155"/>
        <v>0</v>
      </c>
      <c r="O5493" s="1" t="str">
        <f t="shared" si="3146"/>
        <v>0</v>
      </c>
    </row>
    <row r="5494" s="1" customFormat="1" spans="1:15">
      <c r="A5494" s="1" t="str">
        <f t="shared" si="3130"/>
        <v>202406</v>
      </c>
      <c r="B5494" s="1" t="str">
        <f t="shared" si="3131"/>
        <v>150525100</v>
      </c>
      <c r="C5494" s="1" t="str">
        <f>"1014629746"</f>
        <v>1014629746</v>
      </c>
      <c r="D5494" s="1" t="str">
        <f>"152326195103263813"</f>
        <v>152326195103263813</v>
      </c>
      <c r="E5494" s="1" t="s">
        <v>2541</v>
      </c>
      <c r="F5494" s="1" t="s">
        <v>25</v>
      </c>
      <c r="G5494" s="1" t="s">
        <v>17</v>
      </c>
      <c r="H5494" s="1" t="str">
        <f>"73"</f>
        <v>73</v>
      </c>
      <c r="I5494" s="1" t="str">
        <f t="shared" si="3154"/>
        <v>160</v>
      </c>
      <c r="J5494" s="1" t="str">
        <f t="shared" si="3149"/>
        <v>0</v>
      </c>
      <c r="K5494" s="1" t="str">
        <f t="shared" si="3150"/>
        <v>103</v>
      </c>
      <c r="L5494" s="1" t="str">
        <f t="shared" si="3151"/>
        <v>47</v>
      </c>
      <c r="M5494" s="1" t="str">
        <f t="shared" si="3145"/>
        <v>0</v>
      </c>
      <c r="N5494" s="1" t="str">
        <f t="shared" si="3155"/>
        <v>0</v>
      </c>
      <c r="O5494" s="1" t="str">
        <f t="shared" si="3146"/>
        <v>0</v>
      </c>
    </row>
    <row r="5495" s="1" customFormat="1" spans="1:15">
      <c r="A5495" s="1" t="str">
        <f t="shared" si="3130"/>
        <v>202406</v>
      </c>
      <c r="B5495" s="1" t="str">
        <f t="shared" si="3131"/>
        <v>150525100</v>
      </c>
      <c r="C5495" s="1" t="str">
        <f>"1014629759"</f>
        <v>1014629759</v>
      </c>
      <c r="D5495" s="1" t="str">
        <f>"152326194904253821"</f>
        <v>152326194904253821</v>
      </c>
      <c r="E5495" s="1" t="s">
        <v>5421</v>
      </c>
      <c r="F5495" s="1" t="s">
        <v>16</v>
      </c>
      <c r="G5495" s="1" t="s">
        <v>17</v>
      </c>
      <c r="H5495" s="1" t="str">
        <f t="shared" si="3156"/>
        <v>75</v>
      </c>
      <c r="I5495" s="1" t="str">
        <f t="shared" si="3154"/>
        <v>160</v>
      </c>
      <c r="J5495" s="1" t="str">
        <f t="shared" si="3149"/>
        <v>0</v>
      </c>
      <c r="K5495" s="1" t="str">
        <f t="shared" si="3150"/>
        <v>103</v>
      </c>
      <c r="L5495" s="1" t="str">
        <f t="shared" si="3151"/>
        <v>47</v>
      </c>
      <c r="M5495" s="1" t="str">
        <f t="shared" si="3145"/>
        <v>0</v>
      </c>
      <c r="N5495" s="1" t="str">
        <f t="shared" si="3155"/>
        <v>0</v>
      </c>
      <c r="O5495" s="1" t="str">
        <f t="shared" si="3146"/>
        <v>0</v>
      </c>
    </row>
    <row r="5496" s="1" customFormat="1" spans="1:15">
      <c r="A5496" s="1" t="str">
        <f t="shared" si="3130"/>
        <v>202406</v>
      </c>
      <c r="B5496" s="1" t="str">
        <f t="shared" si="3131"/>
        <v>150525100</v>
      </c>
      <c r="C5496" s="1" t="str">
        <f>"1014629860"</f>
        <v>1014629860</v>
      </c>
      <c r="D5496" s="1" t="s">
        <v>5422</v>
      </c>
      <c r="E5496" s="1" t="s">
        <v>36</v>
      </c>
      <c r="F5496" s="1" t="s">
        <v>16</v>
      </c>
      <c r="G5496" s="1" t="s">
        <v>17</v>
      </c>
      <c r="H5496" s="1" t="str">
        <f>"87"</f>
        <v>87</v>
      </c>
      <c r="I5496" s="1" t="str">
        <f t="shared" ref="I5496:I5500" si="3157">"170"</f>
        <v>170</v>
      </c>
      <c r="J5496" s="1" t="str">
        <f t="shared" si="3149"/>
        <v>0</v>
      </c>
      <c r="K5496" s="1" t="str">
        <f t="shared" si="3150"/>
        <v>103</v>
      </c>
      <c r="L5496" s="1" t="str">
        <f t="shared" si="3151"/>
        <v>47</v>
      </c>
      <c r="M5496" s="1" t="str">
        <f t="shared" si="3145"/>
        <v>0</v>
      </c>
      <c r="N5496" s="1" t="str">
        <f t="shared" si="3155"/>
        <v>0</v>
      </c>
      <c r="O5496" s="1" t="str">
        <f t="shared" si="3146"/>
        <v>0</v>
      </c>
    </row>
    <row r="5497" s="1" customFormat="1" spans="1:15">
      <c r="A5497" s="1" t="str">
        <f t="shared" si="3130"/>
        <v>202406</v>
      </c>
      <c r="B5497" s="1" t="str">
        <f t="shared" si="3131"/>
        <v>150525100</v>
      </c>
      <c r="C5497" s="1" t="str">
        <f>"1014589199"</f>
        <v>1014589199</v>
      </c>
      <c r="D5497" s="1" t="str">
        <f>"152326195506190428"</f>
        <v>152326195506190428</v>
      </c>
      <c r="E5497" s="1" t="s">
        <v>901</v>
      </c>
      <c r="F5497" s="1" t="s">
        <v>16</v>
      </c>
      <c r="G5497" s="1" t="s">
        <v>17</v>
      </c>
      <c r="H5497" s="1" t="str">
        <f>"69"</f>
        <v>69</v>
      </c>
      <c r="I5497" s="1" t="str">
        <f>"176.6"</f>
        <v>176.6</v>
      </c>
      <c r="J5497" s="1" t="str">
        <f t="shared" si="3149"/>
        <v>0</v>
      </c>
      <c r="K5497" s="1" t="str">
        <f t="shared" si="3150"/>
        <v>103</v>
      </c>
      <c r="L5497" s="1" t="str">
        <f t="shared" si="3151"/>
        <v>47</v>
      </c>
      <c r="M5497" s="1" t="str">
        <f t="shared" si="3145"/>
        <v>0</v>
      </c>
      <c r="N5497" s="1" t="str">
        <f t="shared" si="3155"/>
        <v>0</v>
      </c>
      <c r="O5497" s="1" t="str">
        <f>"26.6"</f>
        <v>26.6</v>
      </c>
    </row>
    <row r="5498" s="1" customFormat="1" spans="1:15">
      <c r="A5498" s="1" t="str">
        <f t="shared" si="3130"/>
        <v>202406</v>
      </c>
      <c r="B5498" s="1" t="str">
        <f t="shared" si="3131"/>
        <v>150525100</v>
      </c>
      <c r="C5498" s="1" t="str">
        <f>"1014625315"</f>
        <v>1014625315</v>
      </c>
      <c r="D5498" s="1" t="str">
        <f>"152326194909213327"</f>
        <v>152326194909213327</v>
      </c>
      <c r="E5498" s="1" t="s">
        <v>5423</v>
      </c>
      <c r="F5498" s="1" t="s">
        <v>16</v>
      </c>
      <c r="G5498" s="1" t="s">
        <v>19</v>
      </c>
      <c r="H5498" s="1" t="str">
        <f t="shared" si="3156"/>
        <v>75</v>
      </c>
      <c r="I5498" s="1" t="str">
        <f t="shared" ref="I5498:I5503" si="3158">"160"</f>
        <v>160</v>
      </c>
      <c r="J5498" s="1" t="str">
        <f t="shared" si="3149"/>
        <v>0</v>
      </c>
      <c r="K5498" s="1" t="str">
        <f t="shared" si="3150"/>
        <v>103</v>
      </c>
      <c r="L5498" s="1" t="str">
        <f t="shared" si="3151"/>
        <v>47</v>
      </c>
      <c r="M5498" s="1" t="str">
        <f t="shared" si="3145"/>
        <v>0</v>
      </c>
      <c r="N5498" s="1" t="str">
        <f t="shared" si="3155"/>
        <v>0</v>
      </c>
      <c r="O5498" s="1" t="str">
        <f t="shared" ref="O5498:O5518" si="3159">"0"</f>
        <v>0</v>
      </c>
    </row>
    <row r="5499" s="1" customFormat="1" spans="1:15">
      <c r="A5499" s="1" t="str">
        <f t="shared" si="3130"/>
        <v>202406</v>
      </c>
      <c r="B5499" s="1" t="str">
        <f t="shared" si="3131"/>
        <v>150525100</v>
      </c>
      <c r="C5499" s="1" t="str">
        <f>"1014625342"</f>
        <v>1014625342</v>
      </c>
      <c r="D5499" s="1" t="str">
        <f>"152326193907173814"</f>
        <v>152326193907173814</v>
      </c>
      <c r="E5499" s="1" t="s">
        <v>2849</v>
      </c>
      <c r="F5499" s="1" t="s">
        <v>25</v>
      </c>
      <c r="G5499" s="1" t="s">
        <v>17</v>
      </c>
      <c r="H5499" s="1" t="str">
        <f>"85"</f>
        <v>85</v>
      </c>
      <c r="I5499" s="1" t="str">
        <f t="shared" si="3157"/>
        <v>170</v>
      </c>
      <c r="J5499" s="1" t="str">
        <f t="shared" si="3149"/>
        <v>0</v>
      </c>
      <c r="K5499" s="1" t="str">
        <f t="shared" si="3150"/>
        <v>103</v>
      </c>
      <c r="L5499" s="1" t="str">
        <f t="shared" si="3151"/>
        <v>47</v>
      </c>
      <c r="M5499" s="1" t="str">
        <f t="shared" si="3145"/>
        <v>0</v>
      </c>
      <c r="N5499" s="1" t="str">
        <f t="shared" si="3155"/>
        <v>0</v>
      </c>
      <c r="O5499" s="1" t="str">
        <f t="shared" si="3159"/>
        <v>0</v>
      </c>
    </row>
    <row r="5500" s="1" customFormat="1" spans="1:15">
      <c r="A5500" s="1" t="str">
        <f t="shared" si="3130"/>
        <v>202406</v>
      </c>
      <c r="B5500" s="1" t="str">
        <f t="shared" si="3131"/>
        <v>150525100</v>
      </c>
      <c r="C5500" s="1" t="str">
        <f>"1014624821"</f>
        <v>1014624821</v>
      </c>
      <c r="D5500" s="1" t="str">
        <f>"152326193804280668"</f>
        <v>152326193804280668</v>
      </c>
      <c r="E5500" s="1" t="s">
        <v>5424</v>
      </c>
      <c r="F5500" s="1" t="s">
        <v>16</v>
      </c>
      <c r="G5500" s="1" t="s">
        <v>17</v>
      </c>
      <c r="H5500" s="1" t="str">
        <f>"86"</f>
        <v>86</v>
      </c>
      <c r="I5500" s="1" t="str">
        <f t="shared" si="3157"/>
        <v>170</v>
      </c>
      <c r="J5500" s="1" t="str">
        <f t="shared" si="3149"/>
        <v>0</v>
      </c>
      <c r="K5500" s="1" t="str">
        <f t="shared" si="3150"/>
        <v>103</v>
      </c>
      <c r="L5500" s="1" t="str">
        <f t="shared" si="3151"/>
        <v>47</v>
      </c>
      <c r="M5500" s="1" t="str">
        <f t="shared" si="3145"/>
        <v>0</v>
      </c>
      <c r="N5500" s="1" t="str">
        <f t="shared" si="3155"/>
        <v>0</v>
      </c>
      <c r="O5500" s="1" t="str">
        <f t="shared" si="3159"/>
        <v>0</v>
      </c>
    </row>
    <row r="5501" s="1" customFormat="1" spans="1:15">
      <c r="A5501" s="1" t="str">
        <f t="shared" si="3130"/>
        <v>202406</v>
      </c>
      <c r="B5501" s="1" t="str">
        <f t="shared" si="3131"/>
        <v>150525100</v>
      </c>
      <c r="C5501" s="1" t="str">
        <f>"1014624853"</f>
        <v>1014624853</v>
      </c>
      <c r="D5501" s="1" t="str">
        <f>"152326194806213324"</f>
        <v>152326194806213324</v>
      </c>
      <c r="E5501" s="1" t="s">
        <v>5425</v>
      </c>
      <c r="F5501" s="1" t="s">
        <v>16</v>
      </c>
      <c r="G5501" s="1" t="s">
        <v>19</v>
      </c>
      <c r="H5501" s="1" t="str">
        <f t="shared" ref="H5501:H5503" si="3160">"76"</f>
        <v>76</v>
      </c>
      <c r="I5501" s="1" t="str">
        <f t="shared" si="3158"/>
        <v>160</v>
      </c>
      <c r="J5501" s="1" t="str">
        <f t="shared" si="3149"/>
        <v>0</v>
      </c>
      <c r="K5501" s="1" t="str">
        <f t="shared" si="3150"/>
        <v>103</v>
      </c>
      <c r="L5501" s="1" t="str">
        <f t="shared" si="3151"/>
        <v>47</v>
      </c>
      <c r="M5501" s="1" t="str">
        <f t="shared" si="3145"/>
        <v>0</v>
      </c>
      <c r="N5501" s="1" t="str">
        <f t="shared" si="3155"/>
        <v>0</v>
      </c>
      <c r="O5501" s="1" t="str">
        <f t="shared" si="3159"/>
        <v>0</v>
      </c>
    </row>
    <row r="5502" s="1" customFormat="1" spans="1:15">
      <c r="A5502" s="1" t="str">
        <f t="shared" si="3130"/>
        <v>202406</v>
      </c>
      <c r="B5502" s="1" t="str">
        <f t="shared" si="3131"/>
        <v>150525100</v>
      </c>
      <c r="C5502" s="1" t="str">
        <f>"1014625286"</f>
        <v>1014625286</v>
      </c>
      <c r="D5502" s="1" t="str">
        <f>"152326194810253329"</f>
        <v>152326194810253329</v>
      </c>
      <c r="E5502" s="1" t="s">
        <v>5426</v>
      </c>
      <c r="F5502" s="1" t="s">
        <v>16</v>
      </c>
      <c r="G5502" s="1" t="s">
        <v>19</v>
      </c>
      <c r="H5502" s="1" t="str">
        <f t="shared" si="3160"/>
        <v>76</v>
      </c>
      <c r="I5502" s="1" t="str">
        <f t="shared" si="3158"/>
        <v>160</v>
      </c>
      <c r="J5502" s="1" t="str">
        <f t="shared" si="3149"/>
        <v>0</v>
      </c>
      <c r="K5502" s="1" t="str">
        <f t="shared" si="3150"/>
        <v>103</v>
      </c>
      <c r="L5502" s="1" t="str">
        <f t="shared" si="3151"/>
        <v>47</v>
      </c>
      <c r="M5502" s="1" t="str">
        <f t="shared" si="3145"/>
        <v>0</v>
      </c>
      <c r="N5502" s="1" t="str">
        <f t="shared" si="3155"/>
        <v>0</v>
      </c>
      <c r="O5502" s="1" t="str">
        <f t="shared" si="3159"/>
        <v>0</v>
      </c>
    </row>
    <row r="5503" s="1" customFormat="1" spans="1:15">
      <c r="A5503" s="1" t="str">
        <f t="shared" si="3130"/>
        <v>202406</v>
      </c>
      <c r="B5503" s="1" t="str">
        <f t="shared" si="3131"/>
        <v>150525100</v>
      </c>
      <c r="C5503" s="1" t="str">
        <f>"1014625302"</f>
        <v>1014625302</v>
      </c>
      <c r="D5503" s="1" t="str">
        <f>"152326194805103326"</f>
        <v>152326194805103326</v>
      </c>
      <c r="E5503" s="1" t="s">
        <v>3023</v>
      </c>
      <c r="F5503" s="1" t="s">
        <v>16</v>
      </c>
      <c r="G5503" s="1" t="s">
        <v>19</v>
      </c>
      <c r="H5503" s="1" t="str">
        <f t="shared" si="3160"/>
        <v>76</v>
      </c>
      <c r="I5503" s="1" t="str">
        <f t="shared" si="3158"/>
        <v>160</v>
      </c>
      <c r="J5503" s="1" t="str">
        <f t="shared" si="3149"/>
        <v>0</v>
      </c>
      <c r="K5503" s="1" t="str">
        <f t="shared" si="3150"/>
        <v>103</v>
      </c>
      <c r="L5503" s="1" t="str">
        <f t="shared" si="3151"/>
        <v>47</v>
      </c>
      <c r="M5503" s="1" t="str">
        <f t="shared" si="3145"/>
        <v>0</v>
      </c>
      <c r="N5503" s="1" t="str">
        <f t="shared" si="3155"/>
        <v>0</v>
      </c>
      <c r="O5503" s="1" t="str">
        <f t="shared" si="3159"/>
        <v>0</v>
      </c>
    </row>
    <row r="5504" s="1" customFormat="1" spans="1:15">
      <c r="A5504" s="1" t="str">
        <f t="shared" si="3130"/>
        <v>202406</v>
      </c>
      <c r="B5504" s="1" t="str">
        <f t="shared" si="3131"/>
        <v>150525100</v>
      </c>
      <c r="C5504" s="1" t="str">
        <f>"1014625306"</f>
        <v>1014625306</v>
      </c>
      <c r="D5504" s="1" t="str">
        <f>"152326194402022767"</f>
        <v>152326194402022767</v>
      </c>
      <c r="E5504" s="1" t="s">
        <v>5427</v>
      </c>
      <c r="F5504" s="1" t="s">
        <v>16</v>
      </c>
      <c r="G5504" s="1" t="s">
        <v>19</v>
      </c>
      <c r="H5504" s="1" t="str">
        <f>"80"</f>
        <v>80</v>
      </c>
      <c r="I5504" s="1" t="str">
        <f>"170"</f>
        <v>170</v>
      </c>
      <c r="J5504" s="1" t="str">
        <f t="shared" si="3149"/>
        <v>0</v>
      </c>
      <c r="K5504" s="1" t="str">
        <f t="shared" si="3150"/>
        <v>103</v>
      </c>
      <c r="L5504" s="1" t="str">
        <f t="shared" si="3151"/>
        <v>47</v>
      </c>
      <c r="M5504" s="1" t="str">
        <f t="shared" si="3145"/>
        <v>0</v>
      </c>
      <c r="N5504" s="1" t="str">
        <f t="shared" si="3155"/>
        <v>0</v>
      </c>
      <c r="O5504" s="1" t="str">
        <f t="shared" si="3159"/>
        <v>0</v>
      </c>
    </row>
    <row r="5505" s="1" customFormat="1" spans="1:15">
      <c r="A5505" s="1" t="str">
        <f t="shared" si="3130"/>
        <v>202406</v>
      </c>
      <c r="B5505" s="1" t="str">
        <f t="shared" si="3131"/>
        <v>150525100</v>
      </c>
      <c r="C5505" s="1" t="str">
        <f>"1014624668"</f>
        <v>1014624668</v>
      </c>
      <c r="D5505" s="1" t="str">
        <f>"152326194701250428"</f>
        <v>152326194701250428</v>
      </c>
      <c r="E5505" s="1" t="s">
        <v>5428</v>
      </c>
      <c r="F5505" s="1" t="s">
        <v>16</v>
      </c>
      <c r="G5505" s="1" t="s">
        <v>17</v>
      </c>
      <c r="H5505" s="1" t="str">
        <f>"77"</f>
        <v>77</v>
      </c>
      <c r="I5505" s="1" t="str">
        <f t="shared" ref="I5505:I5509" si="3161">"160"</f>
        <v>160</v>
      </c>
      <c r="J5505" s="1" t="str">
        <f t="shared" si="3149"/>
        <v>0</v>
      </c>
      <c r="K5505" s="1" t="str">
        <f t="shared" si="3150"/>
        <v>103</v>
      </c>
      <c r="L5505" s="1" t="str">
        <f t="shared" si="3151"/>
        <v>47</v>
      </c>
      <c r="M5505" s="1" t="str">
        <f t="shared" si="3145"/>
        <v>0</v>
      </c>
      <c r="N5505" s="1" t="str">
        <f t="shared" si="3155"/>
        <v>0</v>
      </c>
      <c r="O5505" s="1" t="str">
        <f t="shared" si="3159"/>
        <v>0</v>
      </c>
    </row>
    <row r="5506" s="1" customFormat="1" spans="1:15">
      <c r="A5506" s="1" t="str">
        <f t="shared" ref="A5506:A5569" si="3162">"202406"</f>
        <v>202406</v>
      </c>
      <c r="B5506" s="1" t="str">
        <f t="shared" ref="B5506:B5569" si="3163">"150525100"</f>
        <v>150525100</v>
      </c>
      <c r="C5506" s="1" t="str">
        <f>"1014624676"</f>
        <v>1014624676</v>
      </c>
      <c r="D5506" s="1" t="str">
        <f>"152326194812020422"</f>
        <v>152326194812020422</v>
      </c>
      <c r="E5506" s="1" t="s">
        <v>5429</v>
      </c>
      <c r="F5506" s="1" t="s">
        <v>16</v>
      </c>
      <c r="G5506" s="1" t="s">
        <v>17</v>
      </c>
      <c r="H5506" s="1" t="str">
        <f>"76"</f>
        <v>76</v>
      </c>
      <c r="I5506" s="1" t="str">
        <f t="shared" si="3161"/>
        <v>160</v>
      </c>
      <c r="J5506" s="1" t="str">
        <f t="shared" si="3149"/>
        <v>0</v>
      </c>
      <c r="K5506" s="1" t="str">
        <f t="shared" si="3150"/>
        <v>103</v>
      </c>
      <c r="L5506" s="1" t="str">
        <f t="shared" si="3151"/>
        <v>47</v>
      </c>
      <c r="M5506" s="1" t="str">
        <f t="shared" si="3145"/>
        <v>0</v>
      </c>
      <c r="N5506" s="1" t="str">
        <f t="shared" si="3155"/>
        <v>0</v>
      </c>
      <c r="O5506" s="1" t="str">
        <f t="shared" si="3159"/>
        <v>0</v>
      </c>
    </row>
    <row r="5507" s="1" customFormat="1" spans="1:15">
      <c r="A5507" s="1" t="str">
        <f t="shared" si="3162"/>
        <v>202406</v>
      </c>
      <c r="B5507" s="1" t="str">
        <f t="shared" si="3163"/>
        <v>150525100</v>
      </c>
      <c r="C5507" s="1" t="str">
        <f>"1014624885"</f>
        <v>1014624885</v>
      </c>
      <c r="D5507" s="1" t="str">
        <f>"152326195105120410"</f>
        <v>152326195105120410</v>
      </c>
      <c r="E5507" s="1" t="s">
        <v>5430</v>
      </c>
      <c r="F5507" s="1" t="s">
        <v>25</v>
      </c>
      <c r="G5507" s="1" t="s">
        <v>17</v>
      </c>
      <c r="H5507" s="1" t="str">
        <f>"73"</f>
        <v>73</v>
      </c>
      <c r="I5507" s="1" t="str">
        <f t="shared" si="3161"/>
        <v>160</v>
      </c>
      <c r="J5507" s="1" t="str">
        <f t="shared" si="3149"/>
        <v>0</v>
      </c>
      <c r="K5507" s="1" t="str">
        <f t="shared" si="3150"/>
        <v>103</v>
      </c>
      <c r="L5507" s="1" t="str">
        <f t="shared" si="3151"/>
        <v>47</v>
      </c>
      <c r="M5507" s="1" t="str">
        <f t="shared" si="3145"/>
        <v>0</v>
      </c>
      <c r="N5507" s="1" t="str">
        <f t="shared" si="3155"/>
        <v>0</v>
      </c>
      <c r="O5507" s="1" t="str">
        <f t="shared" si="3159"/>
        <v>0</v>
      </c>
    </row>
    <row r="5508" s="1" customFormat="1" spans="1:15">
      <c r="A5508" s="1" t="str">
        <f t="shared" si="3162"/>
        <v>202406</v>
      </c>
      <c r="B5508" s="1" t="str">
        <f t="shared" si="3163"/>
        <v>150525100</v>
      </c>
      <c r="C5508" s="1" t="str">
        <f>"1014624889"</f>
        <v>1014624889</v>
      </c>
      <c r="D5508" s="1" t="str">
        <f>"152326194806170416"</f>
        <v>152326194806170416</v>
      </c>
      <c r="E5508" s="1" t="s">
        <v>5431</v>
      </c>
      <c r="F5508" s="1" t="s">
        <v>25</v>
      </c>
      <c r="G5508" s="1" t="s">
        <v>17</v>
      </c>
      <c r="H5508" s="1" t="str">
        <f>"76"</f>
        <v>76</v>
      </c>
      <c r="I5508" s="1" t="str">
        <f t="shared" si="3161"/>
        <v>160</v>
      </c>
      <c r="J5508" s="1" t="str">
        <f t="shared" si="3149"/>
        <v>0</v>
      </c>
      <c r="K5508" s="1" t="str">
        <f t="shared" si="3150"/>
        <v>103</v>
      </c>
      <c r="L5508" s="1" t="str">
        <f t="shared" si="3151"/>
        <v>47</v>
      </c>
      <c r="M5508" s="1" t="str">
        <f t="shared" si="3145"/>
        <v>0</v>
      </c>
      <c r="N5508" s="1" t="str">
        <f t="shared" si="3155"/>
        <v>0</v>
      </c>
      <c r="O5508" s="1" t="str">
        <f t="shared" si="3159"/>
        <v>0</v>
      </c>
    </row>
    <row r="5509" s="1" customFormat="1" spans="1:15">
      <c r="A5509" s="1" t="str">
        <f t="shared" si="3162"/>
        <v>202406</v>
      </c>
      <c r="B5509" s="1" t="str">
        <f t="shared" si="3163"/>
        <v>150525100</v>
      </c>
      <c r="C5509" s="1" t="str">
        <f>"1014625369"</f>
        <v>1014625369</v>
      </c>
      <c r="D5509" s="1" t="str">
        <f>"152326195007123319"</f>
        <v>152326195007123319</v>
      </c>
      <c r="E5509" s="1" t="s">
        <v>2898</v>
      </c>
      <c r="F5509" s="1" t="s">
        <v>25</v>
      </c>
      <c r="G5509" s="1" t="s">
        <v>17</v>
      </c>
      <c r="H5509" s="1" t="str">
        <f>"74"</f>
        <v>74</v>
      </c>
      <c r="I5509" s="1" t="str">
        <f t="shared" si="3161"/>
        <v>160</v>
      </c>
      <c r="J5509" s="1" t="str">
        <f t="shared" si="3149"/>
        <v>0</v>
      </c>
      <c r="K5509" s="1" t="str">
        <f t="shared" si="3150"/>
        <v>103</v>
      </c>
      <c r="L5509" s="1" t="str">
        <f t="shared" si="3151"/>
        <v>47</v>
      </c>
      <c r="M5509" s="1" t="str">
        <f t="shared" si="3145"/>
        <v>0</v>
      </c>
      <c r="N5509" s="1" t="str">
        <f t="shared" si="3155"/>
        <v>0</v>
      </c>
      <c r="O5509" s="1" t="str">
        <f t="shared" si="3159"/>
        <v>0</v>
      </c>
    </row>
    <row r="5510" s="1" customFormat="1" spans="1:15">
      <c r="A5510" s="1" t="str">
        <f t="shared" si="3162"/>
        <v>202406</v>
      </c>
      <c r="B5510" s="1" t="str">
        <f t="shared" si="3163"/>
        <v>150525100</v>
      </c>
      <c r="C5510" s="1" t="str">
        <f>"1014619051"</f>
        <v>1014619051</v>
      </c>
      <c r="D5510" s="1" t="str">
        <f>"152326194103120412"</f>
        <v>152326194103120412</v>
      </c>
      <c r="E5510" s="1" t="s">
        <v>5432</v>
      </c>
      <c r="F5510" s="1" t="s">
        <v>25</v>
      </c>
      <c r="G5510" s="1" t="s">
        <v>17</v>
      </c>
      <c r="H5510" s="1" t="str">
        <f>"83"</f>
        <v>83</v>
      </c>
      <c r="I5510" s="1" t="str">
        <f t="shared" ref="I5510:I5516" si="3164">"170"</f>
        <v>170</v>
      </c>
      <c r="J5510" s="1" t="str">
        <f t="shared" si="3149"/>
        <v>0</v>
      </c>
      <c r="K5510" s="1" t="str">
        <f t="shared" si="3150"/>
        <v>103</v>
      </c>
      <c r="L5510" s="1" t="str">
        <f t="shared" si="3151"/>
        <v>47</v>
      </c>
      <c r="M5510" s="1" t="str">
        <f t="shared" si="3145"/>
        <v>0</v>
      </c>
      <c r="N5510" s="1" t="str">
        <f t="shared" si="3155"/>
        <v>0</v>
      </c>
      <c r="O5510" s="1" t="str">
        <f t="shared" si="3159"/>
        <v>0</v>
      </c>
    </row>
    <row r="5511" s="1" customFormat="1" spans="1:15">
      <c r="A5511" s="1" t="str">
        <f t="shared" si="3162"/>
        <v>202406</v>
      </c>
      <c r="B5511" s="1" t="str">
        <f t="shared" si="3163"/>
        <v>150525100</v>
      </c>
      <c r="C5511" s="1" t="str">
        <f>"1014619055"</f>
        <v>1014619055</v>
      </c>
      <c r="D5511" s="1" t="str">
        <f>"152326193906153811"</f>
        <v>152326193906153811</v>
      </c>
      <c r="E5511" s="1" t="s">
        <v>5433</v>
      </c>
      <c r="F5511" s="1" t="s">
        <v>25</v>
      </c>
      <c r="G5511" s="1" t="s">
        <v>17</v>
      </c>
      <c r="H5511" s="1" t="str">
        <f>"85"</f>
        <v>85</v>
      </c>
      <c r="I5511" s="1" t="str">
        <f t="shared" si="3164"/>
        <v>170</v>
      </c>
      <c r="J5511" s="1" t="str">
        <f t="shared" si="3149"/>
        <v>0</v>
      </c>
      <c r="K5511" s="1" t="str">
        <f t="shared" si="3150"/>
        <v>103</v>
      </c>
      <c r="L5511" s="1" t="str">
        <f t="shared" si="3151"/>
        <v>47</v>
      </c>
      <c r="M5511" s="1" t="str">
        <f t="shared" si="3145"/>
        <v>0</v>
      </c>
      <c r="N5511" s="1" t="str">
        <f t="shared" si="3155"/>
        <v>0</v>
      </c>
      <c r="O5511" s="1" t="str">
        <f t="shared" si="3159"/>
        <v>0</v>
      </c>
    </row>
    <row r="5512" s="1" customFormat="1" spans="1:15">
      <c r="A5512" s="1" t="str">
        <f t="shared" si="3162"/>
        <v>202406</v>
      </c>
      <c r="B5512" s="1" t="str">
        <f t="shared" si="3163"/>
        <v>150525100</v>
      </c>
      <c r="C5512" s="1" t="str">
        <f>"1014619074"</f>
        <v>1014619074</v>
      </c>
      <c r="D5512" s="1" t="str">
        <f>"152326194010183828"</f>
        <v>152326194010183828</v>
      </c>
      <c r="E5512" s="1" t="s">
        <v>5434</v>
      </c>
      <c r="F5512" s="1" t="s">
        <v>16</v>
      </c>
      <c r="G5512" s="1" t="s">
        <v>17</v>
      </c>
      <c r="H5512" s="1" t="str">
        <f>"84"</f>
        <v>84</v>
      </c>
      <c r="I5512" s="1" t="str">
        <f t="shared" si="3164"/>
        <v>170</v>
      </c>
      <c r="J5512" s="1" t="str">
        <f t="shared" si="3149"/>
        <v>0</v>
      </c>
      <c r="K5512" s="1" t="str">
        <f t="shared" si="3150"/>
        <v>103</v>
      </c>
      <c r="L5512" s="1" t="str">
        <f t="shared" si="3151"/>
        <v>47</v>
      </c>
      <c r="M5512" s="1" t="str">
        <f t="shared" si="3145"/>
        <v>0</v>
      </c>
      <c r="N5512" s="1" t="str">
        <f t="shared" si="3155"/>
        <v>0</v>
      </c>
      <c r="O5512" s="1" t="str">
        <f t="shared" si="3159"/>
        <v>0</v>
      </c>
    </row>
    <row r="5513" s="1" customFormat="1" spans="1:15">
      <c r="A5513" s="1" t="str">
        <f t="shared" si="3162"/>
        <v>202406</v>
      </c>
      <c r="B5513" s="1" t="str">
        <f t="shared" si="3163"/>
        <v>150525100</v>
      </c>
      <c r="C5513" s="1" t="str">
        <f>"1014625412"</f>
        <v>1014625412</v>
      </c>
      <c r="D5513" s="1" t="str">
        <f>"152326194402163332"</f>
        <v>152326194402163332</v>
      </c>
      <c r="E5513" s="1" t="s">
        <v>5435</v>
      </c>
      <c r="F5513" s="1" t="s">
        <v>25</v>
      </c>
      <c r="G5513" s="1" t="s">
        <v>19</v>
      </c>
      <c r="H5513" s="1" t="str">
        <f>"80"</f>
        <v>80</v>
      </c>
      <c r="I5513" s="1" t="str">
        <f t="shared" si="3164"/>
        <v>170</v>
      </c>
      <c r="J5513" s="1" t="str">
        <f t="shared" si="3149"/>
        <v>0</v>
      </c>
      <c r="K5513" s="1" t="str">
        <f t="shared" si="3150"/>
        <v>103</v>
      </c>
      <c r="L5513" s="1" t="str">
        <f t="shared" si="3151"/>
        <v>47</v>
      </c>
      <c r="M5513" s="1" t="str">
        <f t="shared" si="3145"/>
        <v>0</v>
      </c>
      <c r="N5513" s="1" t="str">
        <f t="shared" si="3155"/>
        <v>0</v>
      </c>
      <c r="O5513" s="1" t="str">
        <f t="shared" si="3159"/>
        <v>0</v>
      </c>
    </row>
    <row r="5514" s="1" customFormat="1" spans="1:15">
      <c r="A5514" s="1" t="str">
        <f t="shared" si="3162"/>
        <v>202406</v>
      </c>
      <c r="B5514" s="1" t="str">
        <f t="shared" si="3163"/>
        <v>150525100</v>
      </c>
      <c r="C5514" s="1" t="str">
        <f>"1014624961"</f>
        <v>1014624961</v>
      </c>
      <c r="D5514" s="1" t="str">
        <f>"152326194101130676"</f>
        <v>152326194101130676</v>
      </c>
      <c r="E5514" s="1" t="s">
        <v>5436</v>
      </c>
      <c r="F5514" s="1" t="s">
        <v>25</v>
      </c>
      <c r="G5514" s="1" t="s">
        <v>17</v>
      </c>
      <c r="H5514" s="1" t="str">
        <f>"83"</f>
        <v>83</v>
      </c>
      <c r="I5514" s="1" t="str">
        <f t="shared" si="3164"/>
        <v>170</v>
      </c>
      <c r="J5514" s="1" t="str">
        <f t="shared" si="3149"/>
        <v>0</v>
      </c>
      <c r="K5514" s="1" t="str">
        <f t="shared" si="3150"/>
        <v>103</v>
      </c>
      <c r="L5514" s="1" t="str">
        <f t="shared" si="3151"/>
        <v>47</v>
      </c>
      <c r="M5514" s="1" t="str">
        <f t="shared" si="3145"/>
        <v>0</v>
      </c>
      <c r="N5514" s="1" t="str">
        <f t="shared" si="3155"/>
        <v>0</v>
      </c>
      <c r="O5514" s="1" t="str">
        <f t="shared" si="3159"/>
        <v>0</v>
      </c>
    </row>
    <row r="5515" s="1" customFormat="1" spans="1:15">
      <c r="A5515" s="1" t="str">
        <f t="shared" si="3162"/>
        <v>202406</v>
      </c>
      <c r="B5515" s="1" t="str">
        <f t="shared" si="3163"/>
        <v>150525100</v>
      </c>
      <c r="C5515" s="1" t="str">
        <f>"1014625447"</f>
        <v>1014625447</v>
      </c>
      <c r="D5515" s="1" t="str">
        <f>"152326194203260666"</f>
        <v>152326194203260666</v>
      </c>
      <c r="E5515" s="1" t="s">
        <v>4833</v>
      </c>
      <c r="F5515" s="1" t="s">
        <v>16</v>
      </c>
      <c r="G5515" s="1" t="s">
        <v>17</v>
      </c>
      <c r="H5515" s="1" t="str">
        <f>"82"</f>
        <v>82</v>
      </c>
      <c r="I5515" s="1" t="str">
        <f t="shared" si="3164"/>
        <v>170</v>
      </c>
      <c r="J5515" s="1" t="str">
        <f t="shared" si="3149"/>
        <v>0</v>
      </c>
      <c r="K5515" s="1" t="str">
        <f t="shared" si="3150"/>
        <v>103</v>
      </c>
      <c r="L5515" s="1" t="str">
        <f t="shared" si="3151"/>
        <v>47</v>
      </c>
      <c r="M5515" s="1" t="str">
        <f t="shared" si="3145"/>
        <v>0</v>
      </c>
      <c r="N5515" s="1" t="str">
        <f t="shared" si="3155"/>
        <v>0</v>
      </c>
      <c r="O5515" s="1" t="str">
        <f t="shared" si="3159"/>
        <v>0</v>
      </c>
    </row>
    <row r="5516" s="1" customFormat="1" spans="1:15">
      <c r="A5516" s="1" t="str">
        <f t="shared" si="3162"/>
        <v>202406</v>
      </c>
      <c r="B5516" s="1" t="str">
        <f t="shared" si="3163"/>
        <v>150525100</v>
      </c>
      <c r="C5516" s="1" t="str">
        <f>"1014625457"</f>
        <v>1014625457</v>
      </c>
      <c r="D5516" s="1" t="str">
        <f>"152326194402043314"</f>
        <v>152326194402043314</v>
      </c>
      <c r="E5516" s="1" t="s">
        <v>5437</v>
      </c>
      <c r="F5516" s="1" t="s">
        <v>25</v>
      </c>
      <c r="G5516" s="1" t="s">
        <v>19</v>
      </c>
      <c r="H5516" s="1" t="str">
        <f>"80"</f>
        <v>80</v>
      </c>
      <c r="I5516" s="1" t="str">
        <f t="shared" si="3164"/>
        <v>170</v>
      </c>
      <c r="J5516" s="1" t="str">
        <f t="shared" si="3149"/>
        <v>0</v>
      </c>
      <c r="K5516" s="1" t="str">
        <f t="shared" si="3150"/>
        <v>103</v>
      </c>
      <c r="L5516" s="1" t="str">
        <f t="shared" si="3151"/>
        <v>47</v>
      </c>
      <c r="M5516" s="1" t="str">
        <f t="shared" si="3145"/>
        <v>0</v>
      </c>
      <c r="N5516" s="1" t="str">
        <f t="shared" si="3155"/>
        <v>0</v>
      </c>
      <c r="O5516" s="1" t="str">
        <f t="shared" si="3159"/>
        <v>0</v>
      </c>
    </row>
    <row r="5517" s="1" customFormat="1" spans="1:15">
      <c r="A5517" s="1" t="str">
        <f t="shared" si="3162"/>
        <v>202406</v>
      </c>
      <c r="B5517" s="1" t="str">
        <f t="shared" si="3163"/>
        <v>150525100</v>
      </c>
      <c r="C5517" s="1" t="str">
        <f>"1014625463"</f>
        <v>1014625463</v>
      </c>
      <c r="D5517" s="1" t="str">
        <f>"152326195108263310"</f>
        <v>152326195108263310</v>
      </c>
      <c r="E5517" s="1" t="s">
        <v>5438</v>
      </c>
      <c r="F5517" s="1" t="s">
        <v>25</v>
      </c>
      <c r="G5517" s="1" t="s">
        <v>19</v>
      </c>
      <c r="H5517" s="1" t="str">
        <f>"73"</f>
        <v>73</v>
      </c>
      <c r="I5517" s="1" t="str">
        <f>"160"</f>
        <v>160</v>
      </c>
      <c r="J5517" s="1" t="str">
        <f t="shared" si="3149"/>
        <v>0</v>
      </c>
      <c r="K5517" s="1" t="str">
        <f t="shared" si="3150"/>
        <v>103</v>
      </c>
      <c r="L5517" s="1" t="str">
        <f t="shared" si="3151"/>
        <v>47</v>
      </c>
      <c r="M5517" s="1" t="str">
        <f t="shared" si="3145"/>
        <v>0</v>
      </c>
      <c r="N5517" s="1" t="str">
        <f t="shared" si="3155"/>
        <v>0</v>
      </c>
      <c r="O5517" s="1" t="str">
        <f t="shared" si="3159"/>
        <v>0</v>
      </c>
    </row>
    <row r="5518" s="1" customFormat="1" spans="1:15">
      <c r="A5518" s="1" t="str">
        <f t="shared" si="3162"/>
        <v>202406</v>
      </c>
      <c r="B5518" s="1" t="str">
        <f t="shared" si="3163"/>
        <v>150525100</v>
      </c>
      <c r="C5518" s="1" t="str">
        <f>"1014624984"</f>
        <v>1014624984</v>
      </c>
      <c r="D5518" s="1" t="str">
        <f>"152326194307210671"</f>
        <v>152326194307210671</v>
      </c>
      <c r="E5518" s="1" t="s">
        <v>5439</v>
      </c>
      <c r="F5518" s="1" t="s">
        <v>25</v>
      </c>
      <c r="G5518" s="1" t="s">
        <v>17</v>
      </c>
      <c r="H5518" s="1" t="str">
        <f>"81"</f>
        <v>81</v>
      </c>
      <c r="I5518" s="1" t="str">
        <f>"170"</f>
        <v>170</v>
      </c>
      <c r="J5518" s="1" t="str">
        <f t="shared" si="3149"/>
        <v>0</v>
      </c>
      <c r="K5518" s="1" t="str">
        <f t="shared" si="3150"/>
        <v>103</v>
      </c>
      <c r="L5518" s="1" t="str">
        <f t="shared" si="3151"/>
        <v>47</v>
      </c>
      <c r="M5518" s="1" t="str">
        <f t="shared" si="3145"/>
        <v>0</v>
      </c>
      <c r="N5518" s="1" t="str">
        <f t="shared" si="3155"/>
        <v>0</v>
      </c>
      <c r="O5518" s="1" t="str">
        <f t="shared" si="3159"/>
        <v>0</v>
      </c>
    </row>
    <row r="5519" s="1" customFormat="1" spans="1:15">
      <c r="A5519" s="1" t="str">
        <f t="shared" si="3162"/>
        <v>202406</v>
      </c>
      <c r="B5519" s="1" t="str">
        <f t="shared" si="3163"/>
        <v>150525100</v>
      </c>
      <c r="C5519" s="1" t="str">
        <f>"1042683290"</f>
        <v>1042683290</v>
      </c>
      <c r="D5519" s="1" t="s">
        <v>5440</v>
      </c>
      <c r="E5519" s="1" t="s">
        <v>3709</v>
      </c>
      <c r="F5519" s="1" t="s">
        <v>16</v>
      </c>
      <c r="G5519" s="1" t="s">
        <v>17</v>
      </c>
      <c r="H5519" s="1" t="str">
        <f>"62"</f>
        <v>62</v>
      </c>
      <c r="I5519" s="1" t="str">
        <f>"1607.7"</f>
        <v>1607.7</v>
      </c>
      <c r="J5519" s="1" t="str">
        <f>"1446.93"</f>
        <v>1446.93</v>
      </c>
      <c r="K5519" s="1" t="str">
        <f>"1030"</f>
        <v>1030</v>
      </c>
      <c r="L5519" s="1" t="str">
        <f>"470"</f>
        <v>470</v>
      </c>
      <c r="M5519" s="1" t="str">
        <f t="shared" si="3145"/>
        <v>0</v>
      </c>
      <c r="N5519" s="1" t="str">
        <f t="shared" si="3155"/>
        <v>0</v>
      </c>
      <c r="O5519" s="1" t="str">
        <f>"107.7"</f>
        <v>107.7</v>
      </c>
    </row>
    <row r="5520" s="1" customFormat="1" spans="1:15">
      <c r="A5520" s="1" t="str">
        <f t="shared" si="3162"/>
        <v>202406</v>
      </c>
      <c r="B5520" s="1" t="str">
        <f t="shared" si="3163"/>
        <v>150525100</v>
      </c>
      <c r="C5520" s="1" t="str">
        <f>"1040681704"</f>
        <v>1040681704</v>
      </c>
      <c r="D5520" s="1" t="str">
        <f>"152326195712143315"</f>
        <v>152326195712143315</v>
      </c>
      <c r="E5520" s="1" t="s">
        <v>5441</v>
      </c>
      <c r="F5520" s="1" t="s">
        <v>25</v>
      </c>
      <c r="G5520" s="1" t="s">
        <v>19</v>
      </c>
      <c r="H5520" s="1" t="str">
        <f>"67"</f>
        <v>67</v>
      </c>
      <c r="I5520" s="1" t="str">
        <f>"154.89"</f>
        <v>154.89</v>
      </c>
      <c r="J5520" s="1" t="str">
        <f t="shared" ref="J5520:J5524" si="3165">"0"</f>
        <v>0</v>
      </c>
      <c r="K5520" s="1" t="str">
        <f t="shared" ref="K5520:K5524" si="3166">"103"</f>
        <v>103</v>
      </c>
      <c r="L5520" s="1" t="str">
        <f t="shared" ref="L5520:L5524" si="3167">"47"</f>
        <v>47</v>
      </c>
      <c r="M5520" s="1" t="str">
        <f t="shared" si="3145"/>
        <v>0</v>
      </c>
      <c r="N5520" s="1" t="str">
        <f t="shared" si="3155"/>
        <v>0</v>
      </c>
      <c r="O5520" s="1" t="str">
        <f>"4.89"</f>
        <v>4.89</v>
      </c>
    </row>
    <row r="5521" s="1" customFormat="1" spans="1:15">
      <c r="A5521" s="1" t="str">
        <f t="shared" si="3162"/>
        <v>202406</v>
      </c>
      <c r="B5521" s="1" t="str">
        <f t="shared" si="3163"/>
        <v>150525100</v>
      </c>
      <c r="C5521" s="1" t="str">
        <f>"1040681708"</f>
        <v>1040681708</v>
      </c>
      <c r="D5521" s="1" t="str">
        <f>"152326195603210021"</f>
        <v>152326195603210021</v>
      </c>
      <c r="E5521" s="1" t="s">
        <v>5442</v>
      </c>
      <c r="F5521" s="1" t="s">
        <v>16</v>
      </c>
      <c r="G5521" s="1" t="s">
        <v>17</v>
      </c>
      <c r="H5521" s="1" t="str">
        <f>"68"</f>
        <v>68</v>
      </c>
      <c r="I5521" s="1" t="str">
        <f>"185.72"</f>
        <v>185.72</v>
      </c>
      <c r="J5521" s="1" t="str">
        <f t="shared" si="3165"/>
        <v>0</v>
      </c>
      <c r="K5521" s="1" t="str">
        <f t="shared" si="3166"/>
        <v>103</v>
      </c>
      <c r="L5521" s="1" t="str">
        <f t="shared" si="3167"/>
        <v>47</v>
      </c>
      <c r="M5521" s="1" t="str">
        <f t="shared" si="3145"/>
        <v>0</v>
      </c>
      <c r="N5521" s="1" t="str">
        <f t="shared" si="3155"/>
        <v>0</v>
      </c>
      <c r="O5521" s="1" t="str">
        <f>"35.72"</f>
        <v>35.72</v>
      </c>
    </row>
    <row r="5522" s="1" customFormat="1" spans="1:15">
      <c r="A5522" s="1" t="str">
        <f t="shared" si="3162"/>
        <v>202406</v>
      </c>
      <c r="B5522" s="1" t="str">
        <f t="shared" si="3163"/>
        <v>150525100</v>
      </c>
      <c r="C5522" s="1" t="str">
        <f>"1040681711"</f>
        <v>1040681711</v>
      </c>
      <c r="D5522" s="1" t="str">
        <f>"152326195910230436"</f>
        <v>152326195910230436</v>
      </c>
      <c r="E5522" s="1" t="s">
        <v>5443</v>
      </c>
      <c r="F5522" s="1" t="s">
        <v>25</v>
      </c>
      <c r="G5522" s="1" t="s">
        <v>17</v>
      </c>
      <c r="H5522" s="1" t="str">
        <f>"65"</f>
        <v>65</v>
      </c>
      <c r="I5522" s="1" t="str">
        <f>"156.93"</f>
        <v>156.93</v>
      </c>
      <c r="J5522" s="1" t="str">
        <f t="shared" si="3165"/>
        <v>0</v>
      </c>
      <c r="K5522" s="1" t="str">
        <f t="shared" si="3166"/>
        <v>103</v>
      </c>
      <c r="L5522" s="1" t="str">
        <f t="shared" si="3167"/>
        <v>47</v>
      </c>
      <c r="M5522" s="1" t="str">
        <f t="shared" si="3145"/>
        <v>0</v>
      </c>
      <c r="N5522" s="1" t="str">
        <f t="shared" si="3155"/>
        <v>0</v>
      </c>
      <c r="O5522" s="1" t="str">
        <f>"6.93"</f>
        <v>6.93</v>
      </c>
    </row>
    <row r="5523" s="1" customFormat="1" spans="1:15">
      <c r="A5523" s="1" t="str">
        <f t="shared" si="3162"/>
        <v>202406</v>
      </c>
      <c r="B5523" s="1" t="str">
        <f t="shared" si="3163"/>
        <v>150525100</v>
      </c>
      <c r="C5523" s="1" t="str">
        <f>"1040681713"</f>
        <v>1040681713</v>
      </c>
      <c r="D5523" s="1" t="str">
        <f>"152326196004200424"</f>
        <v>152326196004200424</v>
      </c>
      <c r="E5523" s="1" t="s">
        <v>5444</v>
      </c>
      <c r="F5523" s="1" t="s">
        <v>16</v>
      </c>
      <c r="G5523" s="1" t="s">
        <v>17</v>
      </c>
      <c r="H5523" s="1" t="str">
        <f>"64"</f>
        <v>64</v>
      </c>
      <c r="I5523" s="1" t="str">
        <f>"157.93"</f>
        <v>157.93</v>
      </c>
      <c r="J5523" s="1" t="str">
        <f t="shared" si="3165"/>
        <v>0</v>
      </c>
      <c r="K5523" s="1" t="str">
        <f t="shared" si="3166"/>
        <v>103</v>
      </c>
      <c r="L5523" s="1" t="str">
        <f t="shared" si="3167"/>
        <v>47</v>
      </c>
      <c r="M5523" s="1" t="str">
        <f t="shared" si="3145"/>
        <v>0</v>
      </c>
      <c r="N5523" s="1" t="str">
        <f t="shared" si="3155"/>
        <v>0</v>
      </c>
      <c r="O5523" s="1" t="str">
        <f>"7.93"</f>
        <v>7.93</v>
      </c>
    </row>
    <row r="5524" s="1" customFormat="1" spans="1:15">
      <c r="A5524" s="1" t="str">
        <f t="shared" si="3162"/>
        <v>202406</v>
      </c>
      <c r="B5524" s="1" t="str">
        <f t="shared" si="3163"/>
        <v>150525100</v>
      </c>
      <c r="C5524" s="1" t="str">
        <f>"1040681747"</f>
        <v>1040681747</v>
      </c>
      <c r="D5524" s="1" t="str">
        <f>"152326196012173315"</f>
        <v>152326196012173315</v>
      </c>
      <c r="E5524" s="1" t="s">
        <v>5445</v>
      </c>
      <c r="F5524" s="1" t="s">
        <v>25</v>
      </c>
      <c r="G5524" s="1" t="s">
        <v>19</v>
      </c>
      <c r="H5524" s="1" t="str">
        <f>"64"</f>
        <v>64</v>
      </c>
      <c r="I5524" s="1" t="str">
        <f>"158.04"</f>
        <v>158.04</v>
      </c>
      <c r="J5524" s="1" t="str">
        <f t="shared" si="3165"/>
        <v>0</v>
      </c>
      <c r="K5524" s="1" t="str">
        <f t="shared" si="3166"/>
        <v>103</v>
      </c>
      <c r="L5524" s="1" t="str">
        <f t="shared" si="3167"/>
        <v>47</v>
      </c>
      <c r="M5524" s="1" t="str">
        <f t="shared" si="3145"/>
        <v>0</v>
      </c>
      <c r="N5524" s="1" t="str">
        <f t="shared" si="3155"/>
        <v>0</v>
      </c>
      <c r="O5524" s="1" t="str">
        <f>"8.04"</f>
        <v>8.04</v>
      </c>
    </row>
    <row r="5525" s="1" customFormat="1" spans="1:15">
      <c r="A5525" s="1" t="str">
        <f t="shared" si="3162"/>
        <v>202406</v>
      </c>
      <c r="B5525" s="1" t="str">
        <f t="shared" si="3163"/>
        <v>150525100</v>
      </c>
      <c r="C5525" s="1" t="str">
        <f>"1040681757"</f>
        <v>1040681757</v>
      </c>
      <c r="D5525" s="1" t="str">
        <f>"152326196208233316"</f>
        <v>152326196208233316</v>
      </c>
      <c r="E5525" s="1" t="s">
        <v>5446</v>
      </c>
      <c r="F5525" s="1" t="s">
        <v>25</v>
      </c>
      <c r="G5525" s="1" t="s">
        <v>17</v>
      </c>
      <c r="H5525" s="1" t="str">
        <f>"62"</f>
        <v>62</v>
      </c>
      <c r="I5525" s="1" t="str">
        <f>"1143.24"</f>
        <v>1143.24</v>
      </c>
      <c r="J5525" s="1" t="str">
        <f>"979.92"</f>
        <v>979.92</v>
      </c>
      <c r="K5525" s="1" t="str">
        <f>"721"</f>
        <v>721</v>
      </c>
      <c r="L5525" s="1" t="str">
        <f>"329"</f>
        <v>329</v>
      </c>
      <c r="M5525" s="1" t="str">
        <f t="shared" si="3145"/>
        <v>0</v>
      </c>
      <c r="N5525" s="1" t="str">
        <f t="shared" si="3155"/>
        <v>0</v>
      </c>
      <c r="O5525" s="1" t="str">
        <f>"93.24"</f>
        <v>93.24</v>
      </c>
    </row>
    <row r="5526" s="1" customFormat="1" spans="1:15">
      <c r="A5526" s="1" t="str">
        <f t="shared" si="3162"/>
        <v>202406</v>
      </c>
      <c r="B5526" s="1" t="str">
        <f t="shared" si="3163"/>
        <v>150525100</v>
      </c>
      <c r="C5526" s="1" t="str">
        <f>"1040681679"</f>
        <v>1040681679</v>
      </c>
      <c r="D5526" s="1" t="str">
        <f>"152326195608173338"</f>
        <v>152326195608173338</v>
      </c>
      <c r="E5526" s="1" t="s">
        <v>5447</v>
      </c>
      <c r="F5526" s="1" t="s">
        <v>25</v>
      </c>
      <c r="G5526" s="1" t="s">
        <v>19</v>
      </c>
      <c r="H5526" s="1" t="str">
        <f>"68"</f>
        <v>68</v>
      </c>
      <c r="I5526" s="1" t="str">
        <f>"154.82"</f>
        <v>154.82</v>
      </c>
      <c r="J5526" s="1" t="str">
        <f t="shared" ref="J5526:J5551" si="3168">"0"</f>
        <v>0</v>
      </c>
      <c r="K5526" s="1" t="str">
        <f t="shared" ref="K5526:K5551" si="3169">"103"</f>
        <v>103</v>
      </c>
      <c r="L5526" s="1" t="str">
        <f t="shared" ref="L5526:L5551" si="3170">"47"</f>
        <v>47</v>
      </c>
      <c r="M5526" s="1" t="str">
        <f t="shared" si="3145"/>
        <v>0</v>
      </c>
      <c r="N5526" s="1" t="str">
        <f t="shared" si="3155"/>
        <v>0</v>
      </c>
      <c r="O5526" s="1" t="str">
        <f>"4.82"</f>
        <v>4.82</v>
      </c>
    </row>
    <row r="5527" s="1" customFormat="1" spans="1:15">
      <c r="A5527" s="1" t="str">
        <f t="shared" si="3162"/>
        <v>202406</v>
      </c>
      <c r="B5527" s="1" t="str">
        <f t="shared" si="3163"/>
        <v>150525100</v>
      </c>
      <c r="C5527" s="1" t="str">
        <f>"1040681684"</f>
        <v>1040681684</v>
      </c>
      <c r="D5527" s="1" t="str">
        <f>"152326195505053317"</f>
        <v>152326195505053317</v>
      </c>
      <c r="E5527" s="1" t="s">
        <v>5448</v>
      </c>
      <c r="F5527" s="1" t="s">
        <v>25</v>
      </c>
      <c r="G5527" s="1" t="s">
        <v>19</v>
      </c>
      <c r="H5527" s="1" t="str">
        <f>"69"</f>
        <v>69</v>
      </c>
      <c r="I5527" s="1" t="str">
        <f>"153.89"</f>
        <v>153.89</v>
      </c>
      <c r="J5527" s="1" t="str">
        <f t="shared" si="3168"/>
        <v>0</v>
      </c>
      <c r="K5527" s="1" t="str">
        <f t="shared" si="3169"/>
        <v>103</v>
      </c>
      <c r="L5527" s="1" t="str">
        <f t="shared" si="3170"/>
        <v>47</v>
      </c>
      <c r="M5527" s="1" t="str">
        <f t="shared" si="3145"/>
        <v>0</v>
      </c>
      <c r="N5527" s="1" t="str">
        <f t="shared" si="3155"/>
        <v>0</v>
      </c>
      <c r="O5527" s="1" t="str">
        <f>"3.89"</f>
        <v>3.89</v>
      </c>
    </row>
    <row r="5528" s="1" customFormat="1" spans="1:15">
      <c r="A5528" s="1" t="str">
        <f t="shared" si="3162"/>
        <v>202406</v>
      </c>
      <c r="B5528" s="1" t="str">
        <f t="shared" si="3163"/>
        <v>150525100</v>
      </c>
      <c r="C5528" s="1" t="str">
        <f>"1040681698"</f>
        <v>1040681698</v>
      </c>
      <c r="D5528" s="1" t="str">
        <f>"152326195708193328"</f>
        <v>152326195708193328</v>
      </c>
      <c r="E5528" s="1" t="s">
        <v>5449</v>
      </c>
      <c r="F5528" s="1" t="s">
        <v>16</v>
      </c>
      <c r="G5528" s="1" t="s">
        <v>19</v>
      </c>
      <c r="H5528" s="1" t="str">
        <f>"67"</f>
        <v>67</v>
      </c>
      <c r="I5528" s="1" t="str">
        <f>"154.87"</f>
        <v>154.87</v>
      </c>
      <c r="J5528" s="1" t="str">
        <f t="shared" si="3168"/>
        <v>0</v>
      </c>
      <c r="K5528" s="1" t="str">
        <f t="shared" si="3169"/>
        <v>103</v>
      </c>
      <c r="L5528" s="1" t="str">
        <f t="shared" si="3170"/>
        <v>47</v>
      </c>
      <c r="M5528" s="1" t="str">
        <f t="shared" si="3145"/>
        <v>0</v>
      </c>
      <c r="N5528" s="1" t="str">
        <f t="shared" si="3155"/>
        <v>0</v>
      </c>
      <c r="O5528" s="1" t="str">
        <f>"4.87"</f>
        <v>4.87</v>
      </c>
    </row>
    <row r="5529" s="1" customFormat="1" spans="1:15">
      <c r="A5529" s="1" t="str">
        <f t="shared" si="3162"/>
        <v>202406</v>
      </c>
      <c r="B5529" s="1" t="str">
        <f t="shared" si="3163"/>
        <v>150525100</v>
      </c>
      <c r="C5529" s="1" t="str">
        <f>"1040681818"</f>
        <v>1040681818</v>
      </c>
      <c r="D5529" s="1" t="str">
        <f>"152326195612290676"</f>
        <v>152326195612290676</v>
      </c>
      <c r="E5529" s="1" t="s">
        <v>865</v>
      </c>
      <c r="F5529" s="1" t="s">
        <v>25</v>
      </c>
      <c r="G5529" s="1" t="s">
        <v>17</v>
      </c>
      <c r="H5529" s="1" t="str">
        <f>"68"</f>
        <v>68</v>
      </c>
      <c r="I5529" s="1" t="str">
        <f>"154.81"</f>
        <v>154.81</v>
      </c>
      <c r="J5529" s="1" t="str">
        <f t="shared" si="3168"/>
        <v>0</v>
      </c>
      <c r="K5529" s="1" t="str">
        <f t="shared" si="3169"/>
        <v>103</v>
      </c>
      <c r="L5529" s="1" t="str">
        <f t="shared" si="3170"/>
        <v>47</v>
      </c>
      <c r="M5529" s="1" t="str">
        <f t="shared" si="3145"/>
        <v>0</v>
      </c>
      <c r="N5529" s="1" t="str">
        <f t="shared" si="3155"/>
        <v>0</v>
      </c>
      <c r="O5529" s="1" t="str">
        <f>"4.81"</f>
        <v>4.81</v>
      </c>
    </row>
    <row r="5530" s="1" customFormat="1" spans="1:15">
      <c r="A5530" s="1" t="str">
        <f t="shared" si="3162"/>
        <v>202406</v>
      </c>
      <c r="B5530" s="1" t="str">
        <f t="shared" si="3163"/>
        <v>150525100</v>
      </c>
      <c r="C5530" s="1" t="str">
        <f>"1014666345"</f>
        <v>1014666345</v>
      </c>
      <c r="D5530" s="1" t="str">
        <f>"152326195509053816"</f>
        <v>152326195509053816</v>
      </c>
      <c r="E5530" s="1" t="s">
        <v>5450</v>
      </c>
      <c r="F5530" s="1" t="s">
        <v>25</v>
      </c>
      <c r="G5530" s="1" t="s">
        <v>17</v>
      </c>
      <c r="H5530" s="1" t="str">
        <f>"69"</f>
        <v>69</v>
      </c>
      <c r="I5530" s="1" t="str">
        <f>"154.98"</f>
        <v>154.98</v>
      </c>
      <c r="J5530" s="1" t="str">
        <f t="shared" si="3168"/>
        <v>0</v>
      </c>
      <c r="K5530" s="1" t="str">
        <f t="shared" si="3169"/>
        <v>103</v>
      </c>
      <c r="L5530" s="1" t="str">
        <f t="shared" si="3170"/>
        <v>47</v>
      </c>
      <c r="M5530" s="1" t="str">
        <f t="shared" si="3145"/>
        <v>0</v>
      </c>
      <c r="N5530" s="1" t="str">
        <f t="shared" si="3155"/>
        <v>0</v>
      </c>
      <c r="O5530" s="1" t="str">
        <f>"4.98"</f>
        <v>4.98</v>
      </c>
    </row>
    <row r="5531" s="1" customFormat="1" spans="1:15">
      <c r="A5531" s="1" t="str">
        <f t="shared" si="3162"/>
        <v>202406</v>
      </c>
      <c r="B5531" s="1" t="str">
        <f t="shared" si="3163"/>
        <v>150525100</v>
      </c>
      <c r="C5531" s="1" t="str">
        <f>"1040682129"</f>
        <v>1040682129</v>
      </c>
      <c r="D5531" s="1" t="str">
        <f>"152326196006100670"</f>
        <v>152326196006100670</v>
      </c>
      <c r="E5531" s="1" t="s">
        <v>5451</v>
      </c>
      <c r="F5531" s="1" t="s">
        <v>25</v>
      </c>
      <c r="G5531" s="1" t="s">
        <v>19</v>
      </c>
      <c r="H5531" s="1" t="str">
        <f>"64"</f>
        <v>64</v>
      </c>
      <c r="I5531" s="1" t="str">
        <f>"158"</f>
        <v>158</v>
      </c>
      <c r="J5531" s="1" t="str">
        <f t="shared" si="3168"/>
        <v>0</v>
      </c>
      <c r="K5531" s="1" t="str">
        <f t="shared" si="3169"/>
        <v>103</v>
      </c>
      <c r="L5531" s="1" t="str">
        <f t="shared" si="3170"/>
        <v>47</v>
      </c>
      <c r="M5531" s="1" t="str">
        <f t="shared" si="3145"/>
        <v>0</v>
      </c>
      <c r="N5531" s="1" t="str">
        <f t="shared" si="3155"/>
        <v>0</v>
      </c>
      <c r="O5531" s="1" t="str">
        <f>"8"</f>
        <v>8</v>
      </c>
    </row>
    <row r="5532" s="1" customFormat="1" spans="1:15">
      <c r="A5532" s="1" t="str">
        <f t="shared" si="3162"/>
        <v>202406</v>
      </c>
      <c r="B5532" s="1" t="str">
        <f t="shared" si="3163"/>
        <v>150525100</v>
      </c>
      <c r="C5532" s="1" t="str">
        <f>"1040681919"</f>
        <v>1040681919</v>
      </c>
      <c r="D5532" s="1" t="str">
        <f>"152326195702170678"</f>
        <v>152326195702170678</v>
      </c>
      <c r="E5532" s="1" t="s">
        <v>5452</v>
      </c>
      <c r="F5532" s="1" t="s">
        <v>25</v>
      </c>
      <c r="G5532" s="1" t="s">
        <v>17</v>
      </c>
      <c r="H5532" s="1" t="str">
        <f>"67"</f>
        <v>67</v>
      </c>
      <c r="I5532" s="1" t="str">
        <f>"154.83"</f>
        <v>154.83</v>
      </c>
      <c r="J5532" s="1" t="str">
        <f t="shared" si="3168"/>
        <v>0</v>
      </c>
      <c r="K5532" s="1" t="str">
        <f t="shared" si="3169"/>
        <v>103</v>
      </c>
      <c r="L5532" s="1" t="str">
        <f t="shared" si="3170"/>
        <v>47</v>
      </c>
      <c r="M5532" s="1" t="str">
        <f t="shared" si="3145"/>
        <v>0</v>
      </c>
      <c r="N5532" s="1" t="str">
        <f t="shared" si="3155"/>
        <v>0</v>
      </c>
      <c r="O5532" s="1" t="str">
        <f>"4.83"</f>
        <v>4.83</v>
      </c>
    </row>
    <row r="5533" s="1" customFormat="1" spans="1:15">
      <c r="A5533" s="1" t="str">
        <f t="shared" si="3162"/>
        <v>202406</v>
      </c>
      <c r="B5533" s="1" t="str">
        <f t="shared" si="3163"/>
        <v>150525100</v>
      </c>
      <c r="C5533" s="1" t="str">
        <f>"1040681980"</f>
        <v>1040681980</v>
      </c>
      <c r="D5533" s="1" t="s">
        <v>5453</v>
      </c>
      <c r="E5533" s="1" t="s">
        <v>5454</v>
      </c>
      <c r="F5533" s="1" t="s">
        <v>25</v>
      </c>
      <c r="G5533" s="1" t="s">
        <v>19</v>
      </c>
      <c r="H5533" s="1" t="str">
        <f>"61"</f>
        <v>61</v>
      </c>
      <c r="I5533" s="1" t="str">
        <f>"163.71"</f>
        <v>163.71</v>
      </c>
      <c r="J5533" s="1" t="str">
        <f t="shared" si="3168"/>
        <v>0</v>
      </c>
      <c r="K5533" s="1" t="str">
        <f t="shared" si="3169"/>
        <v>103</v>
      </c>
      <c r="L5533" s="1" t="str">
        <f t="shared" si="3170"/>
        <v>47</v>
      </c>
      <c r="M5533" s="1" t="str">
        <f t="shared" si="3145"/>
        <v>0</v>
      </c>
      <c r="N5533" s="1" t="str">
        <f t="shared" si="3155"/>
        <v>0</v>
      </c>
      <c r="O5533" s="1" t="str">
        <f>"13.71"</f>
        <v>13.71</v>
      </c>
    </row>
    <row r="5534" s="1" customFormat="1" spans="1:15">
      <c r="A5534" s="1" t="str">
        <f t="shared" si="3162"/>
        <v>202406</v>
      </c>
      <c r="B5534" s="1" t="str">
        <f t="shared" si="3163"/>
        <v>150525100</v>
      </c>
      <c r="C5534" s="1" t="str">
        <f>"1040682003"</f>
        <v>1040682003</v>
      </c>
      <c r="D5534" s="1" t="str">
        <f>"152326196211103088"</f>
        <v>152326196211103088</v>
      </c>
      <c r="E5534" s="1" t="s">
        <v>3354</v>
      </c>
      <c r="F5534" s="1" t="s">
        <v>16</v>
      </c>
      <c r="G5534" s="1" t="s">
        <v>17</v>
      </c>
      <c r="H5534" s="1" t="str">
        <f>"62"</f>
        <v>62</v>
      </c>
      <c r="I5534" s="1" t="str">
        <f>"161.86"</f>
        <v>161.86</v>
      </c>
      <c r="J5534" s="1" t="str">
        <f t="shared" si="3168"/>
        <v>0</v>
      </c>
      <c r="K5534" s="1" t="str">
        <f t="shared" si="3169"/>
        <v>103</v>
      </c>
      <c r="L5534" s="1" t="str">
        <f t="shared" si="3170"/>
        <v>47</v>
      </c>
      <c r="M5534" s="1" t="str">
        <f t="shared" si="3145"/>
        <v>0</v>
      </c>
      <c r="N5534" s="1" t="str">
        <f t="shared" si="3155"/>
        <v>0</v>
      </c>
      <c r="O5534" s="1" t="str">
        <f>"11.86"</f>
        <v>11.86</v>
      </c>
    </row>
    <row r="5535" s="1" customFormat="1" spans="1:15">
      <c r="A5535" s="1" t="str">
        <f t="shared" si="3162"/>
        <v>202406</v>
      </c>
      <c r="B5535" s="1" t="str">
        <f t="shared" si="3163"/>
        <v>150525100</v>
      </c>
      <c r="C5535" s="1" t="str">
        <f>"1040682075"</f>
        <v>1040682075</v>
      </c>
      <c r="D5535" s="1" t="str">
        <f>"152326195911280910"</f>
        <v>152326195911280910</v>
      </c>
      <c r="E5535" s="1" t="s">
        <v>5455</v>
      </c>
      <c r="F5535" s="1" t="s">
        <v>25</v>
      </c>
      <c r="G5535" s="1" t="s">
        <v>19</v>
      </c>
      <c r="H5535" s="1" t="str">
        <f>"65"</f>
        <v>65</v>
      </c>
      <c r="I5535" s="1" t="str">
        <f>"156.95"</f>
        <v>156.95</v>
      </c>
      <c r="J5535" s="1" t="str">
        <f t="shared" si="3168"/>
        <v>0</v>
      </c>
      <c r="K5535" s="1" t="str">
        <f t="shared" si="3169"/>
        <v>103</v>
      </c>
      <c r="L5535" s="1" t="str">
        <f t="shared" si="3170"/>
        <v>47</v>
      </c>
      <c r="M5535" s="1" t="str">
        <f t="shared" si="3145"/>
        <v>0</v>
      </c>
      <c r="N5535" s="1" t="str">
        <f t="shared" si="3155"/>
        <v>0</v>
      </c>
      <c r="O5535" s="1" t="str">
        <f>"6.95"</f>
        <v>6.95</v>
      </c>
    </row>
    <row r="5536" s="1" customFormat="1" spans="1:15">
      <c r="A5536" s="1" t="str">
        <f t="shared" si="3162"/>
        <v>202406</v>
      </c>
      <c r="B5536" s="1" t="str">
        <f t="shared" si="3163"/>
        <v>150525100</v>
      </c>
      <c r="C5536" s="1" t="str">
        <f>"1040682108"</f>
        <v>1040682108</v>
      </c>
      <c r="D5536" s="1" t="str">
        <f>"152326195902210419"</f>
        <v>152326195902210419</v>
      </c>
      <c r="E5536" s="1" t="s">
        <v>5456</v>
      </c>
      <c r="F5536" s="1" t="s">
        <v>25</v>
      </c>
      <c r="G5536" s="1" t="s">
        <v>17</v>
      </c>
      <c r="H5536" s="1" t="str">
        <f>"65"</f>
        <v>65</v>
      </c>
      <c r="I5536" s="1" t="str">
        <f>"156.88"</f>
        <v>156.88</v>
      </c>
      <c r="J5536" s="1" t="str">
        <f t="shared" si="3168"/>
        <v>0</v>
      </c>
      <c r="K5536" s="1" t="str">
        <f t="shared" si="3169"/>
        <v>103</v>
      </c>
      <c r="L5536" s="1" t="str">
        <f t="shared" si="3170"/>
        <v>47</v>
      </c>
      <c r="M5536" s="1" t="str">
        <f t="shared" ref="M5536:M5599" si="3171">"0"</f>
        <v>0</v>
      </c>
      <c r="N5536" s="1" t="str">
        <f t="shared" si="3155"/>
        <v>0</v>
      </c>
      <c r="O5536" s="1" t="str">
        <f>"6.88"</f>
        <v>6.88</v>
      </c>
    </row>
    <row r="5537" s="1" customFormat="1" spans="1:15">
      <c r="A5537" s="1" t="str">
        <f t="shared" si="3162"/>
        <v>202406</v>
      </c>
      <c r="B5537" s="1" t="str">
        <f t="shared" si="3163"/>
        <v>150525100</v>
      </c>
      <c r="C5537" s="1" t="str">
        <f>"1040682212"</f>
        <v>1040682212</v>
      </c>
      <c r="D5537" s="1" t="str">
        <f>"152326196009240417"</f>
        <v>152326196009240417</v>
      </c>
      <c r="E5537" s="1" t="s">
        <v>904</v>
      </c>
      <c r="F5537" s="1" t="s">
        <v>25</v>
      </c>
      <c r="G5537" s="1" t="s">
        <v>17</v>
      </c>
      <c r="H5537" s="1" t="str">
        <f>"64"</f>
        <v>64</v>
      </c>
      <c r="I5537" s="1" t="str">
        <f>"158.03"</f>
        <v>158.03</v>
      </c>
      <c r="J5537" s="1" t="str">
        <f t="shared" si="3168"/>
        <v>0</v>
      </c>
      <c r="K5537" s="1" t="str">
        <f t="shared" si="3169"/>
        <v>103</v>
      </c>
      <c r="L5537" s="1" t="str">
        <f t="shared" si="3170"/>
        <v>47</v>
      </c>
      <c r="M5537" s="1" t="str">
        <f t="shared" si="3171"/>
        <v>0</v>
      </c>
      <c r="N5537" s="1" t="str">
        <f t="shared" si="3155"/>
        <v>0</v>
      </c>
      <c r="O5537" s="1" t="str">
        <f>"8.03"</f>
        <v>8.03</v>
      </c>
    </row>
    <row r="5538" s="1" customFormat="1" spans="1:15">
      <c r="A5538" s="1" t="str">
        <f t="shared" si="3162"/>
        <v>202406</v>
      </c>
      <c r="B5538" s="1" t="str">
        <f t="shared" si="3163"/>
        <v>150525100</v>
      </c>
      <c r="C5538" s="1" t="str">
        <f>"1040682231"</f>
        <v>1040682231</v>
      </c>
      <c r="D5538" s="1" t="str">
        <f>"152326196212090426"</f>
        <v>152326196212090426</v>
      </c>
      <c r="E5538" s="1" t="s">
        <v>5457</v>
      </c>
      <c r="F5538" s="1" t="s">
        <v>16</v>
      </c>
      <c r="G5538" s="1" t="s">
        <v>17</v>
      </c>
      <c r="H5538" s="1" t="str">
        <f>"62"</f>
        <v>62</v>
      </c>
      <c r="I5538" s="1" t="str">
        <f>"161.91"</f>
        <v>161.91</v>
      </c>
      <c r="J5538" s="1" t="str">
        <f t="shared" si="3168"/>
        <v>0</v>
      </c>
      <c r="K5538" s="1" t="str">
        <f t="shared" si="3169"/>
        <v>103</v>
      </c>
      <c r="L5538" s="1" t="str">
        <f t="shared" si="3170"/>
        <v>47</v>
      </c>
      <c r="M5538" s="1" t="str">
        <f t="shared" si="3171"/>
        <v>0</v>
      </c>
      <c r="N5538" s="1" t="str">
        <f t="shared" si="3155"/>
        <v>0</v>
      </c>
      <c r="O5538" s="1" t="str">
        <f>"11.91"</f>
        <v>11.91</v>
      </c>
    </row>
    <row r="5539" s="1" customFormat="1" spans="1:15">
      <c r="A5539" s="1" t="str">
        <f t="shared" si="3162"/>
        <v>202406</v>
      </c>
      <c r="B5539" s="1" t="str">
        <f t="shared" si="3163"/>
        <v>150525100</v>
      </c>
      <c r="C5539" s="1" t="str">
        <f>"1040682312"</f>
        <v>1040682312</v>
      </c>
      <c r="D5539" s="1" t="str">
        <f>"152326196308110663"</f>
        <v>152326196308110663</v>
      </c>
      <c r="E5539" s="1" t="s">
        <v>5458</v>
      </c>
      <c r="F5539" s="1" t="s">
        <v>16</v>
      </c>
      <c r="G5539" s="1" t="s">
        <v>17</v>
      </c>
      <c r="H5539" s="1" t="str">
        <f>"61"</f>
        <v>61</v>
      </c>
      <c r="I5539" s="1" t="str">
        <f>"163.4"</f>
        <v>163.4</v>
      </c>
      <c r="J5539" s="1" t="str">
        <f t="shared" si="3168"/>
        <v>0</v>
      </c>
      <c r="K5539" s="1" t="str">
        <f t="shared" si="3169"/>
        <v>103</v>
      </c>
      <c r="L5539" s="1" t="str">
        <f t="shared" si="3170"/>
        <v>47</v>
      </c>
      <c r="M5539" s="1" t="str">
        <f t="shared" si="3171"/>
        <v>0</v>
      </c>
      <c r="N5539" s="1" t="str">
        <f t="shared" si="3155"/>
        <v>0</v>
      </c>
      <c r="O5539" s="1" t="str">
        <f>"13.4"</f>
        <v>13.4</v>
      </c>
    </row>
    <row r="5540" s="1" customFormat="1" spans="1:15">
      <c r="A5540" s="1" t="str">
        <f t="shared" si="3162"/>
        <v>202406</v>
      </c>
      <c r="B5540" s="1" t="str">
        <f t="shared" si="3163"/>
        <v>150525100</v>
      </c>
      <c r="C5540" s="1" t="str">
        <f>"1040682317"</f>
        <v>1040682317</v>
      </c>
      <c r="D5540" s="1" t="s">
        <v>5459</v>
      </c>
      <c r="E5540" s="1" t="s">
        <v>5460</v>
      </c>
      <c r="F5540" s="1" t="s">
        <v>25</v>
      </c>
      <c r="G5540" s="1" t="s">
        <v>17</v>
      </c>
      <c r="H5540" s="1" t="str">
        <f>"69"</f>
        <v>69</v>
      </c>
      <c r="I5540" s="1" t="str">
        <f>"153.89"</f>
        <v>153.89</v>
      </c>
      <c r="J5540" s="1" t="str">
        <f t="shared" si="3168"/>
        <v>0</v>
      </c>
      <c r="K5540" s="1" t="str">
        <f t="shared" si="3169"/>
        <v>103</v>
      </c>
      <c r="L5540" s="1" t="str">
        <f t="shared" si="3170"/>
        <v>47</v>
      </c>
      <c r="M5540" s="1" t="str">
        <f t="shared" si="3171"/>
        <v>0</v>
      </c>
      <c r="N5540" s="1" t="str">
        <f t="shared" si="3155"/>
        <v>0</v>
      </c>
      <c r="O5540" s="1" t="str">
        <f>"3.89"</f>
        <v>3.89</v>
      </c>
    </row>
    <row r="5541" s="1" customFormat="1" spans="1:15">
      <c r="A5541" s="1" t="str">
        <f t="shared" si="3162"/>
        <v>202406</v>
      </c>
      <c r="B5541" s="1" t="str">
        <f t="shared" si="3163"/>
        <v>150525100</v>
      </c>
      <c r="C5541" s="1" t="str">
        <f>"1040682353"</f>
        <v>1040682353</v>
      </c>
      <c r="D5541" s="1" t="str">
        <f>"152326195910106371"</f>
        <v>152326195910106371</v>
      </c>
      <c r="E5541" s="1" t="s">
        <v>5461</v>
      </c>
      <c r="F5541" s="1" t="s">
        <v>25</v>
      </c>
      <c r="G5541" s="1" t="s">
        <v>17</v>
      </c>
      <c r="H5541" s="1" t="str">
        <f>"65"</f>
        <v>65</v>
      </c>
      <c r="I5541" s="1" t="str">
        <f>"156.93"</f>
        <v>156.93</v>
      </c>
      <c r="J5541" s="1" t="str">
        <f t="shared" si="3168"/>
        <v>0</v>
      </c>
      <c r="K5541" s="1" t="str">
        <f t="shared" si="3169"/>
        <v>103</v>
      </c>
      <c r="L5541" s="1" t="str">
        <f t="shared" si="3170"/>
        <v>47</v>
      </c>
      <c r="M5541" s="1" t="str">
        <f t="shared" si="3171"/>
        <v>0</v>
      </c>
      <c r="N5541" s="1" t="str">
        <f t="shared" si="3155"/>
        <v>0</v>
      </c>
      <c r="O5541" s="1" t="str">
        <f>"6.93"</f>
        <v>6.93</v>
      </c>
    </row>
    <row r="5542" s="1" customFormat="1" spans="1:15">
      <c r="A5542" s="1" t="str">
        <f t="shared" si="3162"/>
        <v>202406</v>
      </c>
      <c r="B5542" s="1" t="str">
        <f t="shared" si="3163"/>
        <v>150525100</v>
      </c>
      <c r="C5542" s="1" t="str">
        <f>"1040682360"</f>
        <v>1040682360</v>
      </c>
      <c r="D5542" s="1" t="str">
        <f>"152326195210056385"</f>
        <v>152326195210056385</v>
      </c>
      <c r="E5542" s="1" t="s">
        <v>5462</v>
      </c>
      <c r="F5542" s="1" t="s">
        <v>16</v>
      </c>
      <c r="G5542" s="1" t="s">
        <v>17</v>
      </c>
      <c r="H5542" s="1" t="str">
        <f>"72"</f>
        <v>72</v>
      </c>
      <c r="I5542" s="1" t="str">
        <f>"161.48"</f>
        <v>161.48</v>
      </c>
      <c r="J5542" s="1" t="str">
        <f t="shared" si="3168"/>
        <v>0</v>
      </c>
      <c r="K5542" s="1" t="str">
        <f t="shared" si="3169"/>
        <v>103</v>
      </c>
      <c r="L5542" s="1" t="str">
        <f t="shared" si="3170"/>
        <v>47</v>
      </c>
      <c r="M5542" s="1" t="str">
        <f t="shared" si="3171"/>
        <v>0</v>
      </c>
      <c r="N5542" s="1" t="str">
        <f t="shared" si="3155"/>
        <v>0</v>
      </c>
      <c r="O5542" s="1" t="str">
        <f>"1.48"</f>
        <v>1.48</v>
      </c>
    </row>
    <row r="5543" s="1" customFormat="1" spans="1:15">
      <c r="A5543" s="1" t="str">
        <f t="shared" si="3162"/>
        <v>202406</v>
      </c>
      <c r="B5543" s="1" t="str">
        <f t="shared" si="3163"/>
        <v>150525100</v>
      </c>
      <c r="C5543" s="1" t="str">
        <f>"1040682373"</f>
        <v>1040682373</v>
      </c>
      <c r="D5543" s="1" t="str">
        <f>"152326195508180661"</f>
        <v>152326195508180661</v>
      </c>
      <c r="E5543" s="1" t="s">
        <v>5463</v>
      </c>
      <c r="F5543" s="1" t="s">
        <v>16</v>
      </c>
      <c r="G5543" s="1" t="s">
        <v>17</v>
      </c>
      <c r="H5543" s="1" t="str">
        <f>"69"</f>
        <v>69</v>
      </c>
      <c r="I5543" s="1" t="str">
        <f>"153.88"</f>
        <v>153.88</v>
      </c>
      <c r="J5543" s="1" t="str">
        <f t="shared" si="3168"/>
        <v>0</v>
      </c>
      <c r="K5543" s="1" t="str">
        <f t="shared" si="3169"/>
        <v>103</v>
      </c>
      <c r="L5543" s="1" t="str">
        <f t="shared" si="3170"/>
        <v>47</v>
      </c>
      <c r="M5543" s="1" t="str">
        <f t="shared" si="3171"/>
        <v>0</v>
      </c>
      <c r="N5543" s="1" t="str">
        <f t="shared" si="3155"/>
        <v>0</v>
      </c>
      <c r="O5543" s="1" t="str">
        <f>"3.88"</f>
        <v>3.88</v>
      </c>
    </row>
    <row r="5544" s="1" customFormat="1" spans="1:15">
      <c r="A5544" s="1" t="str">
        <f t="shared" si="3162"/>
        <v>202406</v>
      </c>
      <c r="B5544" s="1" t="str">
        <f t="shared" si="3163"/>
        <v>150525100</v>
      </c>
      <c r="C5544" s="1" t="str">
        <f>"1040682403"</f>
        <v>1040682403</v>
      </c>
      <c r="D5544" s="1" t="str">
        <f>"152326195811190432"</f>
        <v>152326195811190432</v>
      </c>
      <c r="E5544" s="1" t="s">
        <v>5464</v>
      </c>
      <c r="F5544" s="1" t="s">
        <v>25</v>
      </c>
      <c r="G5544" s="1" t="s">
        <v>17</v>
      </c>
      <c r="H5544" s="1" t="str">
        <f>"66"</f>
        <v>66</v>
      </c>
      <c r="I5544" s="1" t="str">
        <f>"156.86"</f>
        <v>156.86</v>
      </c>
      <c r="J5544" s="1" t="str">
        <f t="shared" si="3168"/>
        <v>0</v>
      </c>
      <c r="K5544" s="1" t="str">
        <f t="shared" si="3169"/>
        <v>103</v>
      </c>
      <c r="L5544" s="1" t="str">
        <f t="shared" si="3170"/>
        <v>47</v>
      </c>
      <c r="M5544" s="1" t="str">
        <f t="shared" si="3171"/>
        <v>0</v>
      </c>
      <c r="N5544" s="1" t="str">
        <f t="shared" si="3155"/>
        <v>0</v>
      </c>
      <c r="O5544" s="1" t="str">
        <f>"6.86"</f>
        <v>6.86</v>
      </c>
    </row>
    <row r="5545" s="1" customFormat="1" spans="1:15">
      <c r="A5545" s="1" t="str">
        <f t="shared" si="3162"/>
        <v>202406</v>
      </c>
      <c r="B5545" s="1" t="str">
        <f t="shared" si="3163"/>
        <v>150525100</v>
      </c>
      <c r="C5545" s="1" t="str">
        <f>"1040689364"</f>
        <v>1040689364</v>
      </c>
      <c r="D5545" s="1" t="str">
        <f>"150525195411250013"</f>
        <v>150525195411250013</v>
      </c>
      <c r="E5545" s="1" t="s">
        <v>5465</v>
      </c>
      <c r="F5545" s="1" t="s">
        <v>25</v>
      </c>
      <c r="G5545" s="1" t="s">
        <v>17</v>
      </c>
      <c r="H5545" s="1" t="str">
        <f>"70"</f>
        <v>70</v>
      </c>
      <c r="I5545" s="1" t="str">
        <f>"153.78"</f>
        <v>153.78</v>
      </c>
      <c r="J5545" s="1" t="str">
        <f t="shared" si="3168"/>
        <v>0</v>
      </c>
      <c r="K5545" s="1" t="str">
        <f t="shared" si="3169"/>
        <v>103</v>
      </c>
      <c r="L5545" s="1" t="str">
        <f t="shared" si="3170"/>
        <v>47</v>
      </c>
      <c r="M5545" s="1" t="str">
        <f t="shared" si="3171"/>
        <v>0</v>
      </c>
      <c r="N5545" s="1" t="str">
        <f t="shared" si="3155"/>
        <v>0</v>
      </c>
      <c r="O5545" s="1" t="str">
        <f>"3.78"</f>
        <v>3.78</v>
      </c>
    </row>
    <row r="5546" s="1" customFormat="1" spans="1:15">
      <c r="A5546" s="1" t="str">
        <f t="shared" si="3162"/>
        <v>202406</v>
      </c>
      <c r="B5546" s="1" t="str">
        <f t="shared" si="3163"/>
        <v>150525100</v>
      </c>
      <c r="C5546" s="1" t="str">
        <f>"1040689366"</f>
        <v>1040689366</v>
      </c>
      <c r="D5546" s="1" t="str">
        <f>"152326196311063829"</f>
        <v>152326196311063829</v>
      </c>
      <c r="E5546" s="1" t="s">
        <v>5466</v>
      </c>
      <c r="F5546" s="1" t="s">
        <v>16</v>
      </c>
      <c r="G5546" s="1" t="s">
        <v>17</v>
      </c>
      <c r="H5546" s="1" t="str">
        <f>"61"</f>
        <v>61</v>
      </c>
      <c r="I5546" s="1" t="str">
        <f>"167.29"</f>
        <v>167.29</v>
      </c>
      <c r="J5546" s="1" t="str">
        <f t="shared" si="3168"/>
        <v>0</v>
      </c>
      <c r="K5546" s="1" t="str">
        <f t="shared" si="3169"/>
        <v>103</v>
      </c>
      <c r="L5546" s="1" t="str">
        <f t="shared" si="3170"/>
        <v>47</v>
      </c>
      <c r="M5546" s="1" t="str">
        <f t="shared" si="3171"/>
        <v>0</v>
      </c>
      <c r="N5546" s="1" t="str">
        <f t="shared" si="3155"/>
        <v>0</v>
      </c>
      <c r="O5546" s="1" t="str">
        <f>"17.29"</f>
        <v>17.29</v>
      </c>
    </row>
    <row r="5547" s="1" customFormat="1" spans="1:15">
      <c r="A5547" s="1" t="str">
        <f t="shared" si="3162"/>
        <v>202406</v>
      </c>
      <c r="B5547" s="1" t="str">
        <f t="shared" si="3163"/>
        <v>150525100</v>
      </c>
      <c r="C5547" s="1" t="str">
        <f>"1040681270"</f>
        <v>1040681270</v>
      </c>
      <c r="D5547" s="1" t="str">
        <f>"152326195301230924"</f>
        <v>152326195301230924</v>
      </c>
      <c r="E5547" s="1" t="s">
        <v>5467</v>
      </c>
      <c r="F5547" s="1" t="s">
        <v>16</v>
      </c>
      <c r="G5547" s="1" t="s">
        <v>19</v>
      </c>
      <c r="H5547" s="1" t="str">
        <f>"71"</f>
        <v>71</v>
      </c>
      <c r="I5547" s="1" t="str">
        <f>"164.4"</f>
        <v>164.4</v>
      </c>
      <c r="J5547" s="1" t="str">
        <f t="shared" si="3168"/>
        <v>0</v>
      </c>
      <c r="K5547" s="1" t="str">
        <f t="shared" si="3169"/>
        <v>103</v>
      </c>
      <c r="L5547" s="1" t="str">
        <f t="shared" si="3170"/>
        <v>47</v>
      </c>
      <c r="M5547" s="1" t="str">
        <f t="shared" si="3171"/>
        <v>0</v>
      </c>
      <c r="N5547" s="1" t="str">
        <f t="shared" si="3155"/>
        <v>0</v>
      </c>
      <c r="O5547" s="1" t="str">
        <f>"4.4"</f>
        <v>4.4</v>
      </c>
    </row>
    <row r="5548" s="1" customFormat="1" spans="1:15">
      <c r="A5548" s="1" t="str">
        <f t="shared" si="3162"/>
        <v>202406</v>
      </c>
      <c r="B5548" s="1" t="str">
        <f t="shared" si="3163"/>
        <v>150525100</v>
      </c>
      <c r="C5548" s="1" t="str">
        <f>"1040681430"</f>
        <v>1040681430</v>
      </c>
      <c r="D5548" s="1" t="str">
        <f>"152326195909303829"</f>
        <v>152326195909303829</v>
      </c>
      <c r="E5548" s="1" t="s">
        <v>194</v>
      </c>
      <c r="F5548" s="1" t="s">
        <v>16</v>
      </c>
      <c r="G5548" s="1" t="s">
        <v>17</v>
      </c>
      <c r="H5548" s="1" t="str">
        <f>"65"</f>
        <v>65</v>
      </c>
      <c r="I5548" s="1" t="str">
        <f>"156.98"</f>
        <v>156.98</v>
      </c>
      <c r="J5548" s="1" t="str">
        <f t="shared" si="3168"/>
        <v>0</v>
      </c>
      <c r="K5548" s="1" t="str">
        <f t="shared" si="3169"/>
        <v>103</v>
      </c>
      <c r="L5548" s="1" t="str">
        <f t="shared" si="3170"/>
        <v>47</v>
      </c>
      <c r="M5548" s="1" t="str">
        <f t="shared" si="3171"/>
        <v>0</v>
      </c>
      <c r="N5548" s="1" t="str">
        <f t="shared" si="3155"/>
        <v>0</v>
      </c>
      <c r="O5548" s="1" t="str">
        <f>"6.98"</f>
        <v>6.98</v>
      </c>
    </row>
    <row r="5549" s="1" customFormat="1" spans="1:15">
      <c r="A5549" s="1" t="str">
        <f t="shared" si="3162"/>
        <v>202406</v>
      </c>
      <c r="B5549" s="1" t="str">
        <f t="shared" si="3163"/>
        <v>150525100</v>
      </c>
      <c r="C5549" s="1" t="str">
        <f>"1040681315"</f>
        <v>1040681315</v>
      </c>
      <c r="D5549" s="1" t="str">
        <f>"152326195712110660"</f>
        <v>152326195712110660</v>
      </c>
      <c r="E5549" s="1" t="s">
        <v>5468</v>
      </c>
      <c r="F5549" s="1" t="s">
        <v>16</v>
      </c>
      <c r="G5549" s="1" t="s">
        <v>19</v>
      </c>
      <c r="H5549" s="1" t="str">
        <f>"67"</f>
        <v>67</v>
      </c>
      <c r="I5549" s="1" t="str">
        <f>"154.9"</f>
        <v>154.9</v>
      </c>
      <c r="J5549" s="1" t="str">
        <f t="shared" si="3168"/>
        <v>0</v>
      </c>
      <c r="K5549" s="1" t="str">
        <f t="shared" si="3169"/>
        <v>103</v>
      </c>
      <c r="L5549" s="1" t="str">
        <f t="shared" si="3170"/>
        <v>47</v>
      </c>
      <c r="M5549" s="1" t="str">
        <f t="shared" si="3171"/>
        <v>0</v>
      </c>
      <c r="N5549" s="1" t="str">
        <f t="shared" si="3155"/>
        <v>0</v>
      </c>
      <c r="O5549" s="1" t="str">
        <f>"4.9"</f>
        <v>4.9</v>
      </c>
    </row>
    <row r="5550" s="1" customFormat="1" spans="1:15">
      <c r="A5550" s="1" t="str">
        <f t="shared" si="3162"/>
        <v>202406</v>
      </c>
      <c r="B5550" s="1" t="str">
        <f t="shared" si="3163"/>
        <v>150525100</v>
      </c>
      <c r="C5550" s="1" t="str">
        <f>"1040681360"</f>
        <v>1040681360</v>
      </c>
      <c r="D5550" s="1" t="str">
        <f>"152326195912123087"</f>
        <v>152326195912123087</v>
      </c>
      <c r="E5550" s="1" t="s">
        <v>5469</v>
      </c>
      <c r="F5550" s="1" t="s">
        <v>16</v>
      </c>
      <c r="G5550" s="1" t="s">
        <v>17</v>
      </c>
      <c r="H5550" s="1" t="str">
        <f>"65"</f>
        <v>65</v>
      </c>
      <c r="I5550" s="1" t="str">
        <f>"157.89"</f>
        <v>157.89</v>
      </c>
      <c r="J5550" s="1" t="str">
        <f t="shared" si="3168"/>
        <v>0</v>
      </c>
      <c r="K5550" s="1" t="str">
        <f t="shared" si="3169"/>
        <v>103</v>
      </c>
      <c r="L5550" s="1" t="str">
        <f t="shared" si="3170"/>
        <v>47</v>
      </c>
      <c r="M5550" s="1" t="str">
        <f t="shared" si="3171"/>
        <v>0</v>
      </c>
      <c r="N5550" s="1" t="str">
        <f t="shared" si="3155"/>
        <v>0</v>
      </c>
      <c r="O5550" s="1" t="str">
        <f>"7.89"</f>
        <v>7.89</v>
      </c>
    </row>
    <row r="5551" s="1" customFormat="1" spans="1:15">
      <c r="A5551" s="1" t="str">
        <f t="shared" si="3162"/>
        <v>202406</v>
      </c>
      <c r="B5551" s="1" t="str">
        <f t="shared" si="3163"/>
        <v>150525100</v>
      </c>
      <c r="C5551" s="1" t="str">
        <f>"1040682436"</f>
        <v>1040682436</v>
      </c>
      <c r="D5551" s="1" t="str">
        <f>"152326196304020417"</f>
        <v>152326196304020417</v>
      </c>
      <c r="E5551" s="1" t="s">
        <v>5470</v>
      </c>
      <c r="F5551" s="1" t="s">
        <v>25</v>
      </c>
      <c r="G5551" s="1" t="s">
        <v>17</v>
      </c>
      <c r="H5551" s="1" t="str">
        <f>"61"</f>
        <v>61</v>
      </c>
      <c r="I5551" s="1" t="str">
        <f>"163.63"</f>
        <v>163.63</v>
      </c>
      <c r="J5551" s="1" t="str">
        <f t="shared" si="3168"/>
        <v>0</v>
      </c>
      <c r="K5551" s="1" t="str">
        <f t="shared" si="3169"/>
        <v>103</v>
      </c>
      <c r="L5551" s="1" t="str">
        <f t="shared" si="3170"/>
        <v>47</v>
      </c>
      <c r="M5551" s="1" t="str">
        <f t="shared" si="3171"/>
        <v>0</v>
      </c>
      <c r="N5551" s="1" t="str">
        <f t="shared" si="3155"/>
        <v>0</v>
      </c>
      <c r="O5551" s="1" t="str">
        <f>"13.63"</f>
        <v>13.63</v>
      </c>
    </row>
    <row r="5552" s="1" customFormat="1" spans="1:15">
      <c r="A5552" s="1" t="str">
        <f t="shared" si="3162"/>
        <v>202406</v>
      </c>
      <c r="B5552" s="1" t="str">
        <f t="shared" si="3163"/>
        <v>150525100</v>
      </c>
      <c r="C5552" s="1" t="str">
        <f>"1040682452"</f>
        <v>1040682452</v>
      </c>
      <c r="D5552" s="1" t="str">
        <f>"152326195703030415"</f>
        <v>152326195703030415</v>
      </c>
      <c r="E5552" s="1" t="s">
        <v>5471</v>
      </c>
      <c r="F5552" s="1" t="s">
        <v>25</v>
      </c>
      <c r="G5552" s="1" t="s">
        <v>17</v>
      </c>
      <c r="H5552" s="1" t="str">
        <f>"67"</f>
        <v>67</v>
      </c>
      <c r="I5552" s="1" t="str">
        <f>"1548.3"</f>
        <v>1548.3</v>
      </c>
      <c r="J5552" s="1" t="str">
        <f>"1393.47"</f>
        <v>1393.47</v>
      </c>
      <c r="K5552" s="1" t="str">
        <f>"1030"</f>
        <v>1030</v>
      </c>
      <c r="L5552" s="1" t="str">
        <f>"470"</f>
        <v>470</v>
      </c>
      <c r="M5552" s="1" t="str">
        <f t="shared" si="3171"/>
        <v>0</v>
      </c>
      <c r="N5552" s="1" t="str">
        <f t="shared" si="3155"/>
        <v>0</v>
      </c>
      <c r="O5552" s="1" t="str">
        <f>"48.3"</f>
        <v>48.3</v>
      </c>
    </row>
    <row r="5553" s="1" customFormat="1" spans="1:15">
      <c r="A5553" s="1" t="str">
        <f t="shared" si="3162"/>
        <v>202406</v>
      </c>
      <c r="B5553" s="1" t="str">
        <f t="shared" si="3163"/>
        <v>150525100</v>
      </c>
      <c r="C5553" s="1" t="str">
        <f>"1040682482"</f>
        <v>1040682482</v>
      </c>
      <c r="D5553" s="1" t="str">
        <f>"152326195612230454"</f>
        <v>152326195612230454</v>
      </c>
      <c r="E5553" s="1" t="s">
        <v>5472</v>
      </c>
      <c r="F5553" s="1" t="s">
        <v>25</v>
      </c>
      <c r="G5553" s="1" t="s">
        <v>17</v>
      </c>
      <c r="H5553" s="1" t="str">
        <f>"68"</f>
        <v>68</v>
      </c>
      <c r="I5553" s="1" t="str">
        <f>"154.81"</f>
        <v>154.81</v>
      </c>
      <c r="J5553" s="1" t="str">
        <f t="shared" ref="J5553:J5617" si="3172">"0"</f>
        <v>0</v>
      </c>
      <c r="K5553" s="1" t="str">
        <f t="shared" ref="K5553:K5617" si="3173">"103"</f>
        <v>103</v>
      </c>
      <c r="L5553" s="1" t="str">
        <f t="shared" ref="L5553:L5617" si="3174">"47"</f>
        <v>47</v>
      </c>
      <c r="M5553" s="1" t="str">
        <f t="shared" si="3171"/>
        <v>0</v>
      </c>
      <c r="N5553" s="1" t="str">
        <f t="shared" si="3155"/>
        <v>0</v>
      </c>
      <c r="O5553" s="1" t="str">
        <f>"4.81"</f>
        <v>4.81</v>
      </c>
    </row>
    <row r="5554" s="1" customFormat="1" spans="1:15">
      <c r="A5554" s="1" t="str">
        <f t="shared" si="3162"/>
        <v>202406</v>
      </c>
      <c r="B5554" s="1" t="str">
        <f t="shared" si="3163"/>
        <v>150525100</v>
      </c>
      <c r="C5554" s="1" t="str">
        <f>"1040682485"</f>
        <v>1040682485</v>
      </c>
      <c r="D5554" s="1" t="str">
        <f>"152326195302093810"</f>
        <v>152326195302093810</v>
      </c>
      <c r="E5554" s="1" t="s">
        <v>5473</v>
      </c>
      <c r="F5554" s="1" t="s">
        <v>25</v>
      </c>
      <c r="G5554" s="1" t="s">
        <v>17</v>
      </c>
      <c r="H5554" s="1" t="str">
        <f>"71"</f>
        <v>71</v>
      </c>
      <c r="I5554" s="1" t="str">
        <f>"1622"</f>
        <v>1622</v>
      </c>
      <c r="J5554" s="1" t="str">
        <f>"1459.8"</f>
        <v>1459.8</v>
      </c>
      <c r="K5554" s="1" t="str">
        <f>"1030"</f>
        <v>1030</v>
      </c>
      <c r="L5554" s="1" t="str">
        <f>"470"</f>
        <v>470</v>
      </c>
      <c r="M5554" s="1" t="str">
        <f t="shared" si="3171"/>
        <v>0</v>
      </c>
      <c r="N5554" s="1" t="str">
        <f t="shared" si="3155"/>
        <v>0</v>
      </c>
      <c r="O5554" s="1" t="str">
        <f>"22"</f>
        <v>22</v>
      </c>
    </row>
    <row r="5555" s="1" customFormat="1" spans="1:15">
      <c r="A5555" s="1" t="str">
        <f t="shared" si="3162"/>
        <v>202406</v>
      </c>
      <c r="B5555" s="1" t="str">
        <f t="shared" si="3163"/>
        <v>150525100</v>
      </c>
      <c r="C5555" s="1" t="str">
        <f>"1040682496"</f>
        <v>1040682496</v>
      </c>
      <c r="D5555" s="1" t="str">
        <f>"152326196106203829"</f>
        <v>152326196106203829</v>
      </c>
      <c r="E5555" s="1" t="s">
        <v>5474</v>
      </c>
      <c r="F5555" s="1" t="s">
        <v>16</v>
      </c>
      <c r="G5555" s="1" t="s">
        <v>17</v>
      </c>
      <c r="H5555" s="1" t="str">
        <f>"63"</f>
        <v>63</v>
      </c>
      <c r="I5555" s="1" t="str">
        <f>"159.78"</f>
        <v>159.78</v>
      </c>
      <c r="J5555" s="1" t="str">
        <f t="shared" si="3172"/>
        <v>0</v>
      </c>
      <c r="K5555" s="1" t="str">
        <f t="shared" si="3173"/>
        <v>103</v>
      </c>
      <c r="L5555" s="1" t="str">
        <f t="shared" si="3174"/>
        <v>47</v>
      </c>
      <c r="M5555" s="1" t="str">
        <f t="shared" si="3171"/>
        <v>0</v>
      </c>
      <c r="N5555" s="1" t="str">
        <f t="shared" si="3155"/>
        <v>0</v>
      </c>
      <c r="O5555" s="1" t="str">
        <f>"9.78"</f>
        <v>9.78</v>
      </c>
    </row>
    <row r="5556" s="1" customFormat="1" spans="1:15">
      <c r="A5556" s="1" t="str">
        <f t="shared" si="3162"/>
        <v>202406</v>
      </c>
      <c r="B5556" s="1" t="str">
        <f t="shared" si="3163"/>
        <v>150525100</v>
      </c>
      <c r="C5556" s="1" t="str">
        <f>"1040682573"</f>
        <v>1040682573</v>
      </c>
      <c r="D5556" s="1" t="str">
        <f>"152326195907180423"</f>
        <v>152326195907180423</v>
      </c>
      <c r="E5556" s="1" t="s">
        <v>5475</v>
      </c>
      <c r="F5556" s="1" t="s">
        <v>16</v>
      </c>
      <c r="G5556" s="1" t="s">
        <v>17</v>
      </c>
      <c r="H5556" s="1" t="str">
        <f>"65"</f>
        <v>65</v>
      </c>
      <c r="I5556" s="1" t="str">
        <f>"156.91"</f>
        <v>156.91</v>
      </c>
      <c r="J5556" s="1" t="str">
        <f t="shared" si="3172"/>
        <v>0</v>
      </c>
      <c r="K5556" s="1" t="str">
        <f t="shared" si="3173"/>
        <v>103</v>
      </c>
      <c r="L5556" s="1" t="str">
        <f t="shared" si="3174"/>
        <v>47</v>
      </c>
      <c r="M5556" s="1" t="str">
        <f t="shared" si="3171"/>
        <v>0</v>
      </c>
      <c r="N5556" s="1" t="str">
        <f t="shared" ref="N5556:N5619" si="3175">"0"</f>
        <v>0</v>
      </c>
      <c r="O5556" s="1" t="str">
        <f>"6.91"</f>
        <v>6.91</v>
      </c>
    </row>
    <row r="5557" s="1" customFormat="1" spans="1:15">
      <c r="A5557" s="1" t="str">
        <f t="shared" si="3162"/>
        <v>202406</v>
      </c>
      <c r="B5557" s="1" t="str">
        <f t="shared" si="3163"/>
        <v>150525100</v>
      </c>
      <c r="C5557" s="1" t="str">
        <f>"1040682579"</f>
        <v>1040682579</v>
      </c>
      <c r="D5557" s="1" t="str">
        <f>"152326196002260415"</f>
        <v>152326196002260415</v>
      </c>
      <c r="E5557" s="1" t="s">
        <v>5476</v>
      </c>
      <c r="F5557" s="1" t="s">
        <v>25</v>
      </c>
      <c r="G5557" s="1" t="s">
        <v>17</v>
      </c>
      <c r="H5557" s="1" t="str">
        <f>"64"</f>
        <v>64</v>
      </c>
      <c r="I5557" s="1" t="str">
        <f>"157.91"</f>
        <v>157.91</v>
      </c>
      <c r="J5557" s="1" t="str">
        <f t="shared" si="3172"/>
        <v>0</v>
      </c>
      <c r="K5557" s="1" t="str">
        <f t="shared" si="3173"/>
        <v>103</v>
      </c>
      <c r="L5557" s="1" t="str">
        <f t="shared" si="3174"/>
        <v>47</v>
      </c>
      <c r="M5557" s="1" t="str">
        <f t="shared" si="3171"/>
        <v>0</v>
      </c>
      <c r="N5557" s="1" t="str">
        <f t="shared" si="3175"/>
        <v>0</v>
      </c>
      <c r="O5557" s="1" t="str">
        <f>"7.91"</f>
        <v>7.91</v>
      </c>
    </row>
    <row r="5558" s="1" customFormat="1" spans="1:15">
      <c r="A5558" s="1" t="str">
        <f t="shared" si="3162"/>
        <v>202406</v>
      </c>
      <c r="B5558" s="1" t="str">
        <f t="shared" si="3163"/>
        <v>150525100</v>
      </c>
      <c r="C5558" s="1" t="str">
        <f>"1040682554"</f>
        <v>1040682554</v>
      </c>
      <c r="D5558" s="1" t="str">
        <f>"152326195612063326"</f>
        <v>152326195612063326</v>
      </c>
      <c r="E5558" s="1" t="s">
        <v>5477</v>
      </c>
      <c r="F5558" s="1" t="s">
        <v>16</v>
      </c>
      <c r="G5558" s="1" t="s">
        <v>19</v>
      </c>
      <c r="H5558" s="1" t="str">
        <f>"68"</f>
        <v>68</v>
      </c>
      <c r="I5558" s="1" t="str">
        <f>"154.66"</f>
        <v>154.66</v>
      </c>
      <c r="J5558" s="1" t="str">
        <f t="shared" si="3172"/>
        <v>0</v>
      </c>
      <c r="K5558" s="1" t="str">
        <f t="shared" si="3173"/>
        <v>103</v>
      </c>
      <c r="L5558" s="1" t="str">
        <f t="shared" si="3174"/>
        <v>47</v>
      </c>
      <c r="M5558" s="1" t="str">
        <f t="shared" si="3171"/>
        <v>0</v>
      </c>
      <c r="N5558" s="1" t="str">
        <f t="shared" si="3175"/>
        <v>0</v>
      </c>
      <c r="O5558" s="1" t="str">
        <f>"4.66"</f>
        <v>4.66</v>
      </c>
    </row>
    <row r="5559" s="1" customFormat="1" spans="1:15">
      <c r="A5559" s="1" t="str">
        <f t="shared" si="3162"/>
        <v>202406</v>
      </c>
      <c r="B5559" s="1" t="str">
        <f t="shared" si="3163"/>
        <v>150525100</v>
      </c>
      <c r="C5559" s="1" t="str">
        <f>"1040690059"</f>
        <v>1040690059</v>
      </c>
      <c r="D5559" s="1" t="str">
        <f>"152326195307293811"</f>
        <v>152326195307293811</v>
      </c>
      <c r="E5559" s="1" t="s">
        <v>5478</v>
      </c>
      <c r="F5559" s="1" t="s">
        <v>25</v>
      </c>
      <c r="G5559" s="1" t="s">
        <v>19</v>
      </c>
      <c r="H5559" s="1" t="str">
        <f>"71"</f>
        <v>71</v>
      </c>
      <c r="I5559" s="1" t="str">
        <f>"162.26"</f>
        <v>162.26</v>
      </c>
      <c r="J5559" s="1" t="str">
        <f t="shared" si="3172"/>
        <v>0</v>
      </c>
      <c r="K5559" s="1" t="str">
        <f t="shared" si="3173"/>
        <v>103</v>
      </c>
      <c r="L5559" s="1" t="str">
        <f t="shared" si="3174"/>
        <v>47</v>
      </c>
      <c r="M5559" s="1" t="str">
        <f t="shared" si="3171"/>
        <v>0</v>
      </c>
      <c r="N5559" s="1" t="str">
        <f t="shared" si="3175"/>
        <v>0</v>
      </c>
      <c r="O5559" s="1" t="str">
        <f>"2.26"</f>
        <v>2.26</v>
      </c>
    </row>
    <row r="5560" s="1" customFormat="1" spans="1:15">
      <c r="A5560" s="1" t="str">
        <f t="shared" si="3162"/>
        <v>202406</v>
      </c>
      <c r="B5560" s="1" t="str">
        <f t="shared" si="3163"/>
        <v>150525100</v>
      </c>
      <c r="C5560" s="1" t="str">
        <f>"1040689975"</f>
        <v>1040689975</v>
      </c>
      <c r="D5560" s="1" t="s">
        <v>5479</v>
      </c>
      <c r="E5560" s="1" t="s">
        <v>5480</v>
      </c>
      <c r="F5560" s="1" t="s">
        <v>16</v>
      </c>
      <c r="G5560" s="1" t="s">
        <v>19</v>
      </c>
      <c r="H5560" s="1" t="str">
        <f t="shared" ref="H5560:H5565" si="3176">"70"</f>
        <v>70</v>
      </c>
      <c r="I5560" s="1" t="str">
        <f>"163.25"</f>
        <v>163.25</v>
      </c>
      <c r="J5560" s="1" t="str">
        <f t="shared" si="3172"/>
        <v>0</v>
      </c>
      <c r="K5560" s="1" t="str">
        <f t="shared" si="3173"/>
        <v>103</v>
      </c>
      <c r="L5560" s="1" t="str">
        <f t="shared" si="3174"/>
        <v>47</v>
      </c>
      <c r="M5560" s="1" t="str">
        <f t="shared" si="3171"/>
        <v>0</v>
      </c>
      <c r="N5560" s="1" t="str">
        <f t="shared" si="3175"/>
        <v>0</v>
      </c>
      <c r="O5560" s="1" t="str">
        <f>"3.25"</f>
        <v>3.25</v>
      </c>
    </row>
    <row r="5561" s="1" customFormat="1" spans="1:15">
      <c r="A5561" s="1" t="str">
        <f t="shared" si="3162"/>
        <v>202406</v>
      </c>
      <c r="B5561" s="1" t="str">
        <f t="shared" si="3163"/>
        <v>150525100</v>
      </c>
      <c r="C5561" s="1" t="str">
        <f>"1040689991"</f>
        <v>1040689991</v>
      </c>
      <c r="D5561" s="1" t="str">
        <f>"152326195409280923"</f>
        <v>152326195409280923</v>
      </c>
      <c r="E5561" s="1" t="s">
        <v>5481</v>
      </c>
      <c r="F5561" s="1" t="s">
        <v>16</v>
      </c>
      <c r="G5561" s="1" t="s">
        <v>19</v>
      </c>
      <c r="H5561" s="1" t="str">
        <f t="shared" si="3176"/>
        <v>70</v>
      </c>
      <c r="I5561" s="1" t="str">
        <f>"153.25"</f>
        <v>153.25</v>
      </c>
      <c r="J5561" s="1" t="str">
        <f t="shared" si="3172"/>
        <v>0</v>
      </c>
      <c r="K5561" s="1" t="str">
        <f t="shared" si="3173"/>
        <v>103</v>
      </c>
      <c r="L5561" s="1" t="str">
        <f t="shared" si="3174"/>
        <v>47</v>
      </c>
      <c r="M5561" s="1" t="str">
        <f t="shared" si="3171"/>
        <v>0</v>
      </c>
      <c r="N5561" s="1" t="str">
        <f t="shared" si="3175"/>
        <v>0</v>
      </c>
      <c r="O5561" s="1" t="str">
        <f>"3.25"</f>
        <v>3.25</v>
      </c>
    </row>
    <row r="5562" s="1" customFormat="1" spans="1:15">
      <c r="A5562" s="1" t="str">
        <f t="shared" si="3162"/>
        <v>202406</v>
      </c>
      <c r="B5562" s="1" t="str">
        <f t="shared" si="3163"/>
        <v>150525100</v>
      </c>
      <c r="C5562" s="1" t="str">
        <f>"1040690019"</f>
        <v>1040690019</v>
      </c>
      <c r="D5562" s="1" t="str">
        <f>"152326196006103097"</f>
        <v>152326196006103097</v>
      </c>
      <c r="E5562" s="1" t="s">
        <v>4057</v>
      </c>
      <c r="F5562" s="1" t="s">
        <v>25</v>
      </c>
      <c r="G5562" s="1" t="s">
        <v>17</v>
      </c>
      <c r="H5562" s="1" t="str">
        <f>"64"</f>
        <v>64</v>
      </c>
      <c r="I5562" s="1" t="str">
        <f>"158.28"</f>
        <v>158.28</v>
      </c>
      <c r="J5562" s="1" t="str">
        <f t="shared" si="3172"/>
        <v>0</v>
      </c>
      <c r="K5562" s="1" t="str">
        <f t="shared" si="3173"/>
        <v>103</v>
      </c>
      <c r="L5562" s="1" t="str">
        <f t="shared" si="3174"/>
        <v>47</v>
      </c>
      <c r="M5562" s="1" t="str">
        <f t="shared" si="3171"/>
        <v>0</v>
      </c>
      <c r="N5562" s="1" t="str">
        <f t="shared" si="3175"/>
        <v>0</v>
      </c>
      <c r="O5562" s="1" t="str">
        <f>"8.28"</f>
        <v>8.28</v>
      </c>
    </row>
    <row r="5563" s="1" customFormat="1" spans="1:15">
      <c r="A5563" s="1" t="str">
        <f t="shared" si="3162"/>
        <v>202406</v>
      </c>
      <c r="B5563" s="1" t="str">
        <f t="shared" si="3163"/>
        <v>150525100</v>
      </c>
      <c r="C5563" s="1" t="str">
        <f>"1040690384"</f>
        <v>1040690384</v>
      </c>
      <c r="D5563" s="1" t="str">
        <f>"152326195802053081"</f>
        <v>152326195802053081</v>
      </c>
      <c r="E5563" s="1" t="s">
        <v>5482</v>
      </c>
      <c r="F5563" s="1" t="s">
        <v>16</v>
      </c>
      <c r="G5563" s="1" t="s">
        <v>19</v>
      </c>
      <c r="H5563" s="1" t="str">
        <f t="shared" ref="H5563:H5567" si="3177">"66"</f>
        <v>66</v>
      </c>
      <c r="I5563" s="1" t="str">
        <f>"155.91"</f>
        <v>155.91</v>
      </c>
      <c r="J5563" s="1" t="str">
        <f t="shared" si="3172"/>
        <v>0</v>
      </c>
      <c r="K5563" s="1" t="str">
        <f t="shared" si="3173"/>
        <v>103</v>
      </c>
      <c r="L5563" s="1" t="str">
        <f t="shared" si="3174"/>
        <v>47</v>
      </c>
      <c r="M5563" s="1" t="str">
        <f t="shared" si="3171"/>
        <v>0</v>
      </c>
      <c r="N5563" s="1" t="str">
        <f t="shared" si="3175"/>
        <v>0</v>
      </c>
      <c r="O5563" s="1" t="str">
        <f>"5.91"</f>
        <v>5.91</v>
      </c>
    </row>
    <row r="5564" s="1" customFormat="1" spans="1:15">
      <c r="A5564" s="1" t="str">
        <f t="shared" si="3162"/>
        <v>202406</v>
      </c>
      <c r="B5564" s="1" t="str">
        <f t="shared" si="3163"/>
        <v>150525100</v>
      </c>
      <c r="C5564" s="1" t="str">
        <f>"1040690497"</f>
        <v>1040690497</v>
      </c>
      <c r="D5564" s="1" t="str">
        <f>"152326195910023074"</f>
        <v>152326195910023074</v>
      </c>
      <c r="E5564" s="1" t="s">
        <v>5483</v>
      </c>
      <c r="F5564" s="1" t="s">
        <v>25</v>
      </c>
      <c r="G5564" s="1" t="s">
        <v>19</v>
      </c>
      <c r="H5564" s="1" t="str">
        <f t="shared" ref="H5564:H5570" si="3178">"65"</f>
        <v>65</v>
      </c>
      <c r="I5564" s="1" t="str">
        <f>"157.01"</f>
        <v>157.01</v>
      </c>
      <c r="J5564" s="1" t="str">
        <f t="shared" si="3172"/>
        <v>0</v>
      </c>
      <c r="K5564" s="1" t="str">
        <f t="shared" si="3173"/>
        <v>103</v>
      </c>
      <c r="L5564" s="1" t="str">
        <f t="shared" si="3174"/>
        <v>47</v>
      </c>
      <c r="M5564" s="1" t="str">
        <f t="shared" si="3171"/>
        <v>0</v>
      </c>
      <c r="N5564" s="1" t="str">
        <f t="shared" si="3175"/>
        <v>0</v>
      </c>
      <c r="O5564" s="1" t="str">
        <f>"7.01"</f>
        <v>7.01</v>
      </c>
    </row>
    <row r="5565" s="1" customFormat="1" spans="1:15">
      <c r="A5565" s="1" t="str">
        <f t="shared" si="3162"/>
        <v>202406</v>
      </c>
      <c r="B5565" s="1" t="str">
        <f t="shared" si="3163"/>
        <v>150525100</v>
      </c>
      <c r="C5565" s="1" t="str">
        <f>"1040690114"</f>
        <v>1040690114</v>
      </c>
      <c r="D5565" s="1" t="str">
        <f>"152326195406273082"</f>
        <v>152326195406273082</v>
      </c>
      <c r="E5565" s="1" t="s">
        <v>5484</v>
      </c>
      <c r="F5565" s="1" t="s">
        <v>16</v>
      </c>
      <c r="G5565" s="1" t="s">
        <v>19</v>
      </c>
      <c r="H5565" s="1" t="str">
        <f t="shared" si="3176"/>
        <v>70</v>
      </c>
      <c r="I5565" s="1" t="str">
        <f>"164.96"</f>
        <v>164.96</v>
      </c>
      <c r="J5565" s="1" t="str">
        <f t="shared" si="3172"/>
        <v>0</v>
      </c>
      <c r="K5565" s="1" t="str">
        <f t="shared" si="3173"/>
        <v>103</v>
      </c>
      <c r="L5565" s="1" t="str">
        <f t="shared" si="3174"/>
        <v>47</v>
      </c>
      <c r="M5565" s="1" t="str">
        <f t="shared" si="3171"/>
        <v>0</v>
      </c>
      <c r="N5565" s="1" t="str">
        <f t="shared" si="3175"/>
        <v>0</v>
      </c>
      <c r="O5565" s="1" t="str">
        <f>"14.96"</f>
        <v>14.96</v>
      </c>
    </row>
    <row r="5566" s="1" customFormat="1" spans="1:15">
      <c r="A5566" s="1" t="str">
        <f t="shared" si="3162"/>
        <v>202406</v>
      </c>
      <c r="B5566" s="1" t="str">
        <f t="shared" si="3163"/>
        <v>150525100</v>
      </c>
      <c r="C5566" s="1" t="str">
        <f>"1014572710"</f>
        <v>1014572710</v>
      </c>
      <c r="D5566" s="1" t="str">
        <f>"152326195811120928"</f>
        <v>152326195811120928</v>
      </c>
      <c r="E5566" s="1" t="s">
        <v>5485</v>
      </c>
      <c r="F5566" s="1" t="s">
        <v>16</v>
      </c>
      <c r="G5566" s="1" t="s">
        <v>19</v>
      </c>
      <c r="H5566" s="1" t="str">
        <f t="shared" si="3177"/>
        <v>66</v>
      </c>
      <c r="I5566" s="1" t="str">
        <f>"156.65"</f>
        <v>156.65</v>
      </c>
      <c r="J5566" s="1" t="str">
        <f t="shared" si="3172"/>
        <v>0</v>
      </c>
      <c r="K5566" s="1" t="str">
        <f t="shared" si="3173"/>
        <v>103</v>
      </c>
      <c r="L5566" s="1" t="str">
        <f t="shared" si="3174"/>
        <v>47</v>
      </c>
      <c r="M5566" s="1" t="str">
        <f t="shared" si="3171"/>
        <v>0</v>
      </c>
      <c r="N5566" s="1" t="str">
        <f t="shared" si="3175"/>
        <v>0</v>
      </c>
      <c r="O5566" s="1" t="str">
        <f>"6.65"</f>
        <v>6.65</v>
      </c>
    </row>
    <row r="5567" s="1" customFormat="1" spans="1:15">
      <c r="A5567" s="1" t="str">
        <f t="shared" si="3162"/>
        <v>202406</v>
      </c>
      <c r="B5567" s="1" t="str">
        <f t="shared" si="3163"/>
        <v>150525100</v>
      </c>
      <c r="C5567" s="1" t="str">
        <f>"1014572711"</f>
        <v>1014572711</v>
      </c>
      <c r="D5567" s="1" t="str">
        <f>"152326195811143070"</f>
        <v>152326195811143070</v>
      </c>
      <c r="E5567" s="1" t="s">
        <v>5486</v>
      </c>
      <c r="F5567" s="1" t="s">
        <v>25</v>
      </c>
      <c r="G5567" s="1" t="s">
        <v>19</v>
      </c>
      <c r="H5567" s="1" t="str">
        <f t="shared" si="3177"/>
        <v>66</v>
      </c>
      <c r="I5567" s="1" t="str">
        <f>"157.15"</f>
        <v>157.15</v>
      </c>
      <c r="J5567" s="1" t="str">
        <f t="shared" si="3172"/>
        <v>0</v>
      </c>
      <c r="K5567" s="1" t="str">
        <f t="shared" si="3173"/>
        <v>103</v>
      </c>
      <c r="L5567" s="1" t="str">
        <f t="shared" si="3174"/>
        <v>47</v>
      </c>
      <c r="M5567" s="1" t="str">
        <f t="shared" si="3171"/>
        <v>0</v>
      </c>
      <c r="N5567" s="1" t="str">
        <f t="shared" si="3175"/>
        <v>0</v>
      </c>
      <c r="O5567" s="1" t="str">
        <f>"7.15"</f>
        <v>7.15</v>
      </c>
    </row>
    <row r="5568" s="1" customFormat="1" spans="1:15">
      <c r="A5568" s="1" t="str">
        <f t="shared" si="3162"/>
        <v>202406</v>
      </c>
      <c r="B5568" s="1" t="str">
        <f t="shared" si="3163"/>
        <v>150525100</v>
      </c>
      <c r="C5568" s="1" t="str">
        <f>"1014572717"</f>
        <v>1014572717</v>
      </c>
      <c r="D5568" s="1" t="str">
        <f>"152326195909103085"</f>
        <v>152326195909103085</v>
      </c>
      <c r="E5568" s="1" t="s">
        <v>5487</v>
      </c>
      <c r="F5568" s="1" t="s">
        <v>16</v>
      </c>
      <c r="G5568" s="1" t="s">
        <v>19</v>
      </c>
      <c r="H5568" s="1" t="str">
        <f t="shared" si="3178"/>
        <v>65</v>
      </c>
      <c r="I5568" s="1" t="str">
        <f>"164.95"</f>
        <v>164.95</v>
      </c>
      <c r="J5568" s="1" t="str">
        <f t="shared" si="3172"/>
        <v>0</v>
      </c>
      <c r="K5568" s="1" t="str">
        <f t="shared" si="3173"/>
        <v>103</v>
      </c>
      <c r="L5568" s="1" t="str">
        <f t="shared" si="3174"/>
        <v>47</v>
      </c>
      <c r="M5568" s="1" t="str">
        <f t="shared" si="3171"/>
        <v>0</v>
      </c>
      <c r="N5568" s="1" t="str">
        <f t="shared" si="3175"/>
        <v>0</v>
      </c>
      <c r="O5568" s="1" t="str">
        <f>"14.95"</f>
        <v>14.95</v>
      </c>
    </row>
    <row r="5569" s="1" customFormat="1" spans="1:15">
      <c r="A5569" s="1" t="str">
        <f t="shared" si="3162"/>
        <v>202406</v>
      </c>
      <c r="B5569" s="1" t="str">
        <f t="shared" si="3163"/>
        <v>150525100</v>
      </c>
      <c r="C5569" s="1" t="str">
        <f>"1014572719"</f>
        <v>1014572719</v>
      </c>
      <c r="D5569" s="1" t="str">
        <f>"152326195911120036"</f>
        <v>152326195911120036</v>
      </c>
      <c r="E5569" s="1" t="s">
        <v>5488</v>
      </c>
      <c r="F5569" s="1" t="s">
        <v>25</v>
      </c>
      <c r="G5569" s="1" t="s">
        <v>19</v>
      </c>
      <c r="H5569" s="1" t="str">
        <f t="shared" si="3178"/>
        <v>65</v>
      </c>
      <c r="I5569" s="1" t="str">
        <f>"158.19"</f>
        <v>158.19</v>
      </c>
      <c r="J5569" s="1" t="str">
        <f t="shared" si="3172"/>
        <v>0</v>
      </c>
      <c r="K5569" s="1" t="str">
        <f t="shared" si="3173"/>
        <v>103</v>
      </c>
      <c r="L5569" s="1" t="str">
        <f t="shared" si="3174"/>
        <v>47</v>
      </c>
      <c r="M5569" s="1" t="str">
        <f t="shared" si="3171"/>
        <v>0</v>
      </c>
      <c r="N5569" s="1" t="str">
        <f t="shared" si="3175"/>
        <v>0</v>
      </c>
      <c r="O5569" s="1" t="str">
        <f>"8.19"</f>
        <v>8.19</v>
      </c>
    </row>
    <row r="5570" s="1" customFormat="1" spans="1:15">
      <c r="A5570" s="1" t="str">
        <f t="shared" ref="A5570:A5633" si="3179">"202406"</f>
        <v>202406</v>
      </c>
      <c r="B5570" s="1" t="str">
        <f t="shared" ref="B5570:B5633" si="3180">"150525100"</f>
        <v>150525100</v>
      </c>
      <c r="C5570" s="1" t="str">
        <f>"1014572721"</f>
        <v>1014572721</v>
      </c>
      <c r="D5570" s="1" t="str">
        <f>"152326196001040912"</f>
        <v>152326196001040912</v>
      </c>
      <c r="E5570" s="1" t="s">
        <v>5489</v>
      </c>
      <c r="F5570" s="1" t="s">
        <v>25</v>
      </c>
      <c r="G5570" s="1" t="s">
        <v>19</v>
      </c>
      <c r="H5570" s="1" t="str">
        <f t="shared" si="3178"/>
        <v>65</v>
      </c>
      <c r="I5570" s="1" t="str">
        <f>"158.9"</f>
        <v>158.9</v>
      </c>
      <c r="J5570" s="1" t="str">
        <f t="shared" si="3172"/>
        <v>0</v>
      </c>
      <c r="K5570" s="1" t="str">
        <f t="shared" si="3173"/>
        <v>103</v>
      </c>
      <c r="L5570" s="1" t="str">
        <f t="shared" si="3174"/>
        <v>47</v>
      </c>
      <c r="M5570" s="1" t="str">
        <f t="shared" si="3171"/>
        <v>0</v>
      </c>
      <c r="N5570" s="1" t="str">
        <f t="shared" si="3175"/>
        <v>0</v>
      </c>
      <c r="O5570" s="1" t="str">
        <f>"8.9"</f>
        <v>8.9</v>
      </c>
    </row>
    <row r="5571" s="1" customFormat="1" spans="1:15">
      <c r="A5571" s="1" t="str">
        <f t="shared" si="3179"/>
        <v>202406</v>
      </c>
      <c r="B5571" s="1" t="str">
        <f t="shared" si="3180"/>
        <v>150525100</v>
      </c>
      <c r="C5571" s="1" t="str">
        <f>"1014572723"</f>
        <v>1014572723</v>
      </c>
      <c r="D5571" s="1" t="str">
        <f>"152326196002080027"</f>
        <v>152326196002080027</v>
      </c>
      <c r="E5571" s="1" t="s">
        <v>5490</v>
      </c>
      <c r="F5571" s="1" t="s">
        <v>16</v>
      </c>
      <c r="G5571" s="1" t="s">
        <v>19</v>
      </c>
      <c r="H5571" s="1" t="str">
        <f>"64"</f>
        <v>64</v>
      </c>
      <c r="I5571" s="1" t="str">
        <f>"159.18"</f>
        <v>159.18</v>
      </c>
      <c r="J5571" s="1" t="str">
        <f t="shared" si="3172"/>
        <v>0</v>
      </c>
      <c r="K5571" s="1" t="str">
        <f t="shared" si="3173"/>
        <v>103</v>
      </c>
      <c r="L5571" s="1" t="str">
        <f t="shared" si="3174"/>
        <v>47</v>
      </c>
      <c r="M5571" s="1" t="str">
        <f t="shared" si="3171"/>
        <v>0</v>
      </c>
      <c r="N5571" s="1" t="str">
        <f t="shared" si="3175"/>
        <v>0</v>
      </c>
      <c r="O5571" s="1" t="str">
        <f>"9.18"</f>
        <v>9.18</v>
      </c>
    </row>
    <row r="5572" s="1" customFormat="1" spans="1:15">
      <c r="A5572" s="1" t="str">
        <f t="shared" si="3179"/>
        <v>202406</v>
      </c>
      <c r="B5572" s="1" t="str">
        <f t="shared" si="3180"/>
        <v>150525100</v>
      </c>
      <c r="C5572" s="1" t="str">
        <f>"1014572732"</f>
        <v>1014572732</v>
      </c>
      <c r="D5572" s="1" t="str">
        <f>"152326196109193080"</f>
        <v>152326196109193080</v>
      </c>
      <c r="E5572" s="1" t="s">
        <v>5491</v>
      </c>
      <c r="F5572" s="1" t="s">
        <v>16</v>
      </c>
      <c r="G5572" s="1" t="s">
        <v>19</v>
      </c>
      <c r="H5572" s="1" t="str">
        <f t="shared" ref="H5572:H5576" si="3181">"63"</f>
        <v>63</v>
      </c>
      <c r="I5572" s="1" t="str">
        <f>"165"</f>
        <v>165</v>
      </c>
      <c r="J5572" s="1" t="str">
        <f t="shared" si="3172"/>
        <v>0</v>
      </c>
      <c r="K5572" s="1" t="str">
        <f t="shared" si="3173"/>
        <v>103</v>
      </c>
      <c r="L5572" s="1" t="str">
        <f t="shared" si="3174"/>
        <v>47</v>
      </c>
      <c r="M5572" s="1" t="str">
        <f t="shared" si="3171"/>
        <v>0</v>
      </c>
      <c r="N5572" s="1" t="str">
        <f t="shared" si="3175"/>
        <v>0</v>
      </c>
      <c r="O5572" s="1" t="str">
        <f>"15"</f>
        <v>15</v>
      </c>
    </row>
    <row r="5573" s="1" customFormat="1" spans="1:15">
      <c r="A5573" s="1" t="str">
        <f t="shared" si="3179"/>
        <v>202406</v>
      </c>
      <c r="B5573" s="1" t="str">
        <f t="shared" si="3180"/>
        <v>150525100</v>
      </c>
      <c r="C5573" s="1" t="str">
        <f>"1014572735"</f>
        <v>1014572735</v>
      </c>
      <c r="D5573" s="1" t="str">
        <f>"152326196202133074"</f>
        <v>152326196202133074</v>
      </c>
      <c r="E5573" s="1" t="s">
        <v>5492</v>
      </c>
      <c r="F5573" s="1" t="s">
        <v>25</v>
      </c>
      <c r="G5573" s="1" t="s">
        <v>19</v>
      </c>
      <c r="H5573" s="1" t="str">
        <f t="shared" ref="H5573:H5578" si="3182">"62"</f>
        <v>62</v>
      </c>
      <c r="I5573" s="1" t="str">
        <f>"162.92"</f>
        <v>162.92</v>
      </c>
      <c r="J5573" s="1" t="str">
        <f t="shared" si="3172"/>
        <v>0</v>
      </c>
      <c r="K5573" s="1" t="str">
        <f t="shared" si="3173"/>
        <v>103</v>
      </c>
      <c r="L5573" s="1" t="str">
        <f t="shared" si="3174"/>
        <v>47</v>
      </c>
      <c r="M5573" s="1" t="str">
        <f t="shared" si="3171"/>
        <v>0</v>
      </c>
      <c r="N5573" s="1" t="str">
        <f t="shared" si="3175"/>
        <v>0</v>
      </c>
      <c r="O5573" s="1" t="str">
        <f>"12.92"</f>
        <v>12.92</v>
      </c>
    </row>
    <row r="5574" s="1" customFormat="1" spans="1:15">
      <c r="A5574" s="1" t="str">
        <f t="shared" si="3179"/>
        <v>202406</v>
      </c>
      <c r="B5574" s="1" t="str">
        <f t="shared" si="3180"/>
        <v>150525100</v>
      </c>
      <c r="C5574" s="1" t="str">
        <f>"1014572738"</f>
        <v>1014572738</v>
      </c>
      <c r="D5574" s="1" t="str">
        <f>"152326196206020448"</f>
        <v>152326196206020448</v>
      </c>
      <c r="E5574" s="1" t="s">
        <v>1104</v>
      </c>
      <c r="F5574" s="1" t="s">
        <v>16</v>
      </c>
      <c r="G5574" s="1" t="s">
        <v>19</v>
      </c>
      <c r="H5574" s="1" t="str">
        <f t="shared" si="3182"/>
        <v>62</v>
      </c>
      <c r="I5574" s="1" t="str">
        <f>"163.82"</f>
        <v>163.82</v>
      </c>
      <c r="J5574" s="1" t="str">
        <f t="shared" si="3172"/>
        <v>0</v>
      </c>
      <c r="K5574" s="1" t="str">
        <f t="shared" si="3173"/>
        <v>103</v>
      </c>
      <c r="L5574" s="1" t="str">
        <f t="shared" si="3174"/>
        <v>47</v>
      </c>
      <c r="M5574" s="1" t="str">
        <f t="shared" si="3171"/>
        <v>0</v>
      </c>
      <c r="N5574" s="1" t="str">
        <f t="shared" si="3175"/>
        <v>0</v>
      </c>
      <c r="O5574" s="1" t="str">
        <f>"13.82"</f>
        <v>13.82</v>
      </c>
    </row>
    <row r="5575" s="1" customFormat="1" spans="1:15">
      <c r="A5575" s="1" t="str">
        <f t="shared" si="3179"/>
        <v>202406</v>
      </c>
      <c r="B5575" s="1" t="str">
        <f t="shared" si="3180"/>
        <v>150525100</v>
      </c>
      <c r="C5575" s="1" t="str">
        <f>"1014575564"</f>
        <v>1014575564</v>
      </c>
      <c r="D5575" s="1" t="str">
        <f>"152326196103060674"</f>
        <v>152326196103060674</v>
      </c>
      <c r="E5575" s="1" t="s">
        <v>5493</v>
      </c>
      <c r="F5575" s="1" t="s">
        <v>25</v>
      </c>
      <c r="G5575" s="1" t="s">
        <v>17</v>
      </c>
      <c r="H5575" s="1" t="str">
        <f t="shared" si="3181"/>
        <v>63</v>
      </c>
      <c r="I5575" s="1" t="str">
        <f>"161.03"</f>
        <v>161.03</v>
      </c>
      <c r="J5575" s="1" t="str">
        <f t="shared" si="3172"/>
        <v>0</v>
      </c>
      <c r="K5575" s="1" t="str">
        <f t="shared" si="3173"/>
        <v>103</v>
      </c>
      <c r="L5575" s="1" t="str">
        <f t="shared" si="3174"/>
        <v>47</v>
      </c>
      <c r="M5575" s="1" t="str">
        <f t="shared" si="3171"/>
        <v>0</v>
      </c>
      <c r="N5575" s="1" t="str">
        <f t="shared" si="3175"/>
        <v>0</v>
      </c>
      <c r="O5575" s="1" t="str">
        <f>"11.03"</f>
        <v>11.03</v>
      </c>
    </row>
    <row r="5576" s="1" customFormat="1" spans="1:15">
      <c r="A5576" s="1" t="str">
        <f t="shared" si="3179"/>
        <v>202406</v>
      </c>
      <c r="B5576" s="1" t="str">
        <f t="shared" si="3180"/>
        <v>150525100</v>
      </c>
      <c r="C5576" s="1" t="str">
        <f>"1014575566"</f>
        <v>1014575566</v>
      </c>
      <c r="D5576" s="1" t="str">
        <f>"152326196103210660"</f>
        <v>152326196103210660</v>
      </c>
      <c r="E5576" s="1" t="s">
        <v>5494</v>
      </c>
      <c r="F5576" s="1" t="s">
        <v>16</v>
      </c>
      <c r="G5576" s="1" t="s">
        <v>17</v>
      </c>
      <c r="H5576" s="1" t="str">
        <f t="shared" si="3181"/>
        <v>63</v>
      </c>
      <c r="I5576" s="1" t="str">
        <f>"161.82"</f>
        <v>161.82</v>
      </c>
      <c r="J5576" s="1" t="str">
        <f t="shared" si="3172"/>
        <v>0</v>
      </c>
      <c r="K5576" s="1" t="str">
        <f t="shared" si="3173"/>
        <v>103</v>
      </c>
      <c r="L5576" s="1" t="str">
        <f t="shared" si="3174"/>
        <v>47</v>
      </c>
      <c r="M5576" s="1" t="str">
        <f t="shared" si="3171"/>
        <v>0</v>
      </c>
      <c r="N5576" s="1" t="str">
        <f t="shared" si="3175"/>
        <v>0</v>
      </c>
      <c r="O5576" s="1" t="str">
        <f>"11.82"</f>
        <v>11.82</v>
      </c>
    </row>
    <row r="5577" s="1" customFormat="1" spans="1:15">
      <c r="A5577" s="1" t="str">
        <f t="shared" si="3179"/>
        <v>202406</v>
      </c>
      <c r="B5577" s="1" t="str">
        <f t="shared" si="3180"/>
        <v>150525100</v>
      </c>
      <c r="C5577" s="1" t="str">
        <f>"1014575582"</f>
        <v>1014575582</v>
      </c>
      <c r="D5577" s="1" t="str">
        <f>"152326196207220695"</f>
        <v>152326196207220695</v>
      </c>
      <c r="E5577" s="1" t="s">
        <v>5495</v>
      </c>
      <c r="F5577" s="1" t="s">
        <v>25</v>
      </c>
      <c r="G5577" s="1" t="s">
        <v>17</v>
      </c>
      <c r="H5577" s="1" t="str">
        <f t="shared" si="3182"/>
        <v>62</v>
      </c>
      <c r="I5577" s="1" t="str">
        <f>"165.59"</f>
        <v>165.59</v>
      </c>
      <c r="J5577" s="1" t="str">
        <f t="shared" si="3172"/>
        <v>0</v>
      </c>
      <c r="K5577" s="1" t="str">
        <f t="shared" si="3173"/>
        <v>103</v>
      </c>
      <c r="L5577" s="1" t="str">
        <f t="shared" si="3174"/>
        <v>47</v>
      </c>
      <c r="M5577" s="1" t="str">
        <f t="shared" si="3171"/>
        <v>0</v>
      </c>
      <c r="N5577" s="1" t="str">
        <f t="shared" si="3175"/>
        <v>0</v>
      </c>
      <c r="O5577" s="1" t="str">
        <f>"15.59"</f>
        <v>15.59</v>
      </c>
    </row>
    <row r="5578" s="1" customFormat="1" spans="1:15">
      <c r="A5578" s="1" t="str">
        <f t="shared" si="3179"/>
        <v>202406</v>
      </c>
      <c r="B5578" s="1" t="str">
        <f t="shared" si="3180"/>
        <v>150525100</v>
      </c>
      <c r="C5578" s="1" t="str">
        <f>"1014575585"</f>
        <v>1014575585</v>
      </c>
      <c r="D5578" s="1" t="str">
        <f>"152326196210190685"</f>
        <v>152326196210190685</v>
      </c>
      <c r="E5578" s="1" t="s">
        <v>5496</v>
      </c>
      <c r="F5578" s="1" t="s">
        <v>16</v>
      </c>
      <c r="G5578" s="1" t="s">
        <v>17</v>
      </c>
      <c r="H5578" s="1" t="str">
        <f t="shared" si="3182"/>
        <v>62</v>
      </c>
      <c r="I5578" s="1" t="str">
        <f>"163.15"</f>
        <v>163.15</v>
      </c>
      <c r="J5578" s="1" t="str">
        <f t="shared" si="3172"/>
        <v>0</v>
      </c>
      <c r="K5578" s="1" t="str">
        <f t="shared" si="3173"/>
        <v>103</v>
      </c>
      <c r="L5578" s="1" t="str">
        <f t="shared" si="3174"/>
        <v>47</v>
      </c>
      <c r="M5578" s="1" t="str">
        <f t="shared" si="3171"/>
        <v>0</v>
      </c>
      <c r="N5578" s="1" t="str">
        <f t="shared" si="3175"/>
        <v>0</v>
      </c>
      <c r="O5578" s="1" t="str">
        <f>"13.15"</f>
        <v>13.15</v>
      </c>
    </row>
    <row r="5579" s="1" customFormat="1" spans="1:15">
      <c r="A5579" s="1" t="str">
        <f t="shared" si="3179"/>
        <v>202406</v>
      </c>
      <c r="B5579" s="1" t="str">
        <f t="shared" si="3180"/>
        <v>150525100</v>
      </c>
      <c r="C5579" s="1" t="str">
        <f>"1014575588"</f>
        <v>1014575588</v>
      </c>
      <c r="D5579" s="1" t="str">
        <f>"152326196302270674"</f>
        <v>152326196302270674</v>
      </c>
      <c r="E5579" s="1" t="s">
        <v>5497</v>
      </c>
      <c r="F5579" s="1" t="s">
        <v>25</v>
      </c>
      <c r="G5579" s="1" t="s">
        <v>17</v>
      </c>
      <c r="H5579" s="1" t="str">
        <f>"61"</f>
        <v>61</v>
      </c>
      <c r="I5579" s="1" t="str">
        <f>"164.97"</f>
        <v>164.97</v>
      </c>
      <c r="J5579" s="1" t="str">
        <f t="shared" si="3172"/>
        <v>0</v>
      </c>
      <c r="K5579" s="1" t="str">
        <f t="shared" si="3173"/>
        <v>103</v>
      </c>
      <c r="L5579" s="1" t="str">
        <f t="shared" si="3174"/>
        <v>47</v>
      </c>
      <c r="M5579" s="1" t="str">
        <f t="shared" si="3171"/>
        <v>0</v>
      </c>
      <c r="N5579" s="1" t="str">
        <f t="shared" si="3175"/>
        <v>0</v>
      </c>
      <c r="O5579" s="1" t="str">
        <f>"14.97"</f>
        <v>14.97</v>
      </c>
    </row>
    <row r="5580" s="1" customFormat="1" spans="1:15">
      <c r="A5580" s="1" t="str">
        <f t="shared" si="3179"/>
        <v>202406</v>
      </c>
      <c r="B5580" s="1" t="str">
        <f t="shared" si="3180"/>
        <v>150525100</v>
      </c>
      <c r="C5580" s="1" t="str">
        <f>"1014575591"</f>
        <v>1014575591</v>
      </c>
      <c r="D5580" s="1" t="str">
        <f>"152326196305070678"</f>
        <v>152326196305070678</v>
      </c>
      <c r="E5580" s="1" t="s">
        <v>5498</v>
      </c>
      <c r="F5580" s="1" t="s">
        <v>25</v>
      </c>
      <c r="G5580" s="1" t="s">
        <v>17</v>
      </c>
      <c r="H5580" s="1" t="str">
        <f>"61"</f>
        <v>61</v>
      </c>
      <c r="I5580" s="1" t="str">
        <f>"164.99"</f>
        <v>164.99</v>
      </c>
      <c r="J5580" s="1" t="str">
        <f t="shared" si="3172"/>
        <v>0</v>
      </c>
      <c r="K5580" s="1" t="str">
        <f t="shared" si="3173"/>
        <v>103</v>
      </c>
      <c r="L5580" s="1" t="str">
        <f t="shared" si="3174"/>
        <v>47</v>
      </c>
      <c r="M5580" s="1" t="str">
        <f t="shared" si="3171"/>
        <v>0</v>
      </c>
      <c r="N5580" s="1" t="str">
        <f t="shared" si="3175"/>
        <v>0</v>
      </c>
      <c r="O5580" s="1" t="str">
        <f>"14.99"</f>
        <v>14.99</v>
      </c>
    </row>
    <row r="5581" s="1" customFormat="1" spans="1:15">
      <c r="A5581" s="1" t="str">
        <f t="shared" si="3179"/>
        <v>202406</v>
      </c>
      <c r="B5581" s="1" t="str">
        <f t="shared" si="3180"/>
        <v>150525100</v>
      </c>
      <c r="C5581" s="1" t="str">
        <f>"1014548363"</f>
        <v>1014548363</v>
      </c>
      <c r="D5581" s="1" t="str">
        <f>"152326195404040699"</f>
        <v>152326195404040699</v>
      </c>
      <c r="E5581" s="1" t="s">
        <v>5499</v>
      </c>
      <c r="F5581" s="1" t="s">
        <v>25</v>
      </c>
      <c r="G5581" s="1" t="s">
        <v>17</v>
      </c>
      <c r="H5581" s="1" t="str">
        <f t="shared" ref="H5581:H5583" si="3183">"70"</f>
        <v>70</v>
      </c>
      <c r="I5581" s="1" t="str">
        <f>"164.14"</f>
        <v>164.14</v>
      </c>
      <c r="J5581" s="1" t="str">
        <f t="shared" si="3172"/>
        <v>0</v>
      </c>
      <c r="K5581" s="1" t="str">
        <f t="shared" si="3173"/>
        <v>103</v>
      </c>
      <c r="L5581" s="1" t="str">
        <f t="shared" si="3174"/>
        <v>47</v>
      </c>
      <c r="M5581" s="1" t="str">
        <f t="shared" si="3171"/>
        <v>0</v>
      </c>
      <c r="N5581" s="1" t="str">
        <f t="shared" si="3175"/>
        <v>0</v>
      </c>
      <c r="O5581" s="1" t="str">
        <f t="shared" ref="O5581:O5583" si="3184">"4.14"</f>
        <v>4.14</v>
      </c>
    </row>
    <row r="5582" s="1" customFormat="1" spans="1:15">
      <c r="A5582" s="1" t="str">
        <f t="shared" si="3179"/>
        <v>202406</v>
      </c>
      <c r="B5582" s="1" t="str">
        <f t="shared" si="3180"/>
        <v>150525100</v>
      </c>
      <c r="C5582" s="1" t="str">
        <f>"1014548366"</f>
        <v>1014548366</v>
      </c>
      <c r="D5582" s="1" t="str">
        <f>"152326195407250667"</f>
        <v>152326195407250667</v>
      </c>
      <c r="E5582" s="1" t="s">
        <v>5500</v>
      </c>
      <c r="F5582" s="1" t="s">
        <v>16</v>
      </c>
      <c r="G5582" s="1" t="s">
        <v>17</v>
      </c>
      <c r="H5582" s="1" t="str">
        <f t="shared" si="3183"/>
        <v>70</v>
      </c>
      <c r="I5582" s="1" t="str">
        <f>"154.14"</f>
        <v>154.14</v>
      </c>
      <c r="J5582" s="1" t="str">
        <f t="shared" si="3172"/>
        <v>0</v>
      </c>
      <c r="K5582" s="1" t="str">
        <f t="shared" si="3173"/>
        <v>103</v>
      </c>
      <c r="L5582" s="1" t="str">
        <f t="shared" si="3174"/>
        <v>47</v>
      </c>
      <c r="M5582" s="1" t="str">
        <f t="shared" si="3171"/>
        <v>0</v>
      </c>
      <c r="N5582" s="1" t="str">
        <f t="shared" si="3175"/>
        <v>0</v>
      </c>
      <c r="O5582" s="1" t="str">
        <f t="shared" si="3184"/>
        <v>4.14</v>
      </c>
    </row>
    <row r="5583" s="1" customFormat="1" spans="1:15">
      <c r="A5583" s="1" t="str">
        <f t="shared" si="3179"/>
        <v>202406</v>
      </c>
      <c r="B5583" s="1" t="str">
        <f t="shared" si="3180"/>
        <v>150525100</v>
      </c>
      <c r="C5583" s="1" t="str">
        <f>"1014548367"</f>
        <v>1014548367</v>
      </c>
      <c r="D5583" s="1" t="str">
        <f>"152326195408150684"</f>
        <v>152326195408150684</v>
      </c>
      <c r="E5583" s="1" t="s">
        <v>5501</v>
      </c>
      <c r="F5583" s="1" t="s">
        <v>16</v>
      </c>
      <c r="G5583" s="1" t="s">
        <v>17</v>
      </c>
      <c r="H5583" s="1" t="str">
        <f t="shared" si="3183"/>
        <v>70</v>
      </c>
      <c r="I5583" s="1" t="str">
        <f>"154.14"</f>
        <v>154.14</v>
      </c>
      <c r="J5583" s="1" t="str">
        <f t="shared" si="3172"/>
        <v>0</v>
      </c>
      <c r="K5583" s="1" t="str">
        <f t="shared" si="3173"/>
        <v>103</v>
      </c>
      <c r="L5583" s="1" t="str">
        <f t="shared" si="3174"/>
        <v>47</v>
      </c>
      <c r="M5583" s="1" t="str">
        <f t="shared" si="3171"/>
        <v>0</v>
      </c>
      <c r="N5583" s="1" t="str">
        <f t="shared" si="3175"/>
        <v>0</v>
      </c>
      <c r="O5583" s="1" t="str">
        <f t="shared" si="3184"/>
        <v>4.14</v>
      </c>
    </row>
    <row r="5584" s="1" customFormat="1" spans="1:15">
      <c r="A5584" s="1" t="str">
        <f t="shared" si="3179"/>
        <v>202406</v>
      </c>
      <c r="B5584" s="1" t="str">
        <f t="shared" si="3180"/>
        <v>150525100</v>
      </c>
      <c r="C5584" s="1" t="str">
        <f>"1014573298"</f>
        <v>1014573298</v>
      </c>
      <c r="D5584" s="1" t="str">
        <f>"152326195801030662"</f>
        <v>152326195801030662</v>
      </c>
      <c r="E5584" s="1" t="s">
        <v>3303</v>
      </c>
      <c r="F5584" s="1" t="s">
        <v>16</v>
      </c>
      <c r="G5584" s="1" t="s">
        <v>17</v>
      </c>
      <c r="H5584" s="1" t="str">
        <f>"67"</f>
        <v>67</v>
      </c>
      <c r="I5584" s="1" t="str">
        <f>"156.82"</f>
        <v>156.82</v>
      </c>
      <c r="J5584" s="1" t="str">
        <f t="shared" si="3172"/>
        <v>0</v>
      </c>
      <c r="K5584" s="1" t="str">
        <f t="shared" si="3173"/>
        <v>103</v>
      </c>
      <c r="L5584" s="1" t="str">
        <f t="shared" si="3174"/>
        <v>47</v>
      </c>
      <c r="M5584" s="1" t="str">
        <f t="shared" si="3171"/>
        <v>0</v>
      </c>
      <c r="N5584" s="1" t="str">
        <f t="shared" si="3175"/>
        <v>0</v>
      </c>
      <c r="O5584" s="1" t="str">
        <f>"6.82"</f>
        <v>6.82</v>
      </c>
    </row>
    <row r="5585" s="1" customFormat="1" spans="1:15">
      <c r="A5585" s="1" t="str">
        <f t="shared" si="3179"/>
        <v>202406</v>
      </c>
      <c r="B5585" s="1" t="str">
        <f t="shared" si="3180"/>
        <v>150525100</v>
      </c>
      <c r="C5585" s="1" t="str">
        <f>"1014575604"</f>
        <v>1014575604</v>
      </c>
      <c r="D5585" s="1" t="s">
        <v>5502</v>
      </c>
      <c r="E5585" s="1" t="s">
        <v>5503</v>
      </c>
      <c r="F5585" s="1" t="s">
        <v>16</v>
      </c>
      <c r="G5585" s="1" t="s">
        <v>17</v>
      </c>
      <c r="H5585" s="1" t="str">
        <f>"64"</f>
        <v>64</v>
      </c>
      <c r="I5585" s="1" t="str">
        <f>"188.37"</f>
        <v>188.37</v>
      </c>
      <c r="J5585" s="1" t="str">
        <f t="shared" si="3172"/>
        <v>0</v>
      </c>
      <c r="K5585" s="1" t="str">
        <f t="shared" si="3173"/>
        <v>103</v>
      </c>
      <c r="L5585" s="1" t="str">
        <f t="shared" si="3174"/>
        <v>47</v>
      </c>
      <c r="M5585" s="1" t="str">
        <f t="shared" si="3171"/>
        <v>0</v>
      </c>
      <c r="N5585" s="1" t="str">
        <f t="shared" si="3175"/>
        <v>0</v>
      </c>
      <c r="O5585" s="1" t="str">
        <f>"38.37"</f>
        <v>38.37</v>
      </c>
    </row>
    <row r="5586" s="1" customFormat="1" spans="1:15">
      <c r="A5586" s="1" t="str">
        <f t="shared" si="3179"/>
        <v>202406</v>
      </c>
      <c r="B5586" s="1" t="str">
        <f t="shared" si="3180"/>
        <v>150525100</v>
      </c>
      <c r="C5586" s="1" t="str">
        <f>"1014575609"</f>
        <v>1014575609</v>
      </c>
      <c r="D5586" s="1" t="str">
        <f>"152326195910100666"</f>
        <v>152326195910100666</v>
      </c>
      <c r="E5586" s="1" t="s">
        <v>5504</v>
      </c>
      <c r="F5586" s="1" t="s">
        <v>16</v>
      </c>
      <c r="G5586" s="1" t="s">
        <v>17</v>
      </c>
      <c r="H5586" s="1" t="str">
        <f>"65"</f>
        <v>65</v>
      </c>
      <c r="I5586" s="1" t="str">
        <f>"184.97"</f>
        <v>184.97</v>
      </c>
      <c r="J5586" s="1" t="str">
        <f t="shared" si="3172"/>
        <v>0</v>
      </c>
      <c r="K5586" s="1" t="str">
        <f t="shared" si="3173"/>
        <v>103</v>
      </c>
      <c r="L5586" s="1" t="str">
        <f t="shared" si="3174"/>
        <v>47</v>
      </c>
      <c r="M5586" s="1" t="str">
        <f t="shared" si="3171"/>
        <v>0</v>
      </c>
      <c r="N5586" s="1" t="str">
        <f t="shared" si="3175"/>
        <v>0</v>
      </c>
      <c r="O5586" s="1" t="str">
        <f>"34.97"</f>
        <v>34.97</v>
      </c>
    </row>
    <row r="5587" s="1" customFormat="1" spans="1:15">
      <c r="A5587" s="1" t="str">
        <f t="shared" si="3179"/>
        <v>202406</v>
      </c>
      <c r="B5587" s="1" t="str">
        <f t="shared" si="3180"/>
        <v>150525100</v>
      </c>
      <c r="C5587" s="1" t="str">
        <f>"1014575825"</f>
        <v>1014575825</v>
      </c>
      <c r="D5587" s="1" t="s">
        <v>5505</v>
      </c>
      <c r="E5587" s="1" t="s">
        <v>5506</v>
      </c>
      <c r="F5587" s="1" t="s">
        <v>16</v>
      </c>
      <c r="G5587" s="1" t="s">
        <v>17</v>
      </c>
      <c r="H5587" s="1" t="str">
        <f>"64"</f>
        <v>64</v>
      </c>
      <c r="I5587" s="1" t="str">
        <f>"159.15"</f>
        <v>159.15</v>
      </c>
      <c r="J5587" s="1" t="str">
        <f t="shared" si="3172"/>
        <v>0</v>
      </c>
      <c r="K5587" s="1" t="str">
        <f t="shared" si="3173"/>
        <v>103</v>
      </c>
      <c r="L5587" s="1" t="str">
        <f t="shared" si="3174"/>
        <v>47</v>
      </c>
      <c r="M5587" s="1" t="str">
        <f t="shared" si="3171"/>
        <v>0</v>
      </c>
      <c r="N5587" s="1" t="str">
        <f t="shared" si="3175"/>
        <v>0</v>
      </c>
      <c r="O5587" s="1" t="str">
        <f>"9.15"</f>
        <v>9.15</v>
      </c>
    </row>
    <row r="5588" s="1" customFormat="1" spans="1:15">
      <c r="A5588" s="1" t="str">
        <f t="shared" si="3179"/>
        <v>202406</v>
      </c>
      <c r="B5588" s="1" t="str">
        <f t="shared" si="3180"/>
        <v>150525100</v>
      </c>
      <c r="C5588" s="1" t="str">
        <f>"1014576828"</f>
        <v>1014576828</v>
      </c>
      <c r="D5588" s="1" t="str">
        <f>"152326195609160678"</f>
        <v>152326195609160678</v>
      </c>
      <c r="E5588" s="1" t="s">
        <v>5507</v>
      </c>
      <c r="F5588" s="1" t="s">
        <v>25</v>
      </c>
      <c r="G5588" s="1" t="s">
        <v>17</v>
      </c>
      <c r="H5588" s="1" t="str">
        <f>"68"</f>
        <v>68</v>
      </c>
      <c r="I5588" s="1" t="str">
        <f>"156.02"</f>
        <v>156.02</v>
      </c>
      <c r="J5588" s="1" t="str">
        <f t="shared" si="3172"/>
        <v>0</v>
      </c>
      <c r="K5588" s="1" t="str">
        <f t="shared" si="3173"/>
        <v>103</v>
      </c>
      <c r="L5588" s="1" t="str">
        <f t="shared" si="3174"/>
        <v>47</v>
      </c>
      <c r="M5588" s="1" t="str">
        <f t="shared" si="3171"/>
        <v>0</v>
      </c>
      <c r="N5588" s="1" t="str">
        <f t="shared" si="3175"/>
        <v>0</v>
      </c>
      <c r="O5588" s="1" t="str">
        <f>"6.02"</f>
        <v>6.02</v>
      </c>
    </row>
    <row r="5589" s="1" customFormat="1" spans="1:15">
      <c r="A5589" s="1" t="str">
        <f t="shared" si="3179"/>
        <v>202406</v>
      </c>
      <c r="B5589" s="1" t="str">
        <f t="shared" si="3180"/>
        <v>150525100</v>
      </c>
      <c r="C5589" s="1" t="str">
        <f>"1014548393"</f>
        <v>1014548393</v>
      </c>
      <c r="D5589" s="1" t="str">
        <f>"152326195410173076"</f>
        <v>152326195410173076</v>
      </c>
      <c r="E5589" s="1" t="s">
        <v>5508</v>
      </c>
      <c r="F5589" s="1" t="s">
        <v>25</v>
      </c>
      <c r="G5589" s="1" t="s">
        <v>17</v>
      </c>
      <c r="H5589" s="1" t="str">
        <f t="shared" ref="H5589:H5594" si="3185">"70"</f>
        <v>70</v>
      </c>
      <c r="I5589" s="1" t="str">
        <f>"156.7"</f>
        <v>156.7</v>
      </c>
      <c r="J5589" s="1" t="str">
        <f t="shared" si="3172"/>
        <v>0</v>
      </c>
      <c r="K5589" s="1" t="str">
        <f t="shared" si="3173"/>
        <v>103</v>
      </c>
      <c r="L5589" s="1" t="str">
        <f t="shared" si="3174"/>
        <v>47</v>
      </c>
      <c r="M5589" s="1" t="str">
        <f t="shared" si="3171"/>
        <v>0</v>
      </c>
      <c r="N5589" s="1" t="str">
        <f t="shared" si="3175"/>
        <v>0</v>
      </c>
      <c r="O5589" s="1" t="str">
        <f>"6.7"</f>
        <v>6.7</v>
      </c>
    </row>
    <row r="5590" s="1" customFormat="1" spans="1:15">
      <c r="A5590" s="1" t="str">
        <f t="shared" si="3179"/>
        <v>202406</v>
      </c>
      <c r="B5590" s="1" t="str">
        <f t="shared" si="3180"/>
        <v>150525100</v>
      </c>
      <c r="C5590" s="1" t="str">
        <f>"1014552197"</f>
        <v>1014552197</v>
      </c>
      <c r="D5590" s="1" t="str">
        <f>"152326195409103847"</f>
        <v>152326195409103847</v>
      </c>
      <c r="E5590" s="1" t="s">
        <v>5509</v>
      </c>
      <c r="F5590" s="1" t="s">
        <v>16</v>
      </c>
      <c r="G5590" s="1" t="s">
        <v>17</v>
      </c>
      <c r="H5590" s="1" t="str">
        <f t="shared" si="3185"/>
        <v>70</v>
      </c>
      <c r="I5590" s="1" t="str">
        <f>"153.91"</f>
        <v>153.91</v>
      </c>
      <c r="J5590" s="1" t="str">
        <f t="shared" si="3172"/>
        <v>0</v>
      </c>
      <c r="K5590" s="1" t="str">
        <f t="shared" si="3173"/>
        <v>103</v>
      </c>
      <c r="L5590" s="1" t="str">
        <f t="shared" si="3174"/>
        <v>47</v>
      </c>
      <c r="M5590" s="1" t="str">
        <f t="shared" si="3171"/>
        <v>0</v>
      </c>
      <c r="N5590" s="1" t="str">
        <f t="shared" si="3175"/>
        <v>0</v>
      </c>
      <c r="O5590" s="1" t="str">
        <f>"3.91"</f>
        <v>3.91</v>
      </c>
    </row>
    <row r="5591" s="1" customFormat="1" spans="1:15">
      <c r="A5591" s="1" t="str">
        <f t="shared" si="3179"/>
        <v>202406</v>
      </c>
      <c r="B5591" s="1" t="str">
        <f t="shared" si="3180"/>
        <v>150525100</v>
      </c>
      <c r="C5591" s="1" t="str">
        <f>"1014552204"</f>
        <v>1014552204</v>
      </c>
      <c r="D5591" s="1" t="str">
        <f>"152326195712253813"</f>
        <v>152326195712253813</v>
      </c>
      <c r="E5591" s="1" t="s">
        <v>4056</v>
      </c>
      <c r="F5591" s="1" t="s">
        <v>25</v>
      </c>
      <c r="G5591" s="1" t="s">
        <v>17</v>
      </c>
      <c r="H5591" s="1" t="str">
        <f>"67"</f>
        <v>67</v>
      </c>
      <c r="I5591" s="1" t="str">
        <f>"155.87"</f>
        <v>155.87</v>
      </c>
      <c r="J5591" s="1" t="str">
        <f t="shared" si="3172"/>
        <v>0</v>
      </c>
      <c r="K5591" s="1" t="str">
        <f t="shared" si="3173"/>
        <v>103</v>
      </c>
      <c r="L5591" s="1" t="str">
        <f t="shared" si="3174"/>
        <v>47</v>
      </c>
      <c r="M5591" s="1" t="str">
        <f t="shared" si="3171"/>
        <v>0</v>
      </c>
      <c r="N5591" s="1" t="str">
        <f t="shared" si="3175"/>
        <v>0</v>
      </c>
      <c r="O5591" s="1" t="str">
        <f>"5.87"</f>
        <v>5.87</v>
      </c>
    </row>
    <row r="5592" s="1" customFormat="1" spans="1:15">
      <c r="A5592" s="1" t="str">
        <f t="shared" si="3179"/>
        <v>202406</v>
      </c>
      <c r="B5592" s="1" t="str">
        <f t="shared" si="3180"/>
        <v>150525100</v>
      </c>
      <c r="C5592" s="1" t="str">
        <f>"1043100905"</f>
        <v>1043100905</v>
      </c>
      <c r="D5592" s="1" t="str">
        <f>"152326196112220449"</f>
        <v>152326196112220449</v>
      </c>
      <c r="E5592" s="1" t="s">
        <v>5510</v>
      </c>
      <c r="F5592" s="1" t="s">
        <v>16</v>
      </c>
      <c r="G5592" s="1" t="s">
        <v>17</v>
      </c>
      <c r="H5592" s="1" t="str">
        <f>"63"</f>
        <v>63</v>
      </c>
      <c r="I5592" s="1" t="str">
        <f>"164.42"</f>
        <v>164.42</v>
      </c>
      <c r="J5592" s="1" t="str">
        <f t="shared" si="3172"/>
        <v>0</v>
      </c>
      <c r="K5592" s="1" t="str">
        <f t="shared" si="3173"/>
        <v>103</v>
      </c>
      <c r="L5592" s="1" t="str">
        <f t="shared" si="3174"/>
        <v>47</v>
      </c>
      <c r="M5592" s="1" t="str">
        <f t="shared" si="3171"/>
        <v>0</v>
      </c>
      <c r="N5592" s="1" t="str">
        <f t="shared" si="3175"/>
        <v>0</v>
      </c>
      <c r="O5592" s="1" t="str">
        <f>"14.42"</f>
        <v>14.42</v>
      </c>
    </row>
    <row r="5593" s="1" customFormat="1" spans="1:15">
      <c r="A5593" s="1" t="str">
        <f t="shared" si="3179"/>
        <v>202406</v>
      </c>
      <c r="B5593" s="1" t="str">
        <f t="shared" si="3180"/>
        <v>150525100</v>
      </c>
      <c r="C5593" s="1" t="str">
        <f>"1014572787"</f>
        <v>1014572787</v>
      </c>
      <c r="D5593" s="1" t="str">
        <f>"152326195411150028"</f>
        <v>152326195411150028</v>
      </c>
      <c r="E5593" s="1" t="s">
        <v>2335</v>
      </c>
      <c r="F5593" s="1" t="s">
        <v>16</v>
      </c>
      <c r="G5593" s="1" t="s">
        <v>17</v>
      </c>
      <c r="H5593" s="1" t="str">
        <f t="shared" si="3185"/>
        <v>70</v>
      </c>
      <c r="I5593" s="1" t="str">
        <f>"154.14"</f>
        <v>154.14</v>
      </c>
      <c r="J5593" s="1" t="str">
        <f t="shared" si="3172"/>
        <v>0</v>
      </c>
      <c r="K5593" s="1" t="str">
        <f t="shared" si="3173"/>
        <v>103</v>
      </c>
      <c r="L5593" s="1" t="str">
        <f t="shared" si="3174"/>
        <v>47</v>
      </c>
      <c r="M5593" s="1" t="str">
        <f t="shared" si="3171"/>
        <v>0</v>
      </c>
      <c r="N5593" s="1" t="str">
        <f t="shared" si="3175"/>
        <v>0</v>
      </c>
      <c r="O5593" s="1" t="str">
        <f>"4.14"</f>
        <v>4.14</v>
      </c>
    </row>
    <row r="5594" s="1" customFormat="1" spans="1:15">
      <c r="A5594" s="1" t="str">
        <f t="shared" si="3179"/>
        <v>202406</v>
      </c>
      <c r="B5594" s="1" t="str">
        <f t="shared" si="3180"/>
        <v>150525100</v>
      </c>
      <c r="C5594" s="1" t="str">
        <f>"1014572790"</f>
        <v>1014572790</v>
      </c>
      <c r="D5594" s="1" t="str">
        <f>"152326195412073087"</f>
        <v>152326195412073087</v>
      </c>
      <c r="E5594" s="1" t="s">
        <v>1550</v>
      </c>
      <c r="F5594" s="1" t="s">
        <v>16</v>
      </c>
      <c r="G5594" s="1" t="s">
        <v>17</v>
      </c>
      <c r="H5594" s="1" t="str">
        <f t="shared" si="3185"/>
        <v>70</v>
      </c>
      <c r="I5594" s="1" t="str">
        <f>"154.14"</f>
        <v>154.14</v>
      </c>
      <c r="J5594" s="1" t="str">
        <f t="shared" si="3172"/>
        <v>0</v>
      </c>
      <c r="K5594" s="1" t="str">
        <f t="shared" si="3173"/>
        <v>103</v>
      </c>
      <c r="L5594" s="1" t="str">
        <f t="shared" si="3174"/>
        <v>47</v>
      </c>
      <c r="M5594" s="1" t="str">
        <f t="shared" si="3171"/>
        <v>0</v>
      </c>
      <c r="N5594" s="1" t="str">
        <f t="shared" si="3175"/>
        <v>0</v>
      </c>
      <c r="O5594" s="1" t="str">
        <f>"4.14"</f>
        <v>4.14</v>
      </c>
    </row>
    <row r="5595" s="1" customFormat="1" spans="1:15">
      <c r="A5595" s="1" t="str">
        <f t="shared" si="3179"/>
        <v>202406</v>
      </c>
      <c r="B5595" s="1" t="str">
        <f t="shared" si="3180"/>
        <v>150525100</v>
      </c>
      <c r="C5595" s="1" t="str">
        <f>"1014572894"</f>
        <v>1014572894</v>
      </c>
      <c r="D5595" s="1" t="str">
        <f>"152326195503123078"</f>
        <v>152326195503123078</v>
      </c>
      <c r="E5595" s="1" t="s">
        <v>5511</v>
      </c>
      <c r="F5595" s="1" t="s">
        <v>25</v>
      </c>
      <c r="G5595" s="1" t="s">
        <v>17</v>
      </c>
      <c r="H5595" s="1" t="str">
        <f>"69"</f>
        <v>69</v>
      </c>
      <c r="I5595" s="1" t="str">
        <f>"155.1"</f>
        <v>155.1</v>
      </c>
      <c r="J5595" s="1" t="str">
        <f t="shared" si="3172"/>
        <v>0</v>
      </c>
      <c r="K5595" s="1" t="str">
        <f t="shared" si="3173"/>
        <v>103</v>
      </c>
      <c r="L5595" s="1" t="str">
        <f t="shared" si="3174"/>
        <v>47</v>
      </c>
      <c r="M5595" s="1" t="str">
        <f t="shared" si="3171"/>
        <v>0</v>
      </c>
      <c r="N5595" s="1" t="str">
        <f t="shared" si="3175"/>
        <v>0</v>
      </c>
      <c r="O5595" s="1" t="str">
        <f>"5.1"</f>
        <v>5.1</v>
      </c>
    </row>
    <row r="5596" s="1" customFormat="1" spans="1:15">
      <c r="A5596" s="1" t="str">
        <f t="shared" si="3179"/>
        <v>202406</v>
      </c>
      <c r="B5596" s="1" t="str">
        <f t="shared" si="3180"/>
        <v>150525100</v>
      </c>
      <c r="C5596" s="1" t="str">
        <f>"1014572910"</f>
        <v>1014572910</v>
      </c>
      <c r="D5596" s="1" t="str">
        <f>"152326195508300029"</f>
        <v>152326195508300029</v>
      </c>
      <c r="E5596" s="1" t="s">
        <v>5512</v>
      </c>
      <c r="F5596" s="1" t="s">
        <v>16</v>
      </c>
      <c r="G5596" s="1" t="s">
        <v>17</v>
      </c>
      <c r="H5596" s="1" t="str">
        <f>"69"</f>
        <v>69</v>
      </c>
      <c r="I5596" s="1" t="str">
        <f>"154.6"</f>
        <v>154.6</v>
      </c>
      <c r="J5596" s="1" t="str">
        <f t="shared" si="3172"/>
        <v>0</v>
      </c>
      <c r="K5596" s="1" t="str">
        <f t="shared" si="3173"/>
        <v>103</v>
      </c>
      <c r="L5596" s="1" t="str">
        <f t="shared" si="3174"/>
        <v>47</v>
      </c>
      <c r="M5596" s="1" t="str">
        <f t="shared" si="3171"/>
        <v>0</v>
      </c>
      <c r="N5596" s="1" t="str">
        <f t="shared" si="3175"/>
        <v>0</v>
      </c>
      <c r="O5596" s="1" t="str">
        <f>"4.6"</f>
        <v>4.6</v>
      </c>
    </row>
    <row r="5597" s="1" customFormat="1" spans="1:15">
      <c r="A5597" s="1" t="str">
        <f t="shared" si="3179"/>
        <v>202406</v>
      </c>
      <c r="B5597" s="1" t="str">
        <f t="shared" si="3180"/>
        <v>150525100</v>
      </c>
      <c r="C5597" s="1" t="str">
        <f>"1014573309"</f>
        <v>1014573309</v>
      </c>
      <c r="D5597" s="1" t="str">
        <f>"152326195805233088"</f>
        <v>152326195805233088</v>
      </c>
      <c r="E5597" s="1" t="s">
        <v>26</v>
      </c>
      <c r="F5597" s="1" t="s">
        <v>16</v>
      </c>
      <c r="G5597" s="1" t="s">
        <v>17</v>
      </c>
      <c r="H5597" s="1" t="str">
        <f t="shared" ref="H5597:H5599" si="3186">"66"</f>
        <v>66</v>
      </c>
      <c r="I5597" s="1" t="str">
        <f>"158.04"</f>
        <v>158.04</v>
      </c>
      <c r="J5597" s="1" t="str">
        <f t="shared" si="3172"/>
        <v>0</v>
      </c>
      <c r="K5597" s="1" t="str">
        <f t="shared" si="3173"/>
        <v>103</v>
      </c>
      <c r="L5597" s="1" t="str">
        <f t="shared" si="3174"/>
        <v>47</v>
      </c>
      <c r="M5597" s="1" t="str">
        <f t="shared" si="3171"/>
        <v>0</v>
      </c>
      <c r="N5597" s="1" t="str">
        <f t="shared" si="3175"/>
        <v>0</v>
      </c>
      <c r="O5597" s="1" t="str">
        <f>"8.04"</f>
        <v>8.04</v>
      </c>
    </row>
    <row r="5598" s="1" customFormat="1" spans="1:15">
      <c r="A5598" s="1" t="str">
        <f t="shared" si="3179"/>
        <v>202406</v>
      </c>
      <c r="B5598" s="1" t="str">
        <f t="shared" si="3180"/>
        <v>150525100</v>
      </c>
      <c r="C5598" s="1" t="str">
        <f>"1014573310"</f>
        <v>1014573310</v>
      </c>
      <c r="D5598" s="1" t="str">
        <f>"152326195806113088"</f>
        <v>152326195806113088</v>
      </c>
      <c r="E5598" s="1" t="s">
        <v>5513</v>
      </c>
      <c r="F5598" s="1" t="s">
        <v>16</v>
      </c>
      <c r="G5598" s="1" t="s">
        <v>17</v>
      </c>
      <c r="H5598" s="1" t="str">
        <f t="shared" si="3186"/>
        <v>66</v>
      </c>
      <c r="I5598" s="1" t="str">
        <f>"157.1"</f>
        <v>157.1</v>
      </c>
      <c r="J5598" s="1" t="str">
        <f t="shared" si="3172"/>
        <v>0</v>
      </c>
      <c r="K5598" s="1" t="str">
        <f t="shared" si="3173"/>
        <v>103</v>
      </c>
      <c r="L5598" s="1" t="str">
        <f t="shared" si="3174"/>
        <v>47</v>
      </c>
      <c r="M5598" s="1" t="str">
        <f t="shared" si="3171"/>
        <v>0</v>
      </c>
      <c r="N5598" s="1" t="str">
        <f t="shared" si="3175"/>
        <v>0</v>
      </c>
      <c r="O5598" s="1" t="str">
        <f>"7.1"</f>
        <v>7.1</v>
      </c>
    </row>
    <row r="5599" s="1" customFormat="1" spans="1:15">
      <c r="A5599" s="1" t="str">
        <f t="shared" si="3179"/>
        <v>202406</v>
      </c>
      <c r="B5599" s="1" t="str">
        <f t="shared" si="3180"/>
        <v>150525100</v>
      </c>
      <c r="C5599" s="1" t="str">
        <f>"1014573314"</f>
        <v>1014573314</v>
      </c>
      <c r="D5599" s="1" t="str">
        <f>"152326195808080427"</f>
        <v>152326195808080427</v>
      </c>
      <c r="E5599" s="1" t="s">
        <v>1731</v>
      </c>
      <c r="F5599" s="1" t="s">
        <v>16</v>
      </c>
      <c r="G5599" s="1" t="s">
        <v>17</v>
      </c>
      <c r="H5599" s="1" t="str">
        <f t="shared" si="3186"/>
        <v>66</v>
      </c>
      <c r="I5599" s="1" t="str">
        <f>"157.12"</f>
        <v>157.12</v>
      </c>
      <c r="J5599" s="1" t="str">
        <f t="shared" si="3172"/>
        <v>0</v>
      </c>
      <c r="K5599" s="1" t="str">
        <f t="shared" si="3173"/>
        <v>103</v>
      </c>
      <c r="L5599" s="1" t="str">
        <f t="shared" si="3174"/>
        <v>47</v>
      </c>
      <c r="M5599" s="1" t="str">
        <f t="shared" si="3171"/>
        <v>0</v>
      </c>
      <c r="N5599" s="1" t="str">
        <f t="shared" si="3175"/>
        <v>0</v>
      </c>
      <c r="O5599" s="1" t="str">
        <f>"7.12"</f>
        <v>7.12</v>
      </c>
    </row>
    <row r="5600" s="1" customFormat="1" spans="1:15">
      <c r="A5600" s="1" t="str">
        <f t="shared" si="3179"/>
        <v>202406</v>
      </c>
      <c r="B5600" s="1" t="str">
        <f t="shared" si="3180"/>
        <v>150525100</v>
      </c>
      <c r="C5600" s="1" t="str">
        <f>"1014573489"</f>
        <v>1014573489</v>
      </c>
      <c r="D5600" s="1" t="str">
        <f>"152326196210110016"</f>
        <v>152326196210110016</v>
      </c>
      <c r="E5600" s="1" t="s">
        <v>5514</v>
      </c>
      <c r="F5600" s="1" t="s">
        <v>25</v>
      </c>
      <c r="G5600" s="1" t="s">
        <v>17</v>
      </c>
      <c r="H5600" s="1" t="str">
        <f>"62"</f>
        <v>62</v>
      </c>
      <c r="I5600" s="1" t="str">
        <f>"164.86"</f>
        <v>164.86</v>
      </c>
      <c r="J5600" s="1" t="str">
        <f t="shared" si="3172"/>
        <v>0</v>
      </c>
      <c r="K5600" s="1" t="str">
        <f t="shared" si="3173"/>
        <v>103</v>
      </c>
      <c r="L5600" s="1" t="str">
        <f t="shared" si="3174"/>
        <v>47</v>
      </c>
      <c r="M5600" s="1" t="str">
        <f t="shared" ref="M5600:M5663" si="3187">"0"</f>
        <v>0</v>
      </c>
      <c r="N5600" s="1" t="str">
        <f t="shared" si="3175"/>
        <v>0</v>
      </c>
      <c r="O5600" s="1" t="str">
        <f>"14.86"</f>
        <v>14.86</v>
      </c>
    </row>
    <row r="5601" s="1" customFormat="1" spans="1:15">
      <c r="A5601" s="1" t="str">
        <f t="shared" si="3179"/>
        <v>202406</v>
      </c>
      <c r="B5601" s="1" t="str">
        <f t="shared" si="3180"/>
        <v>150525100</v>
      </c>
      <c r="C5601" s="1" t="str">
        <f>"1014575847"</f>
        <v>1014575847</v>
      </c>
      <c r="D5601" s="1" t="str">
        <f>"152326196012270676"</f>
        <v>152326196012270676</v>
      </c>
      <c r="E5601" s="1" t="s">
        <v>5515</v>
      </c>
      <c r="F5601" s="1" t="s">
        <v>25</v>
      </c>
      <c r="G5601" s="1" t="s">
        <v>17</v>
      </c>
      <c r="H5601" s="1" t="str">
        <f>"64"</f>
        <v>64</v>
      </c>
      <c r="I5601" s="1" t="str">
        <f>"159.29"</f>
        <v>159.29</v>
      </c>
      <c r="J5601" s="1" t="str">
        <f t="shared" si="3172"/>
        <v>0</v>
      </c>
      <c r="K5601" s="1" t="str">
        <f t="shared" si="3173"/>
        <v>103</v>
      </c>
      <c r="L5601" s="1" t="str">
        <f t="shared" si="3174"/>
        <v>47</v>
      </c>
      <c r="M5601" s="1" t="str">
        <f t="shared" si="3187"/>
        <v>0</v>
      </c>
      <c r="N5601" s="1" t="str">
        <f t="shared" si="3175"/>
        <v>0</v>
      </c>
      <c r="O5601" s="1" t="str">
        <f>"9.29"</f>
        <v>9.29</v>
      </c>
    </row>
    <row r="5602" s="1" customFormat="1" spans="1:15">
      <c r="A5602" s="1" t="str">
        <f t="shared" si="3179"/>
        <v>202406</v>
      </c>
      <c r="B5602" s="1" t="str">
        <f t="shared" si="3180"/>
        <v>150525100</v>
      </c>
      <c r="C5602" s="1" t="str">
        <f>"1014575864"</f>
        <v>1014575864</v>
      </c>
      <c r="D5602" s="1" t="str">
        <f>"152326196306260684"</f>
        <v>152326196306260684</v>
      </c>
      <c r="E5602" s="1" t="s">
        <v>5516</v>
      </c>
      <c r="F5602" s="1" t="s">
        <v>16</v>
      </c>
      <c r="G5602" s="1" t="s">
        <v>17</v>
      </c>
      <c r="H5602" s="1" t="str">
        <f>"61"</f>
        <v>61</v>
      </c>
      <c r="I5602" s="1" t="str">
        <f>"165.02"</f>
        <v>165.02</v>
      </c>
      <c r="J5602" s="1" t="str">
        <f t="shared" si="3172"/>
        <v>0</v>
      </c>
      <c r="K5602" s="1" t="str">
        <f t="shared" si="3173"/>
        <v>103</v>
      </c>
      <c r="L5602" s="1" t="str">
        <f t="shared" si="3174"/>
        <v>47</v>
      </c>
      <c r="M5602" s="1" t="str">
        <f t="shared" si="3187"/>
        <v>0</v>
      </c>
      <c r="N5602" s="1" t="str">
        <f t="shared" si="3175"/>
        <v>0</v>
      </c>
      <c r="O5602" s="1" t="str">
        <f>"15.02"</f>
        <v>15.02</v>
      </c>
    </row>
    <row r="5603" s="1" customFormat="1" spans="1:15">
      <c r="A5603" s="1" t="str">
        <f t="shared" si="3179"/>
        <v>202406</v>
      </c>
      <c r="B5603" s="1" t="str">
        <f t="shared" si="3180"/>
        <v>150525100</v>
      </c>
      <c r="C5603" s="1" t="str">
        <f>"1014572919"</f>
        <v>1014572919</v>
      </c>
      <c r="D5603" s="1" t="str">
        <f>"152326195601013083"</f>
        <v>152326195601013083</v>
      </c>
      <c r="E5603" s="1" t="s">
        <v>5517</v>
      </c>
      <c r="F5603" s="1" t="s">
        <v>16</v>
      </c>
      <c r="G5603" s="1" t="s">
        <v>17</v>
      </c>
      <c r="H5603" s="1" t="str">
        <f>"69"</f>
        <v>69</v>
      </c>
      <c r="I5603" s="1" t="str">
        <f>"156.01"</f>
        <v>156.01</v>
      </c>
      <c r="J5603" s="1" t="str">
        <f t="shared" si="3172"/>
        <v>0</v>
      </c>
      <c r="K5603" s="1" t="str">
        <f t="shared" si="3173"/>
        <v>103</v>
      </c>
      <c r="L5603" s="1" t="str">
        <f t="shared" si="3174"/>
        <v>47</v>
      </c>
      <c r="M5603" s="1" t="str">
        <f t="shared" si="3187"/>
        <v>0</v>
      </c>
      <c r="N5603" s="1" t="str">
        <f t="shared" si="3175"/>
        <v>0</v>
      </c>
      <c r="O5603" s="1" t="str">
        <f>"6.01"</f>
        <v>6.01</v>
      </c>
    </row>
    <row r="5604" s="1" customFormat="1" spans="1:15">
      <c r="A5604" s="1" t="str">
        <f t="shared" si="3179"/>
        <v>202406</v>
      </c>
      <c r="B5604" s="1" t="str">
        <f t="shared" si="3180"/>
        <v>150525100</v>
      </c>
      <c r="C5604" s="1" t="str">
        <f>"1014572924"</f>
        <v>1014572924</v>
      </c>
      <c r="D5604" s="1" t="str">
        <f>"152326195602123073"</f>
        <v>152326195602123073</v>
      </c>
      <c r="E5604" s="1" t="s">
        <v>5518</v>
      </c>
      <c r="F5604" s="1" t="s">
        <v>25</v>
      </c>
      <c r="G5604" s="1" t="s">
        <v>17</v>
      </c>
      <c r="H5604" s="1" t="str">
        <f>"68"</f>
        <v>68</v>
      </c>
      <c r="I5604" s="1" t="str">
        <f>"156.01"</f>
        <v>156.01</v>
      </c>
      <c r="J5604" s="1" t="str">
        <f t="shared" si="3172"/>
        <v>0</v>
      </c>
      <c r="K5604" s="1" t="str">
        <f t="shared" si="3173"/>
        <v>103</v>
      </c>
      <c r="L5604" s="1" t="str">
        <f t="shared" si="3174"/>
        <v>47</v>
      </c>
      <c r="M5604" s="1" t="str">
        <f t="shared" si="3187"/>
        <v>0</v>
      </c>
      <c r="N5604" s="1" t="str">
        <f t="shared" si="3175"/>
        <v>0</v>
      </c>
      <c r="O5604" s="1" t="str">
        <f>"6.01"</f>
        <v>6.01</v>
      </c>
    </row>
    <row r="5605" s="1" customFormat="1" spans="1:15">
      <c r="A5605" s="1" t="str">
        <f t="shared" si="3179"/>
        <v>202406</v>
      </c>
      <c r="B5605" s="1" t="str">
        <f t="shared" si="3180"/>
        <v>150525100</v>
      </c>
      <c r="C5605" s="1" t="str">
        <f>"1014573221"</f>
        <v>1014573221</v>
      </c>
      <c r="D5605" s="1" t="str">
        <f>"152326195703190021"</f>
        <v>152326195703190021</v>
      </c>
      <c r="E5605" s="1" t="s">
        <v>5501</v>
      </c>
      <c r="F5605" s="1" t="s">
        <v>16</v>
      </c>
      <c r="G5605" s="1" t="s">
        <v>17</v>
      </c>
      <c r="H5605" s="1" t="str">
        <f t="shared" ref="H5605:H5607" si="3188">"67"</f>
        <v>67</v>
      </c>
      <c r="I5605" s="1" t="str">
        <f t="shared" ref="I5605:I5607" si="3189">"156.04"</f>
        <v>156.04</v>
      </c>
      <c r="J5605" s="1" t="str">
        <f t="shared" si="3172"/>
        <v>0</v>
      </c>
      <c r="K5605" s="1" t="str">
        <f t="shared" si="3173"/>
        <v>103</v>
      </c>
      <c r="L5605" s="1" t="str">
        <f t="shared" si="3174"/>
        <v>47</v>
      </c>
      <c r="M5605" s="1" t="str">
        <f t="shared" si="3187"/>
        <v>0</v>
      </c>
      <c r="N5605" s="1" t="str">
        <f t="shared" si="3175"/>
        <v>0</v>
      </c>
      <c r="O5605" s="1" t="str">
        <f t="shared" ref="O5605:O5607" si="3190">"6.04"</f>
        <v>6.04</v>
      </c>
    </row>
    <row r="5606" s="1" customFormat="1" spans="1:15">
      <c r="A5606" s="1" t="str">
        <f t="shared" si="3179"/>
        <v>202406</v>
      </c>
      <c r="B5606" s="1" t="str">
        <f t="shared" si="3180"/>
        <v>150525100</v>
      </c>
      <c r="C5606" s="1" t="str">
        <f>"1014573222"</f>
        <v>1014573222</v>
      </c>
      <c r="D5606" s="1" t="str">
        <f>"152326195703210029"</f>
        <v>152326195703210029</v>
      </c>
      <c r="E5606" s="1" t="s">
        <v>777</v>
      </c>
      <c r="F5606" s="1" t="s">
        <v>16</v>
      </c>
      <c r="G5606" s="1" t="s">
        <v>17</v>
      </c>
      <c r="H5606" s="1" t="str">
        <f t="shared" si="3188"/>
        <v>67</v>
      </c>
      <c r="I5606" s="1" t="str">
        <f t="shared" si="3189"/>
        <v>156.04</v>
      </c>
      <c r="J5606" s="1" t="str">
        <f t="shared" si="3172"/>
        <v>0</v>
      </c>
      <c r="K5606" s="1" t="str">
        <f t="shared" si="3173"/>
        <v>103</v>
      </c>
      <c r="L5606" s="1" t="str">
        <f t="shared" si="3174"/>
        <v>47</v>
      </c>
      <c r="M5606" s="1" t="str">
        <f t="shared" si="3187"/>
        <v>0</v>
      </c>
      <c r="N5606" s="1" t="str">
        <f t="shared" si="3175"/>
        <v>0</v>
      </c>
      <c r="O5606" s="1" t="str">
        <f t="shared" si="3190"/>
        <v>6.04</v>
      </c>
    </row>
    <row r="5607" s="1" customFormat="1" spans="1:15">
      <c r="A5607" s="1" t="str">
        <f t="shared" si="3179"/>
        <v>202406</v>
      </c>
      <c r="B5607" s="1" t="str">
        <f t="shared" si="3180"/>
        <v>150525100</v>
      </c>
      <c r="C5607" s="1" t="str">
        <f>"1014573223"</f>
        <v>1014573223</v>
      </c>
      <c r="D5607" s="1" t="str">
        <f>"152326195703243082"</f>
        <v>152326195703243082</v>
      </c>
      <c r="E5607" s="1" t="s">
        <v>5519</v>
      </c>
      <c r="F5607" s="1" t="s">
        <v>16</v>
      </c>
      <c r="G5607" s="1" t="s">
        <v>17</v>
      </c>
      <c r="H5607" s="1" t="str">
        <f t="shared" si="3188"/>
        <v>67</v>
      </c>
      <c r="I5607" s="1" t="str">
        <f t="shared" si="3189"/>
        <v>156.04</v>
      </c>
      <c r="J5607" s="1" t="str">
        <f t="shared" si="3172"/>
        <v>0</v>
      </c>
      <c r="K5607" s="1" t="str">
        <f t="shared" si="3173"/>
        <v>103</v>
      </c>
      <c r="L5607" s="1" t="str">
        <f t="shared" si="3174"/>
        <v>47</v>
      </c>
      <c r="M5607" s="1" t="str">
        <f t="shared" si="3187"/>
        <v>0</v>
      </c>
      <c r="N5607" s="1" t="str">
        <f t="shared" si="3175"/>
        <v>0</v>
      </c>
      <c r="O5607" s="1" t="str">
        <f t="shared" si="3190"/>
        <v>6.04</v>
      </c>
    </row>
    <row r="5608" s="1" customFormat="1" spans="1:15">
      <c r="A5608" s="1" t="str">
        <f t="shared" si="3179"/>
        <v>202406</v>
      </c>
      <c r="B5608" s="1" t="str">
        <f t="shared" si="3180"/>
        <v>150525100</v>
      </c>
      <c r="C5608" s="1" t="str">
        <f>"1014573498"</f>
        <v>1014573498</v>
      </c>
      <c r="D5608" s="1" t="str">
        <f>"152326196301123082"</f>
        <v>152326196301123082</v>
      </c>
      <c r="E5608" s="1" t="s">
        <v>1671</v>
      </c>
      <c r="F5608" s="1" t="s">
        <v>16</v>
      </c>
      <c r="G5608" s="1" t="s">
        <v>17</v>
      </c>
      <c r="H5608" s="1" t="str">
        <f>"61"</f>
        <v>61</v>
      </c>
      <c r="I5608" s="1" t="str">
        <f>"164.91"</f>
        <v>164.91</v>
      </c>
      <c r="J5608" s="1" t="str">
        <f t="shared" si="3172"/>
        <v>0</v>
      </c>
      <c r="K5608" s="1" t="str">
        <f t="shared" si="3173"/>
        <v>103</v>
      </c>
      <c r="L5608" s="1" t="str">
        <f t="shared" si="3174"/>
        <v>47</v>
      </c>
      <c r="M5608" s="1" t="str">
        <f t="shared" si="3187"/>
        <v>0</v>
      </c>
      <c r="N5608" s="1" t="str">
        <f t="shared" si="3175"/>
        <v>0</v>
      </c>
      <c r="O5608" s="1" t="str">
        <f>"14.91"</f>
        <v>14.91</v>
      </c>
    </row>
    <row r="5609" s="1" customFormat="1" spans="1:15">
      <c r="A5609" s="1" t="str">
        <f t="shared" si="3179"/>
        <v>202406</v>
      </c>
      <c r="B5609" s="1" t="str">
        <f t="shared" si="3180"/>
        <v>150525100</v>
      </c>
      <c r="C5609" s="1" t="str">
        <f>"1014573506"</f>
        <v>1014573506</v>
      </c>
      <c r="D5609" s="1" t="str">
        <f>"152326196302020042"</f>
        <v>152326196302020042</v>
      </c>
      <c r="E5609" s="1" t="s">
        <v>933</v>
      </c>
      <c r="F5609" s="1" t="s">
        <v>16</v>
      </c>
      <c r="G5609" s="1" t="s">
        <v>17</v>
      </c>
      <c r="H5609" s="1" t="str">
        <f>"61"</f>
        <v>61</v>
      </c>
      <c r="I5609" s="1" t="str">
        <f>"214.48"</f>
        <v>214.48</v>
      </c>
      <c r="J5609" s="1" t="str">
        <f t="shared" si="3172"/>
        <v>0</v>
      </c>
      <c r="K5609" s="1" t="str">
        <f t="shared" si="3173"/>
        <v>103</v>
      </c>
      <c r="L5609" s="1" t="str">
        <f t="shared" si="3174"/>
        <v>47</v>
      </c>
      <c r="M5609" s="1" t="str">
        <f t="shared" si="3187"/>
        <v>0</v>
      </c>
      <c r="N5609" s="1" t="str">
        <f t="shared" si="3175"/>
        <v>0</v>
      </c>
      <c r="O5609" s="1" t="str">
        <f>"64.48"</f>
        <v>64.48</v>
      </c>
    </row>
    <row r="5610" s="1" customFormat="1" spans="1:15">
      <c r="A5610" s="1" t="str">
        <f t="shared" si="3179"/>
        <v>202406</v>
      </c>
      <c r="B5610" s="1" t="str">
        <f t="shared" si="3180"/>
        <v>150525100</v>
      </c>
      <c r="C5610" s="1" t="str">
        <f>"1014575626"</f>
        <v>1014575626</v>
      </c>
      <c r="D5610" s="1" t="s">
        <v>5520</v>
      </c>
      <c r="E5610" s="1" t="s">
        <v>5521</v>
      </c>
      <c r="F5610" s="1" t="s">
        <v>16</v>
      </c>
      <c r="G5610" s="1" t="s">
        <v>17</v>
      </c>
      <c r="H5610" s="1" t="str">
        <f>"65"</f>
        <v>65</v>
      </c>
      <c r="I5610" s="1" t="str">
        <f>"184.93"</f>
        <v>184.93</v>
      </c>
      <c r="J5610" s="1" t="str">
        <f t="shared" si="3172"/>
        <v>0</v>
      </c>
      <c r="K5610" s="1" t="str">
        <f t="shared" si="3173"/>
        <v>103</v>
      </c>
      <c r="L5610" s="1" t="str">
        <f t="shared" si="3174"/>
        <v>47</v>
      </c>
      <c r="M5610" s="1" t="str">
        <f t="shared" si="3187"/>
        <v>0</v>
      </c>
      <c r="N5610" s="1" t="str">
        <f t="shared" si="3175"/>
        <v>0</v>
      </c>
      <c r="O5610" s="1" t="str">
        <f>"34.93"</f>
        <v>34.93</v>
      </c>
    </row>
    <row r="5611" s="1" customFormat="1" spans="1:15">
      <c r="A5611" s="1" t="str">
        <f t="shared" si="3179"/>
        <v>202406</v>
      </c>
      <c r="B5611" s="1" t="str">
        <f t="shared" si="3180"/>
        <v>150525100</v>
      </c>
      <c r="C5611" s="1" t="str">
        <f>"1014548439"</f>
        <v>1014548439</v>
      </c>
      <c r="D5611" s="1" t="str">
        <f>"152326195708130669"</f>
        <v>152326195708130669</v>
      </c>
      <c r="E5611" s="1" t="s">
        <v>5522</v>
      </c>
      <c r="F5611" s="1" t="s">
        <v>16</v>
      </c>
      <c r="G5611" s="1" t="s">
        <v>17</v>
      </c>
      <c r="H5611" s="1" t="str">
        <f>"67"</f>
        <v>67</v>
      </c>
      <c r="I5611" s="1" t="str">
        <f>"155.83"</f>
        <v>155.83</v>
      </c>
      <c r="J5611" s="1" t="str">
        <f t="shared" si="3172"/>
        <v>0</v>
      </c>
      <c r="K5611" s="1" t="str">
        <f t="shared" si="3173"/>
        <v>103</v>
      </c>
      <c r="L5611" s="1" t="str">
        <f t="shared" si="3174"/>
        <v>47</v>
      </c>
      <c r="M5611" s="1" t="str">
        <f t="shared" si="3187"/>
        <v>0</v>
      </c>
      <c r="N5611" s="1" t="str">
        <f t="shared" si="3175"/>
        <v>0</v>
      </c>
      <c r="O5611" s="1" t="str">
        <f>"5.83"</f>
        <v>5.83</v>
      </c>
    </row>
    <row r="5612" s="1" customFormat="1" spans="1:15">
      <c r="A5612" s="1" t="str">
        <f t="shared" si="3179"/>
        <v>202406</v>
      </c>
      <c r="B5612" s="1" t="str">
        <f t="shared" si="3180"/>
        <v>150525100</v>
      </c>
      <c r="C5612" s="1" t="str">
        <f>"1014548447"</f>
        <v>1014548447</v>
      </c>
      <c r="D5612" s="1" t="str">
        <f>"152326195803110703"</f>
        <v>152326195803110703</v>
      </c>
      <c r="E5612" s="1" t="s">
        <v>5523</v>
      </c>
      <c r="F5612" s="1" t="s">
        <v>16</v>
      </c>
      <c r="G5612" s="1" t="s">
        <v>17</v>
      </c>
      <c r="H5612" s="1" t="str">
        <f>"66"</f>
        <v>66</v>
      </c>
      <c r="I5612" s="1" t="str">
        <f>"158.01"</f>
        <v>158.01</v>
      </c>
      <c r="J5612" s="1" t="str">
        <f t="shared" si="3172"/>
        <v>0</v>
      </c>
      <c r="K5612" s="1" t="str">
        <f t="shared" si="3173"/>
        <v>103</v>
      </c>
      <c r="L5612" s="1" t="str">
        <f t="shared" si="3174"/>
        <v>47</v>
      </c>
      <c r="M5612" s="1" t="str">
        <f t="shared" si="3187"/>
        <v>0</v>
      </c>
      <c r="N5612" s="1" t="str">
        <f t="shared" si="3175"/>
        <v>0</v>
      </c>
      <c r="O5612" s="1" t="str">
        <f>"8.01"</f>
        <v>8.01</v>
      </c>
    </row>
    <row r="5613" s="1" customFormat="1" spans="1:15">
      <c r="A5613" s="1" t="str">
        <f t="shared" si="3179"/>
        <v>202406</v>
      </c>
      <c r="B5613" s="1" t="str">
        <f t="shared" si="3180"/>
        <v>150525100</v>
      </c>
      <c r="C5613" s="1" t="str">
        <f>"1014573243"</f>
        <v>1014573243</v>
      </c>
      <c r="D5613" s="1" t="str">
        <f>"152326195711070011"</f>
        <v>152326195711070011</v>
      </c>
      <c r="E5613" s="1" t="s">
        <v>5524</v>
      </c>
      <c r="F5613" s="1" t="s">
        <v>25</v>
      </c>
      <c r="G5613" s="1" t="s">
        <v>17</v>
      </c>
      <c r="H5613" s="1" t="str">
        <f>"67"</f>
        <v>67</v>
      </c>
      <c r="I5613" s="1" t="str">
        <f>"198.41"</f>
        <v>198.41</v>
      </c>
      <c r="J5613" s="1" t="str">
        <f t="shared" si="3172"/>
        <v>0</v>
      </c>
      <c r="K5613" s="1" t="str">
        <f t="shared" si="3173"/>
        <v>103</v>
      </c>
      <c r="L5613" s="1" t="str">
        <f t="shared" si="3174"/>
        <v>47</v>
      </c>
      <c r="M5613" s="1" t="str">
        <f t="shared" si="3187"/>
        <v>0</v>
      </c>
      <c r="N5613" s="1" t="str">
        <f t="shared" si="3175"/>
        <v>0</v>
      </c>
      <c r="O5613" s="1" t="str">
        <f>"48.41"</f>
        <v>48.41</v>
      </c>
    </row>
    <row r="5614" s="1" customFormat="1" spans="1:15">
      <c r="A5614" s="1" t="str">
        <f t="shared" si="3179"/>
        <v>202406</v>
      </c>
      <c r="B5614" s="1" t="str">
        <f t="shared" si="3180"/>
        <v>150525100</v>
      </c>
      <c r="C5614" s="1" t="str">
        <f>"1014573533"</f>
        <v>1014573533</v>
      </c>
      <c r="D5614" s="1" t="str">
        <f>"152326196308103076"</f>
        <v>152326196308103076</v>
      </c>
      <c r="E5614" s="1" t="s">
        <v>5525</v>
      </c>
      <c r="F5614" s="1" t="s">
        <v>25</v>
      </c>
      <c r="G5614" s="1" t="s">
        <v>17</v>
      </c>
      <c r="H5614" s="1" t="str">
        <f>"61"</f>
        <v>61</v>
      </c>
      <c r="I5614" s="1" t="str">
        <f>"170.17"</f>
        <v>170.17</v>
      </c>
      <c r="J5614" s="1" t="str">
        <f t="shared" si="3172"/>
        <v>0</v>
      </c>
      <c r="K5614" s="1" t="str">
        <f t="shared" si="3173"/>
        <v>103</v>
      </c>
      <c r="L5614" s="1" t="str">
        <f t="shared" si="3174"/>
        <v>47</v>
      </c>
      <c r="M5614" s="1" t="str">
        <f t="shared" si="3187"/>
        <v>0</v>
      </c>
      <c r="N5614" s="1" t="str">
        <f t="shared" si="3175"/>
        <v>0</v>
      </c>
      <c r="O5614" s="1" t="str">
        <f>"20.17"</f>
        <v>20.17</v>
      </c>
    </row>
    <row r="5615" s="1" customFormat="1" spans="1:15">
      <c r="A5615" s="1" t="str">
        <f t="shared" si="3179"/>
        <v>202406</v>
      </c>
      <c r="B5615" s="1" t="str">
        <f t="shared" si="3180"/>
        <v>150525100</v>
      </c>
      <c r="C5615" s="1" t="str">
        <f>"1014575659"</f>
        <v>1014575659</v>
      </c>
      <c r="D5615" s="1" t="str">
        <f>"152326196002103073"</f>
        <v>152326196002103073</v>
      </c>
      <c r="E5615" s="1" t="s">
        <v>5526</v>
      </c>
      <c r="F5615" s="1" t="s">
        <v>25</v>
      </c>
      <c r="G5615" s="1" t="s">
        <v>17</v>
      </c>
      <c r="H5615" s="1" t="str">
        <f>"64"</f>
        <v>64</v>
      </c>
      <c r="I5615" s="1" t="str">
        <f>"159.17"</f>
        <v>159.17</v>
      </c>
      <c r="J5615" s="1" t="str">
        <f t="shared" si="3172"/>
        <v>0</v>
      </c>
      <c r="K5615" s="1" t="str">
        <f t="shared" si="3173"/>
        <v>103</v>
      </c>
      <c r="L5615" s="1" t="str">
        <f t="shared" si="3174"/>
        <v>47</v>
      </c>
      <c r="M5615" s="1" t="str">
        <f t="shared" si="3187"/>
        <v>0</v>
      </c>
      <c r="N5615" s="1" t="str">
        <f t="shared" si="3175"/>
        <v>0</v>
      </c>
      <c r="O5615" s="1" t="str">
        <f>"9.17"</f>
        <v>9.17</v>
      </c>
    </row>
    <row r="5616" s="1" customFormat="1" spans="1:15">
      <c r="A5616" s="1" t="str">
        <f t="shared" si="3179"/>
        <v>202406</v>
      </c>
      <c r="B5616" s="1" t="str">
        <f t="shared" si="3180"/>
        <v>150525100</v>
      </c>
      <c r="C5616" s="1" t="str">
        <f>"1014575678"</f>
        <v>1014575678</v>
      </c>
      <c r="D5616" s="1" t="str">
        <f>"152326196309203079"</f>
        <v>152326196309203079</v>
      </c>
      <c r="E5616" s="1" t="s">
        <v>5527</v>
      </c>
      <c r="F5616" s="1" t="s">
        <v>25</v>
      </c>
      <c r="G5616" s="1" t="s">
        <v>17</v>
      </c>
      <c r="H5616" s="1" t="str">
        <f>"61"</f>
        <v>61</v>
      </c>
      <c r="I5616" s="1" t="str">
        <f>"165.07"</f>
        <v>165.07</v>
      </c>
      <c r="J5616" s="1" t="str">
        <f t="shared" si="3172"/>
        <v>0</v>
      </c>
      <c r="K5616" s="1" t="str">
        <f t="shared" si="3173"/>
        <v>103</v>
      </c>
      <c r="L5616" s="1" t="str">
        <f t="shared" si="3174"/>
        <v>47</v>
      </c>
      <c r="M5616" s="1" t="str">
        <f t="shared" si="3187"/>
        <v>0</v>
      </c>
      <c r="N5616" s="1" t="str">
        <f t="shared" si="3175"/>
        <v>0</v>
      </c>
      <c r="O5616" s="1" t="str">
        <f>"15.07"</f>
        <v>15.07</v>
      </c>
    </row>
    <row r="5617" s="1" customFormat="1" spans="1:15">
      <c r="A5617" s="1" t="str">
        <f t="shared" si="3179"/>
        <v>202406</v>
      </c>
      <c r="B5617" s="1" t="str">
        <f t="shared" si="3180"/>
        <v>150525100</v>
      </c>
      <c r="C5617" s="1" t="str">
        <f>"1014576234"</f>
        <v>1014576234</v>
      </c>
      <c r="D5617" s="1" t="str">
        <f>"152326195402066123"</f>
        <v>152326195402066123</v>
      </c>
      <c r="E5617" s="1" t="s">
        <v>5528</v>
      </c>
      <c r="F5617" s="1" t="s">
        <v>16</v>
      </c>
      <c r="G5617" s="1" t="s">
        <v>17</v>
      </c>
      <c r="H5617" s="1" t="str">
        <f>"70"</f>
        <v>70</v>
      </c>
      <c r="I5617" s="1" t="str">
        <f>"164.14"</f>
        <v>164.14</v>
      </c>
      <c r="J5617" s="1" t="str">
        <f t="shared" si="3172"/>
        <v>0</v>
      </c>
      <c r="K5617" s="1" t="str">
        <f t="shared" si="3173"/>
        <v>103</v>
      </c>
      <c r="L5617" s="1" t="str">
        <f t="shared" si="3174"/>
        <v>47</v>
      </c>
      <c r="M5617" s="1" t="str">
        <f t="shared" si="3187"/>
        <v>0</v>
      </c>
      <c r="N5617" s="1" t="str">
        <f t="shared" si="3175"/>
        <v>0</v>
      </c>
      <c r="O5617" s="1" t="str">
        <f>"4.14"</f>
        <v>4.14</v>
      </c>
    </row>
    <row r="5618" s="1" customFormat="1" spans="1:15">
      <c r="A5618" s="1" t="str">
        <f t="shared" si="3179"/>
        <v>202406</v>
      </c>
      <c r="B5618" s="1" t="str">
        <f t="shared" si="3180"/>
        <v>150525100</v>
      </c>
      <c r="C5618" s="1" t="str">
        <f>"1014576245"</f>
        <v>1014576245</v>
      </c>
      <c r="D5618" s="1" t="str">
        <f>"152326195605106383"</f>
        <v>152326195605106383</v>
      </c>
      <c r="E5618" s="1" t="s">
        <v>5529</v>
      </c>
      <c r="F5618" s="1" t="s">
        <v>16</v>
      </c>
      <c r="G5618" s="1" t="s">
        <v>17</v>
      </c>
      <c r="H5618" s="1" t="str">
        <f>"68"</f>
        <v>68</v>
      </c>
      <c r="I5618" s="1" t="str">
        <f>"156.01"</f>
        <v>156.01</v>
      </c>
      <c r="J5618" s="1" t="str">
        <f t="shared" ref="J5618:J5624" si="3191">"0"</f>
        <v>0</v>
      </c>
      <c r="K5618" s="1" t="str">
        <f t="shared" ref="K5618:K5624" si="3192">"103"</f>
        <v>103</v>
      </c>
      <c r="L5618" s="1" t="str">
        <f t="shared" ref="L5618:L5624" si="3193">"47"</f>
        <v>47</v>
      </c>
      <c r="M5618" s="1" t="str">
        <f t="shared" si="3187"/>
        <v>0</v>
      </c>
      <c r="N5618" s="1" t="str">
        <f t="shared" si="3175"/>
        <v>0</v>
      </c>
      <c r="O5618" s="1" t="str">
        <f>"6.01"</f>
        <v>6.01</v>
      </c>
    </row>
    <row r="5619" s="1" customFormat="1" spans="1:15">
      <c r="A5619" s="1" t="str">
        <f t="shared" si="3179"/>
        <v>202406</v>
      </c>
      <c r="B5619" s="1" t="str">
        <f t="shared" si="3180"/>
        <v>150525100</v>
      </c>
      <c r="C5619" s="1" t="str">
        <f>"1014576857"</f>
        <v>1014576857</v>
      </c>
      <c r="D5619" s="1" t="str">
        <f>"152326195805180668"</f>
        <v>152326195805180668</v>
      </c>
      <c r="E5619" s="1" t="s">
        <v>5530</v>
      </c>
      <c r="F5619" s="1" t="s">
        <v>16</v>
      </c>
      <c r="G5619" s="1" t="s">
        <v>17</v>
      </c>
      <c r="H5619" s="1" t="str">
        <f>"66"</f>
        <v>66</v>
      </c>
      <c r="I5619" s="1" t="str">
        <f>"157.09"</f>
        <v>157.09</v>
      </c>
      <c r="J5619" s="1" t="str">
        <f t="shared" si="3191"/>
        <v>0</v>
      </c>
      <c r="K5619" s="1" t="str">
        <f t="shared" si="3192"/>
        <v>103</v>
      </c>
      <c r="L5619" s="1" t="str">
        <f t="shared" si="3193"/>
        <v>47</v>
      </c>
      <c r="M5619" s="1" t="str">
        <f t="shared" si="3187"/>
        <v>0</v>
      </c>
      <c r="N5619" s="1" t="str">
        <f t="shared" si="3175"/>
        <v>0</v>
      </c>
      <c r="O5619" s="1" t="str">
        <f>"7.09"</f>
        <v>7.09</v>
      </c>
    </row>
    <row r="5620" s="1" customFormat="1" spans="1:15">
      <c r="A5620" s="1" t="str">
        <f t="shared" si="3179"/>
        <v>202406</v>
      </c>
      <c r="B5620" s="1" t="str">
        <f t="shared" si="3180"/>
        <v>150525100</v>
      </c>
      <c r="C5620" s="1" t="str">
        <f>"1014552211"</f>
        <v>1014552211</v>
      </c>
      <c r="D5620" s="1" t="str">
        <f>"152326196002193814"</f>
        <v>152326196002193814</v>
      </c>
      <c r="E5620" s="1" t="s">
        <v>5531</v>
      </c>
      <c r="F5620" s="1" t="s">
        <v>25</v>
      </c>
      <c r="G5620" s="1" t="s">
        <v>17</v>
      </c>
      <c r="H5620" s="1" t="str">
        <f t="shared" ref="H5620:H5622" si="3194">"64"</f>
        <v>64</v>
      </c>
      <c r="I5620" s="1" t="str">
        <f>"158.93"</f>
        <v>158.93</v>
      </c>
      <c r="J5620" s="1" t="str">
        <f t="shared" si="3191"/>
        <v>0</v>
      </c>
      <c r="K5620" s="1" t="str">
        <f t="shared" si="3192"/>
        <v>103</v>
      </c>
      <c r="L5620" s="1" t="str">
        <f t="shared" si="3193"/>
        <v>47</v>
      </c>
      <c r="M5620" s="1" t="str">
        <f t="shared" si="3187"/>
        <v>0</v>
      </c>
      <c r="N5620" s="1" t="str">
        <f t="shared" ref="N5620:N5683" si="3195">"0"</f>
        <v>0</v>
      </c>
      <c r="O5620" s="1" t="str">
        <f>"8.93"</f>
        <v>8.93</v>
      </c>
    </row>
    <row r="5621" s="1" customFormat="1" spans="1:15">
      <c r="A5621" s="1" t="str">
        <f t="shared" si="3179"/>
        <v>202406</v>
      </c>
      <c r="B5621" s="1" t="str">
        <f t="shared" si="3180"/>
        <v>150525100</v>
      </c>
      <c r="C5621" s="1" t="str">
        <f>"1014573403"</f>
        <v>1014573403</v>
      </c>
      <c r="D5621" s="1" t="str">
        <f>"152326196008280417"</f>
        <v>152326196008280417</v>
      </c>
      <c r="E5621" s="1" t="s">
        <v>5532</v>
      </c>
      <c r="F5621" s="1" t="s">
        <v>25</v>
      </c>
      <c r="G5621" s="1" t="s">
        <v>17</v>
      </c>
      <c r="H5621" s="1" t="str">
        <f t="shared" si="3194"/>
        <v>64</v>
      </c>
      <c r="I5621" s="1" t="str">
        <f>"159.25"</f>
        <v>159.25</v>
      </c>
      <c r="J5621" s="1" t="str">
        <f t="shared" si="3191"/>
        <v>0</v>
      </c>
      <c r="K5621" s="1" t="str">
        <f t="shared" si="3192"/>
        <v>103</v>
      </c>
      <c r="L5621" s="1" t="str">
        <f t="shared" si="3193"/>
        <v>47</v>
      </c>
      <c r="M5621" s="1" t="str">
        <f t="shared" si="3187"/>
        <v>0</v>
      </c>
      <c r="N5621" s="1" t="str">
        <f t="shared" si="3195"/>
        <v>0</v>
      </c>
      <c r="O5621" s="1" t="str">
        <f>"9.25"</f>
        <v>9.25</v>
      </c>
    </row>
    <row r="5622" s="1" customFormat="1" spans="1:15">
      <c r="A5622" s="1" t="str">
        <f t="shared" si="3179"/>
        <v>202406</v>
      </c>
      <c r="B5622" s="1" t="str">
        <f t="shared" si="3180"/>
        <v>150525100</v>
      </c>
      <c r="C5622" s="1" t="str">
        <f>"1014573409"</f>
        <v>1014573409</v>
      </c>
      <c r="D5622" s="1" t="str">
        <f>"152326196012070041"</f>
        <v>152326196012070041</v>
      </c>
      <c r="E5622" s="1" t="s">
        <v>2573</v>
      </c>
      <c r="F5622" s="1" t="s">
        <v>16</v>
      </c>
      <c r="G5622" s="1" t="s">
        <v>17</v>
      </c>
      <c r="H5622" s="1" t="str">
        <f t="shared" si="3194"/>
        <v>64</v>
      </c>
      <c r="I5622" s="1" t="str">
        <f>"159.28"</f>
        <v>159.28</v>
      </c>
      <c r="J5622" s="1" t="str">
        <f t="shared" si="3191"/>
        <v>0</v>
      </c>
      <c r="K5622" s="1" t="str">
        <f t="shared" si="3192"/>
        <v>103</v>
      </c>
      <c r="L5622" s="1" t="str">
        <f t="shared" si="3193"/>
        <v>47</v>
      </c>
      <c r="M5622" s="1" t="str">
        <f t="shared" si="3187"/>
        <v>0</v>
      </c>
      <c r="N5622" s="1" t="str">
        <f t="shared" si="3195"/>
        <v>0</v>
      </c>
      <c r="O5622" s="1" t="str">
        <f>"9.28"</f>
        <v>9.28</v>
      </c>
    </row>
    <row r="5623" s="1" customFormat="1" spans="1:15">
      <c r="A5623" s="1" t="str">
        <f t="shared" si="3179"/>
        <v>202406</v>
      </c>
      <c r="B5623" s="1" t="str">
        <f t="shared" si="3180"/>
        <v>150525100</v>
      </c>
      <c r="C5623" s="1" t="str">
        <f>"1014573417"</f>
        <v>1014573417</v>
      </c>
      <c r="D5623" s="1" t="str">
        <f>"152326196105300424"</f>
        <v>152326196105300424</v>
      </c>
      <c r="E5623" s="1" t="s">
        <v>5533</v>
      </c>
      <c r="F5623" s="1" t="s">
        <v>16</v>
      </c>
      <c r="G5623" s="1" t="s">
        <v>17</v>
      </c>
      <c r="H5623" s="1" t="str">
        <f>"63"</f>
        <v>63</v>
      </c>
      <c r="I5623" s="1" t="str">
        <f>"161.05"</f>
        <v>161.05</v>
      </c>
      <c r="J5623" s="1" t="str">
        <f t="shared" si="3191"/>
        <v>0</v>
      </c>
      <c r="K5623" s="1" t="str">
        <f t="shared" si="3192"/>
        <v>103</v>
      </c>
      <c r="L5623" s="1" t="str">
        <f t="shared" si="3193"/>
        <v>47</v>
      </c>
      <c r="M5623" s="1" t="str">
        <f t="shared" si="3187"/>
        <v>0</v>
      </c>
      <c r="N5623" s="1" t="str">
        <f t="shared" si="3195"/>
        <v>0</v>
      </c>
      <c r="O5623" s="1" t="str">
        <f>"11.05"</f>
        <v>11.05</v>
      </c>
    </row>
    <row r="5624" s="1" customFormat="1" spans="1:15">
      <c r="A5624" s="1" t="str">
        <f t="shared" si="3179"/>
        <v>202406</v>
      </c>
      <c r="B5624" s="1" t="str">
        <f t="shared" si="3180"/>
        <v>150525100</v>
      </c>
      <c r="C5624" s="1" t="str">
        <f>"1014575899"</f>
        <v>1014575899</v>
      </c>
      <c r="D5624" s="1" t="str">
        <f>"152326195805200665"</f>
        <v>152326195805200665</v>
      </c>
      <c r="E5624" s="1" t="s">
        <v>1007</v>
      </c>
      <c r="F5624" s="1" t="s">
        <v>16</v>
      </c>
      <c r="G5624" s="1" t="s">
        <v>96</v>
      </c>
      <c r="H5624" s="1" t="str">
        <f>"66"</f>
        <v>66</v>
      </c>
      <c r="I5624" s="1" t="str">
        <f>"157.09"</f>
        <v>157.09</v>
      </c>
      <c r="J5624" s="1" t="str">
        <f t="shared" si="3191"/>
        <v>0</v>
      </c>
      <c r="K5624" s="1" t="str">
        <f t="shared" si="3192"/>
        <v>103</v>
      </c>
      <c r="L5624" s="1" t="str">
        <f t="shared" si="3193"/>
        <v>47</v>
      </c>
      <c r="M5624" s="1" t="str">
        <f t="shared" si="3187"/>
        <v>0</v>
      </c>
      <c r="N5624" s="1" t="str">
        <f t="shared" si="3195"/>
        <v>0</v>
      </c>
      <c r="O5624" s="1" t="str">
        <f>"7.09"</f>
        <v>7.09</v>
      </c>
    </row>
    <row r="5625" s="1" customFormat="1" spans="1:15">
      <c r="A5625" s="1" t="str">
        <f t="shared" si="3179"/>
        <v>202406</v>
      </c>
      <c r="B5625" s="1" t="str">
        <f t="shared" si="3180"/>
        <v>150525100</v>
      </c>
      <c r="C5625" s="1" t="str">
        <f>"1014575903"</f>
        <v>1014575903</v>
      </c>
      <c r="D5625" s="1" t="str">
        <f>"152326195911120677"</f>
        <v>152326195911120677</v>
      </c>
      <c r="E5625" s="1" t="s">
        <v>5534</v>
      </c>
      <c r="F5625" s="1" t="s">
        <v>25</v>
      </c>
      <c r="G5625" s="1" t="s">
        <v>96</v>
      </c>
      <c r="H5625" s="1" t="str">
        <f>"65"</f>
        <v>65</v>
      </c>
      <c r="I5625" s="1" t="str">
        <f>"2060.83"</f>
        <v>2060.83</v>
      </c>
      <c r="J5625" s="1" t="str">
        <f>"1901.92"</f>
        <v>1901.92</v>
      </c>
      <c r="K5625" s="1" t="str">
        <f>"1334"</f>
        <v>1334</v>
      </c>
      <c r="L5625" s="1" t="str">
        <f>"611"</f>
        <v>611</v>
      </c>
      <c r="M5625" s="1" t="str">
        <f t="shared" si="3187"/>
        <v>0</v>
      </c>
      <c r="N5625" s="1" t="str">
        <f t="shared" si="3195"/>
        <v>0</v>
      </c>
      <c r="O5625" s="1" t="str">
        <f>"115.83"</f>
        <v>115.83</v>
      </c>
    </row>
    <row r="5626" s="1" customFormat="1" spans="1:15">
      <c r="A5626" s="1" t="str">
        <f t="shared" si="3179"/>
        <v>202406</v>
      </c>
      <c r="B5626" s="1" t="str">
        <f t="shared" si="3180"/>
        <v>150525100</v>
      </c>
      <c r="C5626" s="1" t="str">
        <f>"1014549516"</f>
        <v>1014549516</v>
      </c>
      <c r="D5626" s="1" t="s">
        <v>5535</v>
      </c>
      <c r="E5626" s="1" t="s">
        <v>2207</v>
      </c>
      <c r="F5626" s="1" t="s">
        <v>16</v>
      </c>
      <c r="G5626" s="1" t="s">
        <v>17</v>
      </c>
      <c r="H5626" s="1" t="str">
        <f>"68"</f>
        <v>68</v>
      </c>
      <c r="I5626" s="1" t="str">
        <f>"156.02"</f>
        <v>156.02</v>
      </c>
      <c r="J5626" s="1" t="str">
        <f t="shared" ref="J5626:J5689" si="3196">"0"</f>
        <v>0</v>
      </c>
      <c r="K5626" s="1" t="str">
        <f t="shared" ref="K5626:K5689" si="3197">"103"</f>
        <v>103</v>
      </c>
      <c r="L5626" s="1" t="str">
        <f t="shared" ref="L5626:L5689" si="3198">"47"</f>
        <v>47</v>
      </c>
      <c r="M5626" s="1" t="str">
        <f t="shared" si="3187"/>
        <v>0</v>
      </c>
      <c r="N5626" s="1" t="str">
        <f t="shared" si="3195"/>
        <v>0</v>
      </c>
      <c r="O5626" s="1" t="str">
        <f>"6.02"</f>
        <v>6.02</v>
      </c>
    </row>
    <row r="5627" s="1" customFormat="1" spans="1:15">
      <c r="A5627" s="1" t="str">
        <f t="shared" si="3179"/>
        <v>202406</v>
      </c>
      <c r="B5627" s="1" t="str">
        <f t="shared" si="3180"/>
        <v>150525100</v>
      </c>
      <c r="C5627" s="1" t="str">
        <f>"1014571626"</f>
        <v>1014571626</v>
      </c>
      <c r="D5627" s="1" t="str">
        <f>"152326196201220061"</f>
        <v>152326196201220061</v>
      </c>
      <c r="E5627" s="1" t="s">
        <v>5536</v>
      </c>
      <c r="F5627" s="1" t="s">
        <v>16</v>
      </c>
      <c r="G5627" s="1" t="s">
        <v>17</v>
      </c>
      <c r="H5627" s="1" t="str">
        <f t="shared" ref="H5627:H5631" si="3199">"62"</f>
        <v>62</v>
      </c>
      <c r="I5627" s="1" t="str">
        <f>"267.14"</f>
        <v>267.14</v>
      </c>
      <c r="J5627" s="1" t="str">
        <f t="shared" si="3196"/>
        <v>0</v>
      </c>
      <c r="K5627" s="1" t="str">
        <f t="shared" si="3197"/>
        <v>103</v>
      </c>
      <c r="L5627" s="1" t="str">
        <f t="shared" si="3198"/>
        <v>47</v>
      </c>
      <c r="M5627" s="1" t="str">
        <f t="shared" si="3187"/>
        <v>0</v>
      </c>
      <c r="N5627" s="1" t="str">
        <f t="shared" si="3195"/>
        <v>0</v>
      </c>
      <c r="O5627" s="1" t="str">
        <f>"117.14"</f>
        <v>117.14</v>
      </c>
    </row>
    <row r="5628" s="1" customFormat="1" spans="1:15">
      <c r="A5628" s="1" t="str">
        <f t="shared" si="3179"/>
        <v>202406</v>
      </c>
      <c r="B5628" s="1" t="str">
        <f t="shared" si="3180"/>
        <v>150525100</v>
      </c>
      <c r="C5628" s="1" t="str">
        <f>"1014571632"</f>
        <v>1014571632</v>
      </c>
      <c r="D5628" s="1" t="str">
        <f>"152326196301050039"</f>
        <v>152326196301050039</v>
      </c>
      <c r="E5628" s="1" t="s">
        <v>5537</v>
      </c>
      <c r="F5628" s="1" t="s">
        <v>25</v>
      </c>
      <c r="G5628" s="1" t="s">
        <v>17</v>
      </c>
      <c r="H5628" s="1" t="str">
        <f t="shared" si="3199"/>
        <v>62</v>
      </c>
      <c r="I5628" s="1" t="str">
        <f>"203.89"</f>
        <v>203.89</v>
      </c>
      <c r="J5628" s="1" t="str">
        <f t="shared" si="3196"/>
        <v>0</v>
      </c>
      <c r="K5628" s="1" t="str">
        <f t="shared" si="3197"/>
        <v>103</v>
      </c>
      <c r="L5628" s="1" t="str">
        <f t="shared" si="3198"/>
        <v>47</v>
      </c>
      <c r="M5628" s="1" t="str">
        <f t="shared" si="3187"/>
        <v>0</v>
      </c>
      <c r="N5628" s="1" t="str">
        <f t="shared" si="3195"/>
        <v>0</v>
      </c>
      <c r="O5628" s="1" t="str">
        <f>"53.89"</f>
        <v>53.89</v>
      </c>
    </row>
    <row r="5629" s="1" customFormat="1" spans="1:15">
      <c r="A5629" s="1" t="str">
        <f t="shared" si="3179"/>
        <v>202406</v>
      </c>
      <c r="B5629" s="1" t="str">
        <f t="shared" si="3180"/>
        <v>150525100</v>
      </c>
      <c r="C5629" s="1" t="str">
        <f>"1014571634"</f>
        <v>1014571634</v>
      </c>
      <c r="D5629" s="1" t="str">
        <f>"152326196305120057"</f>
        <v>152326196305120057</v>
      </c>
      <c r="E5629" s="1" t="s">
        <v>5538</v>
      </c>
      <c r="F5629" s="1" t="s">
        <v>25</v>
      </c>
      <c r="G5629" s="1" t="s">
        <v>17</v>
      </c>
      <c r="H5629" s="1" t="str">
        <f>"61"</f>
        <v>61</v>
      </c>
      <c r="I5629" s="1" t="str">
        <f>"227.52"</f>
        <v>227.52</v>
      </c>
      <c r="J5629" s="1" t="str">
        <f t="shared" si="3196"/>
        <v>0</v>
      </c>
      <c r="K5629" s="1" t="str">
        <f t="shared" si="3197"/>
        <v>103</v>
      </c>
      <c r="L5629" s="1" t="str">
        <f t="shared" si="3198"/>
        <v>47</v>
      </c>
      <c r="M5629" s="1" t="str">
        <f t="shared" si="3187"/>
        <v>0</v>
      </c>
      <c r="N5629" s="1" t="str">
        <f t="shared" si="3195"/>
        <v>0</v>
      </c>
      <c r="O5629" s="1" t="str">
        <f>"77.52"</f>
        <v>77.52</v>
      </c>
    </row>
    <row r="5630" s="1" customFormat="1" spans="1:15">
      <c r="A5630" s="1" t="str">
        <f t="shared" si="3179"/>
        <v>202406</v>
      </c>
      <c r="B5630" s="1" t="str">
        <f t="shared" si="3180"/>
        <v>150525100</v>
      </c>
      <c r="C5630" s="1" t="str">
        <f>"1014571637"</f>
        <v>1014571637</v>
      </c>
      <c r="D5630" s="1" t="str">
        <f>"152326196311020044"</f>
        <v>152326196311020044</v>
      </c>
      <c r="E5630" s="1" t="s">
        <v>5539</v>
      </c>
      <c r="F5630" s="1" t="s">
        <v>16</v>
      </c>
      <c r="G5630" s="1" t="s">
        <v>17</v>
      </c>
      <c r="H5630" s="1" t="str">
        <f>"61"</f>
        <v>61</v>
      </c>
      <c r="I5630" s="1" t="str">
        <f>"349.99"</f>
        <v>349.99</v>
      </c>
      <c r="J5630" s="1" t="str">
        <f t="shared" si="3196"/>
        <v>0</v>
      </c>
      <c r="K5630" s="1" t="str">
        <f t="shared" si="3197"/>
        <v>103</v>
      </c>
      <c r="L5630" s="1" t="str">
        <f t="shared" si="3198"/>
        <v>47</v>
      </c>
      <c r="M5630" s="1" t="str">
        <f t="shared" si="3187"/>
        <v>0</v>
      </c>
      <c r="N5630" s="1" t="str">
        <f t="shared" si="3195"/>
        <v>0</v>
      </c>
      <c r="O5630" s="1" t="str">
        <f>"199.99"</f>
        <v>199.99</v>
      </c>
    </row>
    <row r="5631" s="1" customFormat="1" spans="1:15">
      <c r="A5631" s="1" t="str">
        <f t="shared" si="3179"/>
        <v>202406</v>
      </c>
      <c r="B5631" s="1" t="str">
        <f t="shared" si="3180"/>
        <v>150525100</v>
      </c>
      <c r="C5631" s="1" t="str">
        <f>"1014571792"</f>
        <v>1014571792</v>
      </c>
      <c r="D5631" s="1" t="s">
        <v>5540</v>
      </c>
      <c r="E5631" s="1" t="s">
        <v>5541</v>
      </c>
      <c r="F5631" s="1" t="s">
        <v>16</v>
      </c>
      <c r="G5631" s="1" t="s">
        <v>96</v>
      </c>
      <c r="H5631" s="1" t="str">
        <f t="shared" si="3199"/>
        <v>62</v>
      </c>
      <c r="I5631" s="1" t="str">
        <f>"199.48"</f>
        <v>199.48</v>
      </c>
      <c r="J5631" s="1" t="str">
        <f t="shared" si="3196"/>
        <v>0</v>
      </c>
      <c r="K5631" s="1" t="str">
        <f t="shared" si="3197"/>
        <v>103</v>
      </c>
      <c r="L5631" s="1" t="str">
        <f t="shared" si="3198"/>
        <v>47</v>
      </c>
      <c r="M5631" s="1" t="str">
        <f t="shared" si="3187"/>
        <v>0</v>
      </c>
      <c r="N5631" s="1" t="str">
        <f t="shared" si="3195"/>
        <v>0</v>
      </c>
      <c r="O5631" s="1" t="str">
        <f>"49.48"</f>
        <v>49.48</v>
      </c>
    </row>
    <row r="5632" s="1" customFormat="1" spans="1:15">
      <c r="A5632" s="1" t="str">
        <f t="shared" si="3179"/>
        <v>202406</v>
      </c>
      <c r="B5632" s="1" t="str">
        <f t="shared" si="3180"/>
        <v>150525100</v>
      </c>
      <c r="C5632" s="1" t="str">
        <f>"1014575531"</f>
        <v>1014575531</v>
      </c>
      <c r="D5632" s="1" t="str">
        <f>"152326195202123074"</f>
        <v>152326195202123074</v>
      </c>
      <c r="E5632" s="1" t="s">
        <v>5542</v>
      </c>
      <c r="F5632" s="1" t="s">
        <v>25</v>
      </c>
      <c r="G5632" s="1" t="s">
        <v>17</v>
      </c>
      <c r="H5632" s="1" t="str">
        <f>"72"</f>
        <v>72</v>
      </c>
      <c r="I5632" s="1" t="str">
        <f>"162.14"</f>
        <v>162.14</v>
      </c>
      <c r="J5632" s="1" t="str">
        <f t="shared" si="3196"/>
        <v>0</v>
      </c>
      <c r="K5632" s="1" t="str">
        <f t="shared" si="3197"/>
        <v>103</v>
      </c>
      <c r="L5632" s="1" t="str">
        <f t="shared" si="3198"/>
        <v>47</v>
      </c>
      <c r="M5632" s="1" t="str">
        <f t="shared" si="3187"/>
        <v>0</v>
      </c>
      <c r="N5632" s="1" t="str">
        <f t="shared" si="3195"/>
        <v>0</v>
      </c>
      <c r="O5632" s="1" t="str">
        <f>"2.14"</f>
        <v>2.14</v>
      </c>
    </row>
    <row r="5633" s="1" customFormat="1" spans="1:15">
      <c r="A5633" s="1" t="str">
        <f t="shared" si="3179"/>
        <v>202406</v>
      </c>
      <c r="B5633" s="1" t="str">
        <f t="shared" si="3180"/>
        <v>150525100</v>
      </c>
      <c r="C5633" s="1" t="str">
        <f>"1014575544"</f>
        <v>1014575544</v>
      </c>
      <c r="D5633" s="1" t="str">
        <f>"152326195503263089"</f>
        <v>152326195503263089</v>
      </c>
      <c r="E5633" s="1" t="s">
        <v>5543</v>
      </c>
      <c r="F5633" s="1" t="s">
        <v>16</v>
      </c>
      <c r="G5633" s="1" t="s">
        <v>17</v>
      </c>
      <c r="H5633" s="1" t="str">
        <f>"69"</f>
        <v>69</v>
      </c>
      <c r="I5633" s="1" t="str">
        <f>"154.84"</f>
        <v>154.84</v>
      </c>
      <c r="J5633" s="1" t="str">
        <f t="shared" si="3196"/>
        <v>0</v>
      </c>
      <c r="K5633" s="1" t="str">
        <f t="shared" si="3197"/>
        <v>103</v>
      </c>
      <c r="L5633" s="1" t="str">
        <f t="shared" si="3198"/>
        <v>47</v>
      </c>
      <c r="M5633" s="1" t="str">
        <f t="shared" si="3187"/>
        <v>0</v>
      </c>
      <c r="N5633" s="1" t="str">
        <f t="shared" si="3195"/>
        <v>0</v>
      </c>
      <c r="O5633" s="1" t="str">
        <f>"4.84"</f>
        <v>4.84</v>
      </c>
    </row>
    <row r="5634" s="1" customFormat="1" spans="1:15">
      <c r="A5634" s="1" t="str">
        <f t="shared" ref="A5634:A5697" si="3200">"202406"</f>
        <v>202406</v>
      </c>
      <c r="B5634" s="1" t="str">
        <f t="shared" ref="B5634:B5697" si="3201">"150525100"</f>
        <v>150525100</v>
      </c>
      <c r="C5634" s="1" t="str">
        <f>"1014575555"</f>
        <v>1014575555</v>
      </c>
      <c r="D5634" s="1" t="str">
        <f>"152326196005050675"</f>
        <v>152326196005050675</v>
      </c>
      <c r="E5634" s="1" t="s">
        <v>5544</v>
      </c>
      <c r="F5634" s="1" t="s">
        <v>25</v>
      </c>
      <c r="G5634" s="1" t="s">
        <v>17</v>
      </c>
      <c r="H5634" s="1" t="str">
        <f t="shared" ref="H5634:H5638" si="3202">"64"</f>
        <v>64</v>
      </c>
      <c r="I5634" s="1" t="str">
        <f>"159.21"</f>
        <v>159.21</v>
      </c>
      <c r="J5634" s="1" t="str">
        <f t="shared" si="3196"/>
        <v>0</v>
      </c>
      <c r="K5634" s="1" t="str">
        <f t="shared" si="3197"/>
        <v>103</v>
      </c>
      <c r="L5634" s="1" t="str">
        <f t="shared" si="3198"/>
        <v>47</v>
      </c>
      <c r="M5634" s="1" t="str">
        <f t="shared" si="3187"/>
        <v>0</v>
      </c>
      <c r="N5634" s="1" t="str">
        <f t="shared" si="3195"/>
        <v>0</v>
      </c>
      <c r="O5634" s="1" t="str">
        <f>"9.21"</f>
        <v>9.21</v>
      </c>
    </row>
    <row r="5635" s="1" customFormat="1" spans="1:15">
      <c r="A5635" s="1" t="str">
        <f t="shared" si="3200"/>
        <v>202406</v>
      </c>
      <c r="B5635" s="1" t="str">
        <f t="shared" si="3201"/>
        <v>150525100</v>
      </c>
      <c r="C5635" s="1" t="str">
        <f>"1014575556"</f>
        <v>1014575556</v>
      </c>
      <c r="D5635" s="1" t="str">
        <f>"152326196005230668"</f>
        <v>152326196005230668</v>
      </c>
      <c r="E5635" s="1" t="s">
        <v>5545</v>
      </c>
      <c r="F5635" s="1" t="s">
        <v>16</v>
      </c>
      <c r="G5635" s="1" t="s">
        <v>17</v>
      </c>
      <c r="H5635" s="1" t="str">
        <f t="shared" si="3202"/>
        <v>64</v>
      </c>
      <c r="I5635" s="1" t="str">
        <f>"159.21"</f>
        <v>159.21</v>
      </c>
      <c r="J5635" s="1" t="str">
        <f t="shared" si="3196"/>
        <v>0</v>
      </c>
      <c r="K5635" s="1" t="str">
        <f t="shared" si="3197"/>
        <v>103</v>
      </c>
      <c r="L5635" s="1" t="str">
        <f t="shared" si="3198"/>
        <v>47</v>
      </c>
      <c r="M5635" s="1" t="str">
        <f t="shared" si="3187"/>
        <v>0</v>
      </c>
      <c r="N5635" s="1" t="str">
        <f t="shared" si="3195"/>
        <v>0</v>
      </c>
      <c r="O5635" s="1" t="str">
        <f>"9.21"</f>
        <v>9.21</v>
      </c>
    </row>
    <row r="5636" s="1" customFormat="1" spans="1:15">
      <c r="A5636" s="1" t="str">
        <f t="shared" si="3200"/>
        <v>202406</v>
      </c>
      <c r="B5636" s="1" t="str">
        <f t="shared" si="3201"/>
        <v>150525100</v>
      </c>
      <c r="C5636" s="1" t="str">
        <f>"1014575690"</f>
        <v>1014575690</v>
      </c>
      <c r="D5636" s="1" t="str">
        <f>"152326196311220660"</f>
        <v>152326196311220660</v>
      </c>
      <c r="E5636" s="1" t="s">
        <v>5546</v>
      </c>
      <c r="F5636" s="1" t="s">
        <v>16</v>
      </c>
      <c r="G5636" s="1" t="s">
        <v>17</v>
      </c>
      <c r="H5636" s="1" t="str">
        <f>"61"</f>
        <v>61</v>
      </c>
      <c r="I5636" s="1" t="str">
        <f>"165.14"</f>
        <v>165.14</v>
      </c>
      <c r="J5636" s="1" t="str">
        <f t="shared" si="3196"/>
        <v>0</v>
      </c>
      <c r="K5636" s="1" t="str">
        <f t="shared" si="3197"/>
        <v>103</v>
      </c>
      <c r="L5636" s="1" t="str">
        <f t="shared" si="3198"/>
        <v>47</v>
      </c>
      <c r="M5636" s="1" t="str">
        <f t="shared" si="3187"/>
        <v>0</v>
      </c>
      <c r="N5636" s="1" t="str">
        <f t="shared" si="3195"/>
        <v>0</v>
      </c>
      <c r="O5636" s="1" t="str">
        <f>"15.14"</f>
        <v>15.14</v>
      </c>
    </row>
    <row r="5637" s="1" customFormat="1" spans="1:15">
      <c r="A5637" s="1" t="str">
        <f t="shared" si="3200"/>
        <v>202406</v>
      </c>
      <c r="B5637" s="1" t="str">
        <f t="shared" si="3201"/>
        <v>150525100</v>
      </c>
      <c r="C5637" s="1" t="str">
        <f>"1014576629"</f>
        <v>1014576629</v>
      </c>
      <c r="D5637" s="1" t="str">
        <f>"152326195603120691"</f>
        <v>152326195603120691</v>
      </c>
      <c r="E5637" s="1" t="s">
        <v>5547</v>
      </c>
      <c r="F5637" s="1" t="s">
        <v>25</v>
      </c>
      <c r="G5637" s="1" t="s">
        <v>19</v>
      </c>
      <c r="H5637" s="1" t="str">
        <f t="shared" ref="H5637:H5640" si="3203">"68"</f>
        <v>68</v>
      </c>
      <c r="I5637" s="1" t="str">
        <f>"156.02"</f>
        <v>156.02</v>
      </c>
      <c r="J5637" s="1" t="str">
        <f t="shared" si="3196"/>
        <v>0</v>
      </c>
      <c r="K5637" s="1" t="str">
        <f t="shared" si="3197"/>
        <v>103</v>
      </c>
      <c r="L5637" s="1" t="str">
        <f t="shared" si="3198"/>
        <v>47</v>
      </c>
      <c r="M5637" s="1" t="str">
        <f t="shared" si="3187"/>
        <v>0</v>
      </c>
      <c r="N5637" s="1" t="str">
        <f t="shared" si="3195"/>
        <v>0</v>
      </c>
      <c r="O5637" s="1" t="str">
        <f>"6.02"</f>
        <v>6.02</v>
      </c>
    </row>
    <row r="5638" s="1" customFormat="1" spans="1:15">
      <c r="A5638" s="1" t="str">
        <f t="shared" si="3200"/>
        <v>202406</v>
      </c>
      <c r="B5638" s="1" t="str">
        <f t="shared" si="3201"/>
        <v>150525100</v>
      </c>
      <c r="C5638" s="1" t="str">
        <f>"1040689995"</f>
        <v>1040689995</v>
      </c>
      <c r="D5638" s="1" t="str">
        <f>"152326196008240925"</f>
        <v>152326196008240925</v>
      </c>
      <c r="E5638" s="1" t="s">
        <v>508</v>
      </c>
      <c r="F5638" s="1" t="s">
        <v>16</v>
      </c>
      <c r="G5638" s="1" t="s">
        <v>19</v>
      </c>
      <c r="H5638" s="1" t="str">
        <f t="shared" si="3202"/>
        <v>64</v>
      </c>
      <c r="I5638" s="1" t="str">
        <f>"157.84"</f>
        <v>157.84</v>
      </c>
      <c r="J5638" s="1" t="str">
        <f t="shared" si="3196"/>
        <v>0</v>
      </c>
      <c r="K5638" s="1" t="str">
        <f t="shared" si="3197"/>
        <v>103</v>
      </c>
      <c r="L5638" s="1" t="str">
        <f t="shared" si="3198"/>
        <v>47</v>
      </c>
      <c r="M5638" s="1" t="str">
        <f t="shared" si="3187"/>
        <v>0</v>
      </c>
      <c r="N5638" s="1" t="str">
        <f t="shared" si="3195"/>
        <v>0</v>
      </c>
      <c r="O5638" s="1" t="str">
        <f>"7.84"</f>
        <v>7.84</v>
      </c>
    </row>
    <row r="5639" s="1" customFormat="1" spans="1:15">
      <c r="A5639" s="1" t="str">
        <f t="shared" si="3200"/>
        <v>202406</v>
      </c>
      <c r="B5639" s="1" t="str">
        <f t="shared" si="3201"/>
        <v>150525100</v>
      </c>
      <c r="C5639" s="1" t="str">
        <f>"1040689997"</f>
        <v>1040689997</v>
      </c>
      <c r="D5639" s="1" t="str">
        <f>"152326195608010926"</f>
        <v>152326195608010926</v>
      </c>
      <c r="E5639" s="1" t="s">
        <v>3408</v>
      </c>
      <c r="F5639" s="1" t="s">
        <v>16</v>
      </c>
      <c r="G5639" s="1" t="s">
        <v>19</v>
      </c>
      <c r="H5639" s="1" t="str">
        <f t="shared" si="3203"/>
        <v>68</v>
      </c>
      <c r="I5639" s="1" t="str">
        <f>"155.52"</f>
        <v>155.52</v>
      </c>
      <c r="J5639" s="1" t="str">
        <f t="shared" si="3196"/>
        <v>0</v>
      </c>
      <c r="K5639" s="1" t="str">
        <f t="shared" si="3197"/>
        <v>103</v>
      </c>
      <c r="L5639" s="1" t="str">
        <f t="shared" si="3198"/>
        <v>47</v>
      </c>
      <c r="M5639" s="1" t="str">
        <f t="shared" si="3187"/>
        <v>0</v>
      </c>
      <c r="N5639" s="1" t="str">
        <f t="shared" si="3195"/>
        <v>0</v>
      </c>
      <c r="O5639" s="1" t="str">
        <f>"5.52"</f>
        <v>5.52</v>
      </c>
    </row>
    <row r="5640" s="1" customFormat="1" spans="1:15">
      <c r="A5640" s="1" t="str">
        <f t="shared" si="3200"/>
        <v>202406</v>
      </c>
      <c r="B5640" s="1" t="str">
        <f t="shared" si="3201"/>
        <v>150525100</v>
      </c>
      <c r="C5640" s="1" t="str">
        <f>"1040690002"</f>
        <v>1040690002</v>
      </c>
      <c r="D5640" s="1" t="str">
        <f>"152326195610080923"</f>
        <v>152326195610080923</v>
      </c>
      <c r="E5640" s="1" t="s">
        <v>5548</v>
      </c>
      <c r="F5640" s="1" t="s">
        <v>16</v>
      </c>
      <c r="G5640" s="1" t="s">
        <v>19</v>
      </c>
      <c r="H5640" s="1" t="str">
        <f t="shared" si="3203"/>
        <v>68</v>
      </c>
      <c r="I5640" s="1" t="str">
        <f>"154.79"</f>
        <v>154.79</v>
      </c>
      <c r="J5640" s="1" t="str">
        <f t="shared" si="3196"/>
        <v>0</v>
      </c>
      <c r="K5640" s="1" t="str">
        <f t="shared" si="3197"/>
        <v>103</v>
      </c>
      <c r="L5640" s="1" t="str">
        <f t="shared" si="3198"/>
        <v>47</v>
      </c>
      <c r="M5640" s="1" t="str">
        <f t="shared" si="3187"/>
        <v>0</v>
      </c>
      <c r="N5640" s="1" t="str">
        <f t="shared" si="3195"/>
        <v>0</v>
      </c>
      <c r="O5640" s="1" t="str">
        <f>"4.79"</f>
        <v>4.79</v>
      </c>
    </row>
    <row r="5641" s="1" customFormat="1" spans="1:15">
      <c r="A5641" s="1" t="str">
        <f t="shared" si="3200"/>
        <v>202406</v>
      </c>
      <c r="B5641" s="1" t="str">
        <f t="shared" si="3201"/>
        <v>150525100</v>
      </c>
      <c r="C5641" s="1" t="str">
        <f>"1040690063"</f>
        <v>1040690063</v>
      </c>
      <c r="D5641" s="1" t="str">
        <f>"152326196104140668"</f>
        <v>152326196104140668</v>
      </c>
      <c r="E5641" s="1" t="s">
        <v>5549</v>
      </c>
      <c r="F5641" s="1" t="s">
        <v>16</v>
      </c>
      <c r="G5641" s="1" t="s">
        <v>17</v>
      </c>
      <c r="H5641" s="1" t="str">
        <f>"63"</f>
        <v>63</v>
      </c>
      <c r="I5641" s="1" t="str">
        <f>"160.09"</f>
        <v>160.09</v>
      </c>
      <c r="J5641" s="1" t="str">
        <f t="shared" si="3196"/>
        <v>0</v>
      </c>
      <c r="K5641" s="1" t="str">
        <f t="shared" si="3197"/>
        <v>103</v>
      </c>
      <c r="L5641" s="1" t="str">
        <f t="shared" si="3198"/>
        <v>47</v>
      </c>
      <c r="M5641" s="1" t="str">
        <f t="shared" si="3187"/>
        <v>0</v>
      </c>
      <c r="N5641" s="1" t="str">
        <f t="shared" si="3195"/>
        <v>0</v>
      </c>
      <c r="O5641" s="1" t="str">
        <f>"10.09"</f>
        <v>10.09</v>
      </c>
    </row>
    <row r="5642" s="1" customFormat="1" spans="1:15">
      <c r="A5642" s="1" t="str">
        <f t="shared" si="3200"/>
        <v>202406</v>
      </c>
      <c r="B5642" s="1" t="str">
        <f t="shared" si="3201"/>
        <v>150525100</v>
      </c>
      <c r="C5642" s="1" t="str">
        <f>"1040690066"</f>
        <v>1040690066</v>
      </c>
      <c r="D5642" s="1" t="str">
        <f>"152326196001060673"</f>
        <v>152326196001060673</v>
      </c>
      <c r="E5642" s="1" t="s">
        <v>5550</v>
      </c>
      <c r="F5642" s="1" t="s">
        <v>25</v>
      </c>
      <c r="G5642" s="1" t="s">
        <v>17</v>
      </c>
      <c r="H5642" s="1" t="str">
        <f>"65"</f>
        <v>65</v>
      </c>
      <c r="I5642" s="1" t="str">
        <f>"158.23"</f>
        <v>158.23</v>
      </c>
      <c r="J5642" s="1" t="str">
        <f t="shared" si="3196"/>
        <v>0</v>
      </c>
      <c r="K5642" s="1" t="str">
        <f t="shared" si="3197"/>
        <v>103</v>
      </c>
      <c r="L5642" s="1" t="str">
        <f t="shared" si="3198"/>
        <v>47</v>
      </c>
      <c r="M5642" s="1" t="str">
        <f t="shared" si="3187"/>
        <v>0</v>
      </c>
      <c r="N5642" s="1" t="str">
        <f t="shared" si="3195"/>
        <v>0</v>
      </c>
      <c r="O5642" s="1" t="str">
        <f>"8.23"</f>
        <v>8.23</v>
      </c>
    </row>
    <row r="5643" s="1" customFormat="1" spans="1:15">
      <c r="A5643" s="1" t="str">
        <f t="shared" si="3200"/>
        <v>202406</v>
      </c>
      <c r="B5643" s="1" t="str">
        <f t="shared" si="3201"/>
        <v>150525100</v>
      </c>
      <c r="C5643" s="1" t="str">
        <f>"1040690839"</f>
        <v>1040690839</v>
      </c>
      <c r="D5643" s="1" t="s">
        <v>5551</v>
      </c>
      <c r="E5643" s="1" t="s">
        <v>5552</v>
      </c>
      <c r="F5643" s="1" t="s">
        <v>25</v>
      </c>
      <c r="G5643" s="1" t="s">
        <v>17</v>
      </c>
      <c r="H5643" s="1" t="str">
        <f t="shared" ref="H5643:H5647" si="3204">"67"</f>
        <v>67</v>
      </c>
      <c r="I5643" s="1" t="str">
        <f>"154.9"</f>
        <v>154.9</v>
      </c>
      <c r="J5643" s="1" t="str">
        <f t="shared" si="3196"/>
        <v>0</v>
      </c>
      <c r="K5643" s="1" t="str">
        <f t="shared" si="3197"/>
        <v>103</v>
      </c>
      <c r="L5643" s="1" t="str">
        <f t="shared" si="3198"/>
        <v>47</v>
      </c>
      <c r="M5643" s="1" t="str">
        <f t="shared" si="3187"/>
        <v>0</v>
      </c>
      <c r="N5643" s="1" t="str">
        <f t="shared" si="3195"/>
        <v>0</v>
      </c>
      <c r="O5643" s="1" t="str">
        <f>"4.9"</f>
        <v>4.9</v>
      </c>
    </row>
    <row r="5644" s="1" customFormat="1" spans="1:15">
      <c r="A5644" s="1" t="str">
        <f t="shared" si="3200"/>
        <v>202406</v>
      </c>
      <c r="B5644" s="1" t="str">
        <f t="shared" si="3201"/>
        <v>150525100</v>
      </c>
      <c r="C5644" s="1" t="str">
        <f>"1014571823"</f>
        <v>1014571823</v>
      </c>
      <c r="D5644" s="1" t="str">
        <f>"152326195707223070"</f>
        <v>152326195707223070</v>
      </c>
      <c r="E5644" s="1" t="s">
        <v>5553</v>
      </c>
      <c r="F5644" s="1" t="s">
        <v>25</v>
      </c>
      <c r="G5644" s="1" t="s">
        <v>17</v>
      </c>
      <c r="H5644" s="1" t="str">
        <f t="shared" si="3204"/>
        <v>67</v>
      </c>
      <c r="I5644" s="1" t="str">
        <f>"156.07"</f>
        <v>156.07</v>
      </c>
      <c r="J5644" s="1" t="str">
        <f t="shared" si="3196"/>
        <v>0</v>
      </c>
      <c r="K5644" s="1" t="str">
        <f t="shared" si="3197"/>
        <v>103</v>
      </c>
      <c r="L5644" s="1" t="str">
        <f t="shared" si="3198"/>
        <v>47</v>
      </c>
      <c r="M5644" s="1" t="str">
        <f t="shared" si="3187"/>
        <v>0</v>
      </c>
      <c r="N5644" s="1" t="str">
        <f t="shared" si="3195"/>
        <v>0</v>
      </c>
      <c r="O5644" s="1" t="str">
        <f>"6.07"</f>
        <v>6.07</v>
      </c>
    </row>
    <row r="5645" s="1" customFormat="1" spans="1:15">
      <c r="A5645" s="1" t="str">
        <f t="shared" si="3200"/>
        <v>202406</v>
      </c>
      <c r="B5645" s="1" t="str">
        <f t="shared" si="3201"/>
        <v>150525100</v>
      </c>
      <c r="C5645" s="1" t="str">
        <f>"1014571934"</f>
        <v>1014571934</v>
      </c>
      <c r="D5645" s="1" t="s">
        <v>5554</v>
      </c>
      <c r="E5645" s="1" t="s">
        <v>5555</v>
      </c>
      <c r="F5645" s="1" t="s">
        <v>25</v>
      </c>
      <c r="G5645" s="1" t="s">
        <v>17</v>
      </c>
      <c r="H5645" s="1" t="str">
        <f>"71"</f>
        <v>71</v>
      </c>
      <c r="I5645" s="1" t="str">
        <f>"163.16"</f>
        <v>163.16</v>
      </c>
      <c r="J5645" s="1" t="str">
        <f t="shared" si="3196"/>
        <v>0</v>
      </c>
      <c r="K5645" s="1" t="str">
        <f t="shared" si="3197"/>
        <v>103</v>
      </c>
      <c r="L5645" s="1" t="str">
        <f t="shared" si="3198"/>
        <v>47</v>
      </c>
      <c r="M5645" s="1" t="str">
        <f t="shared" si="3187"/>
        <v>0</v>
      </c>
      <c r="N5645" s="1" t="str">
        <f t="shared" si="3195"/>
        <v>0</v>
      </c>
      <c r="O5645" s="1" t="str">
        <f>"3.16"</f>
        <v>3.16</v>
      </c>
    </row>
    <row r="5646" s="1" customFormat="1" spans="1:15">
      <c r="A5646" s="1" t="str">
        <f t="shared" si="3200"/>
        <v>202406</v>
      </c>
      <c r="B5646" s="1" t="str">
        <f t="shared" si="3201"/>
        <v>150525100</v>
      </c>
      <c r="C5646" s="1" t="str">
        <f>"1014571940"</f>
        <v>1014571940</v>
      </c>
      <c r="D5646" s="1" t="s">
        <v>5556</v>
      </c>
      <c r="E5646" s="1" t="s">
        <v>5557</v>
      </c>
      <c r="F5646" s="1" t="s">
        <v>16</v>
      </c>
      <c r="G5646" s="1" t="s">
        <v>17</v>
      </c>
      <c r="H5646" s="1" t="str">
        <f>"70"</f>
        <v>70</v>
      </c>
      <c r="I5646" s="1" t="str">
        <f>"154.14"</f>
        <v>154.14</v>
      </c>
      <c r="J5646" s="1" t="str">
        <f t="shared" si="3196"/>
        <v>0</v>
      </c>
      <c r="K5646" s="1" t="str">
        <f t="shared" si="3197"/>
        <v>103</v>
      </c>
      <c r="L5646" s="1" t="str">
        <f t="shared" si="3198"/>
        <v>47</v>
      </c>
      <c r="M5646" s="1" t="str">
        <f t="shared" si="3187"/>
        <v>0</v>
      </c>
      <c r="N5646" s="1" t="str">
        <f t="shared" si="3195"/>
        <v>0</v>
      </c>
      <c r="O5646" s="1" t="str">
        <f>"4.14"</f>
        <v>4.14</v>
      </c>
    </row>
    <row r="5647" s="1" customFormat="1" spans="1:15">
      <c r="A5647" s="1" t="str">
        <f t="shared" si="3200"/>
        <v>202406</v>
      </c>
      <c r="B5647" s="1" t="str">
        <f t="shared" si="3201"/>
        <v>150525100</v>
      </c>
      <c r="C5647" s="1" t="str">
        <f>"1014552278"</f>
        <v>1014552278</v>
      </c>
      <c r="D5647" s="1" t="str">
        <f>"152326195801073822"</f>
        <v>152326195801073822</v>
      </c>
      <c r="E5647" s="1" t="s">
        <v>5558</v>
      </c>
      <c r="F5647" s="1" t="s">
        <v>16</v>
      </c>
      <c r="G5647" s="1" t="s">
        <v>19</v>
      </c>
      <c r="H5647" s="1" t="str">
        <f t="shared" si="3204"/>
        <v>67</v>
      </c>
      <c r="I5647" s="1" t="str">
        <f>"160.97"</f>
        <v>160.97</v>
      </c>
      <c r="J5647" s="1" t="str">
        <f t="shared" si="3196"/>
        <v>0</v>
      </c>
      <c r="K5647" s="1" t="str">
        <f t="shared" si="3197"/>
        <v>103</v>
      </c>
      <c r="L5647" s="1" t="str">
        <f t="shared" si="3198"/>
        <v>47</v>
      </c>
      <c r="M5647" s="1" t="str">
        <f t="shared" si="3187"/>
        <v>0</v>
      </c>
      <c r="N5647" s="1" t="str">
        <f t="shared" si="3195"/>
        <v>0</v>
      </c>
      <c r="O5647" s="1" t="str">
        <f>"10.97"</f>
        <v>10.97</v>
      </c>
    </row>
    <row r="5648" s="1" customFormat="1" spans="1:15">
      <c r="A5648" s="1" t="str">
        <f t="shared" si="3200"/>
        <v>202406</v>
      </c>
      <c r="B5648" s="1" t="str">
        <f t="shared" si="3201"/>
        <v>150525100</v>
      </c>
      <c r="C5648" s="1" t="str">
        <f>"1014552288"</f>
        <v>1014552288</v>
      </c>
      <c r="D5648" s="1" t="str">
        <f>"152326195802283813"</f>
        <v>152326195802283813</v>
      </c>
      <c r="E5648" s="1" t="s">
        <v>5559</v>
      </c>
      <c r="F5648" s="1" t="s">
        <v>25</v>
      </c>
      <c r="G5648" s="1" t="s">
        <v>19</v>
      </c>
      <c r="H5648" s="1" t="str">
        <f>"66"</f>
        <v>66</v>
      </c>
      <c r="I5648" s="1" t="str">
        <f>"179.69"</f>
        <v>179.69</v>
      </c>
      <c r="J5648" s="1" t="str">
        <f t="shared" si="3196"/>
        <v>0</v>
      </c>
      <c r="K5648" s="1" t="str">
        <f t="shared" si="3197"/>
        <v>103</v>
      </c>
      <c r="L5648" s="1" t="str">
        <f t="shared" si="3198"/>
        <v>47</v>
      </c>
      <c r="M5648" s="1" t="str">
        <f t="shared" si="3187"/>
        <v>0</v>
      </c>
      <c r="N5648" s="1" t="str">
        <f t="shared" si="3195"/>
        <v>0</v>
      </c>
      <c r="O5648" s="1" t="str">
        <f>"29.69"</f>
        <v>29.69</v>
      </c>
    </row>
    <row r="5649" s="1" customFormat="1" spans="1:15">
      <c r="A5649" s="1" t="str">
        <f t="shared" si="3200"/>
        <v>202406</v>
      </c>
      <c r="B5649" s="1" t="str">
        <f t="shared" si="3201"/>
        <v>150525100</v>
      </c>
      <c r="C5649" s="1" t="str">
        <f>"1014575734"</f>
        <v>1014575734</v>
      </c>
      <c r="D5649" s="1" t="str">
        <f>"152326195301147629"</f>
        <v>152326195301147629</v>
      </c>
      <c r="E5649" s="1" t="s">
        <v>5560</v>
      </c>
      <c r="F5649" s="1" t="s">
        <v>16</v>
      </c>
      <c r="G5649" s="1" t="s">
        <v>19</v>
      </c>
      <c r="H5649" s="1" t="str">
        <f>"71"</f>
        <v>71</v>
      </c>
      <c r="I5649" s="1" t="str">
        <f>"173.35"</f>
        <v>173.35</v>
      </c>
      <c r="J5649" s="1" t="str">
        <f t="shared" si="3196"/>
        <v>0</v>
      </c>
      <c r="K5649" s="1" t="str">
        <f t="shared" si="3197"/>
        <v>103</v>
      </c>
      <c r="L5649" s="1" t="str">
        <f t="shared" si="3198"/>
        <v>47</v>
      </c>
      <c r="M5649" s="1" t="str">
        <f t="shared" si="3187"/>
        <v>0</v>
      </c>
      <c r="N5649" s="1" t="str">
        <f t="shared" si="3195"/>
        <v>0</v>
      </c>
      <c r="O5649" s="1" t="str">
        <f>"13.35"</f>
        <v>13.35</v>
      </c>
    </row>
    <row r="5650" s="1" customFormat="1" spans="1:15">
      <c r="A5650" s="1" t="str">
        <f t="shared" si="3200"/>
        <v>202406</v>
      </c>
      <c r="B5650" s="1" t="str">
        <f t="shared" si="3201"/>
        <v>150525100</v>
      </c>
      <c r="C5650" s="1" t="str">
        <f>"1014576273"</f>
        <v>1014576273</v>
      </c>
      <c r="D5650" s="1" t="s">
        <v>5561</v>
      </c>
      <c r="E5650" s="1" t="s">
        <v>5562</v>
      </c>
      <c r="F5650" s="1" t="s">
        <v>25</v>
      </c>
      <c r="G5650" s="1" t="s">
        <v>19</v>
      </c>
      <c r="H5650" s="1" t="str">
        <f>"65"</f>
        <v>65</v>
      </c>
      <c r="I5650" s="1" t="str">
        <f>"158.2"</f>
        <v>158.2</v>
      </c>
      <c r="J5650" s="1" t="str">
        <f t="shared" si="3196"/>
        <v>0</v>
      </c>
      <c r="K5650" s="1" t="str">
        <f t="shared" si="3197"/>
        <v>103</v>
      </c>
      <c r="L5650" s="1" t="str">
        <f t="shared" si="3198"/>
        <v>47</v>
      </c>
      <c r="M5650" s="1" t="str">
        <f t="shared" si="3187"/>
        <v>0</v>
      </c>
      <c r="N5650" s="1" t="str">
        <f t="shared" si="3195"/>
        <v>0</v>
      </c>
      <c r="O5650" s="1" t="str">
        <f>"8.2"</f>
        <v>8.2</v>
      </c>
    </row>
    <row r="5651" s="1" customFormat="1" spans="1:15">
      <c r="A5651" s="1" t="str">
        <f t="shared" si="3200"/>
        <v>202406</v>
      </c>
      <c r="B5651" s="1" t="str">
        <f t="shared" si="3201"/>
        <v>150525100</v>
      </c>
      <c r="C5651" s="1" t="str">
        <f>"1014576274"</f>
        <v>1014576274</v>
      </c>
      <c r="D5651" s="1" t="str">
        <f>"152326196004060660"</f>
        <v>152326196004060660</v>
      </c>
      <c r="E5651" s="1" t="s">
        <v>2284</v>
      </c>
      <c r="F5651" s="1" t="s">
        <v>16</v>
      </c>
      <c r="G5651" s="1" t="s">
        <v>19</v>
      </c>
      <c r="H5651" s="1" t="str">
        <f>"64"</f>
        <v>64</v>
      </c>
      <c r="I5651" s="1" t="str">
        <f>"159.19"</f>
        <v>159.19</v>
      </c>
      <c r="J5651" s="1" t="str">
        <f t="shared" si="3196"/>
        <v>0</v>
      </c>
      <c r="K5651" s="1" t="str">
        <f t="shared" si="3197"/>
        <v>103</v>
      </c>
      <c r="L5651" s="1" t="str">
        <f t="shared" si="3198"/>
        <v>47</v>
      </c>
      <c r="M5651" s="1" t="str">
        <f t="shared" si="3187"/>
        <v>0</v>
      </c>
      <c r="N5651" s="1" t="str">
        <f t="shared" si="3195"/>
        <v>0</v>
      </c>
      <c r="O5651" s="1" t="str">
        <f>"9.19"</f>
        <v>9.19</v>
      </c>
    </row>
    <row r="5652" s="1" customFormat="1" spans="1:15">
      <c r="A5652" s="1" t="str">
        <f t="shared" si="3200"/>
        <v>202406</v>
      </c>
      <c r="B5652" s="1" t="str">
        <f t="shared" si="3201"/>
        <v>150525100</v>
      </c>
      <c r="C5652" s="1" t="str">
        <f>"1014576907"</f>
        <v>1014576907</v>
      </c>
      <c r="D5652" s="1" t="str">
        <f>"152326196309080662"</f>
        <v>152326196309080662</v>
      </c>
      <c r="E5652" s="1" t="s">
        <v>5563</v>
      </c>
      <c r="F5652" s="1" t="s">
        <v>16</v>
      </c>
      <c r="G5652" s="1" t="s">
        <v>19</v>
      </c>
      <c r="H5652" s="1" t="str">
        <f>"61"</f>
        <v>61</v>
      </c>
      <c r="I5652" s="1" t="str">
        <f>"173.31"</f>
        <v>173.31</v>
      </c>
      <c r="J5652" s="1" t="str">
        <f t="shared" si="3196"/>
        <v>0</v>
      </c>
      <c r="K5652" s="1" t="str">
        <f t="shared" si="3197"/>
        <v>103</v>
      </c>
      <c r="L5652" s="1" t="str">
        <f t="shared" si="3198"/>
        <v>47</v>
      </c>
      <c r="M5652" s="1" t="str">
        <f t="shared" si="3187"/>
        <v>0</v>
      </c>
      <c r="N5652" s="1" t="str">
        <f t="shared" si="3195"/>
        <v>0</v>
      </c>
      <c r="O5652" s="1" t="str">
        <f>"23.31"</f>
        <v>23.31</v>
      </c>
    </row>
    <row r="5653" s="1" customFormat="1" spans="1:15">
      <c r="A5653" s="1" t="str">
        <f t="shared" si="3200"/>
        <v>202406</v>
      </c>
      <c r="B5653" s="1" t="str">
        <f t="shared" si="3201"/>
        <v>150525100</v>
      </c>
      <c r="C5653" s="1" t="str">
        <f>"1014547974"</f>
        <v>1014547974</v>
      </c>
      <c r="D5653" s="1" t="str">
        <f>"152326195908160678"</f>
        <v>152326195908160678</v>
      </c>
      <c r="E5653" s="1" t="s">
        <v>5564</v>
      </c>
      <c r="F5653" s="1" t="s">
        <v>25</v>
      </c>
      <c r="G5653" s="1" t="s">
        <v>17</v>
      </c>
      <c r="H5653" s="1" t="str">
        <f>"65"</f>
        <v>65</v>
      </c>
      <c r="I5653" s="1" t="str">
        <f>"158.17"</f>
        <v>158.17</v>
      </c>
      <c r="J5653" s="1" t="str">
        <f t="shared" si="3196"/>
        <v>0</v>
      </c>
      <c r="K5653" s="1" t="str">
        <f t="shared" si="3197"/>
        <v>103</v>
      </c>
      <c r="L5653" s="1" t="str">
        <f t="shared" si="3198"/>
        <v>47</v>
      </c>
      <c r="M5653" s="1" t="str">
        <f t="shared" si="3187"/>
        <v>0</v>
      </c>
      <c r="N5653" s="1" t="str">
        <f t="shared" si="3195"/>
        <v>0</v>
      </c>
      <c r="O5653" s="1" t="str">
        <f>"8.17"</f>
        <v>8.17</v>
      </c>
    </row>
    <row r="5654" s="1" customFormat="1" spans="1:15">
      <c r="A5654" s="1" t="str">
        <f t="shared" si="3200"/>
        <v>202406</v>
      </c>
      <c r="B5654" s="1" t="str">
        <f t="shared" si="3201"/>
        <v>150525100</v>
      </c>
      <c r="C5654" s="1" t="str">
        <f>"1014547978"</f>
        <v>1014547978</v>
      </c>
      <c r="D5654" s="1" t="str">
        <f>"152326196005060662"</f>
        <v>152326196005060662</v>
      </c>
      <c r="E5654" s="1" t="s">
        <v>5565</v>
      </c>
      <c r="F5654" s="1" t="s">
        <v>16</v>
      </c>
      <c r="G5654" s="1" t="s">
        <v>17</v>
      </c>
      <c r="H5654" s="1" t="str">
        <f>"64"</f>
        <v>64</v>
      </c>
      <c r="I5654" s="1" t="str">
        <f>"171.96"</f>
        <v>171.96</v>
      </c>
      <c r="J5654" s="1" t="str">
        <f t="shared" si="3196"/>
        <v>0</v>
      </c>
      <c r="K5654" s="1" t="str">
        <f t="shared" si="3197"/>
        <v>103</v>
      </c>
      <c r="L5654" s="1" t="str">
        <f t="shared" si="3198"/>
        <v>47</v>
      </c>
      <c r="M5654" s="1" t="str">
        <f t="shared" si="3187"/>
        <v>0</v>
      </c>
      <c r="N5654" s="1" t="str">
        <f t="shared" si="3195"/>
        <v>0</v>
      </c>
      <c r="O5654" s="1" t="str">
        <f>"21.96"</f>
        <v>21.96</v>
      </c>
    </row>
    <row r="5655" s="1" customFormat="1" spans="1:15">
      <c r="A5655" s="1" t="str">
        <f t="shared" si="3200"/>
        <v>202406</v>
      </c>
      <c r="B5655" s="1" t="str">
        <f t="shared" si="3201"/>
        <v>150525100</v>
      </c>
      <c r="C5655" s="1" t="str">
        <f>"1014547983"</f>
        <v>1014547983</v>
      </c>
      <c r="D5655" s="1" t="str">
        <f>"152326196103290672"</f>
        <v>152326196103290672</v>
      </c>
      <c r="E5655" s="1" t="s">
        <v>5566</v>
      </c>
      <c r="F5655" s="1" t="s">
        <v>25</v>
      </c>
      <c r="G5655" s="1" t="s">
        <v>17</v>
      </c>
      <c r="H5655" s="1" t="str">
        <f>"63"</f>
        <v>63</v>
      </c>
      <c r="I5655" s="1" t="str">
        <f>"161.02"</f>
        <v>161.02</v>
      </c>
      <c r="J5655" s="1" t="str">
        <f t="shared" si="3196"/>
        <v>0</v>
      </c>
      <c r="K5655" s="1" t="str">
        <f t="shared" si="3197"/>
        <v>103</v>
      </c>
      <c r="L5655" s="1" t="str">
        <f t="shared" si="3198"/>
        <v>47</v>
      </c>
      <c r="M5655" s="1" t="str">
        <f t="shared" si="3187"/>
        <v>0</v>
      </c>
      <c r="N5655" s="1" t="str">
        <f t="shared" si="3195"/>
        <v>0</v>
      </c>
      <c r="O5655" s="1" t="str">
        <f>"11.02"</f>
        <v>11.02</v>
      </c>
    </row>
    <row r="5656" s="1" customFormat="1" spans="1:15">
      <c r="A5656" s="1" t="str">
        <f t="shared" si="3200"/>
        <v>202406</v>
      </c>
      <c r="B5656" s="1" t="str">
        <f t="shared" si="3201"/>
        <v>150525100</v>
      </c>
      <c r="C5656" s="1" t="str">
        <f>"1014571852"</f>
        <v>1014571852</v>
      </c>
      <c r="D5656" s="1" t="str">
        <f>"152326196106130412"</f>
        <v>152326196106130412</v>
      </c>
      <c r="E5656" s="1" t="s">
        <v>5567</v>
      </c>
      <c r="F5656" s="1" t="s">
        <v>25</v>
      </c>
      <c r="G5656" s="1" t="s">
        <v>17</v>
      </c>
      <c r="H5656" s="1" t="str">
        <f>"63"</f>
        <v>63</v>
      </c>
      <c r="I5656" s="1" t="str">
        <f>"160.37"</f>
        <v>160.37</v>
      </c>
      <c r="J5656" s="1" t="str">
        <f t="shared" si="3196"/>
        <v>0</v>
      </c>
      <c r="K5656" s="1" t="str">
        <f t="shared" si="3197"/>
        <v>103</v>
      </c>
      <c r="L5656" s="1" t="str">
        <f t="shared" si="3198"/>
        <v>47</v>
      </c>
      <c r="M5656" s="1" t="str">
        <f t="shared" si="3187"/>
        <v>0</v>
      </c>
      <c r="N5656" s="1" t="str">
        <f t="shared" si="3195"/>
        <v>0</v>
      </c>
      <c r="O5656" s="1" t="str">
        <f>"10.37"</f>
        <v>10.37</v>
      </c>
    </row>
    <row r="5657" s="1" customFormat="1" spans="1:15">
      <c r="A5657" s="1" t="str">
        <f t="shared" si="3200"/>
        <v>202406</v>
      </c>
      <c r="B5657" s="1" t="str">
        <f t="shared" si="3201"/>
        <v>150525100</v>
      </c>
      <c r="C5657" s="1" t="str">
        <f>"1014571967"</f>
        <v>1014571967</v>
      </c>
      <c r="D5657" s="1" t="str">
        <f>"152326195811200020"</f>
        <v>152326195811200020</v>
      </c>
      <c r="E5657" s="1" t="s">
        <v>5568</v>
      </c>
      <c r="F5657" s="1" t="s">
        <v>16</v>
      </c>
      <c r="G5657" s="1" t="s">
        <v>17</v>
      </c>
      <c r="H5657" s="1" t="str">
        <f>"66"</f>
        <v>66</v>
      </c>
      <c r="I5657" s="1" t="str">
        <f>"209.25"</f>
        <v>209.25</v>
      </c>
      <c r="J5657" s="1" t="str">
        <f t="shared" si="3196"/>
        <v>0</v>
      </c>
      <c r="K5657" s="1" t="str">
        <f t="shared" si="3197"/>
        <v>103</v>
      </c>
      <c r="L5657" s="1" t="str">
        <f t="shared" si="3198"/>
        <v>47</v>
      </c>
      <c r="M5657" s="1" t="str">
        <f t="shared" si="3187"/>
        <v>0</v>
      </c>
      <c r="N5657" s="1" t="str">
        <f t="shared" si="3195"/>
        <v>0</v>
      </c>
      <c r="O5657" s="1" t="str">
        <f>"59.25"</f>
        <v>59.25</v>
      </c>
    </row>
    <row r="5658" s="1" customFormat="1" spans="1:15">
      <c r="A5658" s="1" t="str">
        <f t="shared" si="3200"/>
        <v>202406</v>
      </c>
      <c r="B5658" s="1" t="str">
        <f t="shared" si="3201"/>
        <v>150525100</v>
      </c>
      <c r="C5658" s="1" t="str">
        <f>"1014571974"</f>
        <v>1014571974</v>
      </c>
      <c r="D5658" s="1" t="str">
        <f>"152326196202260022"</f>
        <v>152326196202260022</v>
      </c>
      <c r="E5658" s="1" t="s">
        <v>5569</v>
      </c>
      <c r="F5658" s="1" t="s">
        <v>16</v>
      </c>
      <c r="G5658" s="1" t="s">
        <v>17</v>
      </c>
      <c r="H5658" s="1" t="str">
        <f>"62"</f>
        <v>62</v>
      </c>
      <c r="I5658" s="1" t="str">
        <f>"244.6"</f>
        <v>244.6</v>
      </c>
      <c r="J5658" s="1" t="str">
        <f t="shared" si="3196"/>
        <v>0</v>
      </c>
      <c r="K5658" s="1" t="str">
        <f t="shared" si="3197"/>
        <v>103</v>
      </c>
      <c r="L5658" s="1" t="str">
        <f t="shared" si="3198"/>
        <v>47</v>
      </c>
      <c r="M5658" s="1" t="str">
        <f t="shared" si="3187"/>
        <v>0</v>
      </c>
      <c r="N5658" s="1" t="str">
        <f t="shared" si="3195"/>
        <v>0</v>
      </c>
      <c r="O5658" s="1" t="str">
        <f>"94.6"</f>
        <v>94.6</v>
      </c>
    </row>
    <row r="5659" s="1" customFormat="1" spans="1:15">
      <c r="A5659" s="1" t="str">
        <f t="shared" si="3200"/>
        <v>202406</v>
      </c>
      <c r="B5659" s="1" t="str">
        <f t="shared" si="3201"/>
        <v>150525100</v>
      </c>
      <c r="C5659" s="1" t="str">
        <f>"1014571977"</f>
        <v>1014571977</v>
      </c>
      <c r="D5659" s="1" t="str">
        <f>"152326196212220024"</f>
        <v>152326196212220024</v>
      </c>
      <c r="E5659" s="1" t="s">
        <v>1742</v>
      </c>
      <c r="F5659" s="1" t="s">
        <v>16</v>
      </c>
      <c r="G5659" s="1" t="s">
        <v>17</v>
      </c>
      <c r="H5659" s="1" t="str">
        <f>"62"</f>
        <v>62</v>
      </c>
      <c r="I5659" s="1" t="str">
        <f>"260.85"</f>
        <v>260.85</v>
      </c>
      <c r="J5659" s="1" t="str">
        <f t="shared" si="3196"/>
        <v>0</v>
      </c>
      <c r="K5659" s="1" t="str">
        <f t="shared" si="3197"/>
        <v>103</v>
      </c>
      <c r="L5659" s="1" t="str">
        <f t="shared" si="3198"/>
        <v>47</v>
      </c>
      <c r="M5659" s="1" t="str">
        <f t="shared" si="3187"/>
        <v>0</v>
      </c>
      <c r="N5659" s="1" t="str">
        <f t="shared" si="3195"/>
        <v>0</v>
      </c>
      <c r="O5659" s="1" t="str">
        <f>"110.85"</f>
        <v>110.85</v>
      </c>
    </row>
    <row r="5660" s="1" customFormat="1" spans="1:15">
      <c r="A5660" s="1" t="str">
        <f t="shared" si="3200"/>
        <v>202406</v>
      </c>
      <c r="B5660" s="1" t="str">
        <f t="shared" si="3201"/>
        <v>150525100</v>
      </c>
      <c r="C5660" s="1" t="str">
        <f>"1040689732"</f>
        <v>1040689732</v>
      </c>
      <c r="D5660" s="1" t="str">
        <f>"152326195411210668"</f>
        <v>152326195411210668</v>
      </c>
      <c r="E5660" s="1" t="s">
        <v>5570</v>
      </c>
      <c r="F5660" s="1" t="s">
        <v>16</v>
      </c>
      <c r="G5660" s="1" t="s">
        <v>17</v>
      </c>
      <c r="H5660" s="1" t="str">
        <f t="shared" ref="H5660:H5666" si="3205">"70"</f>
        <v>70</v>
      </c>
      <c r="I5660" s="1" t="str">
        <f>"153.25"</f>
        <v>153.25</v>
      </c>
      <c r="J5660" s="1" t="str">
        <f t="shared" si="3196"/>
        <v>0</v>
      </c>
      <c r="K5660" s="1" t="str">
        <f t="shared" si="3197"/>
        <v>103</v>
      </c>
      <c r="L5660" s="1" t="str">
        <f t="shared" si="3198"/>
        <v>47</v>
      </c>
      <c r="M5660" s="1" t="str">
        <f t="shared" si="3187"/>
        <v>0</v>
      </c>
      <c r="N5660" s="1" t="str">
        <f t="shared" si="3195"/>
        <v>0</v>
      </c>
      <c r="O5660" s="1" t="str">
        <f t="shared" ref="O5660:O5666" si="3206">"3.25"</f>
        <v>3.25</v>
      </c>
    </row>
    <row r="5661" s="1" customFormat="1" spans="1:15">
      <c r="A5661" s="1" t="str">
        <f t="shared" si="3200"/>
        <v>202406</v>
      </c>
      <c r="B5661" s="1" t="str">
        <f t="shared" si="3201"/>
        <v>150525100</v>
      </c>
      <c r="C5661" s="1" t="str">
        <f>"1040689563"</f>
        <v>1040689563</v>
      </c>
      <c r="D5661" s="1" t="str">
        <f>"152326195702283816"</f>
        <v>152326195702283816</v>
      </c>
      <c r="E5661" s="1" t="s">
        <v>5571</v>
      </c>
      <c r="F5661" s="1" t="s">
        <v>25</v>
      </c>
      <c r="G5661" s="1" t="s">
        <v>19</v>
      </c>
      <c r="H5661" s="1" t="str">
        <f>"67"</f>
        <v>67</v>
      </c>
      <c r="I5661" s="1" t="str">
        <f>"156.69"</f>
        <v>156.69</v>
      </c>
      <c r="J5661" s="1" t="str">
        <f t="shared" si="3196"/>
        <v>0</v>
      </c>
      <c r="K5661" s="1" t="str">
        <f t="shared" si="3197"/>
        <v>103</v>
      </c>
      <c r="L5661" s="1" t="str">
        <f t="shared" si="3198"/>
        <v>47</v>
      </c>
      <c r="M5661" s="1" t="str">
        <f t="shared" si="3187"/>
        <v>0</v>
      </c>
      <c r="N5661" s="1" t="str">
        <f t="shared" si="3195"/>
        <v>0</v>
      </c>
      <c r="O5661" s="1" t="str">
        <f>"6.69"</f>
        <v>6.69</v>
      </c>
    </row>
    <row r="5662" s="1" customFormat="1" spans="1:15">
      <c r="A5662" s="1" t="str">
        <f t="shared" si="3200"/>
        <v>202406</v>
      </c>
      <c r="B5662" s="1" t="str">
        <f t="shared" si="3201"/>
        <v>150525100</v>
      </c>
      <c r="C5662" s="1" t="str">
        <f>"1040689564"</f>
        <v>1040689564</v>
      </c>
      <c r="D5662" s="1" t="str">
        <f>"152326196102023820"</f>
        <v>152326196102023820</v>
      </c>
      <c r="E5662" s="1" t="s">
        <v>5572</v>
      </c>
      <c r="F5662" s="1" t="s">
        <v>16</v>
      </c>
      <c r="G5662" s="1" t="s">
        <v>19</v>
      </c>
      <c r="H5662" s="1" t="str">
        <f>"63"</f>
        <v>63</v>
      </c>
      <c r="I5662" s="1" t="str">
        <f>"166.52"</f>
        <v>166.52</v>
      </c>
      <c r="J5662" s="1" t="str">
        <f t="shared" si="3196"/>
        <v>0</v>
      </c>
      <c r="K5662" s="1" t="str">
        <f t="shared" si="3197"/>
        <v>103</v>
      </c>
      <c r="L5662" s="1" t="str">
        <f t="shared" si="3198"/>
        <v>47</v>
      </c>
      <c r="M5662" s="1" t="str">
        <f t="shared" si="3187"/>
        <v>0</v>
      </c>
      <c r="N5662" s="1" t="str">
        <f t="shared" si="3195"/>
        <v>0</v>
      </c>
      <c r="O5662" s="1" t="str">
        <f>"16.52"</f>
        <v>16.52</v>
      </c>
    </row>
    <row r="5663" s="1" customFormat="1" spans="1:15">
      <c r="A5663" s="1" t="str">
        <f t="shared" si="3200"/>
        <v>202406</v>
      </c>
      <c r="B5663" s="1" t="str">
        <f t="shared" si="3201"/>
        <v>150525100</v>
      </c>
      <c r="C5663" s="1" t="str">
        <f>"1040689780"</f>
        <v>1040689780</v>
      </c>
      <c r="D5663" s="1" t="str">
        <f>"152326195410093826"</f>
        <v>152326195410093826</v>
      </c>
      <c r="E5663" s="1" t="s">
        <v>5573</v>
      </c>
      <c r="F5663" s="1" t="s">
        <v>16</v>
      </c>
      <c r="G5663" s="1" t="s">
        <v>17</v>
      </c>
      <c r="H5663" s="1" t="str">
        <f t="shared" si="3205"/>
        <v>70</v>
      </c>
      <c r="I5663" s="1" t="str">
        <f>"153.25"</f>
        <v>153.25</v>
      </c>
      <c r="J5663" s="1" t="str">
        <f t="shared" si="3196"/>
        <v>0</v>
      </c>
      <c r="K5663" s="1" t="str">
        <f t="shared" si="3197"/>
        <v>103</v>
      </c>
      <c r="L5663" s="1" t="str">
        <f t="shared" si="3198"/>
        <v>47</v>
      </c>
      <c r="M5663" s="1" t="str">
        <f t="shared" si="3187"/>
        <v>0</v>
      </c>
      <c r="N5663" s="1" t="str">
        <f t="shared" si="3195"/>
        <v>0</v>
      </c>
      <c r="O5663" s="1" t="str">
        <f t="shared" si="3206"/>
        <v>3.25</v>
      </c>
    </row>
    <row r="5664" s="1" customFormat="1" spans="1:15">
      <c r="A5664" s="1" t="str">
        <f t="shared" si="3200"/>
        <v>202406</v>
      </c>
      <c r="B5664" s="1" t="str">
        <f t="shared" si="3201"/>
        <v>150525100</v>
      </c>
      <c r="C5664" s="1" t="str">
        <f>"1040689785"</f>
        <v>1040689785</v>
      </c>
      <c r="D5664" s="1" t="str">
        <f>"152326196308253816"</f>
        <v>152326196308253816</v>
      </c>
      <c r="E5664" s="1" t="s">
        <v>5574</v>
      </c>
      <c r="F5664" s="1" t="s">
        <v>25</v>
      </c>
      <c r="G5664" s="1" t="s">
        <v>19</v>
      </c>
      <c r="H5664" s="1" t="str">
        <f>"61"</f>
        <v>61</v>
      </c>
      <c r="I5664" s="1" t="str">
        <f>"171.68"</f>
        <v>171.68</v>
      </c>
      <c r="J5664" s="1" t="str">
        <f t="shared" si="3196"/>
        <v>0</v>
      </c>
      <c r="K5664" s="1" t="str">
        <f t="shared" si="3197"/>
        <v>103</v>
      </c>
      <c r="L5664" s="1" t="str">
        <f t="shared" si="3198"/>
        <v>47</v>
      </c>
      <c r="M5664" s="1" t="str">
        <f t="shared" ref="M5664:M5727" si="3207">"0"</f>
        <v>0</v>
      </c>
      <c r="N5664" s="1" t="str">
        <f t="shared" si="3195"/>
        <v>0</v>
      </c>
      <c r="O5664" s="1" t="str">
        <f>"21.68"</f>
        <v>21.68</v>
      </c>
    </row>
    <row r="5665" s="1" customFormat="1" spans="1:15">
      <c r="A5665" s="1" t="str">
        <f t="shared" si="3200"/>
        <v>202406</v>
      </c>
      <c r="B5665" s="1" t="str">
        <f t="shared" si="3201"/>
        <v>150525100</v>
      </c>
      <c r="C5665" s="1" t="str">
        <f>"1040689800"</f>
        <v>1040689800</v>
      </c>
      <c r="D5665" s="1" t="str">
        <f>"152326195401133814"</f>
        <v>152326195401133814</v>
      </c>
      <c r="E5665" s="1" t="s">
        <v>2447</v>
      </c>
      <c r="F5665" s="1" t="s">
        <v>25</v>
      </c>
      <c r="G5665" s="1" t="s">
        <v>17</v>
      </c>
      <c r="H5665" s="1" t="str">
        <f t="shared" si="3205"/>
        <v>70</v>
      </c>
      <c r="I5665" s="1" t="str">
        <f>"163.25"</f>
        <v>163.25</v>
      </c>
      <c r="J5665" s="1" t="str">
        <f t="shared" si="3196"/>
        <v>0</v>
      </c>
      <c r="K5665" s="1" t="str">
        <f t="shared" si="3197"/>
        <v>103</v>
      </c>
      <c r="L5665" s="1" t="str">
        <f t="shared" si="3198"/>
        <v>47</v>
      </c>
      <c r="M5665" s="1" t="str">
        <f t="shared" si="3207"/>
        <v>0</v>
      </c>
      <c r="N5665" s="1" t="str">
        <f t="shared" si="3195"/>
        <v>0</v>
      </c>
      <c r="O5665" s="1" t="str">
        <f t="shared" si="3206"/>
        <v>3.25</v>
      </c>
    </row>
    <row r="5666" s="1" customFormat="1" spans="1:15">
      <c r="A5666" s="1" t="str">
        <f t="shared" si="3200"/>
        <v>202406</v>
      </c>
      <c r="B5666" s="1" t="str">
        <f t="shared" si="3201"/>
        <v>150525100</v>
      </c>
      <c r="C5666" s="1" t="str">
        <f>"1040689606"</f>
        <v>1040689606</v>
      </c>
      <c r="D5666" s="1" t="str">
        <f>"152326195408183072"</f>
        <v>152326195408183072</v>
      </c>
      <c r="E5666" s="1" t="s">
        <v>5575</v>
      </c>
      <c r="F5666" s="1" t="s">
        <v>25</v>
      </c>
      <c r="G5666" s="1" t="s">
        <v>17</v>
      </c>
      <c r="H5666" s="1" t="str">
        <f t="shared" si="3205"/>
        <v>70</v>
      </c>
      <c r="I5666" s="1" t="str">
        <f>"153.25"</f>
        <v>153.25</v>
      </c>
      <c r="J5666" s="1" t="str">
        <f t="shared" si="3196"/>
        <v>0</v>
      </c>
      <c r="K5666" s="1" t="str">
        <f t="shared" si="3197"/>
        <v>103</v>
      </c>
      <c r="L5666" s="1" t="str">
        <f t="shared" si="3198"/>
        <v>47</v>
      </c>
      <c r="M5666" s="1" t="str">
        <f t="shared" si="3207"/>
        <v>0</v>
      </c>
      <c r="N5666" s="1" t="str">
        <f t="shared" si="3195"/>
        <v>0</v>
      </c>
      <c r="O5666" s="1" t="str">
        <f t="shared" si="3206"/>
        <v>3.25</v>
      </c>
    </row>
    <row r="5667" s="1" customFormat="1" spans="1:15">
      <c r="A5667" s="1" t="str">
        <f t="shared" si="3200"/>
        <v>202406</v>
      </c>
      <c r="B5667" s="1" t="str">
        <f t="shared" si="3201"/>
        <v>150525100</v>
      </c>
      <c r="C5667" s="1" t="str">
        <f>"1040689447"</f>
        <v>1040689447</v>
      </c>
      <c r="D5667" s="1" t="str">
        <f>"152326195507110418"</f>
        <v>152326195507110418</v>
      </c>
      <c r="E5667" s="1" t="s">
        <v>5576</v>
      </c>
      <c r="F5667" s="1" t="s">
        <v>25</v>
      </c>
      <c r="G5667" s="1" t="s">
        <v>17</v>
      </c>
      <c r="H5667" s="1" t="str">
        <f t="shared" ref="H5667:H5671" si="3208">"69"</f>
        <v>69</v>
      </c>
      <c r="I5667" s="1" t="str">
        <f>"154.24"</f>
        <v>154.24</v>
      </c>
      <c r="J5667" s="1" t="str">
        <f t="shared" si="3196"/>
        <v>0</v>
      </c>
      <c r="K5667" s="1" t="str">
        <f t="shared" si="3197"/>
        <v>103</v>
      </c>
      <c r="L5667" s="1" t="str">
        <f t="shared" si="3198"/>
        <v>47</v>
      </c>
      <c r="M5667" s="1" t="str">
        <f t="shared" si="3207"/>
        <v>0</v>
      </c>
      <c r="N5667" s="1" t="str">
        <f t="shared" si="3195"/>
        <v>0</v>
      </c>
      <c r="O5667" s="1" t="str">
        <f>"4.24"</f>
        <v>4.24</v>
      </c>
    </row>
    <row r="5668" s="1" customFormat="1" spans="1:15">
      <c r="A5668" s="1" t="str">
        <f t="shared" si="3200"/>
        <v>202406</v>
      </c>
      <c r="B5668" s="1" t="str">
        <f t="shared" si="3201"/>
        <v>150525100</v>
      </c>
      <c r="C5668" s="1" t="str">
        <f>"1040689453"</f>
        <v>1040689453</v>
      </c>
      <c r="D5668" s="1" t="str">
        <f>"152326195401020422"</f>
        <v>152326195401020422</v>
      </c>
      <c r="E5668" s="1" t="s">
        <v>5577</v>
      </c>
      <c r="F5668" s="1" t="s">
        <v>16</v>
      </c>
      <c r="G5668" s="1" t="s">
        <v>17</v>
      </c>
      <c r="H5668" s="1" t="str">
        <f>"71"</f>
        <v>71</v>
      </c>
      <c r="I5668" s="1" t="str">
        <f>"167.6"</f>
        <v>167.6</v>
      </c>
      <c r="J5668" s="1" t="str">
        <f t="shared" si="3196"/>
        <v>0</v>
      </c>
      <c r="K5668" s="1" t="str">
        <f t="shared" si="3197"/>
        <v>103</v>
      </c>
      <c r="L5668" s="1" t="str">
        <f t="shared" si="3198"/>
        <v>47</v>
      </c>
      <c r="M5668" s="1" t="str">
        <f t="shared" si="3207"/>
        <v>0</v>
      </c>
      <c r="N5668" s="1" t="str">
        <f t="shared" si="3195"/>
        <v>0</v>
      </c>
      <c r="O5668" s="1" t="str">
        <f>"7.6"</f>
        <v>7.6</v>
      </c>
    </row>
    <row r="5669" s="1" customFormat="1" spans="1:15">
      <c r="A5669" s="1" t="str">
        <f t="shared" si="3200"/>
        <v>202406</v>
      </c>
      <c r="B5669" s="1" t="str">
        <f t="shared" si="3201"/>
        <v>150525100</v>
      </c>
      <c r="C5669" s="1" t="str">
        <f>"1040689524"</f>
        <v>1040689524</v>
      </c>
      <c r="D5669" s="1" t="str">
        <f>"152326195911160679"</f>
        <v>152326195911160679</v>
      </c>
      <c r="E5669" s="1" t="s">
        <v>5578</v>
      </c>
      <c r="F5669" s="1" t="s">
        <v>25</v>
      </c>
      <c r="G5669" s="1" t="s">
        <v>17</v>
      </c>
      <c r="H5669" s="1" t="str">
        <f>"65"</f>
        <v>65</v>
      </c>
      <c r="I5669" s="1" t="str">
        <f>"157.28"</f>
        <v>157.28</v>
      </c>
      <c r="J5669" s="1" t="str">
        <f t="shared" si="3196"/>
        <v>0</v>
      </c>
      <c r="K5669" s="1" t="str">
        <f t="shared" si="3197"/>
        <v>103</v>
      </c>
      <c r="L5669" s="1" t="str">
        <f t="shared" si="3198"/>
        <v>47</v>
      </c>
      <c r="M5669" s="1" t="str">
        <f t="shared" si="3207"/>
        <v>0</v>
      </c>
      <c r="N5669" s="1" t="str">
        <f t="shared" si="3195"/>
        <v>0</v>
      </c>
      <c r="O5669" s="1" t="str">
        <f>"7.28"</f>
        <v>7.28</v>
      </c>
    </row>
    <row r="5670" s="1" customFormat="1" spans="1:15">
      <c r="A5670" s="1" t="str">
        <f t="shared" si="3200"/>
        <v>202406</v>
      </c>
      <c r="B5670" s="1" t="str">
        <f t="shared" si="3201"/>
        <v>150525100</v>
      </c>
      <c r="C5670" s="1" t="str">
        <f>"1040689370"</f>
        <v>1040689370</v>
      </c>
      <c r="D5670" s="1" t="str">
        <f>"152326195506260924"</f>
        <v>152326195506260924</v>
      </c>
      <c r="E5670" s="1" t="s">
        <v>5579</v>
      </c>
      <c r="F5670" s="1" t="s">
        <v>16</v>
      </c>
      <c r="G5670" s="1" t="s">
        <v>19</v>
      </c>
      <c r="H5670" s="1" t="str">
        <f t="shared" si="3208"/>
        <v>69</v>
      </c>
      <c r="I5670" s="1" t="str">
        <f>"154.22"</f>
        <v>154.22</v>
      </c>
      <c r="J5670" s="1" t="str">
        <f t="shared" si="3196"/>
        <v>0</v>
      </c>
      <c r="K5670" s="1" t="str">
        <f t="shared" si="3197"/>
        <v>103</v>
      </c>
      <c r="L5670" s="1" t="str">
        <f t="shared" si="3198"/>
        <v>47</v>
      </c>
      <c r="M5670" s="1" t="str">
        <f t="shared" si="3207"/>
        <v>0</v>
      </c>
      <c r="N5670" s="1" t="str">
        <f t="shared" si="3195"/>
        <v>0</v>
      </c>
      <c r="O5670" s="1" t="str">
        <f>"4.22"</f>
        <v>4.22</v>
      </c>
    </row>
    <row r="5671" s="1" customFormat="1" spans="1:15">
      <c r="A5671" s="1" t="str">
        <f t="shared" si="3200"/>
        <v>202406</v>
      </c>
      <c r="B5671" s="1" t="str">
        <f t="shared" si="3201"/>
        <v>150525100</v>
      </c>
      <c r="C5671" s="1" t="str">
        <f>"1040689371"</f>
        <v>1040689371</v>
      </c>
      <c r="D5671" s="1" t="str">
        <f>"152326195506090929"</f>
        <v>152326195506090929</v>
      </c>
      <c r="E5671" s="1" t="s">
        <v>5580</v>
      </c>
      <c r="F5671" s="1" t="s">
        <v>16</v>
      </c>
      <c r="G5671" s="1" t="s">
        <v>19</v>
      </c>
      <c r="H5671" s="1" t="str">
        <f t="shared" si="3208"/>
        <v>69</v>
      </c>
      <c r="I5671" s="1" t="str">
        <f>"154.22"</f>
        <v>154.22</v>
      </c>
      <c r="J5671" s="1" t="str">
        <f t="shared" si="3196"/>
        <v>0</v>
      </c>
      <c r="K5671" s="1" t="str">
        <f t="shared" si="3197"/>
        <v>103</v>
      </c>
      <c r="L5671" s="1" t="str">
        <f t="shared" si="3198"/>
        <v>47</v>
      </c>
      <c r="M5671" s="1" t="str">
        <f t="shared" si="3207"/>
        <v>0</v>
      </c>
      <c r="N5671" s="1" t="str">
        <f t="shared" si="3195"/>
        <v>0</v>
      </c>
      <c r="O5671" s="1" t="str">
        <f>"4.22"</f>
        <v>4.22</v>
      </c>
    </row>
    <row r="5672" s="1" customFormat="1" spans="1:15">
      <c r="A5672" s="1" t="str">
        <f t="shared" si="3200"/>
        <v>202406</v>
      </c>
      <c r="B5672" s="1" t="str">
        <f t="shared" si="3201"/>
        <v>150525100</v>
      </c>
      <c r="C5672" s="1" t="str">
        <f>"1040689373"</f>
        <v>1040689373</v>
      </c>
      <c r="D5672" s="1" t="str">
        <f>"152326196111170929"</f>
        <v>152326196111170929</v>
      </c>
      <c r="E5672" s="1" t="s">
        <v>2417</v>
      </c>
      <c r="F5672" s="1" t="s">
        <v>16</v>
      </c>
      <c r="G5672" s="1" t="s">
        <v>19</v>
      </c>
      <c r="H5672" s="1" t="str">
        <f>"63"</f>
        <v>63</v>
      </c>
      <c r="I5672" s="1" t="str">
        <f>"161.89"</f>
        <v>161.89</v>
      </c>
      <c r="J5672" s="1" t="str">
        <f t="shared" si="3196"/>
        <v>0</v>
      </c>
      <c r="K5672" s="1" t="str">
        <f t="shared" si="3197"/>
        <v>103</v>
      </c>
      <c r="L5672" s="1" t="str">
        <f t="shared" si="3198"/>
        <v>47</v>
      </c>
      <c r="M5672" s="1" t="str">
        <f t="shared" si="3207"/>
        <v>0</v>
      </c>
      <c r="N5672" s="1" t="str">
        <f t="shared" si="3195"/>
        <v>0</v>
      </c>
      <c r="O5672" s="1" t="str">
        <f>"11.89"</f>
        <v>11.89</v>
      </c>
    </row>
    <row r="5673" s="1" customFormat="1" spans="1:15">
      <c r="A5673" s="1" t="str">
        <f t="shared" si="3200"/>
        <v>202406</v>
      </c>
      <c r="B5673" s="1" t="str">
        <f t="shared" si="3201"/>
        <v>150525100</v>
      </c>
      <c r="C5673" s="1" t="str">
        <f>"1040689389"</f>
        <v>1040689389</v>
      </c>
      <c r="D5673" s="1" t="str">
        <f>"152326196401240673"</f>
        <v>152326196401240673</v>
      </c>
      <c r="E5673" s="1" t="s">
        <v>3616</v>
      </c>
      <c r="F5673" s="1" t="s">
        <v>25</v>
      </c>
      <c r="G5673" s="1" t="s">
        <v>17</v>
      </c>
      <c r="H5673" s="1" t="str">
        <f>"60"</f>
        <v>60</v>
      </c>
      <c r="I5673" s="1" t="str">
        <f>"166.15"</f>
        <v>166.15</v>
      </c>
      <c r="J5673" s="1" t="str">
        <f t="shared" si="3196"/>
        <v>0</v>
      </c>
      <c r="K5673" s="1" t="str">
        <f t="shared" si="3197"/>
        <v>103</v>
      </c>
      <c r="L5673" s="1" t="str">
        <f t="shared" si="3198"/>
        <v>47</v>
      </c>
      <c r="M5673" s="1" t="str">
        <f t="shared" si="3207"/>
        <v>0</v>
      </c>
      <c r="N5673" s="1" t="str">
        <f t="shared" si="3195"/>
        <v>0</v>
      </c>
      <c r="O5673" s="1" t="str">
        <f>"16.15"</f>
        <v>16.15</v>
      </c>
    </row>
    <row r="5674" s="1" customFormat="1" spans="1:15">
      <c r="A5674" s="1" t="str">
        <f t="shared" si="3200"/>
        <v>202406</v>
      </c>
      <c r="B5674" s="1" t="str">
        <f t="shared" si="3201"/>
        <v>150525100</v>
      </c>
      <c r="C5674" s="1" t="str">
        <f>"1040689684"</f>
        <v>1040689684</v>
      </c>
      <c r="D5674" s="1" t="str">
        <f>"152326196211030675"</f>
        <v>152326196211030675</v>
      </c>
      <c r="E5674" s="1" t="s">
        <v>5581</v>
      </c>
      <c r="F5674" s="1" t="s">
        <v>25</v>
      </c>
      <c r="G5674" s="1" t="s">
        <v>19</v>
      </c>
      <c r="H5674" s="1" t="str">
        <f>"62"</f>
        <v>62</v>
      </c>
      <c r="I5674" s="1" t="str">
        <f>"162.26"</f>
        <v>162.26</v>
      </c>
      <c r="J5674" s="1" t="str">
        <f t="shared" si="3196"/>
        <v>0</v>
      </c>
      <c r="K5674" s="1" t="str">
        <f t="shared" si="3197"/>
        <v>103</v>
      </c>
      <c r="L5674" s="1" t="str">
        <f t="shared" si="3198"/>
        <v>47</v>
      </c>
      <c r="M5674" s="1" t="str">
        <f t="shared" si="3207"/>
        <v>0</v>
      </c>
      <c r="N5674" s="1" t="str">
        <f t="shared" si="3195"/>
        <v>0</v>
      </c>
      <c r="O5674" s="1" t="str">
        <f>"12.26"</f>
        <v>12.26</v>
      </c>
    </row>
    <row r="5675" s="1" customFormat="1" spans="1:15">
      <c r="A5675" s="1" t="str">
        <f t="shared" si="3200"/>
        <v>202406</v>
      </c>
      <c r="B5675" s="1" t="str">
        <f t="shared" si="3201"/>
        <v>150525100</v>
      </c>
      <c r="C5675" s="1" t="str">
        <f>"1040693330"</f>
        <v>1040693330</v>
      </c>
      <c r="D5675" s="1" t="str">
        <f>"152326196303170675"</f>
        <v>152326196303170675</v>
      </c>
      <c r="E5675" s="1" t="s">
        <v>258</v>
      </c>
      <c r="F5675" s="1" t="s">
        <v>25</v>
      </c>
      <c r="G5675" s="1" t="s">
        <v>17</v>
      </c>
      <c r="H5675" s="1" t="str">
        <f>"61"</f>
        <v>61</v>
      </c>
      <c r="I5675" s="1" t="str">
        <f>"163.62"</f>
        <v>163.62</v>
      </c>
      <c r="J5675" s="1" t="str">
        <f t="shared" si="3196"/>
        <v>0</v>
      </c>
      <c r="K5675" s="1" t="str">
        <f t="shared" si="3197"/>
        <v>103</v>
      </c>
      <c r="L5675" s="1" t="str">
        <f t="shared" si="3198"/>
        <v>47</v>
      </c>
      <c r="M5675" s="1" t="str">
        <f t="shared" si="3207"/>
        <v>0</v>
      </c>
      <c r="N5675" s="1" t="str">
        <f t="shared" si="3195"/>
        <v>0</v>
      </c>
      <c r="O5675" s="1" t="str">
        <f>"13.62"</f>
        <v>13.62</v>
      </c>
    </row>
    <row r="5676" s="1" customFormat="1" spans="1:15">
      <c r="A5676" s="1" t="str">
        <f t="shared" si="3200"/>
        <v>202406</v>
      </c>
      <c r="B5676" s="1" t="str">
        <f t="shared" si="3201"/>
        <v>150525100</v>
      </c>
      <c r="C5676" s="1" t="str">
        <f>"1014625027"</f>
        <v>1014625027</v>
      </c>
      <c r="D5676" s="1" t="str">
        <f>"152326194906123828"</f>
        <v>152326194906123828</v>
      </c>
      <c r="E5676" s="1" t="s">
        <v>1843</v>
      </c>
      <c r="F5676" s="1" t="s">
        <v>16</v>
      </c>
      <c r="G5676" s="1" t="s">
        <v>17</v>
      </c>
      <c r="H5676" s="1" t="str">
        <f>"75"</f>
        <v>75</v>
      </c>
      <c r="I5676" s="1" t="str">
        <f t="shared" ref="I5676:I5686" si="3209">"160"</f>
        <v>160</v>
      </c>
      <c r="J5676" s="1" t="str">
        <f t="shared" si="3196"/>
        <v>0</v>
      </c>
      <c r="K5676" s="1" t="str">
        <f t="shared" si="3197"/>
        <v>103</v>
      </c>
      <c r="L5676" s="1" t="str">
        <f t="shared" si="3198"/>
        <v>47</v>
      </c>
      <c r="M5676" s="1" t="str">
        <f t="shared" si="3207"/>
        <v>0</v>
      </c>
      <c r="N5676" s="1" t="str">
        <f t="shared" si="3195"/>
        <v>0</v>
      </c>
      <c r="O5676" s="1" t="str">
        <f t="shared" ref="O5676:O5712" si="3210">"0"</f>
        <v>0</v>
      </c>
    </row>
    <row r="5677" s="1" customFormat="1" spans="1:15">
      <c r="A5677" s="1" t="str">
        <f t="shared" si="3200"/>
        <v>202406</v>
      </c>
      <c r="B5677" s="1" t="str">
        <f t="shared" si="3201"/>
        <v>150525100</v>
      </c>
      <c r="C5677" s="1" t="str">
        <f>"1014625520"</f>
        <v>1014625520</v>
      </c>
      <c r="D5677" s="1" t="str">
        <f>"152326194602270415"</f>
        <v>152326194602270415</v>
      </c>
      <c r="E5677" s="1" t="s">
        <v>4708</v>
      </c>
      <c r="F5677" s="1" t="s">
        <v>25</v>
      </c>
      <c r="G5677" s="1" t="s">
        <v>17</v>
      </c>
      <c r="H5677" s="1" t="str">
        <f>"78"</f>
        <v>78</v>
      </c>
      <c r="I5677" s="1" t="str">
        <f t="shared" si="3209"/>
        <v>160</v>
      </c>
      <c r="J5677" s="1" t="str">
        <f t="shared" si="3196"/>
        <v>0</v>
      </c>
      <c r="K5677" s="1" t="str">
        <f t="shared" si="3197"/>
        <v>103</v>
      </c>
      <c r="L5677" s="1" t="str">
        <f t="shared" si="3198"/>
        <v>47</v>
      </c>
      <c r="M5677" s="1" t="str">
        <f t="shared" si="3207"/>
        <v>0</v>
      </c>
      <c r="N5677" s="1" t="str">
        <f t="shared" si="3195"/>
        <v>0</v>
      </c>
      <c r="O5677" s="1" t="str">
        <f t="shared" si="3210"/>
        <v>0</v>
      </c>
    </row>
    <row r="5678" s="1" customFormat="1" spans="1:15">
      <c r="A5678" s="1" t="str">
        <f t="shared" si="3200"/>
        <v>202406</v>
      </c>
      <c r="B5678" s="1" t="str">
        <f t="shared" si="3201"/>
        <v>150525100</v>
      </c>
      <c r="C5678" s="1" t="str">
        <f>"1014625028"</f>
        <v>1014625028</v>
      </c>
      <c r="D5678" s="1" t="str">
        <f>"152326194908123821"</f>
        <v>152326194908123821</v>
      </c>
      <c r="E5678" s="1" t="s">
        <v>5582</v>
      </c>
      <c r="F5678" s="1" t="s">
        <v>16</v>
      </c>
      <c r="G5678" s="1" t="s">
        <v>17</v>
      </c>
      <c r="H5678" s="1" t="str">
        <f>"75"</f>
        <v>75</v>
      </c>
      <c r="I5678" s="1" t="str">
        <f t="shared" si="3209"/>
        <v>160</v>
      </c>
      <c r="J5678" s="1" t="str">
        <f t="shared" si="3196"/>
        <v>0</v>
      </c>
      <c r="K5678" s="1" t="str">
        <f t="shared" si="3197"/>
        <v>103</v>
      </c>
      <c r="L5678" s="1" t="str">
        <f t="shared" si="3198"/>
        <v>47</v>
      </c>
      <c r="M5678" s="1" t="str">
        <f t="shared" si="3207"/>
        <v>0</v>
      </c>
      <c r="N5678" s="1" t="str">
        <f t="shared" si="3195"/>
        <v>0</v>
      </c>
      <c r="O5678" s="1" t="str">
        <f t="shared" si="3210"/>
        <v>0</v>
      </c>
    </row>
    <row r="5679" s="1" customFormat="1" spans="1:15">
      <c r="A5679" s="1" t="str">
        <f t="shared" si="3200"/>
        <v>202406</v>
      </c>
      <c r="B5679" s="1" t="str">
        <f t="shared" si="3201"/>
        <v>150525100</v>
      </c>
      <c r="C5679" s="1" t="str">
        <f>"1014625031"</f>
        <v>1014625031</v>
      </c>
      <c r="D5679" s="1" t="str">
        <f>"152326195008063821"</f>
        <v>152326195008063821</v>
      </c>
      <c r="E5679" s="1" t="s">
        <v>5583</v>
      </c>
      <c r="F5679" s="1" t="s">
        <v>16</v>
      </c>
      <c r="G5679" s="1" t="s">
        <v>17</v>
      </c>
      <c r="H5679" s="1" t="str">
        <f>"74"</f>
        <v>74</v>
      </c>
      <c r="I5679" s="1" t="str">
        <f t="shared" si="3209"/>
        <v>160</v>
      </c>
      <c r="J5679" s="1" t="str">
        <f t="shared" si="3196"/>
        <v>0</v>
      </c>
      <c r="K5679" s="1" t="str">
        <f t="shared" si="3197"/>
        <v>103</v>
      </c>
      <c r="L5679" s="1" t="str">
        <f t="shared" si="3198"/>
        <v>47</v>
      </c>
      <c r="M5679" s="1" t="str">
        <f t="shared" si="3207"/>
        <v>0</v>
      </c>
      <c r="N5679" s="1" t="str">
        <f t="shared" si="3195"/>
        <v>0</v>
      </c>
      <c r="O5679" s="1" t="str">
        <f t="shared" si="3210"/>
        <v>0</v>
      </c>
    </row>
    <row r="5680" s="1" customFormat="1" spans="1:15">
      <c r="A5680" s="1" t="str">
        <f t="shared" si="3200"/>
        <v>202406</v>
      </c>
      <c r="B5680" s="1" t="str">
        <f t="shared" si="3201"/>
        <v>150525100</v>
      </c>
      <c r="C5680" s="1" t="str">
        <f>"1014625044"</f>
        <v>1014625044</v>
      </c>
      <c r="D5680" s="1" t="str">
        <f>"152326194408250445"</f>
        <v>152326194408250445</v>
      </c>
      <c r="E5680" s="1" t="s">
        <v>612</v>
      </c>
      <c r="F5680" s="1" t="s">
        <v>16</v>
      </c>
      <c r="G5680" s="1" t="s">
        <v>17</v>
      </c>
      <c r="H5680" s="1" t="str">
        <f>"80"</f>
        <v>80</v>
      </c>
      <c r="I5680" s="1" t="str">
        <f t="shared" si="3209"/>
        <v>160</v>
      </c>
      <c r="J5680" s="1" t="str">
        <f t="shared" si="3196"/>
        <v>0</v>
      </c>
      <c r="K5680" s="1" t="str">
        <f t="shared" si="3197"/>
        <v>103</v>
      </c>
      <c r="L5680" s="1" t="str">
        <f t="shared" si="3198"/>
        <v>47</v>
      </c>
      <c r="M5680" s="1" t="str">
        <f t="shared" si="3207"/>
        <v>0</v>
      </c>
      <c r="N5680" s="1" t="str">
        <f t="shared" si="3195"/>
        <v>0</v>
      </c>
      <c r="O5680" s="1" t="str">
        <f t="shared" si="3210"/>
        <v>0</v>
      </c>
    </row>
    <row r="5681" s="1" customFormat="1" spans="1:15">
      <c r="A5681" s="1" t="str">
        <f t="shared" si="3200"/>
        <v>202406</v>
      </c>
      <c r="B5681" s="1" t="str">
        <f t="shared" si="3201"/>
        <v>150525100</v>
      </c>
      <c r="C5681" s="1" t="str">
        <f>"1014630252"</f>
        <v>1014630252</v>
      </c>
      <c r="D5681" s="1" t="str">
        <f>"152326195011113826"</f>
        <v>152326195011113826</v>
      </c>
      <c r="E5681" s="1" t="s">
        <v>5584</v>
      </c>
      <c r="F5681" s="1" t="s">
        <v>16</v>
      </c>
      <c r="G5681" s="1" t="s">
        <v>17</v>
      </c>
      <c r="H5681" s="1" t="str">
        <f>"74"</f>
        <v>74</v>
      </c>
      <c r="I5681" s="1" t="str">
        <f t="shared" si="3209"/>
        <v>160</v>
      </c>
      <c r="J5681" s="1" t="str">
        <f t="shared" si="3196"/>
        <v>0</v>
      </c>
      <c r="K5681" s="1" t="str">
        <f t="shared" si="3197"/>
        <v>103</v>
      </c>
      <c r="L5681" s="1" t="str">
        <f t="shared" si="3198"/>
        <v>47</v>
      </c>
      <c r="M5681" s="1" t="str">
        <f t="shared" si="3207"/>
        <v>0</v>
      </c>
      <c r="N5681" s="1" t="str">
        <f t="shared" si="3195"/>
        <v>0</v>
      </c>
      <c r="O5681" s="1" t="str">
        <f t="shared" si="3210"/>
        <v>0</v>
      </c>
    </row>
    <row r="5682" s="1" customFormat="1" spans="1:15">
      <c r="A5682" s="1" t="str">
        <f t="shared" si="3200"/>
        <v>202406</v>
      </c>
      <c r="B5682" s="1" t="str">
        <f t="shared" si="3201"/>
        <v>150525100</v>
      </c>
      <c r="C5682" s="1" t="str">
        <f>"1014625064"</f>
        <v>1014625064</v>
      </c>
      <c r="D5682" s="1" t="str">
        <f>"152326194906253315"</f>
        <v>152326194906253315</v>
      </c>
      <c r="E5682" s="1" t="s">
        <v>5585</v>
      </c>
      <c r="F5682" s="1" t="s">
        <v>25</v>
      </c>
      <c r="G5682" s="1" t="s">
        <v>19</v>
      </c>
      <c r="H5682" s="1" t="str">
        <f>"75"</f>
        <v>75</v>
      </c>
      <c r="I5682" s="1" t="str">
        <f t="shared" si="3209"/>
        <v>160</v>
      </c>
      <c r="J5682" s="1" t="str">
        <f t="shared" si="3196"/>
        <v>0</v>
      </c>
      <c r="K5682" s="1" t="str">
        <f t="shared" si="3197"/>
        <v>103</v>
      </c>
      <c r="L5682" s="1" t="str">
        <f t="shared" si="3198"/>
        <v>47</v>
      </c>
      <c r="M5682" s="1" t="str">
        <f t="shared" si="3207"/>
        <v>0</v>
      </c>
      <c r="N5682" s="1" t="str">
        <f t="shared" si="3195"/>
        <v>0</v>
      </c>
      <c r="O5682" s="1" t="str">
        <f t="shared" si="3210"/>
        <v>0</v>
      </c>
    </row>
    <row r="5683" s="1" customFormat="1" spans="1:15">
      <c r="A5683" s="1" t="str">
        <f t="shared" si="3200"/>
        <v>202406</v>
      </c>
      <c r="B5683" s="1" t="str">
        <f t="shared" si="3201"/>
        <v>150525100</v>
      </c>
      <c r="C5683" s="1" t="str">
        <f>"1014625066"</f>
        <v>1014625066</v>
      </c>
      <c r="D5683" s="1" t="str">
        <f>"152326194408213310"</f>
        <v>152326194408213310</v>
      </c>
      <c r="E5683" s="1" t="s">
        <v>5586</v>
      </c>
      <c r="F5683" s="1" t="s">
        <v>25</v>
      </c>
      <c r="G5683" s="1" t="s">
        <v>19</v>
      </c>
      <c r="H5683" s="1" t="str">
        <f>"80"</f>
        <v>80</v>
      </c>
      <c r="I5683" s="1" t="str">
        <f t="shared" si="3209"/>
        <v>160</v>
      </c>
      <c r="J5683" s="1" t="str">
        <f t="shared" si="3196"/>
        <v>0</v>
      </c>
      <c r="K5683" s="1" t="str">
        <f t="shared" si="3197"/>
        <v>103</v>
      </c>
      <c r="L5683" s="1" t="str">
        <f t="shared" si="3198"/>
        <v>47</v>
      </c>
      <c r="M5683" s="1" t="str">
        <f t="shared" si="3207"/>
        <v>0</v>
      </c>
      <c r="N5683" s="1" t="str">
        <f t="shared" si="3195"/>
        <v>0</v>
      </c>
      <c r="O5683" s="1" t="str">
        <f t="shared" si="3210"/>
        <v>0</v>
      </c>
    </row>
    <row r="5684" s="1" customFormat="1" spans="1:15">
      <c r="A5684" s="1" t="str">
        <f t="shared" si="3200"/>
        <v>202406</v>
      </c>
      <c r="B5684" s="1" t="str">
        <f t="shared" si="3201"/>
        <v>150525100</v>
      </c>
      <c r="C5684" s="1" t="str">
        <f>"1014625083"</f>
        <v>1014625083</v>
      </c>
      <c r="D5684" s="1" t="str">
        <f>"152326194810133829"</f>
        <v>152326194810133829</v>
      </c>
      <c r="E5684" s="1" t="s">
        <v>5587</v>
      </c>
      <c r="F5684" s="1" t="s">
        <v>16</v>
      </c>
      <c r="G5684" s="1" t="s">
        <v>17</v>
      </c>
      <c r="H5684" s="1" t="str">
        <f>"76"</f>
        <v>76</v>
      </c>
      <c r="I5684" s="1" t="str">
        <f t="shared" si="3209"/>
        <v>160</v>
      </c>
      <c r="J5684" s="1" t="str">
        <f t="shared" si="3196"/>
        <v>0</v>
      </c>
      <c r="K5684" s="1" t="str">
        <f t="shared" si="3197"/>
        <v>103</v>
      </c>
      <c r="L5684" s="1" t="str">
        <f t="shared" si="3198"/>
        <v>47</v>
      </c>
      <c r="M5684" s="1" t="str">
        <f t="shared" si="3207"/>
        <v>0</v>
      </c>
      <c r="N5684" s="1" t="str">
        <f t="shared" ref="N5684:N5747" si="3211">"0"</f>
        <v>0</v>
      </c>
      <c r="O5684" s="1" t="str">
        <f t="shared" si="3210"/>
        <v>0</v>
      </c>
    </row>
    <row r="5685" s="1" customFormat="1" spans="1:15">
      <c r="A5685" s="1" t="str">
        <f t="shared" si="3200"/>
        <v>202406</v>
      </c>
      <c r="B5685" s="1" t="str">
        <f t="shared" si="3201"/>
        <v>150525100</v>
      </c>
      <c r="C5685" s="1" t="str">
        <f>"1014625086"</f>
        <v>1014625086</v>
      </c>
      <c r="D5685" s="1" t="str">
        <f>"152326195106173848"</f>
        <v>152326195106173848</v>
      </c>
      <c r="E5685" s="1" t="s">
        <v>5588</v>
      </c>
      <c r="F5685" s="1" t="s">
        <v>16</v>
      </c>
      <c r="G5685" s="1" t="s">
        <v>17</v>
      </c>
      <c r="H5685" s="1" t="str">
        <f>"73"</f>
        <v>73</v>
      </c>
      <c r="I5685" s="1" t="str">
        <f t="shared" si="3209"/>
        <v>160</v>
      </c>
      <c r="J5685" s="1" t="str">
        <f t="shared" si="3196"/>
        <v>0</v>
      </c>
      <c r="K5685" s="1" t="str">
        <f t="shared" si="3197"/>
        <v>103</v>
      </c>
      <c r="L5685" s="1" t="str">
        <f t="shared" si="3198"/>
        <v>47</v>
      </c>
      <c r="M5685" s="1" t="str">
        <f t="shared" si="3207"/>
        <v>0</v>
      </c>
      <c r="N5685" s="1" t="str">
        <f t="shared" si="3211"/>
        <v>0</v>
      </c>
      <c r="O5685" s="1" t="str">
        <f t="shared" si="3210"/>
        <v>0</v>
      </c>
    </row>
    <row r="5686" s="1" customFormat="1" spans="1:15">
      <c r="A5686" s="1" t="str">
        <f t="shared" si="3200"/>
        <v>202406</v>
      </c>
      <c r="B5686" s="1" t="str">
        <f t="shared" si="3201"/>
        <v>150525100</v>
      </c>
      <c r="C5686" s="1" t="str">
        <f>"1014625098"</f>
        <v>1014625098</v>
      </c>
      <c r="D5686" s="1" t="str">
        <f>"152326195101260424"</f>
        <v>152326195101260424</v>
      </c>
      <c r="E5686" s="1" t="s">
        <v>5025</v>
      </c>
      <c r="F5686" s="1" t="s">
        <v>16</v>
      </c>
      <c r="G5686" s="1" t="s">
        <v>17</v>
      </c>
      <c r="H5686" s="1" t="str">
        <f>"73"</f>
        <v>73</v>
      </c>
      <c r="I5686" s="1" t="str">
        <f t="shared" si="3209"/>
        <v>160</v>
      </c>
      <c r="J5686" s="1" t="str">
        <f t="shared" si="3196"/>
        <v>0</v>
      </c>
      <c r="K5686" s="1" t="str">
        <f t="shared" si="3197"/>
        <v>103</v>
      </c>
      <c r="L5686" s="1" t="str">
        <f t="shared" si="3198"/>
        <v>47</v>
      </c>
      <c r="M5686" s="1" t="str">
        <f t="shared" si="3207"/>
        <v>0</v>
      </c>
      <c r="N5686" s="1" t="str">
        <f t="shared" si="3211"/>
        <v>0</v>
      </c>
      <c r="O5686" s="1" t="str">
        <f t="shared" si="3210"/>
        <v>0</v>
      </c>
    </row>
    <row r="5687" s="1" customFormat="1" spans="1:15">
      <c r="A5687" s="1" t="str">
        <f t="shared" si="3200"/>
        <v>202406</v>
      </c>
      <c r="B5687" s="1" t="str">
        <f t="shared" si="3201"/>
        <v>150525100</v>
      </c>
      <c r="C5687" s="1" t="str">
        <f>"1014625099"</f>
        <v>1014625099</v>
      </c>
      <c r="D5687" s="1" t="str">
        <f>"152326193411150424"</f>
        <v>152326193411150424</v>
      </c>
      <c r="E5687" s="1" t="s">
        <v>5589</v>
      </c>
      <c r="F5687" s="1" t="s">
        <v>16</v>
      </c>
      <c r="G5687" s="1" t="s">
        <v>17</v>
      </c>
      <c r="H5687" s="1" t="str">
        <f>"90"</f>
        <v>90</v>
      </c>
      <c r="I5687" s="1" t="str">
        <f>"170"</f>
        <v>170</v>
      </c>
      <c r="J5687" s="1" t="str">
        <f t="shared" si="3196"/>
        <v>0</v>
      </c>
      <c r="K5687" s="1" t="str">
        <f t="shared" si="3197"/>
        <v>103</v>
      </c>
      <c r="L5687" s="1" t="str">
        <f t="shared" si="3198"/>
        <v>47</v>
      </c>
      <c r="M5687" s="1" t="str">
        <f t="shared" si="3207"/>
        <v>0</v>
      </c>
      <c r="N5687" s="1" t="str">
        <f t="shared" si="3211"/>
        <v>0</v>
      </c>
      <c r="O5687" s="1" t="str">
        <f t="shared" si="3210"/>
        <v>0</v>
      </c>
    </row>
    <row r="5688" s="1" customFormat="1" spans="1:15">
      <c r="A5688" s="1" t="str">
        <f t="shared" si="3200"/>
        <v>202406</v>
      </c>
      <c r="B5688" s="1" t="str">
        <f t="shared" si="3201"/>
        <v>150525100</v>
      </c>
      <c r="C5688" s="1" t="str">
        <f>"1014625107"</f>
        <v>1014625107</v>
      </c>
      <c r="D5688" s="1" t="s">
        <v>5590</v>
      </c>
      <c r="E5688" s="1" t="s">
        <v>5591</v>
      </c>
      <c r="F5688" s="1" t="s">
        <v>16</v>
      </c>
      <c r="G5688" s="1" t="s">
        <v>17</v>
      </c>
      <c r="H5688" s="1" t="str">
        <f>"77"</f>
        <v>77</v>
      </c>
      <c r="I5688" s="1" t="str">
        <f t="shared" ref="I5688:I5695" si="3212">"160"</f>
        <v>160</v>
      </c>
      <c r="J5688" s="1" t="str">
        <f t="shared" si="3196"/>
        <v>0</v>
      </c>
      <c r="K5688" s="1" t="str">
        <f t="shared" si="3197"/>
        <v>103</v>
      </c>
      <c r="L5688" s="1" t="str">
        <f t="shared" si="3198"/>
        <v>47</v>
      </c>
      <c r="M5688" s="1" t="str">
        <f t="shared" si="3207"/>
        <v>0</v>
      </c>
      <c r="N5688" s="1" t="str">
        <f t="shared" si="3211"/>
        <v>0</v>
      </c>
      <c r="O5688" s="1" t="str">
        <f t="shared" si="3210"/>
        <v>0</v>
      </c>
    </row>
    <row r="5689" s="1" customFormat="1" spans="1:15">
      <c r="A5689" s="1" t="str">
        <f t="shared" si="3200"/>
        <v>202406</v>
      </c>
      <c r="B5689" s="1" t="str">
        <f t="shared" si="3201"/>
        <v>150525100</v>
      </c>
      <c r="C5689" s="1" t="str">
        <f>"1014625122"</f>
        <v>1014625122</v>
      </c>
      <c r="D5689" s="1" t="str">
        <f>"152326194908210423"</f>
        <v>152326194908210423</v>
      </c>
      <c r="E5689" s="1" t="s">
        <v>5592</v>
      </c>
      <c r="F5689" s="1" t="s">
        <v>16</v>
      </c>
      <c r="G5689" s="1" t="s">
        <v>17</v>
      </c>
      <c r="H5689" s="1" t="str">
        <f>"75"</f>
        <v>75</v>
      </c>
      <c r="I5689" s="1" t="str">
        <f t="shared" si="3212"/>
        <v>160</v>
      </c>
      <c r="J5689" s="1" t="str">
        <f t="shared" si="3196"/>
        <v>0</v>
      </c>
      <c r="K5689" s="1" t="str">
        <f t="shared" si="3197"/>
        <v>103</v>
      </c>
      <c r="L5689" s="1" t="str">
        <f t="shared" si="3198"/>
        <v>47</v>
      </c>
      <c r="M5689" s="1" t="str">
        <f t="shared" si="3207"/>
        <v>0</v>
      </c>
      <c r="N5689" s="1" t="str">
        <f t="shared" si="3211"/>
        <v>0</v>
      </c>
      <c r="O5689" s="1" t="str">
        <f t="shared" si="3210"/>
        <v>0</v>
      </c>
    </row>
    <row r="5690" s="1" customFormat="1" spans="1:15">
      <c r="A5690" s="1" t="str">
        <f t="shared" si="3200"/>
        <v>202406</v>
      </c>
      <c r="B5690" s="1" t="str">
        <f t="shared" si="3201"/>
        <v>150525100</v>
      </c>
      <c r="C5690" s="1" t="str">
        <f>"1014625188"</f>
        <v>1014625188</v>
      </c>
      <c r="D5690" s="1" t="str">
        <f>"152326194509180669"</f>
        <v>152326194509180669</v>
      </c>
      <c r="E5690" s="1" t="s">
        <v>1473</v>
      </c>
      <c r="F5690" s="1" t="s">
        <v>16</v>
      </c>
      <c r="G5690" s="1" t="s">
        <v>17</v>
      </c>
      <c r="H5690" s="1" t="str">
        <f>"79"</f>
        <v>79</v>
      </c>
      <c r="I5690" s="1" t="str">
        <f t="shared" si="3212"/>
        <v>160</v>
      </c>
      <c r="J5690" s="1" t="str">
        <f t="shared" ref="J5690:J5715" si="3213">"0"</f>
        <v>0</v>
      </c>
      <c r="K5690" s="1" t="str">
        <f t="shared" ref="K5690:K5715" si="3214">"103"</f>
        <v>103</v>
      </c>
      <c r="L5690" s="1" t="str">
        <f t="shared" ref="L5690:L5715" si="3215">"47"</f>
        <v>47</v>
      </c>
      <c r="M5690" s="1" t="str">
        <f t="shared" si="3207"/>
        <v>0</v>
      </c>
      <c r="N5690" s="1" t="str">
        <f t="shared" si="3211"/>
        <v>0</v>
      </c>
      <c r="O5690" s="1" t="str">
        <f t="shared" si="3210"/>
        <v>0</v>
      </c>
    </row>
    <row r="5691" s="1" customFormat="1" spans="1:15">
      <c r="A5691" s="1" t="str">
        <f t="shared" si="3200"/>
        <v>202406</v>
      </c>
      <c r="B5691" s="1" t="str">
        <f t="shared" si="3201"/>
        <v>150525100</v>
      </c>
      <c r="C5691" s="1" t="str">
        <f>"1014625210"</f>
        <v>1014625210</v>
      </c>
      <c r="D5691" s="1" t="str">
        <f>"152326194602080662"</f>
        <v>152326194602080662</v>
      </c>
      <c r="E5691" s="1" t="s">
        <v>5593</v>
      </c>
      <c r="F5691" s="1" t="s">
        <v>16</v>
      </c>
      <c r="G5691" s="1" t="s">
        <v>17</v>
      </c>
      <c r="H5691" s="1" t="str">
        <f t="shared" ref="H5691:H5694" si="3216">"78"</f>
        <v>78</v>
      </c>
      <c r="I5691" s="1" t="str">
        <f t="shared" si="3212"/>
        <v>160</v>
      </c>
      <c r="J5691" s="1" t="str">
        <f t="shared" si="3213"/>
        <v>0</v>
      </c>
      <c r="K5691" s="1" t="str">
        <f t="shared" si="3214"/>
        <v>103</v>
      </c>
      <c r="L5691" s="1" t="str">
        <f t="shared" si="3215"/>
        <v>47</v>
      </c>
      <c r="M5691" s="1" t="str">
        <f t="shared" si="3207"/>
        <v>0</v>
      </c>
      <c r="N5691" s="1" t="str">
        <f t="shared" si="3211"/>
        <v>0</v>
      </c>
      <c r="O5691" s="1" t="str">
        <f t="shared" si="3210"/>
        <v>0</v>
      </c>
    </row>
    <row r="5692" s="1" customFormat="1" spans="1:15">
      <c r="A5692" s="1" t="str">
        <f t="shared" si="3200"/>
        <v>202406</v>
      </c>
      <c r="B5692" s="1" t="str">
        <f t="shared" si="3201"/>
        <v>150525100</v>
      </c>
      <c r="C5692" s="1" t="str">
        <f>"1014625214"</f>
        <v>1014625214</v>
      </c>
      <c r="D5692" s="1" t="str">
        <f>"152326195011280683"</f>
        <v>152326195011280683</v>
      </c>
      <c r="E5692" s="1" t="s">
        <v>5594</v>
      </c>
      <c r="F5692" s="1" t="s">
        <v>16</v>
      </c>
      <c r="G5692" s="1" t="s">
        <v>17</v>
      </c>
      <c r="H5692" s="1" t="str">
        <f>"74"</f>
        <v>74</v>
      </c>
      <c r="I5692" s="1" t="str">
        <f t="shared" si="3212"/>
        <v>160</v>
      </c>
      <c r="J5692" s="1" t="str">
        <f t="shared" si="3213"/>
        <v>0</v>
      </c>
      <c r="K5692" s="1" t="str">
        <f t="shared" si="3214"/>
        <v>103</v>
      </c>
      <c r="L5692" s="1" t="str">
        <f t="shared" si="3215"/>
        <v>47</v>
      </c>
      <c r="M5692" s="1" t="str">
        <f t="shared" si="3207"/>
        <v>0</v>
      </c>
      <c r="N5692" s="1" t="str">
        <f t="shared" si="3211"/>
        <v>0</v>
      </c>
      <c r="O5692" s="1" t="str">
        <f t="shared" si="3210"/>
        <v>0</v>
      </c>
    </row>
    <row r="5693" s="1" customFormat="1" spans="1:15">
      <c r="A5693" s="1" t="str">
        <f t="shared" si="3200"/>
        <v>202406</v>
      </c>
      <c r="B5693" s="1" t="str">
        <f t="shared" si="3201"/>
        <v>150525100</v>
      </c>
      <c r="C5693" s="1" t="str">
        <f>"1014613393"</f>
        <v>1014613393</v>
      </c>
      <c r="D5693" s="1" t="str">
        <f>"152326194611280412"</f>
        <v>152326194611280412</v>
      </c>
      <c r="E5693" s="1" t="s">
        <v>4219</v>
      </c>
      <c r="F5693" s="1" t="s">
        <v>25</v>
      </c>
      <c r="G5693" s="1" t="s">
        <v>17</v>
      </c>
      <c r="H5693" s="1" t="str">
        <f t="shared" si="3216"/>
        <v>78</v>
      </c>
      <c r="I5693" s="1" t="str">
        <f t="shared" si="3212"/>
        <v>160</v>
      </c>
      <c r="J5693" s="1" t="str">
        <f t="shared" si="3213"/>
        <v>0</v>
      </c>
      <c r="K5693" s="1" t="str">
        <f t="shared" si="3214"/>
        <v>103</v>
      </c>
      <c r="L5693" s="1" t="str">
        <f t="shared" si="3215"/>
        <v>47</v>
      </c>
      <c r="M5693" s="1" t="str">
        <f t="shared" si="3207"/>
        <v>0</v>
      </c>
      <c r="N5693" s="1" t="str">
        <f t="shared" si="3211"/>
        <v>0</v>
      </c>
      <c r="O5693" s="1" t="str">
        <f t="shared" si="3210"/>
        <v>0</v>
      </c>
    </row>
    <row r="5694" s="1" customFormat="1" spans="1:15">
      <c r="A5694" s="1" t="str">
        <f t="shared" si="3200"/>
        <v>202406</v>
      </c>
      <c r="B5694" s="1" t="str">
        <f t="shared" si="3201"/>
        <v>150525100</v>
      </c>
      <c r="C5694" s="1" t="str">
        <f>"1014624200"</f>
        <v>1014624200</v>
      </c>
      <c r="D5694" s="1" t="str">
        <f>"152326194609050669"</f>
        <v>152326194609050669</v>
      </c>
      <c r="E5694" s="1" t="s">
        <v>5595</v>
      </c>
      <c r="F5694" s="1" t="s">
        <v>16</v>
      </c>
      <c r="G5694" s="1" t="s">
        <v>17</v>
      </c>
      <c r="H5694" s="1" t="str">
        <f t="shared" si="3216"/>
        <v>78</v>
      </c>
      <c r="I5694" s="1" t="str">
        <f t="shared" si="3212"/>
        <v>160</v>
      </c>
      <c r="J5694" s="1" t="str">
        <f t="shared" si="3213"/>
        <v>0</v>
      </c>
      <c r="K5694" s="1" t="str">
        <f t="shared" si="3214"/>
        <v>103</v>
      </c>
      <c r="L5694" s="1" t="str">
        <f t="shared" si="3215"/>
        <v>47</v>
      </c>
      <c r="M5694" s="1" t="str">
        <f t="shared" si="3207"/>
        <v>0</v>
      </c>
      <c r="N5694" s="1" t="str">
        <f t="shared" si="3211"/>
        <v>0</v>
      </c>
      <c r="O5694" s="1" t="str">
        <f t="shared" si="3210"/>
        <v>0</v>
      </c>
    </row>
    <row r="5695" s="1" customFormat="1" spans="1:15">
      <c r="A5695" s="1" t="str">
        <f t="shared" si="3200"/>
        <v>202406</v>
      </c>
      <c r="B5695" s="1" t="str">
        <f t="shared" si="3201"/>
        <v>150525100</v>
      </c>
      <c r="C5695" s="1" t="str">
        <f>"1014624216"</f>
        <v>1014624216</v>
      </c>
      <c r="D5695" s="1" t="s">
        <v>5596</v>
      </c>
      <c r="E5695" s="1" t="s">
        <v>5597</v>
      </c>
      <c r="F5695" s="1" t="s">
        <v>16</v>
      </c>
      <c r="G5695" s="1" t="s">
        <v>17</v>
      </c>
      <c r="H5695" s="1" t="str">
        <f>"75"</f>
        <v>75</v>
      </c>
      <c r="I5695" s="1" t="str">
        <f t="shared" si="3212"/>
        <v>160</v>
      </c>
      <c r="J5695" s="1" t="str">
        <f t="shared" si="3213"/>
        <v>0</v>
      </c>
      <c r="K5695" s="1" t="str">
        <f t="shared" si="3214"/>
        <v>103</v>
      </c>
      <c r="L5695" s="1" t="str">
        <f t="shared" si="3215"/>
        <v>47</v>
      </c>
      <c r="M5695" s="1" t="str">
        <f t="shared" si="3207"/>
        <v>0</v>
      </c>
      <c r="N5695" s="1" t="str">
        <f t="shared" si="3211"/>
        <v>0</v>
      </c>
      <c r="O5695" s="1" t="str">
        <f t="shared" si="3210"/>
        <v>0</v>
      </c>
    </row>
    <row r="5696" s="1" customFormat="1" spans="1:15">
      <c r="A5696" s="1" t="str">
        <f t="shared" si="3200"/>
        <v>202406</v>
      </c>
      <c r="B5696" s="1" t="str">
        <f t="shared" si="3201"/>
        <v>150525100</v>
      </c>
      <c r="C5696" s="1" t="str">
        <f>"1014613041"</f>
        <v>1014613041</v>
      </c>
      <c r="D5696" s="1" t="str">
        <f>"152326193909193827"</f>
        <v>152326193909193827</v>
      </c>
      <c r="E5696" s="1" t="s">
        <v>5598</v>
      </c>
      <c r="F5696" s="1" t="s">
        <v>16</v>
      </c>
      <c r="G5696" s="1" t="s">
        <v>19</v>
      </c>
      <c r="H5696" s="1" t="str">
        <f>"85"</f>
        <v>85</v>
      </c>
      <c r="I5696" s="1" t="str">
        <f t="shared" ref="I5696:I5701" si="3217">"170"</f>
        <v>170</v>
      </c>
      <c r="J5696" s="1" t="str">
        <f t="shared" si="3213"/>
        <v>0</v>
      </c>
      <c r="K5696" s="1" t="str">
        <f t="shared" si="3214"/>
        <v>103</v>
      </c>
      <c r="L5696" s="1" t="str">
        <f t="shared" si="3215"/>
        <v>47</v>
      </c>
      <c r="M5696" s="1" t="str">
        <f t="shared" si="3207"/>
        <v>0</v>
      </c>
      <c r="N5696" s="1" t="str">
        <f t="shared" si="3211"/>
        <v>0</v>
      </c>
      <c r="O5696" s="1" t="str">
        <f t="shared" si="3210"/>
        <v>0</v>
      </c>
    </row>
    <row r="5697" s="1" customFormat="1" spans="1:15">
      <c r="A5697" s="1" t="str">
        <f t="shared" si="3200"/>
        <v>202406</v>
      </c>
      <c r="B5697" s="1" t="str">
        <f t="shared" si="3201"/>
        <v>150525100</v>
      </c>
      <c r="C5697" s="1" t="str">
        <f>"1014613325"</f>
        <v>1014613325</v>
      </c>
      <c r="D5697" s="1" t="str">
        <f>"152326195104290434"</f>
        <v>152326195104290434</v>
      </c>
      <c r="E5697" s="1" t="s">
        <v>5599</v>
      </c>
      <c r="F5697" s="1" t="s">
        <v>25</v>
      </c>
      <c r="G5697" s="1" t="s">
        <v>17</v>
      </c>
      <c r="H5697" s="1" t="str">
        <f>"73"</f>
        <v>73</v>
      </c>
      <c r="I5697" s="1" t="str">
        <f t="shared" ref="I5697:I5700" si="3218">"160"</f>
        <v>160</v>
      </c>
      <c r="J5697" s="1" t="str">
        <f t="shared" si="3213"/>
        <v>0</v>
      </c>
      <c r="K5697" s="1" t="str">
        <f t="shared" si="3214"/>
        <v>103</v>
      </c>
      <c r="L5697" s="1" t="str">
        <f t="shared" si="3215"/>
        <v>47</v>
      </c>
      <c r="M5697" s="1" t="str">
        <f t="shared" si="3207"/>
        <v>0</v>
      </c>
      <c r="N5697" s="1" t="str">
        <f t="shared" si="3211"/>
        <v>0</v>
      </c>
      <c r="O5697" s="1" t="str">
        <f t="shared" si="3210"/>
        <v>0</v>
      </c>
    </row>
    <row r="5698" s="1" customFormat="1" spans="1:15">
      <c r="A5698" s="1" t="str">
        <f t="shared" ref="A5698:A5761" si="3219">"202406"</f>
        <v>202406</v>
      </c>
      <c r="B5698" s="1" t="str">
        <f t="shared" ref="B5698:B5761" si="3220">"150525100"</f>
        <v>150525100</v>
      </c>
      <c r="C5698" s="1" t="str">
        <f>"1014613343"</f>
        <v>1014613343</v>
      </c>
      <c r="D5698" s="1" t="str">
        <f>"152326194711020415"</f>
        <v>152326194711020415</v>
      </c>
      <c r="E5698" s="1" t="s">
        <v>3242</v>
      </c>
      <c r="F5698" s="1" t="s">
        <v>25</v>
      </c>
      <c r="G5698" s="1" t="s">
        <v>17</v>
      </c>
      <c r="H5698" s="1" t="str">
        <f>"77"</f>
        <v>77</v>
      </c>
      <c r="I5698" s="1" t="str">
        <f t="shared" si="3218"/>
        <v>160</v>
      </c>
      <c r="J5698" s="1" t="str">
        <f t="shared" si="3213"/>
        <v>0</v>
      </c>
      <c r="K5698" s="1" t="str">
        <f t="shared" si="3214"/>
        <v>103</v>
      </c>
      <c r="L5698" s="1" t="str">
        <f t="shared" si="3215"/>
        <v>47</v>
      </c>
      <c r="M5698" s="1" t="str">
        <f t="shared" si="3207"/>
        <v>0</v>
      </c>
      <c r="N5698" s="1" t="str">
        <f t="shared" si="3211"/>
        <v>0</v>
      </c>
      <c r="O5698" s="1" t="str">
        <f t="shared" si="3210"/>
        <v>0</v>
      </c>
    </row>
    <row r="5699" s="1" customFormat="1" spans="1:15">
      <c r="A5699" s="1" t="str">
        <f t="shared" si="3219"/>
        <v>202406</v>
      </c>
      <c r="B5699" s="1" t="str">
        <f t="shared" si="3220"/>
        <v>150525100</v>
      </c>
      <c r="C5699" s="1" t="str">
        <f>"1014613344"</f>
        <v>1014613344</v>
      </c>
      <c r="D5699" s="1" t="s">
        <v>5600</v>
      </c>
      <c r="E5699" s="1" t="s">
        <v>5601</v>
      </c>
      <c r="F5699" s="1" t="s">
        <v>25</v>
      </c>
      <c r="G5699" s="1" t="s">
        <v>17</v>
      </c>
      <c r="H5699" s="1" t="str">
        <f>"85"</f>
        <v>85</v>
      </c>
      <c r="I5699" s="1" t="str">
        <f t="shared" si="3217"/>
        <v>170</v>
      </c>
      <c r="J5699" s="1" t="str">
        <f t="shared" si="3213"/>
        <v>0</v>
      </c>
      <c r="K5699" s="1" t="str">
        <f t="shared" si="3214"/>
        <v>103</v>
      </c>
      <c r="L5699" s="1" t="str">
        <f t="shared" si="3215"/>
        <v>47</v>
      </c>
      <c r="M5699" s="1" t="str">
        <f t="shared" si="3207"/>
        <v>0</v>
      </c>
      <c r="N5699" s="1" t="str">
        <f t="shared" si="3211"/>
        <v>0</v>
      </c>
      <c r="O5699" s="1" t="str">
        <f t="shared" si="3210"/>
        <v>0</v>
      </c>
    </row>
    <row r="5700" s="1" customFormat="1" spans="1:15">
      <c r="A5700" s="1" t="str">
        <f t="shared" si="3219"/>
        <v>202406</v>
      </c>
      <c r="B5700" s="1" t="str">
        <f t="shared" si="3220"/>
        <v>150525100</v>
      </c>
      <c r="C5700" s="1" t="str">
        <f>"1014622376"</f>
        <v>1014622376</v>
      </c>
      <c r="D5700" s="1" t="str">
        <f>"152326194806030421"</f>
        <v>152326194806030421</v>
      </c>
      <c r="E5700" s="1" t="s">
        <v>5602</v>
      </c>
      <c r="F5700" s="1" t="s">
        <v>16</v>
      </c>
      <c r="G5700" s="1" t="s">
        <v>17</v>
      </c>
      <c r="H5700" s="1" t="str">
        <f>"76"</f>
        <v>76</v>
      </c>
      <c r="I5700" s="1" t="str">
        <f t="shared" si="3218"/>
        <v>160</v>
      </c>
      <c r="J5700" s="1" t="str">
        <f t="shared" si="3213"/>
        <v>0</v>
      </c>
      <c r="K5700" s="1" t="str">
        <f t="shared" si="3214"/>
        <v>103</v>
      </c>
      <c r="L5700" s="1" t="str">
        <f t="shared" si="3215"/>
        <v>47</v>
      </c>
      <c r="M5700" s="1" t="str">
        <f t="shared" si="3207"/>
        <v>0</v>
      </c>
      <c r="N5700" s="1" t="str">
        <f t="shared" si="3211"/>
        <v>0</v>
      </c>
      <c r="O5700" s="1" t="str">
        <f t="shared" si="3210"/>
        <v>0</v>
      </c>
    </row>
    <row r="5701" s="1" customFormat="1" spans="1:15">
      <c r="A5701" s="1" t="str">
        <f t="shared" si="3219"/>
        <v>202406</v>
      </c>
      <c r="B5701" s="1" t="str">
        <f t="shared" si="3220"/>
        <v>150525100</v>
      </c>
      <c r="C5701" s="1" t="str">
        <f>"1014622378"</f>
        <v>1014622378</v>
      </c>
      <c r="D5701" s="1" t="str">
        <f>"152326193407220426"</f>
        <v>152326193407220426</v>
      </c>
      <c r="E5701" s="1" t="s">
        <v>5603</v>
      </c>
      <c r="F5701" s="1" t="s">
        <v>16</v>
      </c>
      <c r="G5701" s="1" t="s">
        <v>17</v>
      </c>
      <c r="H5701" s="1" t="str">
        <f>"90"</f>
        <v>90</v>
      </c>
      <c r="I5701" s="1" t="str">
        <f t="shared" si="3217"/>
        <v>170</v>
      </c>
      <c r="J5701" s="1" t="str">
        <f t="shared" si="3213"/>
        <v>0</v>
      </c>
      <c r="K5701" s="1" t="str">
        <f t="shared" si="3214"/>
        <v>103</v>
      </c>
      <c r="L5701" s="1" t="str">
        <f t="shared" si="3215"/>
        <v>47</v>
      </c>
      <c r="M5701" s="1" t="str">
        <f t="shared" si="3207"/>
        <v>0</v>
      </c>
      <c r="N5701" s="1" t="str">
        <f t="shared" si="3211"/>
        <v>0</v>
      </c>
      <c r="O5701" s="1" t="str">
        <f t="shared" si="3210"/>
        <v>0</v>
      </c>
    </row>
    <row r="5702" s="1" customFormat="1" spans="1:15">
      <c r="A5702" s="1" t="str">
        <f t="shared" si="3219"/>
        <v>202406</v>
      </c>
      <c r="B5702" s="1" t="str">
        <f t="shared" si="3220"/>
        <v>150525100</v>
      </c>
      <c r="C5702" s="1" t="str">
        <f>"1014624151"</f>
        <v>1014624151</v>
      </c>
      <c r="D5702" s="1" t="str">
        <f>"152326195111203079"</f>
        <v>152326195111203079</v>
      </c>
      <c r="E5702" s="1" t="s">
        <v>5604</v>
      </c>
      <c r="F5702" s="1" t="s">
        <v>25</v>
      </c>
      <c r="G5702" s="1" t="s">
        <v>17</v>
      </c>
      <c r="H5702" s="1" t="str">
        <f>"73"</f>
        <v>73</v>
      </c>
      <c r="I5702" s="1" t="str">
        <f t="shared" ref="I5702:I5706" si="3221">"160"</f>
        <v>160</v>
      </c>
      <c r="J5702" s="1" t="str">
        <f t="shared" si="3213"/>
        <v>0</v>
      </c>
      <c r="K5702" s="1" t="str">
        <f t="shared" si="3214"/>
        <v>103</v>
      </c>
      <c r="L5702" s="1" t="str">
        <f t="shared" si="3215"/>
        <v>47</v>
      </c>
      <c r="M5702" s="1" t="str">
        <f t="shared" si="3207"/>
        <v>0</v>
      </c>
      <c r="N5702" s="1" t="str">
        <f t="shared" si="3211"/>
        <v>0</v>
      </c>
      <c r="O5702" s="1" t="str">
        <f t="shared" si="3210"/>
        <v>0</v>
      </c>
    </row>
    <row r="5703" s="1" customFormat="1" spans="1:15">
      <c r="A5703" s="1" t="str">
        <f t="shared" si="3219"/>
        <v>202406</v>
      </c>
      <c r="B5703" s="1" t="str">
        <f t="shared" si="3220"/>
        <v>150525100</v>
      </c>
      <c r="C5703" s="1" t="str">
        <f>"1014619618"</f>
        <v>1014619618</v>
      </c>
      <c r="D5703" s="1" t="str">
        <f>"152326194505100422"</f>
        <v>152326194505100422</v>
      </c>
      <c r="E5703" s="1" t="s">
        <v>5605</v>
      </c>
      <c r="F5703" s="1" t="s">
        <v>16</v>
      </c>
      <c r="G5703" s="1" t="s">
        <v>17</v>
      </c>
      <c r="H5703" s="1" t="str">
        <f>"79"</f>
        <v>79</v>
      </c>
      <c r="I5703" s="1" t="str">
        <f t="shared" si="3221"/>
        <v>160</v>
      </c>
      <c r="J5703" s="1" t="str">
        <f t="shared" si="3213"/>
        <v>0</v>
      </c>
      <c r="K5703" s="1" t="str">
        <f t="shared" si="3214"/>
        <v>103</v>
      </c>
      <c r="L5703" s="1" t="str">
        <f t="shared" si="3215"/>
        <v>47</v>
      </c>
      <c r="M5703" s="1" t="str">
        <f t="shared" si="3207"/>
        <v>0</v>
      </c>
      <c r="N5703" s="1" t="str">
        <f t="shared" si="3211"/>
        <v>0</v>
      </c>
      <c r="O5703" s="1" t="str">
        <f t="shared" si="3210"/>
        <v>0</v>
      </c>
    </row>
    <row r="5704" s="1" customFormat="1" spans="1:15">
      <c r="A5704" s="1" t="str">
        <f t="shared" si="3219"/>
        <v>202406</v>
      </c>
      <c r="B5704" s="1" t="str">
        <f t="shared" si="3220"/>
        <v>150525100</v>
      </c>
      <c r="C5704" s="1" t="str">
        <f>"1014619625"</f>
        <v>1014619625</v>
      </c>
      <c r="D5704" s="1" t="str">
        <f>"152326194804270421"</f>
        <v>152326194804270421</v>
      </c>
      <c r="E5704" s="1" t="s">
        <v>5606</v>
      </c>
      <c r="F5704" s="1" t="s">
        <v>16</v>
      </c>
      <c r="G5704" s="1" t="s">
        <v>17</v>
      </c>
      <c r="H5704" s="1" t="str">
        <f>"76"</f>
        <v>76</v>
      </c>
      <c r="I5704" s="1" t="str">
        <f t="shared" si="3221"/>
        <v>160</v>
      </c>
      <c r="J5704" s="1" t="str">
        <f t="shared" si="3213"/>
        <v>0</v>
      </c>
      <c r="K5704" s="1" t="str">
        <f t="shared" si="3214"/>
        <v>103</v>
      </c>
      <c r="L5704" s="1" t="str">
        <f t="shared" si="3215"/>
        <v>47</v>
      </c>
      <c r="M5704" s="1" t="str">
        <f t="shared" si="3207"/>
        <v>0</v>
      </c>
      <c r="N5704" s="1" t="str">
        <f t="shared" si="3211"/>
        <v>0</v>
      </c>
      <c r="O5704" s="1" t="str">
        <f t="shared" si="3210"/>
        <v>0</v>
      </c>
    </row>
    <row r="5705" s="1" customFormat="1" spans="1:15">
      <c r="A5705" s="1" t="str">
        <f t="shared" si="3219"/>
        <v>202406</v>
      </c>
      <c r="B5705" s="1" t="str">
        <f t="shared" si="3220"/>
        <v>150525100</v>
      </c>
      <c r="C5705" s="1" t="str">
        <f>"1014619631"</f>
        <v>1014619631</v>
      </c>
      <c r="D5705" s="1" t="s">
        <v>5607</v>
      </c>
      <c r="E5705" s="1" t="s">
        <v>5608</v>
      </c>
      <c r="F5705" s="1" t="s">
        <v>16</v>
      </c>
      <c r="G5705" s="1" t="s">
        <v>17</v>
      </c>
      <c r="H5705" s="1" t="str">
        <f>"74"</f>
        <v>74</v>
      </c>
      <c r="I5705" s="1" t="str">
        <f t="shared" si="3221"/>
        <v>160</v>
      </c>
      <c r="J5705" s="1" t="str">
        <f t="shared" si="3213"/>
        <v>0</v>
      </c>
      <c r="K5705" s="1" t="str">
        <f t="shared" si="3214"/>
        <v>103</v>
      </c>
      <c r="L5705" s="1" t="str">
        <f t="shared" si="3215"/>
        <v>47</v>
      </c>
      <c r="M5705" s="1" t="str">
        <f t="shared" si="3207"/>
        <v>0</v>
      </c>
      <c r="N5705" s="1" t="str">
        <f t="shared" si="3211"/>
        <v>0</v>
      </c>
      <c r="O5705" s="1" t="str">
        <f t="shared" si="3210"/>
        <v>0</v>
      </c>
    </row>
    <row r="5706" s="1" customFormat="1" spans="1:15">
      <c r="A5706" s="1" t="str">
        <f t="shared" si="3219"/>
        <v>202406</v>
      </c>
      <c r="B5706" s="1" t="str">
        <f t="shared" si="3220"/>
        <v>150525100</v>
      </c>
      <c r="C5706" s="1" t="str">
        <f>"1014619633"</f>
        <v>1014619633</v>
      </c>
      <c r="D5706" s="1" t="str">
        <f>"132526194704283089"</f>
        <v>132526194704283089</v>
      </c>
      <c r="E5706" s="1" t="s">
        <v>5609</v>
      </c>
      <c r="F5706" s="1" t="s">
        <v>16</v>
      </c>
      <c r="G5706" s="1" t="s">
        <v>17</v>
      </c>
      <c r="H5706" s="1" t="str">
        <f>"77"</f>
        <v>77</v>
      </c>
      <c r="I5706" s="1" t="str">
        <f t="shared" si="3221"/>
        <v>160</v>
      </c>
      <c r="J5706" s="1" t="str">
        <f t="shared" si="3213"/>
        <v>0</v>
      </c>
      <c r="K5706" s="1" t="str">
        <f t="shared" si="3214"/>
        <v>103</v>
      </c>
      <c r="L5706" s="1" t="str">
        <f t="shared" si="3215"/>
        <v>47</v>
      </c>
      <c r="M5706" s="1" t="str">
        <f t="shared" si="3207"/>
        <v>0</v>
      </c>
      <c r="N5706" s="1" t="str">
        <f t="shared" si="3211"/>
        <v>0</v>
      </c>
      <c r="O5706" s="1" t="str">
        <f t="shared" si="3210"/>
        <v>0</v>
      </c>
    </row>
    <row r="5707" s="1" customFormat="1" spans="1:15">
      <c r="A5707" s="1" t="str">
        <f t="shared" si="3219"/>
        <v>202406</v>
      </c>
      <c r="B5707" s="1" t="str">
        <f t="shared" si="3220"/>
        <v>150525100</v>
      </c>
      <c r="C5707" s="1" t="str">
        <f>"1014622396"</f>
        <v>1014622396</v>
      </c>
      <c r="D5707" s="1" t="str">
        <f>"152326194108086129"</f>
        <v>152326194108086129</v>
      </c>
      <c r="E5707" s="1" t="s">
        <v>5610</v>
      </c>
      <c r="F5707" s="1" t="s">
        <v>16</v>
      </c>
      <c r="G5707" s="1" t="s">
        <v>96</v>
      </c>
      <c r="H5707" s="1" t="str">
        <f>"83"</f>
        <v>83</v>
      </c>
      <c r="I5707" s="1" t="str">
        <f>"170"</f>
        <v>170</v>
      </c>
      <c r="J5707" s="1" t="str">
        <f t="shared" si="3213"/>
        <v>0</v>
      </c>
      <c r="K5707" s="1" t="str">
        <f t="shared" si="3214"/>
        <v>103</v>
      </c>
      <c r="L5707" s="1" t="str">
        <f t="shared" si="3215"/>
        <v>47</v>
      </c>
      <c r="M5707" s="1" t="str">
        <f t="shared" si="3207"/>
        <v>0</v>
      </c>
      <c r="N5707" s="1" t="str">
        <f t="shared" si="3211"/>
        <v>0</v>
      </c>
      <c r="O5707" s="1" t="str">
        <f t="shared" si="3210"/>
        <v>0</v>
      </c>
    </row>
    <row r="5708" s="1" customFormat="1" spans="1:15">
      <c r="A5708" s="1" t="str">
        <f t="shared" si="3219"/>
        <v>202406</v>
      </c>
      <c r="B5708" s="1" t="str">
        <f t="shared" si="3220"/>
        <v>150525100</v>
      </c>
      <c r="C5708" s="1" t="str">
        <f>"1014622405"</f>
        <v>1014622405</v>
      </c>
      <c r="D5708" s="1" t="str">
        <f>"152326194810230661"</f>
        <v>152326194810230661</v>
      </c>
      <c r="E5708" s="1" t="s">
        <v>5611</v>
      </c>
      <c r="F5708" s="1" t="s">
        <v>16</v>
      </c>
      <c r="G5708" s="1" t="s">
        <v>19</v>
      </c>
      <c r="H5708" s="1" t="str">
        <f>"76"</f>
        <v>76</v>
      </c>
      <c r="I5708" s="1" t="str">
        <f t="shared" ref="I5708:I5710" si="3222">"160"</f>
        <v>160</v>
      </c>
      <c r="J5708" s="1" t="str">
        <f t="shared" si="3213"/>
        <v>0</v>
      </c>
      <c r="K5708" s="1" t="str">
        <f t="shared" si="3214"/>
        <v>103</v>
      </c>
      <c r="L5708" s="1" t="str">
        <f t="shared" si="3215"/>
        <v>47</v>
      </c>
      <c r="M5708" s="1" t="str">
        <f t="shared" si="3207"/>
        <v>0</v>
      </c>
      <c r="N5708" s="1" t="str">
        <f t="shared" si="3211"/>
        <v>0</v>
      </c>
      <c r="O5708" s="1" t="str">
        <f t="shared" si="3210"/>
        <v>0</v>
      </c>
    </row>
    <row r="5709" s="1" customFormat="1" spans="1:15">
      <c r="A5709" s="1" t="str">
        <f t="shared" si="3219"/>
        <v>202406</v>
      </c>
      <c r="B5709" s="1" t="str">
        <f t="shared" si="3220"/>
        <v>150525100</v>
      </c>
      <c r="C5709" s="1" t="str">
        <f>"1014624163"</f>
        <v>1014624163</v>
      </c>
      <c r="D5709" s="1" t="str">
        <f>"152326194604053086"</f>
        <v>152326194604053086</v>
      </c>
      <c r="E5709" s="1" t="s">
        <v>5612</v>
      </c>
      <c r="F5709" s="1" t="s">
        <v>16</v>
      </c>
      <c r="G5709" s="1" t="s">
        <v>17</v>
      </c>
      <c r="H5709" s="1" t="str">
        <f>"78"</f>
        <v>78</v>
      </c>
      <c r="I5709" s="1" t="str">
        <f t="shared" si="3222"/>
        <v>160</v>
      </c>
      <c r="J5709" s="1" t="str">
        <f t="shared" si="3213"/>
        <v>0</v>
      </c>
      <c r="K5709" s="1" t="str">
        <f t="shared" si="3214"/>
        <v>103</v>
      </c>
      <c r="L5709" s="1" t="str">
        <f t="shared" si="3215"/>
        <v>47</v>
      </c>
      <c r="M5709" s="1" t="str">
        <f t="shared" si="3207"/>
        <v>0</v>
      </c>
      <c r="N5709" s="1" t="str">
        <f t="shared" si="3211"/>
        <v>0</v>
      </c>
      <c r="O5709" s="1" t="str">
        <f t="shared" si="3210"/>
        <v>0</v>
      </c>
    </row>
    <row r="5710" s="1" customFormat="1" spans="1:15">
      <c r="A5710" s="1" t="str">
        <f t="shared" si="3219"/>
        <v>202406</v>
      </c>
      <c r="B5710" s="1" t="str">
        <f t="shared" si="3220"/>
        <v>150525100</v>
      </c>
      <c r="C5710" s="1" t="str">
        <f>"1014622843"</f>
        <v>1014622843</v>
      </c>
      <c r="D5710" s="1" t="str">
        <f>"152326194701160414"</f>
        <v>152326194701160414</v>
      </c>
      <c r="E5710" s="1" t="s">
        <v>5613</v>
      </c>
      <c r="F5710" s="1" t="s">
        <v>25</v>
      </c>
      <c r="G5710" s="1" t="s">
        <v>17</v>
      </c>
      <c r="H5710" s="1" t="str">
        <f>"77"</f>
        <v>77</v>
      </c>
      <c r="I5710" s="1" t="str">
        <f t="shared" si="3222"/>
        <v>160</v>
      </c>
      <c r="J5710" s="1" t="str">
        <f t="shared" si="3213"/>
        <v>0</v>
      </c>
      <c r="K5710" s="1" t="str">
        <f t="shared" si="3214"/>
        <v>103</v>
      </c>
      <c r="L5710" s="1" t="str">
        <f t="shared" si="3215"/>
        <v>47</v>
      </c>
      <c r="M5710" s="1" t="str">
        <f t="shared" si="3207"/>
        <v>0</v>
      </c>
      <c r="N5710" s="1" t="str">
        <f t="shared" si="3211"/>
        <v>0</v>
      </c>
      <c r="O5710" s="1" t="str">
        <f t="shared" si="3210"/>
        <v>0</v>
      </c>
    </row>
    <row r="5711" s="1" customFormat="1" spans="1:15">
      <c r="A5711" s="1" t="str">
        <f t="shared" si="3219"/>
        <v>202406</v>
      </c>
      <c r="B5711" s="1" t="str">
        <f t="shared" si="3220"/>
        <v>150525100</v>
      </c>
      <c r="C5711" s="1" t="str">
        <f>"1014623169"</f>
        <v>1014623169</v>
      </c>
      <c r="D5711" s="1" t="str">
        <f>"152326194203110414"</f>
        <v>152326194203110414</v>
      </c>
      <c r="E5711" s="1" t="s">
        <v>5614</v>
      </c>
      <c r="F5711" s="1" t="s">
        <v>25</v>
      </c>
      <c r="G5711" s="1" t="s">
        <v>17</v>
      </c>
      <c r="H5711" s="1" t="str">
        <f>"82"</f>
        <v>82</v>
      </c>
      <c r="I5711" s="1" t="str">
        <f>"170"</f>
        <v>170</v>
      </c>
      <c r="J5711" s="1" t="str">
        <f t="shared" si="3213"/>
        <v>0</v>
      </c>
      <c r="K5711" s="1" t="str">
        <f t="shared" si="3214"/>
        <v>103</v>
      </c>
      <c r="L5711" s="1" t="str">
        <f t="shared" si="3215"/>
        <v>47</v>
      </c>
      <c r="M5711" s="1" t="str">
        <f t="shared" si="3207"/>
        <v>0</v>
      </c>
      <c r="N5711" s="1" t="str">
        <f t="shared" si="3211"/>
        <v>0</v>
      </c>
      <c r="O5711" s="1" t="str">
        <f t="shared" si="3210"/>
        <v>0</v>
      </c>
    </row>
    <row r="5712" s="1" customFormat="1" spans="1:15">
      <c r="A5712" s="1" t="str">
        <f t="shared" si="3219"/>
        <v>202406</v>
      </c>
      <c r="B5712" s="1" t="str">
        <f t="shared" si="3220"/>
        <v>150525100</v>
      </c>
      <c r="C5712" s="1" t="str">
        <f>"1014623192"</f>
        <v>1014623192</v>
      </c>
      <c r="D5712" s="1" t="str">
        <f>"152326195106083076"</f>
        <v>152326195106083076</v>
      </c>
      <c r="E5712" s="1" t="s">
        <v>82</v>
      </c>
      <c r="F5712" s="1" t="s">
        <v>25</v>
      </c>
      <c r="G5712" s="1" t="s">
        <v>17</v>
      </c>
      <c r="H5712" s="1" t="str">
        <f>"73"</f>
        <v>73</v>
      </c>
      <c r="I5712" s="1" t="str">
        <f t="shared" ref="I5712:I5718" si="3223">"160"</f>
        <v>160</v>
      </c>
      <c r="J5712" s="1" t="str">
        <f t="shared" si="3213"/>
        <v>0</v>
      </c>
      <c r="K5712" s="1" t="str">
        <f t="shared" si="3214"/>
        <v>103</v>
      </c>
      <c r="L5712" s="1" t="str">
        <f t="shared" si="3215"/>
        <v>47</v>
      </c>
      <c r="M5712" s="1" t="str">
        <f t="shared" si="3207"/>
        <v>0</v>
      </c>
      <c r="N5712" s="1" t="str">
        <f t="shared" si="3211"/>
        <v>0</v>
      </c>
      <c r="O5712" s="1" t="str">
        <f t="shared" si="3210"/>
        <v>0</v>
      </c>
    </row>
    <row r="5713" s="1" customFormat="1" spans="1:15">
      <c r="A5713" s="1" t="str">
        <f t="shared" si="3219"/>
        <v>202406</v>
      </c>
      <c r="B5713" s="1" t="str">
        <f t="shared" si="3220"/>
        <v>150525100</v>
      </c>
      <c r="C5713" s="1" t="str">
        <f>"1014589250"</f>
        <v>1014589250</v>
      </c>
      <c r="D5713" s="1" t="str">
        <f>"152326195205190440"</f>
        <v>152326195205190440</v>
      </c>
      <c r="E5713" s="1" t="s">
        <v>5615</v>
      </c>
      <c r="F5713" s="1" t="s">
        <v>16</v>
      </c>
      <c r="G5713" s="1" t="s">
        <v>17</v>
      </c>
      <c r="H5713" s="1" t="str">
        <f>"72"</f>
        <v>72</v>
      </c>
      <c r="I5713" s="1" t="str">
        <f>"162.15"</f>
        <v>162.15</v>
      </c>
      <c r="J5713" s="1" t="str">
        <f t="shared" si="3213"/>
        <v>0</v>
      </c>
      <c r="K5713" s="1" t="str">
        <f t="shared" si="3214"/>
        <v>103</v>
      </c>
      <c r="L5713" s="1" t="str">
        <f t="shared" si="3215"/>
        <v>47</v>
      </c>
      <c r="M5713" s="1" t="str">
        <f t="shared" si="3207"/>
        <v>0</v>
      </c>
      <c r="N5713" s="1" t="str">
        <f t="shared" si="3211"/>
        <v>0</v>
      </c>
      <c r="O5713" s="1" t="str">
        <f>"2.15"</f>
        <v>2.15</v>
      </c>
    </row>
    <row r="5714" s="1" customFormat="1" spans="1:15">
      <c r="A5714" s="1" t="str">
        <f t="shared" si="3219"/>
        <v>202406</v>
      </c>
      <c r="B5714" s="1" t="str">
        <f t="shared" si="3220"/>
        <v>150525100</v>
      </c>
      <c r="C5714" s="1" t="str">
        <f>"1014589254"</f>
        <v>1014589254</v>
      </c>
      <c r="D5714" s="1" t="str">
        <f>"152326196307100412"</f>
        <v>152326196307100412</v>
      </c>
      <c r="E5714" s="1" t="s">
        <v>5616</v>
      </c>
      <c r="F5714" s="1" t="s">
        <v>25</v>
      </c>
      <c r="G5714" s="1" t="s">
        <v>17</v>
      </c>
      <c r="H5714" s="1" t="str">
        <f>"61"</f>
        <v>61</v>
      </c>
      <c r="I5714" s="1" t="str">
        <f>"165.04"</f>
        <v>165.04</v>
      </c>
      <c r="J5714" s="1" t="str">
        <f t="shared" si="3213"/>
        <v>0</v>
      </c>
      <c r="K5714" s="1" t="str">
        <f t="shared" si="3214"/>
        <v>103</v>
      </c>
      <c r="L5714" s="1" t="str">
        <f t="shared" si="3215"/>
        <v>47</v>
      </c>
      <c r="M5714" s="1" t="str">
        <f t="shared" si="3207"/>
        <v>0</v>
      </c>
      <c r="N5714" s="1" t="str">
        <f t="shared" si="3211"/>
        <v>0</v>
      </c>
      <c r="O5714" s="1" t="str">
        <f>"15.04"</f>
        <v>15.04</v>
      </c>
    </row>
    <row r="5715" s="1" customFormat="1" spans="1:15">
      <c r="A5715" s="1" t="str">
        <f t="shared" si="3219"/>
        <v>202406</v>
      </c>
      <c r="B5715" s="1" t="str">
        <f t="shared" si="3220"/>
        <v>150525100</v>
      </c>
      <c r="C5715" s="1" t="str">
        <f>"1014622036"</f>
        <v>1014622036</v>
      </c>
      <c r="D5715" s="1" t="str">
        <f>"152326194908106124"</f>
        <v>152326194908106124</v>
      </c>
      <c r="E5715" s="1" t="s">
        <v>812</v>
      </c>
      <c r="F5715" s="1" t="s">
        <v>16</v>
      </c>
      <c r="G5715" s="1" t="s">
        <v>17</v>
      </c>
      <c r="H5715" s="1" t="str">
        <f>"75"</f>
        <v>75</v>
      </c>
      <c r="I5715" s="1" t="str">
        <f t="shared" si="3223"/>
        <v>160</v>
      </c>
      <c r="J5715" s="1" t="str">
        <f t="shared" si="3213"/>
        <v>0</v>
      </c>
      <c r="K5715" s="1" t="str">
        <f t="shared" si="3214"/>
        <v>103</v>
      </c>
      <c r="L5715" s="1" t="str">
        <f t="shared" si="3215"/>
        <v>47</v>
      </c>
      <c r="M5715" s="1" t="str">
        <f t="shared" si="3207"/>
        <v>0</v>
      </c>
      <c r="N5715" s="1" t="str">
        <f t="shared" si="3211"/>
        <v>0</v>
      </c>
      <c r="O5715" s="1" t="str">
        <f t="shared" ref="O5715:O5727" si="3224">"0"</f>
        <v>0</v>
      </c>
    </row>
    <row r="5716" s="1" customFormat="1" spans="1:15">
      <c r="A5716" s="1" t="str">
        <f t="shared" si="3219"/>
        <v>202406</v>
      </c>
      <c r="B5716" s="1" t="str">
        <f t="shared" si="3220"/>
        <v>150525100</v>
      </c>
      <c r="C5716" s="1" t="str">
        <f>"1014622059"</f>
        <v>1014622059</v>
      </c>
      <c r="D5716" s="1" t="str">
        <f>"152326193501040421"</f>
        <v>152326193501040421</v>
      </c>
      <c r="E5716" s="1" t="s">
        <v>116</v>
      </c>
      <c r="F5716" s="1" t="s">
        <v>16</v>
      </c>
      <c r="G5716" s="1" t="s">
        <v>17</v>
      </c>
      <c r="H5716" s="1" t="str">
        <f>"90"</f>
        <v>90</v>
      </c>
      <c r="I5716" s="1" t="str">
        <f>"2925"</f>
        <v>2925</v>
      </c>
      <c r="J5716" s="1" t="str">
        <f>"2035"</f>
        <v>2035</v>
      </c>
      <c r="K5716" s="1" t="str">
        <f>"2081"</f>
        <v>2081</v>
      </c>
      <c r="L5716" s="1" t="str">
        <f>"564"</f>
        <v>564</v>
      </c>
      <c r="M5716" s="1" t="str">
        <f t="shared" si="3207"/>
        <v>0</v>
      </c>
      <c r="N5716" s="1" t="str">
        <f t="shared" si="3211"/>
        <v>0</v>
      </c>
      <c r="O5716" s="1" t="str">
        <f t="shared" si="3224"/>
        <v>0</v>
      </c>
    </row>
    <row r="5717" s="1" customFormat="1" spans="1:15">
      <c r="A5717" s="1" t="str">
        <f t="shared" si="3219"/>
        <v>202406</v>
      </c>
      <c r="B5717" s="1" t="str">
        <f t="shared" si="3220"/>
        <v>150525100</v>
      </c>
      <c r="C5717" s="1" t="str">
        <f>"1014624225"</f>
        <v>1014624225</v>
      </c>
      <c r="D5717" s="1" t="str">
        <f>"152326195011300664"</f>
        <v>152326195011300664</v>
      </c>
      <c r="E5717" s="1" t="s">
        <v>5617</v>
      </c>
      <c r="F5717" s="1" t="s">
        <v>16</v>
      </c>
      <c r="G5717" s="1" t="s">
        <v>17</v>
      </c>
      <c r="H5717" s="1" t="str">
        <f>"74"</f>
        <v>74</v>
      </c>
      <c r="I5717" s="1" t="str">
        <f t="shared" si="3223"/>
        <v>160</v>
      </c>
      <c r="J5717" s="1" t="str">
        <f t="shared" ref="J5717:J5727" si="3225">"0"</f>
        <v>0</v>
      </c>
      <c r="K5717" s="1" t="str">
        <f t="shared" ref="K5717:K5727" si="3226">"103"</f>
        <v>103</v>
      </c>
      <c r="L5717" s="1" t="str">
        <f t="shared" ref="L5717:L5727" si="3227">"47"</f>
        <v>47</v>
      </c>
      <c r="M5717" s="1" t="str">
        <f t="shared" si="3207"/>
        <v>0</v>
      </c>
      <c r="N5717" s="1" t="str">
        <f t="shared" si="3211"/>
        <v>0</v>
      </c>
      <c r="O5717" s="1" t="str">
        <f t="shared" si="3224"/>
        <v>0</v>
      </c>
    </row>
    <row r="5718" s="1" customFormat="1" spans="1:15">
      <c r="A5718" s="1" t="str">
        <f t="shared" si="3219"/>
        <v>202406</v>
      </c>
      <c r="B5718" s="1" t="str">
        <f t="shared" si="3220"/>
        <v>150525100</v>
      </c>
      <c r="C5718" s="1" t="str">
        <f>"1014619221"</f>
        <v>1014619221</v>
      </c>
      <c r="D5718" s="1" t="str">
        <f>"152326195009250688"</f>
        <v>152326195009250688</v>
      </c>
      <c r="E5718" s="1" t="s">
        <v>5618</v>
      </c>
      <c r="F5718" s="1" t="s">
        <v>16</v>
      </c>
      <c r="G5718" s="1" t="s">
        <v>17</v>
      </c>
      <c r="H5718" s="1" t="str">
        <f>"74"</f>
        <v>74</v>
      </c>
      <c r="I5718" s="1" t="str">
        <f t="shared" si="3223"/>
        <v>160</v>
      </c>
      <c r="J5718" s="1" t="str">
        <f t="shared" si="3225"/>
        <v>0</v>
      </c>
      <c r="K5718" s="1" t="str">
        <f t="shared" si="3226"/>
        <v>103</v>
      </c>
      <c r="L5718" s="1" t="str">
        <f t="shared" si="3227"/>
        <v>47</v>
      </c>
      <c r="M5718" s="1" t="str">
        <f t="shared" si="3207"/>
        <v>0</v>
      </c>
      <c r="N5718" s="1" t="str">
        <f t="shared" si="3211"/>
        <v>0</v>
      </c>
      <c r="O5718" s="1" t="str">
        <f t="shared" si="3224"/>
        <v>0</v>
      </c>
    </row>
    <row r="5719" s="1" customFormat="1" spans="1:15">
      <c r="A5719" s="1" t="str">
        <f t="shared" si="3219"/>
        <v>202406</v>
      </c>
      <c r="B5719" s="1" t="str">
        <f t="shared" si="3220"/>
        <v>150525100</v>
      </c>
      <c r="C5719" s="1" t="str">
        <f>"1014619228"</f>
        <v>1014619228</v>
      </c>
      <c r="D5719" s="1" t="str">
        <f>"152326194008133821"</f>
        <v>152326194008133821</v>
      </c>
      <c r="E5719" s="1" t="s">
        <v>1613</v>
      </c>
      <c r="F5719" s="1" t="s">
        <v>16</v>
      </c>
      <c r="G5719" s="1" t="s">
        <v>17</v>
      </c>
      <c r="H5719" s="1" t="str">
        <f>"84"</f>
        <v>84</v>
      </c>
      <c r="I5719" s="1" t="str">
        <f>"170"</f>
        <v>170</v>
      </c>
      <c r="J5719" s="1" t="str">
        <f t="shared" si="3225"/>
        <v>0</v>
      </c>
      <c r="K5719" s="1" t="str">
        <f t="shared" si="3226"/>
        <v>103</v>
      </c>
      <c r="L5719" s="1" t="str">
        <f t="shared" si="3227"/>
        <v>47</v>
      </c>
      <c r="M5719" s="1" t="str">
        <f t="shared" si="3207"/>
        <v>0</v>
      </c>
      <c r="N5719" s="1" t="str">
        <f t="shared" si="3211"/>
        <v>0</v>
      </c>
      <c r="O5719" s="1" t="str">
        <f t="shared" si="3224"/>
        <v>0</v>
      </c>
    </row>
    <row r="5720" s="1" customFormat="1" spans="1:15">
      <c r="A5720" s="1" t="str">
        <f t="shared" si="3219"/>
        <v>202406</v>
      </c>
      <c r="B5720" s="1" t="str">
        <f t="shared" si="3220"/>
        <v>150525100</v>
      </c>
      <c r="C5720" s="1" t="str">
        <f>"1014613525"</f>
        <v>1014613525</v>
      </c>
      <c r="D5720" s="1" t="str">
        <f>"152326194712073826"</f>
        <v>152326194712073826</v>
      </c>
      <c r="E5720" s="1" t="s">
        <v>5619</v>
      </c>
      <c r="F5720" s="1" t="s">
        <v>16</v>
      </c>
      <c r="G5720" s="1" t="s">
        <v>19</v>
      </c>
      <c r="H5720" s="1" t="str">
        <f>"77"</f>
        <v>77</v>
      </c>
      <c r="I5720" s="1" t="str">
        <f t="shared" ref="I5720:I5723" si="3228">"160"</f>
        <v>160</v>
      </c>
      <c r="J5720" s="1" t="str">
        <f t="shared" si="3225"/>
        <v>0</v>
      </c>
      <c r="K5720" s="1" t="str">
        <f t="shared" si="3226"/>
        <v>103</v>
      </c>
      <c r="L5720" s="1" t="str">
        <f t="shared" si="3227"/>
        <v>47</v>
      </c>
      <c r="M5720" s="1" t="str">
        <f t="shared" si="3207"/>
        <v>0</v>
      </c>
      <c r="N5720" s="1" t="str">
        <f t="shared" si="3211"/>
        <v>0</v>
      </c>
      <c r="O5720" s="1" t="str">
        <f t="shared" si="3224"/>
        <v>0</v>
      </c>
    </row>
    <row r="5721" s="1" customFormat="1" spans="1:15">
      <c r="A5721" s="1" t="str">
        <f t="shared" si="3219"/>
        <v>202406</v>
      </c>
      <c r="B5721" s="1" t="str">
        <f t="shared" si="3220"/>
        <v>150525100</v>
      </c>
      <c r="C5721" s="1" t="str">
        <f>"1014613530"</f>
        <v>1014613530</v>
      </c>
      <c r="D5721" s="1" t="str">
        <f>"152326194908063822"</f>
        <v>152326194908063822</v>
      </c>
      <c r="E5721" s="1" t="s">
        <v>5620</v>
      </c>
      <c r="F5721" s="1" t="s">
        <v>16</v>
      </c>
      <c r="G5721" s="1" t="s">
        <v>19</v>
      </c>
      <c r="H5721" s="1" t="str">
        <f>"75"</f>
        <v>75</v>
      </c>
      <c r="I5721" s="1" t="str">
        <f t="shared" si="3228"/>
        <v>160</v>
      </c>
      <c r="J5721" s="1" t="str">
        <f t="shared" si="3225"/>
        <v>0</v>
      </c>
      <c r="K5721" s="1" t="str">
        <f t="shared" si="3226"/>
        <v>103</v>
      </c>
      <c r="L5721" s="1" t="str">
        <f t="shared" si="3227"/>
        <v>47</v>
      </c>
      <c r="M5721" s="1" t="str">
        <f t="shared" si="3207"/>
        <v>0</v>
      </c>
      <c r="N5721" s="1" t="str">
        <f t="shared" si="3211"/>
        <v>0</v>
      </c>
      <c r="O5721" s="1" t="str">
        <f t="shared" si="3224"/>
        <v>0</v>
      </c>
    </row>
    <row r="5722" s="1" customFormat="1" spans="1:15">
      <c r="A5722" s="1" t="str">
        <f t="shared" si="3219"/>
        <v>202406</v>
      </c>
      <c r="B5722" s="1" t="str">
        <f t="shared" si="3220"/>
        <v>150525100</v>
      </c>
      <c r="C5722" s="1" t="str">
        <f>"1014613537"</f>
        <v>1014613537</v>
      </c>
      <c r="D5722" s="1" t="str">
        <f>"152326194506073825"</f>
        <v>152326194506073825</v>
      </c>
      <c r="E5722" s="1" t="s">
        <v>5621</v>
      </c>
      <c r="F5722" s="1" t="s">
        <v>16</v>
      </c>
      <c r="G5722" s="1" t="s">
        <v>19</v>
      </c>
      <c r="H5722" s="1" t="str">
        <f>"79"</f>
        <v>79</v>
      </c>
      <c r="I5722" s="1" t="str">
        <f t="shared" si="3228"/>
        <v>160</v>
      </c>
      <c r="J5722" s="1" t="str">
        <f t="shared" si="3225"/>
        <v>0</v>
      </c>
      <c r="K5722" s="1" t="str">
        <f t="shared" si="3226"/>
        <v>103</v>
      </c>
      <c r="L5722" s="1" t="str">
        <f t="shared" si="3227"/>
        <v>47</v>
      </c>
      <c r="M5722" s="1" t="str">
        <f t="shared" si="3207"/>
        <v>0</v>
      </c>
      <c r="N5722" s="1" t="str">
        <f t="shared" si="3211"/>
        <v>0</v>
      </c>
      <c r="O5722" s="1" t="str">
        <f t="shared" si="3224"/>
        <v>0</v>
      </c>
    </row>
    <row r="5723" s="1" customFormat="1" spans="1:15">
      <c r="A5723" s="1" t="str">
        <f t="shared" si="3219"/>
        <v>202406</v>
      </c>
      <c r="B5723" s="1" t="str">
        <f t="shared" si="3220"/>
        <v>150525100</v>
      </c>
      <c r="C5723" s="1" t="str">
        <f>"1014623853"</f>
        <v>1014623853</v>
      </c>
      <c r="D5723" s="1" t="str">
        <f>"152326194908240673"</f>
        <v>152326194908240673</v>
      </c>
      <c r="E5723" s="1" t="s">
        <v>5622</v>
      </c>
      <c r="F5723" s="1" t="s">
        <v>25</v>
      </c>
      <c r="G5723" s="1" t="s">
        <v>17</v>
      </c>
      <c r="H5723" s="1" t="str">
        <f>"75"</f>
        <v>75</v>
      </c>
      <c r="I5723" s="1" t="str">
        <f t="shared" si="3228"/>
        <v>160</v>
      </c>
      <c r="J5723" s="1" t="str">
        <f t="shared" si="3225"/>
        <v>0</v>
      </c>
      <c r="K5723" s="1" t="str">
        <f t="shared" si="3226"/>
        <v>103</v>
      </c>
      <c r="L5723" s="1" t="str">
        <f t="shared" si="3227"/>
        <v>47</v>
      </c>
      <c r="M5723" s="1" t="str">
        <f t="shared" si="3207"/>
        <v>0</v>
      </c>
      <c r="N5723" s="1" t="str">
        <f t="shared" si="3211"/>
        <v>0</v>
      </c>
      <c r="O5723" s="1" t="str">
        <f t="shared" si="3224"/>
        <v>0</v>
      </c>
    </row>
    <row r="5724" s="1" customFormat="1" spans="1:15">
      <c r="A5724" s="1" t="str">
        <f t="shared" si="3219"/>
        <v>202406</v>
      </c>
      <c r="B5724" s="1" t="str">
        <f t="shared" si="3220"/>
        <v>150525100</v>
      </c>
      <c r="C5724" s="1" t="str">
        <f>"1014623856"</f>
        <v>1014623856</v>
      </c>
      <c r="D5724" s="1" t="s">
        <v>5623</v>
      </c>
      <c r="E5724" s="1" t="s">
        <v>5624</v>
      </c>
      <c r="F5724" s="1" t="s">
        <v>25</v>
      </c>
      <c r="G5724" s="1" t="s">
        <v>17</v>
      </c>
      <c r="H5724" s="1" t="str">
        <f>"84"</f>
        <v>84</v>
      </c>
      <c r="I5724" s="1" t="str">
        <f t="shared" ref="I5724:I5727" si="3229">"170"</f>
        <v>170</v>
      </c>
      <c r="J5724" s="1" t="str">
        <f t="shared" si="3225"/>
        <v>0</v>
      </c>
      <c r="K5724" s="1" t="str">
        <f t="shared" si="3226"/>
        <v>103</v>
      </c>
      <c r="L5724" s="1" t="str">
        <f t="shared" si="3227"/>
        <v>47</v>
      </c>
      <c r="M5724" s="1" t="str">
        <f t="shared" si="3207"/>
        <v>0</v>
      </c>
      <c r="N5724" s="1" t="str">
        <f t="shared" si="3211"/>
        <v>0</v>
      </c>
      <c r="O5724" s="1" t="str">
        <f t="shared" si="3224"/>
        <v>0</v>
      </c>
    </row>
    <row r="5725" s="1" customFormat="1" spans="1:15">
      <c r="A5725" s="1" t="str">
        <f t="shared" si="3219"/>
        <v>202406</v>
      </c>
      <c r="B5725" s="1" t="str">
        <f t="shared" si="3220"/>
        <v>150525100</v>
      </c>
      <c r="C5725" s="1" t="str">
        <f>"1014619311"</f>
        <v>1014619311</v>
      </c>
      <c r="D5725" s="1" t="str">
        <f>"152326194209060665"</f>
        <v>152326194209060665</v>
      </c>
      <c r="E5725" s="1" t="s">
        <v>5625</v>
      </c>
      <c r="F5725" s="1" t="s">
        <v>16</v>
      </c>
      <c r="G5725" s="1" t="s">
        <v>19</v>
      </c>
      <c r="H5725" s="1" t="str">
        <f>"82"</f>
        <v>82</v>
      </c>
      <c r="I5725" s="1" t="str">
        <f t="shared" si="3229"/>
        <v>170</v>
      </c>
      <c r="J5725" s="1" t="str">
        <f t="shared" si="3225"/>
        <v>0</v>
      </c>
      <c r="K5725" s="1" t="str">
        <f t="shared" si="3226"/>
        <v>103</v>
      </c>
      <c r="L5725" s="1" t="str">
        <f t="shared" si="3227"/>
        <v>47</v>
      </c>
      <c r="M5725" s="1" t="str">
        <f t="shared" si="3207"/>
        <v>0</v>
      </c>
      <c r="N5725" s="1" t="str">
        <f t="shared" si="3211"/>
        <v>0</v>
      </c>
      <c r="O5725" s="1" t="str">
        <f t="shared" si="3224"/>
        <v>0</v>
      </c>
    </row>
    <row r="5726" s="1" customFormat="1" spans="1:15">
      <c r="A5726" s="1" t="str">
        <f t="shared" si="3219"/>
        <v>202406</v>
      </c>
      <c r="B5726" s="1" t="str">
        <f t="shared" si="3220"/>
        <v>150525100</v>
      </c>
      <c r="C5726" s="1" t="str">
        <f>"1014619319"</f>
        <v>1014619319</v>
      </c>
      <c r="D5726" s="1" t="str">
        <f>"152326194709160662"</f>
        <v>152326194709160662</v>
      </c>
      <c r="E5726" s="1" t="s">
        <v>5626</v>
      </c>
      <c r="F5726" s="1" t="s">
        <v>16</v>
      </c>
      <c r="G5726" s="1" t="s">
        <v>19</v>
      </c>
      <c r="H5726" s="1" t="str">
        <f>"77"</f>
        <v>77</v>
      </c>
      <c r="I5726" s="1" t="str">
        <f>"160"</f>
        <v>160</v>
      </c>
      <c r="J5726" s="1" t="str">
        <f t="shared" si="3225"/>
        <v>0</v>
      </c>
      <c r="K5726" s="1" t="str">
        <f t="shared" si="3226"/>
        <v>103</v>
      </c>
      <c r="L5726" s="1" t="str">
        <f t="shared" si="3227"/>
        <v>47</v>
      </c>
      <c r="M5726" s="1" t="str">
        <f t="shared" si="3207"/>
        <v>0</v>
      </c>
      <c r="N5726" s="1" t="str">
        <f t="shared" si="3211"/>
        <v>0</v>
      </c>
      <c r="O5726" s="1" t="str">
        <f t="shared" si="3224"/>
        <v>0</v>
      </c>
    </row>
    <row r="5727" s="1" customFormat="1" spans="1:15">
      <c r="A5727" s="1" t="str">
        <f t="shared" si="3219"/>
        <v>202406</v>
      </c>
      <c r="B5727" s="1" t="str">
        <f t="shared" si="3220"/>
        <v>150525100</v>
      </c>
      <c r="C5727" s="1" t="str">
        <f>"1014619851"</f>
        <v>1014619851</v>
      </c>
      <c r="D5727" s="1" t="str">
        <f>"152326193909140661"</f>
        <v>152326193909140661</v>
      </c>
      <c r="E5727" s="1" t="s">
        <v>805</v>
      </c>
      <c r="F5727" s="1" t="s">
        <v>16</v>
      </c>
      <c r="G5727" s="1" t="s">
        <v>17</v>
      </c>
      <c r="H5727" s="1" t="str">
        <f>"85"</f>
        <v>85</v>
      </c>
      <c r="I5727" s="1" t="str">
        <f t="shared" si="3229"/>
        <v>170</v>
      </c>
      <c r="J5727" s="1" t="str">
        <f t="shared" si="3225"/>
        <v>0</v>
      </c>
      <c r="K5727" s="1" t="str">
        <f t="shared" si="3226"/>
        <v>103</v>
      </c>
      <c r="L5727" s="1" t="str">
        <f t="shared" si="3227"/>
        <v>47</v>
      </c>
      <c r="M5727" s="1" t="str">
        <f t="shared" si="3207"/>
        <v>0</v>
      </c>
      <c r="N5727" s="1" t="str">
        <f t="shared" si="3211"/>
        <v>0</v>
      </c>
      <c r="O5727" s="1" t="str">
        <f t="shared" si="3224"/>
        <v>0</v>
      </c>
    </row>
    <row r="5728" s="1" customFormat="1" spans="1:15">
      <c r="A5728" s="1" t="str">
        <f t="shared" si="3219"/>
        <v>202406</v>
      </c>
      <c r="B5728" s="1" t="str">
        <f t="shared" si="3220"/>
        <v>150525100</v>
      </c>
      <c r="C5728" s="1" t="str">
        <f>"1042696929"</f>
        <v>1042696929</v>
      </c>
      <c r="D5728" s="1" t="str">
        <f>"152326196209130431"</f>
        <v>152326196209130431</v>
      </c>
      <c r="E5728" s="1" t="s">
        <v>5627</v>
      </c>
      <c r="F5728" s="1" t="s">
        <v>25</v>
      </c>
      <c r="G5728" s="1" t="s">
        <v>17</v>
      </c>
      <c r="H5728" s="1" t="str">
        <f>"62"</f>
        <v>62</v>
      </c>
      <c r="I5728" s="1" t="str">
        <f>"664.64"</f>
        <v>664.64</v>
      </c>
      <c r="J5728" s="1" t="str">
        <f>"498.48"</f>
        <v>498.48</v>
      </c>
      <c r="K5728" s="1" t="str">
        <f>"412"</f>
        <v>412</v>
      </c>
      <c r="L5728" s="1" t="str">
        <f>"188"</f>
        <v>188</v>
      </c>
      <c r="M5728" s="1" t="str">
        <f>"0"</f>
        <v>0</v>
      </c>
      <c r="N5728" s="1" t="str">
        <f t="shared" si="3211"/>
        <v>0</v>
      </c>
      <c r="O5728" s="1" t="str">
        <f>"64.64"</f>
        <v>64.64</v>
      </c>
    </row>
    <row r="5729" s="1" customFormat="1" spans="1:15">
      <c r="A5729" s="1" t="str">
        <f t="shared" si="3219"/>
        <v>202406</v>
      </c>
      <c r="B5729" s="1" t="str">
        <f t="shared" si="3220"/>
        <v>150525100</v>
      </c>
      <c r="C5729" s="1" t="str">
        <f>"1014622080"</f>
        <v>1014622080</v>
      </c>
      <c r="D5729" s="1" t="str">
        <f>"152326194401120672"</f>
        <v>152326194401120672</v>
      </c>
      <c r="E5729" s="1" t="s">
        <v>5628</v>
      </c>
      <c r="F5729" s="1" t="s">
        <v>25</v>
      </c>
      <c r="G5729" s="1" t="s">
        <v>17</v>
      </c>
      <c r="H5729" s="1" t="str">
        <f>"80"</f>
        <v>80</v>
      </c>
      <c r="I5729" s="1" t="str">
        <f t="shared" ref="I5729:I5733" si="3230">"170"</f>
        <v>170</v>
      </c>
      <c r="J5729" s="1" t="str">
        <f t="shared" ref="J5729:O5729" si="3231">"0"</f>
        <v>0</v>
      </c>
      <c r="K5729" s="1" t="str">
        <f t="shared" ref="K5729:K5778" si="3232">"103"</f>
        <v>103</v>
      </c>
      <c r="L5729" s="1" t="str">
        <f t="shared" ref="L5729:L5778" si="3233">"47"</f>
        <v>47</v>
      </c>
      <c r="M5729" s="1" t="str">
        <f t="shared" si="3231"/>
        <v>0</v>
      </c>
      <c r="N5729" s="1" t="str">
        <f t="shared" si="3211"/>
        <v>0</v>
      </c>
      <c r="O5729" s="1" t="str">
        <f t="shared" si="3231"/>
        <v>0</v>
      </c>
    </row>
    <row r="5730" s="1" customFormat="1" spans="1:15">
      <c r="A5730" s="1" t="str">
        <f t="shared" si="3219"/>
        <v>202406</v>
      </c>
      <c r="B5730" s="1" t="str">
        <f t="shared" si="3220"/>
        <v>150525100</v>
      </c>
      <c r="C5730" s="1" t="str">
        <f>"1014622088"</f>
        <v>1014622088</v>
      </c>
      <c r="D5730" s="1" t="s">
        <v>5629</v>
      </c>
      <c r="E5730" s="1" t="s">
        <v>5630</v>
      </c>
      <c r="F5730" s="1" t="s">
        <v>16</v>
      </c>
      <c r="G5730" s="1" t="s">
        <v>17</v>
      </c>
      <c r="H5730" s="1" t="str">
        <f>"75"</f>
        <v>75</v>
      </c>
      <c r="I5730" s="1" t="str">
        <f t="shared" ref="I5730:I5739" si="3234">"160"</f>
        <v>160</v>
      </c>
      <c r="J5730" s="1" t="str">
        <f t="shared" ref="J5730:O5730" si="3235">"0"</f>
        <v>0</v>
      </c>
      <c r="K5730" s="1" t="str">
        <f t="shared" si="3232"/>
        <v>103</v>
      </c>
      <c r="L5730" s="1" t="str">
        <f t="shared" si="3233"/>
        <v>47</v>
      </c>
      <c r="M5730" s="1" t="str">
        <f t="shared" si="3235"/>
        <v>0</v>
      </c>
      <c r="N5730" s="1" t="str">
        <f t="shared" si="3211"/>
        <v>0</v>
      </c>
      <c r="O5730" s="1" t="str">
        <f t="shared" si="3235"/>
        <v>0</v>
      </c>
    </row>
    <row r="5731" s="1" customFormat="1" spans="1:15">
      <c r="A5731" s="1" t="str">
        <f t="shared" si="3219"/>
        <v>202406</v>
      </c>
      <c r="B5731" s="1" t="str">
        <f t="shared" si="3220"/>
        <v>150525100</v>
      </c>
      <c r="C5731" s="1" t="str">
        <f>"1014619243"</f>
        <v>1014619243</v>
      </c>
      <c r="D5731" s="1" t="str">
        <f>"152326194006290663"</f>
        <v>152326194006290663</v>
      </c>
      <c r="E5731" s="1" t="s">
        <v>2523</v>
      </c>
      <c r="F5731" s="1" t="s">
        <v>16</v>
      </c>
      <c r="G5731" s="1" t="s">
        <v>19</v>
      </c>
      <c r="H5731" s="1" t="str">
        <f>"84"</f>
        <v>84</v>
      </c>
      <c r="I5731" s="1" t="str">
        <f t="shared" si="3230"/>
        <v>170</v>
      </c>
      <c r="J5731" s="1" t="str">
        <f t="shared" ref="J5731:O5731" si="3236">"0"</f>
        <v>0</v>
      </c>
      <c r="K5731" s="1" t="str">
        <f t="shared" si="3232"/>
        <v>103</v>
      </c>
      <c r="L5731" s="1" t="str">
        <f t="shared" si="3233"/>
        <v>47</v>
      </c>
      <c r="M5731" s="1" t="str">
        <f t="shared" si="3236"/>
        <v>0</v>
      </c>
      <c r="N5731" s="1" t="str">
        <f t="shared" si="3211"/>
        <v>0</v>
      </c>
      <c r="O5731" s="1" t="str">
        <f t="shared" si="3236"/>
        <v>0</v>
      </c>
    </row>
    <row r="5732" s="1" customFormat="1" spans="1:15">
      <c r="A5732" s="1" t="str">
        <f t="shared" si="3219"/>
        <v>202406</v>
      </c>
      <c r="B5732" s="1" t="str">
        <f t="shared" si="3220"/>
        <v>150525100</v>
      </c>
      <c r="C5732" s="1" t="str">
        <f>"1014619265"</f>
        <v>1014619265</v>
      </c>
      <c r="D5732" s="1" t="str">
        <f>"152326193909250684"</f>
        <v>152326193909250684</v>
      </c>
      <c r="E5732" s="1" t="s">
        <v>741</v>
      </c>
      <c r="F5732" s="1" t="s">
        <v>16</v>
      </c>
      <c r="G5732" s="1" t="s">
        <v>19</v>
      </c>
      <c r="H5732" s="1" t="str">
        <f>"85"</f>
        <v>85</v>
      </c>
      <c r="I5732" s="1" t="str">
        <f t="shared" si="3230"/>
        <v>170</v>
      </c>
      <c r="J5732" s="1" t="str">
        <f t="shared" ref="J5732:O5732" si="3237">"0"</f>
        <v>0</v>
      </c>
      <c r="K5732" s="1" t="str">
        <f t="shared" si="3232"/>
        <v>103</v>
      </c>
      <c r="L5732" s="1" t="str">
        <f t="shared" si="3233"/>
        <v>47</v>
      </c>
      <c r="M5732" s="1" t="str">
        <f t="shared" si="3237"/>
        <v>0</v>
      </c>
      <c r="N5732" s="1" t="str">
        <f t="shared" si="3211"/>
        <v>0</v>
      </c>
      <c r="O5732" s="1" t="str">
        <f t="shared" si="3237"/>
        <v>0</v>
      </c>
    </row>
    <row r="5733" s="1" customFormat="1" spans="1:15">
      <c r="A5733" s="1" t="str">
        <f t="shared" si="3219"/>
        <v>202406</v>
      </c>
      <c r="B5733" s="1" t="str">
        <f t="shared" si="3220"/>
        <v>150525100</v>
      </c>
      <c r="C5733" s="1" t="str">
        <f>"1014619267"</f>
        <v>1014619267</v>
      </c>
      <c r="D5733" s="1" t="str">
        <f>"152326193801040423"</f>
        <v>152326193801040423</v>
      </c>
      <c r="E5733" s="1" t="s">
        <v>5631</v>
      </c>
      <c r="F5733" s="1" t="s">
        <v>16</v>
      </c>
      <c r="G5733" s="1" t="s">
        <v>17</v>
      </c>
      <c r="H5733" s="1" t="str">
        <f>"87"</f>
        <v>87</v>
      </c>
      <c r="I5733" s="1" t="str">
        <f t="shared" si="3230"/>
        <v>170</v>
      </c>
      <c r="J5733" s="1" t="str">
        <f t="shared" ref="J5733:O5733" si="3238">"0"</f>
        <v>0</v>
      </c>
      <c r="K5733" s="1" t="str">
        <f t="shared" si="3232"/>
        <v>103</v>
      </c>
      <c r="L5733" s="1" t="str">
        <f t="shared" si="3233"/>
        <v>47</v>
      </c>
      <c r="M5733" s="1" t="str">
        <f t="shared" si="3238"/>
        <v>0</v>
      </c>
      <c r="N5733" s="1" t="str">
        <f t="shared" si="3211"/>
        <v>0</v>
      </c>
      <c r="O5733" s="1" t="str">
        <f t="shared" si="3238"/>
        <v>0</v>
      </c>
    </row>
    <row r="5734" s="1" customFormat="1" spans="1:15">
      <c r="A5734" s="1" t="str">
        <f t="shared" si="3219"/>
        <v>202406</v>
      </c>
      <c r="B5734" s="1" t="str">
        <f t="shared" si="3220"/>
        <v>150525100</v>
      </c>
      <c r="C5734" s="1" t="str">
        <f>"1014622900"</f>
        <v>1014622900</v>
      </c>
      <c r="D5734" s="1" t="str">
        <f>"152326195112140428"</f>
        <v>152326195112140428</v>
      </c>
      <c r="E5734" s="1" t="s">
        <v>5632</v>
      </c>
      <c r="F5734" s="1" t="s">
        <v>16</v>
      </c>
      <c r="G5734" s="1" t="s">
        <v>17</v>
      </c>
      <c r="H5734" s="1" t="str">
        <f t="shared" ref="H5734:H5736" si="3239">"73"</f>
        <v>73</v>
      </c>
      <c r="I5734" s="1" t="str">
        <f t="shared" si="3234"/>
        <v>160</v>
      </c>
      <c r="J5734" s="1" t="str">
        <f t="shared" ref="J5734:O5734" si="3240">"0"</f>
        <v>0</v>
      </c>
      <c r="K5734" s="1" t="str">
        <f t="shared" si="3232"/>
        <v>103</v>
      </c>
      <c r="L5734" s="1" t="str">
        <f t="shared" si="3233"/>
        <v>47</v>
      </c>
      <c r="M5734" s="1" t="str">
        <f t="shared" si="3240"/>
        <v>0</v>
      </c>
      <c r="N5734" s="1" t="str">
        <f t="shared" si="3211"/>
        <v>0</v>
      </c>
      <c r="O5734" s="1" t="str">
        <f t="shared" si="3240"/>
        <v>0</v>
      </c>
    </row>
    <row r="5735" s="1" customFormat="1" spans="1:15">
      <c r="A5735" s="1" t="str">
        <f t="shared" si="3219"/>
        <v>202406</v>
      </c>
      <c r="B5735" s="1" t="str">
        <f t="shared" si="3220"/>
        <v>150525100</v>
      </c>
      <c r="C5735" s="1" t="str">
        <f>"1014623729"</f>
        <v>1014623729</v>
      </c>
      <c r="D5735" s="1" t="str">
        <f>"152326195103173076"</f>
        <v>152326195103173076</v>
      </c>
      <c r="E5735" s="1" t="s">
        <v>5633</v>
      </c>
      <c r="F5735" s="1" t="s">
        <v>25</v>
      </c>
      <c r="G5735" s="1" t="s">
        <v>19</v>
      </c>
      <c r="H5735" s="1" t="str">
        <f t="shared" si="3239"/>
        <v>73</v>
      </c>
      <c r="I5735" s="1" t="str">
        <f t="shared" si="3234"/>
        <v>160</v>
      </c>
      <c r="J5735" s="1" t="str">
        <f t="shared" ref="J5735:O5735" si="3241">"0"</f>
        <v>0</v>
      </c>
      <c r="K5735" s="1" t="str">
        <f t="shared" si="3232"/>
        <v>103</v>
      </c>
      <c r="L5735" s="1" t="str">
        <f t="shared" si="3233"/>
        <v>47</v>
      </c>
      <c r="M5735" s="1" t="str">
        <f t="shared" si="3241"/>
        <v>0</v>
      </c>
      <c r="N5735" s="1" t="str">
        <f t="shared" si="3211"/>
        <v>0</v>
      </c>
      <c r="O5735" s="1" t="str">
        <f t="shared" si="3241"/>
        <v>0</v>
      </c>
    </row>
    <row r="5736" s="1" customFormat="1" spans="1:15">
      <c r="A5736" s="1" t="str">
        <f t="shared" si="3219"/>
        <v>202406</v>
      </c>
      <c r="B5736" s="1" t="str">
        <f t="shared" si="3220"/>
        <v>150525100</v>
      </c>
      <c r="C5736" s="1" t="str">
        <f>"1014613488"</f>
        <v>1014613488</v>
      </c>
      <c r="D5736" s="1" t="s">
        <v>5634</v>
      </c>
      <c r="E5736" s="1" t="s">
        <v>4549</v>
      </c>
      <c r="F5736" s="1" t="s">
        <v>16</v>
      </c>
      <c r="G5736" s="1" t="s">
        <v>17</v>
      </c>
      <c r="H5736" s="1" t="str">
        <f t="shared" si="3239"/>
        <v>73</v>
      </c>
      <c r="I5736" s="1" t="str">
        <f t="shared" si="3234"/>
        <v>160</v>
      </c>
      <c r="J5736" s="1" t="str">
        <f t="shared" ref="J5736:O5736" si="3242">"0"</f>
        <v>0</v>
      </c>
      <c r="K5736" s="1" t="str">
        <f t="shared" si="3232"/>
        <v>103</v>
      </c>
      <c r="L5736" s="1" t="str">
        <f t="shared" si="3233"/>
        <v>47</v>
      </c>
      <c r="M5736" s="1" t="str">
        <f t="shared" si="3242"/>
        <v>0</v>
      </c>
      <c r="N5736" s="1" t="str">
        <f t="shared" si="3211"/>
        <v>0</v>
      </c>
      <c r="O5736" s="1" t="str">
        <f t="shared" si="3242"/>
        <v>0</v>
      </c>
    </row>
    <row r="5737" s="1" customFormat="1" spans="1:15">
      <c r="A5737" s="1" t="str">
        <f t="shared" si="3219"/>
        <v>202406</v>
      </c>
      <c r="B5737" s="1" t="str">
        <f t="shared" si="3220"/>
        <v>150525100</v>
      </c>
      <c r="C5737" s="1" t="str">
        <f>"1014622097"</f>
        <v>1014622097</v>
      </c>
      <c r="D5737" s="1" t="s">
        <v>5635</v>
      </c>
      <c r="E5737" s="1" t="s">
        <v>5636</v>
      </c>
      <c r="F5737" s="1" t="s">
        <v>16</v>
      </c>
      <c r="G5737" s="1" t="s">
        <v>17</v>
      </c>
      <c r="H5737" s="1" t="str">
        <f>"74"</f>
        <v>74</v>
      </c>
      <c r="I5737" s="1" t="str">
        <f t="shared" si="3234"/>
        <v>160</v>
      </c>
      <c r="J5737" s="1" t="str">
        <f t="shared" ref="J5737:O5737" si="3243">"0"</f>
        <v>0</v>
      </c>
      <c r="K5737" s="1" t="str">
        <f t="shared" si="3232"/>
        <v>103</v>
      </c>
      <c r="L5737" s="1" t="str">
        <f t="shared" si="3233"/>
        <v>47</v>
      </c>
      <c r="M5737" s="1" t="str">
        <f t="shared" si="3243"/>
        <v>0</v>
      </c>
      <c r="N5737" s="1" t="str">
        <f t="shared" si="3211"/>
        <v>0</v>
      </c>
      <c r="O5737" s="1" t="str">
        <f t="shared" si="3243"/>
        <v>0</v>
      </c>
    </row>
    <row r="5738" s="1" customFormat="1" spans="1:15">
      <c r="A5738" s="1" t="str">
        <f t="shared" si="3219"/>
        <v>202406</v>
      </c>
      <c r="B5738" s="1" t="str">
        <f t="shared" si="3220"/>
        <v>150525100</v>
      </c>
      <c r="C5738" s="1" t="str">
        <f>"1014622102"</f>
        <v>1014622102</v>
      </c>
      <c r="D5738" s="1" t="str">
        <f>"152326194604206126"</f>
        <v>152326194604206126</v>
      </c>
      <c r="E5738" s="1" t="s">
        <v>5637</v>
      </c>
      <c r="F5738" s="1" t="s">
        <v>16</v>
      </c>
      <c r="G5738" s="1" t="s">
        <v>17</v>
      </c>
      <c r="H5738" s="1" t="str">
        <f>"78"</f>
        <v>78</v>
      </c>
      <c r="I5738" s="1" t="str">
        <f t="shared" si="3234"/>
        <v>160</v>
      </c>
      <c r="J5738" s="1" t="str">
        <f t="shared" ref="J5738:O5738" si="3244">"0"</f>
        <v>0</v>
      </c>
      <c r="K5738" s="1" t="str">
        <f t="shared" si="3232"/>
        <v>103</v>
      </c>
      <c r="L5738" s="1" t="str">
        <f t="shared" si="3233"/>
        <v>47</v>
      </c>
      <c r="M5738" s="1" t="str">
        <f t="shared" si="3244"/>
        <v>0</v>
      </c>
      <c r="N5738" s="1" t="str">
        <f t="shared" si="3211"/>
        <v>0</v>
      </c>
      <c r="O5738" s="1" t="str">
        <f t="shared" si="3244"/>
        <v>0</v>
      </c>
    </row>
    <row r="5739" s="1" customFormat="1" spans="1:15">
      <c r="A5739" s="1" t="str">
        <f t="shared" si="3219"/>
        <v>202406</v>
      </c>
      <c r="B5739" s="1" t="str">
        <f t="shared" si="3220"/>
        <v>150525100</v>
      </c>
      <c r="C5739" s="1" t="str">
        <f>"1014622123"</f>
        <v>1014622123</v>
      </c>
      <c r="D5739" s="1" t="str">
        <f>"152326194611150669"</f>
        <v>152326194611150669</v>
      </c>
      <c r="E5739" s="1" t="s">
        <v>5638</v>
      </c>
      <c r="F5739" s="1" t="s">
        <v>16</v>
      </c>
      <c r="G5739" s="1" t="s">
        <v>17</v>
      </c>
      <c r="H5739" s="1" t="str">
        <f>"78"</f>
        <v>78</v>
      </c>
      <c r="I5739" s="1" t="str">
        <f t="shared" si="3234"/>
        <v>160</v>
      </c>
      <c r="J5739" s="1" t="str">
        <f t="shared" ref="J5739:O5739" si="3245">"0"</f>
        <v>0</v>
      </c>
      <c r="K5739" s="1" t="str">
        <f t="shared" si="3232"/>
        <v>103</v>
      </c>
      <c r="L5739" s="1" t="str">
        <f t="shared" si="3233"/>
        <v>47</v>
      </c>
      <c r="M5739" s="1" t="str">
        <f t="shared" si="3245"/>
        <v>0</v>
      </c>
      <c r="N5739" s="1" t="str">
        <f t="shared" si="3211"/>
        <v>0</v>
      </c>
      <c r="O5739" s="1" t="str">
        <f t="shared" si="3245"/>
        <v>0</v>
      </c>
    </row>
    <row r="5740" s="1" customFormat="1" spans="1:15">
      <c r="A5740" s="1" t="str">
        <f t="shared" si="3219"/>
        <v>202406</v>
      </c>
      <c r="B5740" s="1" t="str">
        <f t="shared" si="3220"/>
        <v>150525100</v>
      </c>
      <c r="C5740" s="1" t="str">
        <f>"1014624304"</f>
        <v>1014624304</v>
      </c>
      <c r="D5740" s="1" t="str">
        <f>"152326194107163081"</f>
        <v>152326194107163081</v>
      </c>
      <c r="E5740" s="1" t="s">
        <v>5639</v>
      </c>
      <c r="F5740" s="1" t="s">
        <v>16</v>
      </c>
      <c r="G5740" s="1" t="s">
        <v>19</v>
      </c>
      <c r="H5740" s="1" t="str">
        <f>"83"</f>
        <v>83</v>
      </c>
      <c r="I5740" s="1" t="str">
        <f>"170"</f>
        <v>170</v>
      </c>
      <c r="J5740" s="1" t="str">
        <f t="shared" ref="J5740:O5740" si="3246">"0"</f>
        <v>0</v>
      </c>
      <c r="K5740" s="1" t="str">
        <f t="shared" si="3232"/>
        <v>103</v>
      </c>
      <c r="L5740" s="1" t="str">
        <f t="shared" si="3233"/>
        <v>47</v>
      </c>
      <c r="M5740" s="1" t="str">
        <f t="shared" si="3246"/>
        <v>0</v>
      </c>
      <c r="N5740" s="1" t="str">
        <f t="shared" si="3211"/>
        <v>0</v>
      </c>
      <c r="O5740" s="1" t="str">
        <f t="shared" si="3246"/>
        <v>0</v>
      </c>
    </row>
    <row r="5741" s="1" customFormat="1" spans="1:15">
      <c r="A5741" s="1" t="str">
        <f t="shared" si="3219"/>
        <v>202406</v>
      </c>
      <c r="B5741" s="1" t="str">
        <f t="shared" si="3220"/>
        <v>150525100</v>
      </c>
      <c r="C5741" s="1" t="str">
        <f>"1014619831"</f>
        <v>1014619831</v>
      </c>
      <c r="D5741" s="1" t="str">
        <f>"152326194406300664"</f>
        <v>152326194406300664</v>
      </c>
      <c r="E5741" s="1" t="s">
        <v>5640</v>
      </c>
      <c r="F5741" s="1" t="s">
        <v>16</v>
      </c>
      <c r="G5741" s="1" t="s">
        <v>17</v>
      </c>
      <c r="H5741" s="1" t="str">
        <f>"80"</f>
        <v>80</v>
      </c>
      <c r="I5741" s="1" t="str">
        <f t="shared" ref="I5741:I5749" si="3247">"160"</f>
        <v>160</v>
      </c>
      <c r="J5741" s="1" t="str">
        <f t="shared" ref="J5741:O5741" si="3248">"0"</f>
        <v>0</v>
      </c>
      <c r="K5741" s="1" t="str">
        <f t="shared" si="3232"/>
        <v>103</v>
      </c>
      <c r="L5741" s="1" t="str">
        <f t="shared" si="3233"/>
        <v>47</v>
      </c>
      <c r="M5741" s="1" t="str">
        <f t="shared" si="3248"/>
        <v>0</v>
      </c>
      <c r="N5741" s="1" t="str">
        <f t="shared" si="3211"/>
        <v>0</v>
      </c>
      <c r="O5741" s="1" t="str">
        <f t="shared" si="3248"/>
        <v>0</v>
      </c>
    </row>
    <row r="5742" s="1" customFormat="1" spans="1:15">
      <c r="A5742" s="1" t="str">
        <f t="shared" si="3219"/>
        <v>202406</v>
      </c>
      <c r="B5742" s="1" t="str">
        <f t="shared" si="3220"/>
        <v>150525100</v>
      </c>
      <c r="C5742" s="1" t="str">
        <f>"1014619834"</f>
        <v>1014619834</v>
      </c>
      <c r="D5742" s="1" t="str">
        <f>"152326195008100661"</f>
        <v>152326195008100661</v>
      </c>
      <c r="E5742" s="1" t="s">
        <v>5641</v>
      </c>
      <c r="F5742" s="1" t="s">
        <v>16</v>
      </c>
      <c r="G5742" s="1" t="s">
        <v>17</v>
      </c>
      <c r="H5742" s="1" t="str">
        <f>"74"</f>
        <v>74</v>
      </c>
      <c r="I5742" s="1" t="str">
        <f t="shared" si="3247"/>
        <v>160</v>
      </c>
      <c r="J5742" s="1" t="str">
        <f t="shared" ref="J5742:O5742" si="3249">"0"</f>
        <v>0</v>
      </c>
      <c r="K5742" s="1" t="str">
        <f t="shared" si="3232"/>
        <v>103</v>
      </c>
      <c r="L5742" s="1" t="str">
        <f t="shared" si="3233"/>
        <v>47</v>
      </c>
      <c r="M5742" s="1" t="str">
        <f t="shared" si="3249"/>
        <v>0</v>
      </c>
      <c r="N5742" s="1" t="str">
        <f t="shared" si="3211"/>
        <v>0</v>
      </c>
      <c r="O5742" s="1" t="str">
        <f t="shared" si="3249"/>
        <v>0</v>
      </c>
    </row>
    <row r="5743" s="1" customFormat="1" spans="1:15">
      <c r="A5743" s="1" t="str">
        <f t="shared" si="3219"/>
        <v>202406</v>
      </c>
      <c r="B5743" s="1" t="str">
        <f t="shared" si="3220"/>
        <v>150525100</v>
      </c>
      <c r="C5743" s="1" t="str">
        <f>"1014619842"</f>
        <v>1014619842</v>
      </c>
      <c r="D5743" s="1" t="str">
        <f>"152326195006160660"</f>
        <v>152326195006160660</v>
      </c>
      <c r="E5743" s="1" t="s">
        <v>392</v>
      </c>
      <c r="F5743" s="1" t="s">
        <v>16</v>
      </c>
      <c r="G5743" s="1" t="s">
        <v>17</v>
      </c>
      <c r="H5743" s="1" t="str">
        <f>"74"</f>
        <v>74</v>
      </c>
      <c r="I5743" s="1" t="str">
        <f t="shared" si="3247"/>
        <v>160</v>
      </c>
      <c r="J5743" s="1" t="str">
        <f t="shared" ref="J5743:O5743" si="3250">"0"</f>
        <v>0</v>
      </c>
      <c r="K5743" s="1" t="str">
        <f t="shared" si="3232"/>
        <v>103</v>
      </c>
      <c r="L5743" s="1" t="str">
        <f t="shared" si="3233"/>
        <v>47</v>
      </c>
      <c r="M5743" s="1" t="str">
        <f t="shared" si="3250"/>
        <v>0</v>
      </c>
      <c r="N5743" s="1" t="str">
        <f t="shared" si="3211"/>
        <v>0</v>
      </c>
      <c r="O5743" s="1" t="str">
        <f t="shared" si="3250"/>
        <v>0</v>
      </c>
    </row>
    <row r="5744" s="1" customFormat="1" spans="1:15">
      <c r="A5744" s="1" t="str">
        <f t="shared" si="3219"/>
        <v>202406</v>
      </c>
      <c r="B5744" s="1" t="str">
        <f t="shared" si="3220"/>
        <v>150525100</v>
      </c>
      <c r="C5744" s="1" t="str">
        <f>"1014623310"</f>
        <v>1014623310</v>
      </c>
      <c r="D5744" s="1" t="str">
        <f>"152326194908163823"</f>
        <v>152326194908163823</v>
      </c>
      <c r="E5744" s="1" t="s">
        <v>5642</v>
      </c>
      <c r="F5744" s="1" t="s">
        <v>16</v>
      </c>
      <c r="G5744" s="1" t="s">
        <v>17</v>
      </c>
      <c r="H5744" s="1" t="str">
        <f>"75"</f>
        <v>75</v>
      </c>
      <c r="I5744" s="1" t="str">
        <f t="shared" si="3247"/>
        <v>160</v>
      </c>
      <c r="J5744" s="1" t="str">
        <f t="shared" ref="J5744:O5744" si="3251">"0"</f>
        <v>0</v>
      </c>
      <c r="K5744" s="1" t="str">
        <f t="shared" si="3232"/>
        <v>103</v>
      </c>
      <c r="L5744" s="1" t="str">
        <f t="shared" si="3233"/>
        <v>47</v>
      </c>
      <c r="M5744" s="1" t="str">
        <f t="shared" si="3251"/>
        <v>0</v>
      </c>
      <c r="N5744" s="1" t="str">
        <f t="shared" si="3211"/>
        <v>0</v>
      </c>
      <c r="O5744" s="1" t="str">
        <f t="shared" si="3251"/>
        <v>0</v>
      </c>
    </row>
    <row r="5745" s="1" customFormat="1" spans="1:15">
      <c r="A5745" s="1" t="str">
        <f t="shared" si="3219"/>
        <v>202406</v>
      </c>
      <c r="B5745" s="1" t="str">
        <f t="shared" si="3220"/>
        <v>150525100</v>
      </c>
      <c r="C5745" s="1" t="str">
        <f>"1014623320"</f>
        <v>1014623320</v>
      </c>
      <c r="D5745" s="1" t="str">
        <f>"152326194901053824"</f>
        <v>152326194901053824</v>
      </c>
      <c r="E5745" s="1" t="s">
        <v>374</v>
      </c>
      <c r="F5745" s="1" t="s">
        <v>16</v>
      </c>
      <c r="G5745" s="1" t="s">
        <v>17</v>
      </c>
      <c r="H5745" s="1" t="str">
        <f t="shared" ref="H5745:H5747" si="3252">"76"</f>
        <v>76</v>
      </c>
      <c r="I5745" s="1" t="str">
        <f t="shared" si="3247"/>
        <v>160</v>
      </c>
      <c r="J5745" s="1" t="str">
        <f t="shared" ref="J5745:O5745" si="3253">"0"</f>
        <v>0</v>
      </c>
      <c r="K5745" s="1" t="str">
        <f t="shared" si="3232"/>
        <v>103</v>
      </c>
      <c r="L5745" s="1" t="str">
        <f t="shared" si="3233"/>
        <v>47</v>
      </c>
      <c r="M5745" s="1" t="str">
        <f t="shared" si="3253"/>
        <v>0</v>
      </c>
      <c r="N5745" s="1" t="str">
        <f t="shared" si="3211"/>
        <v>0</v>
      </c>
      <c r="O5745" s="1" t="str">
        <f t="shared" si="3253"/>
        <v>0</v>
      </c>
    </row>
    <row r="5746" s="1" customFormat="1" spans="1:15">
      <c r="A5746" s="1" t="str">
        <f t="shared" si="3219"/>
        <v>202406</v>
      </c>
      <c r="B5746" s="1" t="str">
        <f t="shared" si="3220"/>
        <v>150525100</v>
      </c>
      <c r="C5746" s="1" t="str">
        <f>"1014623744"</f>
        <v>1014623744</v>
      </c>
      <c r="D5746" s="1" t="str">
        <f>"152326194801163815"</f>
        <v>152326194801163815</v>
      </c>
      <c r="E5746" s="1" t="s">
        <v>5643</v>
      </c>
      <c r="F5746" s="1" t="s">
        <v>25</v>
      </c>
      <c r="G5746" s="1" t="s">
        <v>19</v>
      </c>
      <c r="H5746" s="1" t="str">
        <f t="shared" si="3252"/>
        <v>76</v>
      </c>
      <c r="I5746" s="1" t="str">
        <f t="shared" si="3247"/>
        <v>160</v>
      </c>
      <c r="J5746" s="1" t="str">
        <f t="shared" ref="J5746:O5746" si="3254">"0"</f>
        <v>0</v>
      </c>
      <c r="K5746" s="1" t="str">
        <f t="shared" si="3232"/>
        <v>103</v>
      </c>
      <c r="L5746" s="1" t="str">
        <f t="shared" si="3233"/>
        <v>47</v>
      </c>
      <c r="M5746" s="1" t="str">
        <f t="shared" si="3254"/>
        <v>0</v>
      </c>
      <c r="N5746" s="1" t="str">
        <f t="shared" si="3211"/>
        <v>0</v>
      </c>
      <c r="O5746" s="1" t="str">
        <f t="shared" si="3254"/>
        <v>0</v>
      </c>
    </row>
    <row r="5747" s="1" customFormat="1" spans="1:15">
      <c r="A5747" s="1" t="str">
        <f t="shared" si="3219"/>
        <v>202406</v>
      </c>
      <c r="B5747" s="1" t="str">
        <f t="shared" si="3220"/>
        <v>150525100</v>
      </c>
      <c r="C5747" s="1" t="str">
        <f>"1014612758"</f>
        <v>1014612758</v>
      </c>
      <c r="D5747" s="1" t="s">
        <v>5644</v>
      </c>
      <c r="E5747" s="1" t="s">
        <v>5645</v>
      </c>
      <c r="F5747" s="1" t="s">
        <v>25</v>
      </c>
      <c r="G5747" s="1" t="s">
        <v>19</v>
      </c>
      <c r="H5747" s="1" t="str">
        <f t="shared" si="3252"/>
        <v>76</v>
      </c>
      <c r="I5747" s="1" t="str">
        <f t="shared" si="3247"/>
        <v>160</v>
      </c>
      <c r="J5747" s="1" t="str">
        <f t="shared" ref="J5747:O5747" si="3255">"0"</f>
        <v>0</v>
      </c>
      <c r="K5747" s="1" t="str">
        <f t="shared" si="3232"/>
        <v>103</v>
      </c>
      <c r="L5747" s="1" t="str">
        <f t="shared" si="3233"/>
        <v>47</v>
      </c>
      <c r="M5747" s="1" t="str">
        <f t="shared" si="3255"/>
        <v>0</v>
      </c>
      <c r="N5747" s="1" t="str">
        <f t="shared" si="3211"/>
        <v>0</v>
      </c>
      <c r="O5747" s="1" t="str">
        <f t="shared" si="3255"/>
        <v>0</v>
      </c>
    </row>
    <row r="5748" s="1" customFormat="1" spans="1:15">
      <c r="A5748" s="1" t="str">
        <f t="shared" si="3219"/>
        <v>202406</v>
      </c>
      <c r="B5748" s="1" t="str">
        <f t="shared" si="3220"/>
        <v>150525100</v>
      </c>
      <c r="C5748" s="1" t="str">
        <f>"1014612768"</f>
        <v>1014612768</v>
      </c>
      <c r="D5748" s="1" t="str">
        <f>"152326194707070911"</f>
        <v>152326194707070911</v>
      </c>
      <c r="E5748" s="1" t="s">
        <v>5646</v>
      </c>
      <c r="F5748" s="1" t="s">
        <v>25</v>
      </c>
      <c r="G5748" s="1" t="s">
        <v>19</v>
      </c>
      <c r="H5748" s="1" t="str">
        <f>"77"</f>
        <v>77</v>
      </c>
      <c r="I5748" s="1" t="str">
        <f t="shared" si="3247"/>
        <v>160</v>
      </c>
      <c r="J5748" s="1" t="str">
        <f t="shared" ref="J5748:O5748" si="3256">"0"</f>
        <v>0</v>
      </c>
      <c r="K5748" s="1" t="str">
        <f t="shared" si="3232"/>
        <v>103</v>
      </c>
      <c r="L5748" s="1" t="str">
        <f t="shared" si="3233"/>
        <v>47</v>
      </c>
      <c r="M5748" s="1" t="str">
        <f t="shared" si="3256"/>
        <v>0</v>
      </c>
      <c r="N5748" s="1" t="str">
        <f t="shared" si="3256"/>
        <v>0</v>
      </c>
      <c r="O5748" s="1" t="str">
        <f t="shared" si="3256"/>
        <v>0</v>
      </c>
    </row>
    <row r="5749" s="1" customFormat="1" spans="1:15">
      <c r="A5749" s="1" t="str">
        <f t="shared" si="3219"/>
        <v>202406</v>
      </c>
      <c r="B5749" s="1" t="str">
        <f t="shared" si="3220"/>
        <v>150525100</v>
      </c>
      <c r="C5749" s="1" t="str">
        <f>"1014623866"</f>
        <v>1014623866</v>
      </c>
      <c r="D5749" s="1" t="str">
        <f>"152326194912280678"</f>
        <v>152326194912280678</v>
      </c>
      <c r="E5749" s="1" t="s">
        <v>5647</v>
      </c>
      <c r="F5749" s="1" t="s">
        <v>25</v>
      </c>
      <c r="G5749" s="1" t="s">
        <v>17</v>
      </c>
      <c r="H5749" s="1" t="str">
        <f t="shared" ref="H5749:H5753" si="3257">"75"</f>
        <v>75</v>
      </c>
      <c r="I5749" s="1" t="str">
        <f t="shared" si="3247"/>
        <v>160</v>
      </c>
      <c r="J5749" s="1" t="str">
        <f t="shared" ref="J5749:O5749" si="3258">"0"</f>
        <v>0</v>
      </c>
      <c r="K5749" s="1" t="str">
        <f t="shared" si="3232"/>
        <v>103</v>
      </c>
      <c r="L5749" s="1" t="str">
        <f t="shared" si="3233"/>
        <v>47</v>
      </c>
      <c r="M5749" s="1" t="str">
        <f t="shared" si="3258"/>
        <v>0</v>
      </c>
      <c r="N5749" s="1" t="str">
        <f t="shared" si="3258"/>
        <v>0</v>
      </c>
      <c r="O5749" s="1" t="str">
        <f t="shared" si="3258"/>
        <v>0</v>
      </c>
    </row>
    <row r="5750" s="1" customFormat="1" spans="1:15">
      <c r="A5750" s="1" t="str">
        <f t="shared" si="3219"/>
        <v>202406</v>
      </c>
      <c r="B5750" s="1" t="str">
        <f t="shared" si="3220"/>
        <v>150525100</v>
      </c>
      <c r="C5750" s="1" t="str">
        <f>"1014623880"</f>
        <v>1014623880</v>
      </c>
      <c r="D5750" s="1" t="str">
        <f>"152326194202131723"</f>
        <v>152326194202131723</v>
      </c>
      <c r="E5750" s="1" t="s">
        <v>5648</v>
      </c>
      <c r="F5750" s="1" t="s">
        <v>16</v>
      </c>
      <c r="G5750" s="1" t="s">
        <v>17</v>
      </c>
      <c r="H5750" s="1" t="str">
        <f>"82"</f>
        <v>82</v>
      </c>
      <c r="I5750" s="1" t="str">
        <f>"170"</f>
        <v>170</v>
      </c>
      <c r="J5750" s="1" t="str">
        <f t="shared" ref="J5750:O5750" si="3259">"0"</f>
        <v>0</v>
      </c>
      <c r="K5750" s="1" t="str">
        <f t="shared" si="3232"/>
        <v>103</v>
      </c>
      <c r="L5750" s="1" t="str">
        <f t="shared" si="3233"/>
        <v>47</v>
      </c>
      <c r="M5750" s="1" t="str">
        <f t="shared" si="3259"/>
        <v>0</v>
      </c>
      <c r="N5750" s="1" t="str">
        <f t="shared" si="3259"/>
        <v>0</v>
      </c>
      <c r="O5750" s="1" t="str">
        <f t="shared" si="3259"/>
        <v>0</v>
      </c>
    </row>
    <row r="5751" s="1" customFormat="1" spans="1:15">
      <c r="A5751" s="1" t="str">
        <f t="shared" si="3219"/>
        <v>202406</v>
      </c>
      <c r="B5751" s="1" t="str">
        <f t="shared" si="3220"/>
        <v>150525100</v>
      </c>
      <c r="C5751" s="1" t="str">
        <f>"1014623883"</f>
        <v>1014623883</v>
      </c>
      <c r="D5751" s="1" t="str">
        <f>"152326194512070663"</f>
        <v>152326194512070663</v>
      </c>
      <c r="E5751" s="1" t="s">
        <v>5649</v>
      </c>
      <c r="F5751" s="1" t="s">
        <v>16</v>
      </c>
      <c r="G5751" s="1" t="s">
        <v>17</v>
      </c>
      <c r="H5751" s="1" t="str">
        <f>"79"</f>
        <v>79</v>
      </c>
      <c r="I5751" s="1" t="str">
        <f t="shared" ref="I5751:I5753" si="3260">"160"</f>
        <v>160</v>
      </c>
      <c r="J5751" s="1" t="str">
        <f t="shared" ref="J5751:O5751" si="3261">"0"</f>
        <v>0</v>
      </c>
      <c r="K5751" s="1" t="str">
        <f t="shared" si="3232"/>
        <v>103</v>
      </c>
      <c r="L5751" s="1" t="str">
        <f t="shared" si="3233"/>
        <v>47</v>
      </c>
      <c r="M5751" s="1" t="str">
        <f t="shared" si="3261"/>
        <v>0</v>
      </c>
      <c r="N5751" s="1" t="str">
        <f t="shared" si="3261"/>
        <v>0</v>
      </c>
      <c r="O5751" s="1" t="str">
        <f t="shared" si="3261"/>
        <v>0</v>
      </c>
    </row>
    <row r="5752" s="1" customFormat="1" spans="1:15">
      <c r="A5752" s="1" t="str">
        <f t="shared" si="3219"/>
        <v>202406</v>
      </c>
      <c r="B5752" s="1" t="str">
        <f t="shared" si="3220"/>
        <v>150525100</v>
      </c>
      <c r="C5752" s="1" t="str">
        <f>"1014624359"</f>
        <v>1014624359</v>
      </c>
      <c r="D5752" s="1" t="str">
        <f>"152326194912083076"</f>
        <v>152326194912083076</v>
      </c>
      <c r="E5752" s="1" t="s">
        <v>5650</v>
      </c>
      <c r="F5752" s="1" t="s">
        <v>25</v>
      </c>
      <c r="G5752" s="1" t="s">
        <v>19</v>
      </c>
      <c r="H5752" s="1" t="str">
        <f t="shared" si="3257"/>
        <v>75</v>
      </c>
      <c r="I5752" s="1" t="str">
        <f t="shared" si="3260"/>
        <v>160</v>
      </c>
      <c r="J5752" s="1" t="str">
        <f t="shared" ref="J5752:O5752" si="3262">"0"</f>
        <v>0</v>
      </c>
      <c r="K5752" s="1" t="str">
        <f t="shared" si="3232"/>
        <v>103</v>
      </c>
      <c r="L5752" s="1" t="str">
        <f t="shared" si="3233"/>
        <v>47</v>
      </c>
      <c r="M5752" s="1" t="str">
        <f t="shared" si="3262"/>
        <v>0</v>
      </c>
      <c r="N5752" s="1" t="str">
        <f t="shared" si="3262"/>
        <v>0</v>
      </c>
      <c r="O5752" s="1" t="str">
        <f t="shared" si="3262"/>
        <v>0</v>
      </c>
    </row>
    <row r="5753" s="1" customFormat="1" spans="1:15">
      <c r="A5753" s="1" t="str">
        <f t="shared" si="3219"/>
        <v>202406</v>
      </c>
      <c r="B5753" s="1" t="str">
        <f t="shared" si="3220"/>
        <v>150525100</v>
      </c>
      <c r="C5753" s="1" t="str">
        <f>"1014629947"</f>
        <v>1014629947</v>
      </c>
      <c r="D5753" s="1" t="str">
        <f>"152326194910070044"</f>
        <v>152326194910070044</v>
      </c>
      <c r="E5753" s="1" t="s">
        <v>5651</v>
      </c>
      <c r="F5753" s="1" t="s">
        <v>16</v>
      </c>
      <c r="G5753" s="1" t="s">
        <v>17</v>
      </c>
      <c r="H5753" s="1" t="str">
        <f t="shared" si="3257"/>
        <v>75</v>
      </c>
      <c r="I5753" s="1" t="str">
        <f t="shared" si="3260"/>
        <v>160</v>
      </c>
      <c r="J5753" s="1" t="str">
        <f t="shared" ref="J5753:O5753" si="3263">"0"</f>
        <v>0</v>
      </c>
      <c r="K5753" s="1" t="str">
        <f t="shared" si="3232"/>
        <v>103</v>
      </c>
      <c r="L5753" s="1" t="str">
        <f t="shared" si="3233"/>
        <v>47</v>
      </c>
      <c r="M5753" s="1" t="str">
        <f t="shared" si="3263"/>
        <v>0</v>
      </c>
      <c r="N5753" s="1" t="str">
        <f t="shared" si="3263"/>
        <v>0</v>
      </c>
      <c r="O5753" s="1" t="str">
        <f t="shared" si="3263"/>
        <v>0</v>
      </c>
    </row>
    <row r="5754" s="1" customFormat="1" spans="1:15">
      <c r="A5754" s="1" t="str">
        <f t="shared" si="3219"/>
        <v>202406</v>
      </c>
      <c r="B5754" s="1" t="str">
        <f t="shared" si="3220"/>
        <v>150525100</v>
      </c>
      <c r="C5754" s="1" t="str">
        <f>"1014619893"</f>
        <v>1014619893</v>
      </c>
      <c r="D5754" s="1" t="s">
        <v>5652</v>
      </c>
      <c r="E5754" s="1" t="s">
        <v>5653</v>
      </c>
      <c r="F5754" s="1" t="s">
        <v>16</v>
      </c>
      <c r="G5754" s="1" t="s">
        <v>17</v>
      </c>
      <c r="H5754" s="1" t="str">
        <f>"85"</f>
        <v>85</v>
      </c>
      <c r="I5754" s="1" t="str">
        <f>"170"</f>
        <v>170</v>
      </c>
      <c r="J5754" s="1" t="str">
        <f t="shared" ref="J5754:O5754" si="3264">"0"</f>
        <v>0</v>
      </c>
      <c r="K5754" s="1" t="str">
        <f t="shared" si="3232"/>
        <v>103</v>
      </c>
      <c r="L5754" s="1" t="str">
        <f t="shared" si="3233"/>
        <v>47</v>
      </c>
      <c r="M5754" s="1" t="str">
        <f t="shared" si="3264"/>
        <v>0</v>
      </c>
      <c r="N5754" s="1" t="str">
        <f t="shared" si="3264"/>
        <v>0</v>
      </c>
      <c r="O5754" s="1" t="str">
        <f t="shared" si="3264"/>
        <v>0</v>
      </c>
    </row>
    <row r="5755" s="1" customFormat="1" spans="1:15">
      <c r="A5755" s="1" t="str">
        <f t="shared" si="3219"/>
        <v>202406</v>
      </c>
      <c r="B5755" s="1" t="str">
        <f t="shared" si="3220"/>
        <v>150525100</v>
      </c>
      <c r="C5755" s="1" t="str">
        <f>"1014619908"</f>
        <v>1014619908</v>
      </c>
      <c r="D5755" s="1" t="str">
        <f>"152326195007200425"</f>
        <v>152326195007200425</v>
      </c>
      <c r="E5755" s="1" t="s">
        <v>5654</v>
      </c>
      <c r="F5755" s="1" t="s">
        <v>16</v>
      </c>
      <c r="G5755" s="1" t="s">
        <v>17</v>
      </c>
      <c r="H5755" s="1" t="str">
        <f t="shared" ref="H5755:H5759" si="3265">"74"</f>
        <v>74</v>
      </c>
      <c r="I5755" s="1" t="str">
        <f t="shared" ref="I5755:I5759" si="3266">"160"</f>
        <v>160</v>
      </c>
      <c r="J5755" s="1" t="str">
        <f t="shared" ref="J5755:O5755" si="3267">"0"</f>
        <v>0</v>
      </c>
      <c r="K5755" s="1" t="str">
        <f t="shared" si="3232"/>
        <v>103</v>
      </c>
      <c r="L5755" s="1" t="str">
        <f t="shared" si="3233"/>
        <v>47</v>
      </c>
      <c r="M5755" s="1" t="str">
        <f t="shared" si="3267"/>
        <v>0</v>
      </c>
      <c r="N5755" s="1" t="str">
        <f t="shared" si="3267"/>
        <v>0</v>
      </c>
      <c r="O5755" s="1" t="str">
        <f t="shared" si="3267"/>
        <v>0</v>
      </c>
    </row>
    <row r="5756" s="1" customFormat="1" spans="1:15">
      <c r="A5756" s="1" t="str">
        <f t="shared" si="3219"/>
        <v>202406</v>
      </c>
      <c r="B5756" s="1" t="str">
        <f t="shared" si="3220"/>
        <v>150525100</v>
      </c>
      <c r="C5756" s="1" t="str">
        <f>"1014623378"</f>
        <v>1014623378</v>
      </c>
      <c r="D5756" s="1" t="str">
        <f>"152326194803070428"</f>
        <v>152326194803070428</v>
      </c>
      <c r="E5756" s="1" t="s">
        <v>5655</v>
      </c>
      <c r="F5756" s="1" t="s">
        <v>16</v>
      </c>
      <c r="G5756" s="1" t="s">
        <v>19</v>
      </c>
      <c r="H5756" s="1" t="str">
        <f>"76"</f>
        <v>76</v>
      </c>
      <c r="I5756" s="1" t="str">
        <f t="shared" si="3266"/>
        <v>160</v>
      </c>
      <c r="J5756" s="1" t="str">
        <f t="shared" ref="J5756:O5756" si="3268">"0"</f>
        <v>0</v>
      </c>
      <c r="K5756" s="1" t="str">
        <f t="shared" si="3232"/>
        <v>103</v>
      </c>
      <c r="L5756" s="1" t="str">
        <f t="shared" si="3233"/>
        <v>47</v>
      </c>
      <c r="M5756" s="1" t="str">
        <f t="shared" si="3268"/>
        <v>0</v>
      </c>
      <c r="N5756" s="1" t="str">
        <f t="shared" si="3268"/>
        <v>0</v>
      </c>
      <c r="O5756" s="1" t="str">
        <f t="shared" si="3268"/>
        <v>0</v>
      </c>
    </row>
    <row r="5757" s="1" customFormat="1" spans="1:15">
      <c r="A5757" s="1" t="str">
        <f t="shared" si="3219"/>
        <v>202406</v>
      </c>
      <c r="B5757" s="1" t="str">
        <f t="shared" si="3220"/>
        <v>150525100</v>
      </c>
      <c r="C5757" s="1" t="str">
        <f>"1014629518"</f>
        <v>1014629518</v>
      </c>
      <c r="D5757" s="1" t="str">
        <f>"152326194202260023"</f>
        <v>152326194202260023</v>
      </c>
      <c r="E5757" s="1" t="s">
        <v>2079</v>
      </c>
      <c r="F5757" s="1" t="s">
        <v>16</v>
      </c>
      <c r="G5757" s="1" t="s">
        <v>17</v>
      </c>
      <c r="H5757" s="1" t="str">
        <f>"82"</f>
        <v>82</v>
      </c>
      <c r="I5757" s="1" t="str">
        <f>"170"</f>
        <v>170</v>
      </c>
      <c r="J5757" s="1" t="str">
        <f t="shared" ref="J5757:O5757" si="3269">"0"</f>
        <v>0</v>
      </c>
      <c r="K5757" s="1" t="str">
        <f t="shared" si="3232"/>
        <v>103</v>
      </c>
      <c r="L5757" s="1" t="str">
        <f t="shared" si="3233"/>
        <v>47</v>
      </c>
      <c r="M5757" s="1" t="str">
        <f t="shared" si="3269"/>
        <v>0</v>
      </c>
      <c r="N5757" s="1" t="str">
        <f t="shared" si="3269"/>
        <v>0</v>
      </c>
      <c r="O5757" s="1" t="str">
        <f t="shared" si="3269"/>
        <v>0</v>
      </c>
    </row>
    <row r="5758" s="1" customFormat="1" spans="1:15">
      <c r="A5758" s="1" t="str">
        <f t="shared" si="3219"/>
        <v>202406</v>
      </c>
      <c r="B5758" s="1" t="str">
        <f t="shared" si="3220"/>
        <v>150525100</v>
      </c>
      <c r="C5758" s="1" t="str">
        <f>"1014629522"</f>
        <v>1014629522</v>
      </c>
      <c r="D5758" s="1" t="str">
        <f>"152326195001170026"</f>
        <v>152326195001170026</v>
      </c>
      <c r="E5758" s="1" t="s">
        <v>4465</v>
      </c>
      <c r="F5758" s="1" t="s">
        <v>16</v>
      </c>
      <c r="G5758" s="1" t="s">
        <v>17</v>
      </c>
      <c r="H5758" s="1" t="str">
        <f t="shared" si="3265"/>
        <v>74</v>
      </c>
      <c r="I5758" s="1" t="str">
        <f t="shared" si="3266"/>
        <v>160</v>
      </c>
      <c r="J5758" s="1" t="str">
        <f t="shared" ref="J5758:O5758" si="3270">"0"</f>
        <v>0</v>
      </c>
      <c r="K5758" s="1" t="str">
        <f t="shared" si="3232"/>
        <v>103</v>
      </c>
      <c r="L5758" s="1" t="str">
        <f t="shared" si="3233"/>
        <v>47</v>
      </c>
      <c r="M5758" s="1" t="str">
        <f t="shared" si="3270"/>
        <v>0</v>
      </c>
      <c r="N5758" s="1" t="str">
        <f t="shared" si="3270"/>
        <v>0</v>
      </c>
      <c r="O5758" s="1" t="str">
        <f t="shared" si="3270"/>
        <v>0</v>
      </c>
    </row>
    <row r="5759" s="1" customFormat="1" spans="1:15">
      <c r="A5759" s="1" t="str">
        <f t="shared" si="3219"/>
        <v>202406</v>
      </c>
      <c r="B5759" s="1" t="str">
        <f t="shared" si="3220"/>
        <v>150525100</v>
      </c>
      <c r="C5759" s="1" t="str">
        <f>"1014629529"</f>
        <v>1014629529</v>
      </c>
      <c r="D5759" s="1" t="str">
        <f>"152326195003300023"</f>
        <v>152326195003300023</v>
      </c>
      <c r="E5759" s="1" t="s">
        <v>5656</v>
      </c>
      <c r="F5759" s="1" t="s">
        <v>16</v>
      </c>
      <c r="G5759" s="1" t="s">
        <v>17</v>
      </c>
      <c r="H5759" s="1" t="str">
        <f t="shared" si="3265"/>
        <v>74</v>
      </c>
      <c r="I5759" s="1" t="str">
        <f t="shared" si="3266"/>
        <v>160</v>
      </c>
      <c r="J5759" s="1" t="str">
        <f t="shared" ref="J5759:O5759" si="3271">"0"</f>
        <v>0</v>
      </c>
      <c r="K5759" s="1" t="str">
        <f t="shared" si="3232"/>
        <v>103</v>
      </c>
      <c r="L5759" s="1" t="str">
        <f t="shared" si="3233"/>
        <v>47</v>
      </c>
      <c r="M5759" s="1" t="str">
        <f t="shared" si="3271"/>
        <v>0</v>
      </c>
      <c r="N5759" s="1" t="str">
        <f t="shared" si="3271"/>
        <v>0</v>
      </c>
      <c r="O5759" s="1" t="str">
        <f t="shared" si="3271"/>
        <v>0</v>
      </c>
    </row>
    <row r="5760" s="1" customFormat="1" spans="1:15">
      <c r="A5760" s="1" t="str">
        <f t="shared" si="3219"/>
        <v>202406</v>
      </c>
      <c r="B5760" s="1" t="str">
        <f t="shared" si="3220"/>
        <v>150525100</v>
      </c>
      <c r="C5760" s="1" t="str">
        <f>"1014588956"</f>
        <v>1014588956</v>
      </c>
      <c r="D5760" s="1" t="str">
        <f>"152326195610110424"</f>
        <v>152326195610110424</v>
      </c>
      <c r="E5760" s="1" t="s">
        <v>5657</v>
      </c>
      <c r="F5760" s="1" t="s">
        <v>16</v>
      </c>
      <c r="G5760" s="1" t="s">
        <v>17</v>
      </c>
      <c r="H5760" s="1" t="str">
        <f>"68"</f>
        <v>68</v>
      </c>
      <c r="I5760" s="1" t="str">
        <f>"156.02"</f>
        <v>156.02</v>
      </c>
      <c r="J5760" s="1" t="str">
        <f t="shared" ref="J5760:N5760" si="3272">"0"</f>
        <v>0</v>
      </c>
      <c r="K5760" s="1" t="str">
        <f t="shared" si="3232"/>
        <v>103</v>
      </c>
      <c r="L5760" s="1" t="str">
        <f t="shared" si="3233"/>
        <v>47</v>
      </c>
      <c r="M5760" s="1" t="str">
        <f t="shared" si="3272"/>
        <v>0</v>
      </c>
      <c r="N5760" s="1" t="str">
        <f t="shared" si="3272"/>
        <v>0</v>
      </c>
      <c r="O5760" s="1" t="str">
        <f>"6.02"</f>
        <v>6.02</v>
      </c>
    </row>
    <row r="5761" s="1" customFormat="1" spans="1:15">
      <c r="A5761" s="1" t="str">
        <f t="shared" si="3219"/>
        <v>202406</v>
      </c>
      <c r="B5761" s="1" t="str">
        <f t="shared" si="3220"/>
        <v>150525100</v>
      </c>
      <c r="C5761" s="1" t="str">
        <f>"1014268285"</f>
        <v>1014268285</v>
      </c>
      <c r="D5761" s="1" t="str">
        <f>"152326196402046864"</f>
        <v>152326196402046864</v>
      </c>
      <c r="E5761" s="1" t="s">
        <v>3872</v>
      </c>
      <c r="F5761" s="1" t="s">
        <v>16</v>
      </c>
      <c r="G5761" s="1" t="s">
        <v>17</v>
      </c>
      <c r="H5761" s="1" t="str">
        <f>"60"</f>
        <v>60</v>
      </c>
      <c r="I5761" s="1" t="str">
        <f>"169.33"</f>
        <v>169.33</v>
      </c>
      <c r="J5761" s="1" t="str">
        <f t="shared" ref="J5761:N5761" si="3273">"0"</f>
        <v>0</v>
      </c>
      <c r="K5761" s="1" t="str">
        <f t="shared" si="3232"/>
        <v>103</v>
      </c>
      <c r="L5761" s="1" t="str">
        <f t="shared" si="3233"/>
        <v>47</v>
      </c>
      <c r="M5761" s="1" t="str">
        <f t="shared" si="3273"/>
        <v>0</v>
      </c>
      <c r="N5761" s="1" t="str">
        <f t="shared" si="3273"/>
        <v>0</v>
      </c>
      <c r="O5761" s="1" t="str">
        <f>"19.33"</f>
        <v>19.33</v>
      </c>
    </row>
    <row r="5762" s="1" customFormat="1" spans="1:15">
      <c r="A5762" s="1" t="str">
        <f t="shared" ref="A5762:A5825" si="3274">"202406"</f>
        <v>202406</v>
      </c>
      <c r="B5762" s="1" t="str">
        <f t="shared" ref="B5762:B5825" si="3275">"150525100"</f>
        <v>150525100</v>
      </c>
      <c r="C5762" s="1" t="str">
        <f>"1043006939"</f>
        <v>1043006939</v>
      </c>
      <c r="D5762" s="1" t="str">
        <f>"152326196112013829"</f>
        <v>152326196112013829</v>
      </c>
      <c r="E5762" s="1" t="s">
        <v>5658</v>
      </c>
      <c r="F5762" s="1" t="s">
        <v>16</v>
      </c>
      <c r="G5762" s="1" t="s">
        <v>19</v>
      </c>
      <c r="H5762" s="1" t="str">
        <f>"63"</f>
        <v>63</v>
      </c>
      <c r="I5762" s="1" t="str">
        <f>"158.38"</f>
        <v>158.38</v>
      </c>
      <c r="J5762" s="1" t="str">
        <f t="shared" ref="J5762:N5762" si="3276">"0"</f>
        <v>0</v>
      </c>
      <c r="K5762" s="1" t="str">
        <f t="shared" si="3232"/>
        <v>103</v>
      </c>
      <c r="L5762" s="1" t="str">
        <f t="shared" si="3233"/>
        <v>47</v>
      </c>
      <c r="M5762" s="1" t="str">
        <f t="shared" si="3276"/>
        <v>0</v>
      </c>
      <c r="N5762" s="1" t="str">
        <f t="shared" si="3276"/>
        <v>0</v>
      </c>
      <c r="O5762" s="1" t="str">
        <f>"8.38"</f>
        <v>8.38</v>
      </c>
    </row>
    <row r="5763" s="1" customFormat="1" spans="1:15">
      <c r="A5763" s="1" t="str">
        <f t="shared" si="3274"/>
        <v>202406</v>
      </c>
      <c r="B5763" s="1" t="str">
        <f t="shared" si="3275"/>
        <v>150525100</v>
      </c>
      <c r="C5763" s="1" t="str">
        <f>"1014660680"</f>
        <v>1014660680</v>
      </c>
      <c r="D5763" s="1" t="str">
        <f>"152326195608120666"</f>
        <v>152326195608120666</v>
      </c>
      <c r="E5763" s="1" t="s">
        <v>5659</v>
      </c>
      <c r="F5763" s="1" t="s">
        <v>16</v>
      </c>
      <c r="G5763" s="1" t="s">
        <v>17</v>
      </c>
      <c r="H5763" s="1" t="str">
        <f>"68"</f>
        <v>68</v>
      </c>
      <c r="I5763" s="1" t="str">
        <f>"156.77"</f>
        <v>156.77</v>
      </c>
      <c r="J5763" s="1" t="str">
        <f t="shared" ref="J5763:N5763" si="3277">"0"</f>
        <v>0</v>
      </c>
      <c r="K5763" s="1" t="str">
        <f t="shared" si="3232"/>
        <v>103</v>
      </c>
      <c r="L5763" s="1" t="str">
        <f t="shared" si="3233"/>
        <v>47</v>
      </c>
      <c r="M5763" s="1" t="str">
        <f t="shared" si="3277"/>
        <v>0</v>
      </c>
      <c r="N5763" s="1" t="str">
        <f t="shared" si="3277"/>
        <v>0</v>
      </c>
      <c r="O5763" s="1" t="str">
        <f>"6.77"</f>
        <v>6.77</v>
      </c>
    </row>
    <row r="5764" s="1" customFormat="1" spans="1:15">
      <c r="A5764" s="1" t="str">
        <f t="shared" si="3274"/>
        <v>202406</v>
      </c>
      <c r="B5764" s="1" t="str">
        <f t="shared" si="3275"/>
        <v>150525100</v>
      </c>
      <c r="C5764" s="1" t="str">
        <f>"1014660692"</f>
        <v>1014660692</v>
      </c>
      <c r="D5764" s="1" t="s">
        <v>5660</v>
      </c>
      <c r="E5764" s="1" t="s">
        <v>5661</v>
      </c>
      <c r="F5764" s="1" t="s">
        <v>16</v>
      </c>
      <c r="G5764" s="1" t="s">
        <v>17</v>
      </c>
      <c r="H5764" s="1" t="str">
        <f>"66"</f>
        <v>66</v>
      </c>
      <c r="I5764" s="1" t="str">
        <f>"156.82"</f>
        <v>156.82</v>
      </c>
      <c r="J5764" s="1" t="str">
        <f t="shared" ref="J5764:N5764" si="3278">"0"</f>
        <v>0</v>
      </c>
      <c r="K5764" s="1" t="str">
        <f t="shared" si="3232"/>
        <v>103</v>
      </c>
      <c r="L5764" s="1" t="str">
        <f t="shared" si="3233"/>
        <v>47</v>
      </c>
      <c r="M5764" s="1" t="str">
        <f t="shared" si="3278"/>
        <v>0</v>
      </c>
      <c r="N5764" s="1" t="str">
        <f t="shared" si="3278"/>
        <v>0</v>
      </c>
      <c r="O5764" s="1" t="str">
        <f>"6.82"</f>
        <v>6.82</v>
      </c>
    </row>
    <row r="5765" s="1" customFormat="1" spans="1:15">
      <c r="A5765" s="1" t="str">
        <f t="shared" si="3274"/>
        <v>202406</v>
      </c>
      <c r="B5765" s="1" t="str">
        <f t="shared" si="3275"/>
        <v>150525100</v>
      </c>
      <c r="C5765" s="1" t="str">
        <f>"1014656023"</f>
        <v>1014656023</v>
      </c>
      <c r="D5765" s="1" t="str">
        <f>"152326195708010691"</f>
        <v>152326195708010691</v>
      </c>
      <c r="E5765" s="1" t="s">
        <v>5662</v>
      </c>
      <c r="F5765" s="1" t="s">
        <v>25</v>
      </c>
      <c r="G5765" s="1" t="s">
        <v>17</v>
      </c>
      <c r="H5765" s="1" t="str">
        <f>"67"</f>
        <v>67</v>
      </c>
      <c r="I5765" s="1" t="str">
        <f>"156.09"</f>
        <v>156.09</v>
      </c>
      <c r="J5765" s="1" t="str">
        <f t="shared" ref="J5765:N5765" si="3279">"0"</f>
        <v>0</v>
      </c>
      <c r="K5765" s="1" t="str">
        <f t="shared" si="3232"/>
        <v>103</v>
      </c>
      <c r="L5765" s="1" t="str">
        <f t="shared" si="3233"/>
        <v>47</v>
      </c>
      <c r="M5765" s="1" t="str">
        <f t="shared" si="3279"/>
        <v>0</v>
      </c>
      <c r="N5765" s="1" t="str">
        <f t="shared" si="3279"/>
        <v>0</v>
      </c>
      <c r="O5765" s="1" t="str">
        <f>"6.09"</f>
        <v>6.09</v>
      </c>
    </row>
    <row r="5766" s="1" customFormat="1" spans="1:15">
      <c r="A5766" s="1" t="str">
        <f t="shared" si="3274"/>
        <v>202406</v>
      </c>
      <c r="B5766" s="1" t="str">
        <f t="shared" si="3275"/>
        <v>150525100</v>
      </c>
      <c r="C5766" s="1" t="str">
        <f>"1015188659"</f>
        <v>1015188659</v>
      </c>
      <c r="D5766" s="1" t="str">
        <f>"152326193209280663"</f>
        <v>152326193209280663</v>
      </c>
      <c r="E5766" s="1" t="s">
        <v>5663</v>
      </c>
      <c r="F5766" s="1" t="s">
        <v>16</v>
      </c>
      <c r="G5766" s="1" t="s">
        <v>17</v>
      </c>
      <c r="H5766" s="1" t="str">
        <f>"92"</f>
        <v>92</v>
      </c>
      <c r="I5766" s="1" t="str">
        <f>"170"</f>
        <v>170</v>
      </c>
      <c r="J5766" s="1" t="str">
        <f t="shared" ref="J5766:O5766" si="3280">"0"</f>
        <v>0</v>
      </c>
      <c r="K5766" s="1" t="str">
        <f t="shared" si="3232"/>
        <v>103</v>
      </c>
      <c r="L5766" s="1" t="str">
        <f t="shared" si="3233"/>
        <v>47</v>
      </c>
      <c r="M5766" s="1" t="str">
        <f t="shared" si="3280"/>
        <v>0</v>
      </c>
      <c r="N5766" s="1" t="str">
        <f t="shared" si="3280"/>
        <v>0</v>
      </c>
      <c r="O5766" s="1" t="str">
        <f t="shared" si="3280"/>
        <v>0</v>
      </c>
    </row>
    <row r="5767" s="1" customFormat="1" spans="1:15">
      <c r="A5767" s="1" t="str">
        <f t="shared" si="3274"/>
        <v>202406</v>
      </c>
      <c r="B5767" s="1" t="str">
        <f t="shared" si="3275"/>
        <v>150525100</v>
      </c>
      <c r="C5767" s="1" t="str">
        <f>"1014547810"</f>
        <v>1014547810</v>
      </c>
      <c r="D5767" s="1" t="str">
        <f>"152326196204296125"</f>
        <v>152326196204296125</v>
      </c>
      <c r="E5767" s="1" t="s">
        <v>1751</v>
      </c>
      <c r="F5767" s="1" t="s">
        <v>16</v>
      </c>
      <c r="G5767" s="1" t="s">
        <v>17</v>
      </c>
      <c r="H5767" s="1" t="str">
        <f>"62"</f>
        <v>62</v>
      </c>
      <c r="I5767" s="1" t="str">
        <f>"164.43"</f>
        <v>164.43</v>
      </c>
      <c r="J5767" s="1" t="str">
        <f t="shared" ref="J5767:N5767" si="3281">"0"</f>
        <v>0</v>
      </c>
      <c r="K5767" s="1" t="str">
        <f t="shared" si="3232"/>
        <v>103</v>
      </c>
      <c r="L5767" s="1" t="str">
        <f t="shared" si="3233"/>
        <v>47</v>
      </c>
      <c r="M5767" s="1" t="str">
        <f t="shared" si="3281"/>
        <v>0</v>
      </c>
      <c r="N5767" s="1" t="str">
        <f t="shared" si="3281"/>
        <v>0</v>
      </c>
      <c r="O5767" s="1" t="str">
        <f>"14.43"</f>
        <v>14.43</v>
      </c>
    </row>
    <row r="5768" s="1" customFormat="1" spans="1:15">
      <c r="A5768" s="1" t="str">
        <f t="shared" si="3274"/>
        <v>202406</v>
      </c>
      <c r="B5768" s="1" t="str">
        <f t="shared" si="3275"/>
        <v>150525100</v>
      </c>
      <c r="C5768" s="1" t="str">
        <f>"1040937357"</f>
        <v>1040937357</v>
      </c>
      <c r="D5768" s="1" t="s">
        <v>5664</v>
      </c>
      <c r="E5768" s="1" t="s">
        <v>5665</v>
      </c>
      <c r="F5768" s="1" t="s">
        <v>25</v>
      </c>
      <c r="G5768" s="1" t="s">
        <v>17</v>
      </c>
      <c r="H5768" s="1" t="str">
        <f>"65"</f>
        <v>65</v>
      </c>
      <c r="I5768" s="1" t="str">
        <f>"156.89"</f>
        <v>156.89</v>
      </c>
      <c r="J5768" s="1" t="str">
        <f t="shared" ref="J5768:N5768" si="3282">"0"</f>
        <v>0</v>
      </c>
      <c r="K5768" s="1" t="str">
        <f t="shared" si="3232"/>
        <v>103</v>
      </c>
      <c r="L5768" s="1" t="str">
        <f t="shared" si="3233"/>
        <v>47</v>
      </c>
      <c r="M5768" s="1" t="str">
        <f t="shared" si="3282"/>
        <v>0</v>
      </c>
      <c r="N5768" s="1" t="str">
        <f t="shared" si="3282"/>
        <v>0</v>
      </c>
      <c r="O5768" s="1" t="str">
        <f>"6.89"</f>
        <v>6.89</v>
      </c>
    </row>
    <row r="5769" s="1" customFormat="1" spans="1:15">
      <c r="A5769" s="1" t="str">
        <f t="shared" si="3274"/>
        <v>202406</v>
      </c>
      <c r="B5769" s="1" t="str">
        <f t="shared" si="3275"/>
        <v>150525100</v>
      </c>
      <c r="C5769" s="1" t="str">
        <f>"1040937388"</f>
        <v>1040937388</v>
      </c>
      <c r="D5769" s="1" t="str">
        <f>"152326196111280415"</f>
        <v>152326196111280415</v>
      </c>
      <c r="E5769" s="1" t="s">
        <v>5666</v>
      </c>
      <c r="F5769" s="1" t="s">
        <v>25</v>
      </c>
      <c r="G5769" s="1" t="s">
        <v>19</v>
      </c>
      <c r="H5769" s="1" t="str">
        <f>"63"</f>
        <v>63</v>
      </c>
      <c r="I5769" s="1" t="str">
        <f>"160.5"</f>
        <v>160.5</v>
      </c>
      <c r="J5769" s="1" t="str">
        <f t="shared" ref="J5769:N5769" si="3283">"0"</f>
        <v>0</v>
      </c>
      <c r="K5769" s="1" t="str">
        <f t="shared" si="3232"/>
        <v>103</v>
      </c>
      <c r="L5769" s="1" t="str">
        <f t="shared" si="3233"/>
        <v>47</v>
      </c>
      <c r="M5769" s="1" t="str">
        <f t="shared" si="3283"/>
        <v>0</v>
      </c>
      <c r="N5769" s="1" t="str">
        <f t="shared" si="3283"/>
        <v>0</v>
      </c>
      <c r="O5769" s="1" t="str">
        <f>"10.5"</f>
        <v>10.5</v>
      </c>
    </row>
    <row r="5770" s="1" customFormat="1" spans="1:15">
      <c r="A5770" s="1" t="str">
        <f t="shared" si="3274"/>
        <v>202406</v>
      </c>
      <c r="B5770" s="1" t="str">
        <f t="shared" si="3275"/>
        <v>150525100</v>
      </c>
      <c r="C5770" s="1" t="str">
        <f>"1040937408"</f>
        <v>1040937408</v>
      </c>
      <c r="D5770" s="1" t="str">
        <f>"152326196310200422"</f>
        <v>152326196310200422</v>
      </c>
      <c r="E5770" s="1" t="s">
        <v>406</v>
      </c>
      <c r="F5770" s="1" t="s">
        <v>16</v>
      </c>
      <c r="G5770" s="1" t="s">
        <v>17</v>
      </c>
      <c r="H5770" s="1" t="str">
        <f>"61"</f>
        <v>61</v>
      </c>
      <c r="I5770" s="1" t="str">
        <f>"164.44"</f>
        <v>164.44</v>
      </c>
      <c r="J5770" s="1" t="str">
        <f t="shared" ref="J5770:N5770" si="3284">"0"</f>
        <v>0</v>
      </c>
      <c r="K5770" s="1" t="str">
        <f t="shared" si="3232"/>
        <v>103</v>
      </c>
      <c r="L5770" s="1" t="str">
        <f t="shared" si="3233"/>
        <v>47</v>
      </c>
      <c r="M5770" s="1" t="str">
        <f t="shared" si="3284"/>
        <v>0</v>
      </c>
      <c r="N5770" s="1" t="str">
        <f t="shared" si="3284"/>
        <v>0</v>
      </c>
      <c r="O5770" s="1" t="str">
        <f>"14.44"</f>
        <v>14.44</v>
      </c>
    </row>
    <row r="5771" s="1" customFormat="1" spans="1:15">
      <c r="A5771" s="1" t="str">
        <f t="shared" si="3274"/>
        <v>202406</v>
      </c>
      <c r="B5771" s="1" t="str">
        <f t="shared" si="3275"/>
        <v>150525100</v>
      </c>
      <c r="C5771" s="1" t="str">
        <f>"1040937481"</f>
        <v>1040937481</v>
      </c>
      <c r="D5771" s="1" t="str">
        <f>"152326196010200914"</f>
        <v>152326196010200914</v>
      </c>
      <c r="E5771" s="1" t="s">
        <v>1947</v>
      </c>
      <c r="F5771" s="1" t="s">
        <v>25</v>
      </c>
      <c r="G5771" s="1" t="s">
        <v>19</v>
      </c>
      <c r="H5771" s="1" t="str">
        <f>"64"</f>
        <v>64</v>
      </c>
      <c r="I5771" s="1" t="str">
        <f>"158.69"</f>
        <v>158.69</v>
      </c>
      <c r="J5771" s="1" t="str">
        <f t="shared" ref="J5771:N5771" si="3285">"0"</f>
        <v>0</v>
      </c>
      <c r="K5771" s="1" t="str">
        <f t="shared" si="3232"/>
        <v>103</v>
      </c>
      <c r="L5771" s="1" t="str">
        <f t="shared" si="3233"/>
        <v>47</v>
      </c>
      <c r="M5771" s="1" t="str">
        <f t="shared" si="3285"/>
        <v>0</v>
      </c>
      <c r="N5771" s="1" t="str">
        <f t="shared" si="3285"/>
        <v>0</v>
      </c>
      <c r="O5771" s="1" t="str">
        <f>"8.69"</f>
        <v>8.69</v>
      </c>
    </row>
    <row r="5772" s="1" customFormat="1" spans="1:15">
      <c r="A5772" s="1" t="str">
        <f t="shared" si="3274"/>
        <v>202406</v>
      </c>
      <c r="B5772" s="1" t="str">
        <f t="shared" si="3275"/>
        <v>150525100</v>
      </c>
      <c r="C5772" s="1" t="str">
        <f>"1040937482"</f>
        <v>1040937482</v>
      </c>
      <c r="D5772" s="1" t="str">
        <f>"152326195708030924"</f>
        <v>152326195708030924</v>
      </c>
      <c r="E5772" s="1" t="s">
        <v>5667</v>
      </c>
      <c r="F5772" s="1" t="s">
        <v>16</v>
      </c>
      <c r="G5772" s="1" t="s">
        <v>19</v>
      </c>
      <c r="H5772" s="1" t="str">
        <f>"67"</f>
        <v>67</v>
      </c>
      <c r="I5772" s="1" t="str">
        <f>"155.23"</f>
        <v>155.23</v>
      </c>
      <c r="J5772" s="1" t="str">
        <f t="shared" ref="J5772:N5772" si="3286">"0"</f>
        <v>0</v>
      </c>
      <c r="K5772" s="1" t="str">
        <f t="shared" si="3232"/>
        <v>103</v>
      </c>
      <c r="L5772" s="1" t="str">
        <f t="shared" si="3233"/>
        <v>47</v>
      </c>
      <c r="M5772" s="1" t="str">
        <f t="shared" si="3286"/>
        <v>0</v>
      </c>
      <c r="N5772" s="1" t="str">
        <f t="shared" si="3286"/>
        <v>0</v>
      </c>
      <c r="O5772" s="1" t="str">
        <f>"5.23"</f>
        <v>5.23</v>
      </c>
    </row>
    <row r="5773" s="1" customFormat="1" spans="1:15">
      <c r="A5773" s="1" t="str">
        <f t="shared" si="3274"/>
        <v>202406</v>
      </c>
      <c r="B5773" s="1" t="str">
        <f t="shared" si="3275"/>
        <v>150525100</v>
      </c>
      <c r="C5773" s="1" t="str">
        <f>"1042687493"</f>
        <v>1042687493</v>
      </c>
      <c r="D5773" s="1" t="str">
        <f>"152326196211180411"</f>
        <v>152326196211180411</v>
      </c>
      <c r="E5773" s="1" t="s">
        <v>5668</v>
      </c>
      <c r="F5773" s="1" t="s">
        <v>25</v>
      </c>
      <c r="G5773" s="1" t="s">
        <v>17</v>
      </c>
      <c r="H5773" s="1" t="str">
        <f>"62"</f>
        <v>62</v>
      </c>
      <c r="I5773" s="1" t="str">
        <f>"166.61"</f>
        <v>166.61</v>
      </c>
      <c r="J5773" s="1" t="str">
        <f t="shared" ref="J5773:N5773" si="3287">"0"</f>
        <v>0</v>
      </c>
      <c r="K5773" s="1" t="str">
        <f t="shared" si="3232"/>
        <v>103</v>
      </c>
      <c r="L5773" s="1" t="str">
        <f t="shared" si="3233"/>
        <v>47</v>
      </c>
      <c r="M5773" s="1" t="str">
        <f t="shared" si="3287"/>
        <v>0</v>
      </c>
      <c r="N5773" s="1" t="str">
        <f t="shared" si="3287"/>
        <v>0</v>
      </c>
      <c r="O5773" s="1" t="str">
        <f>"16.61"</f>
        <v>16.61</v>
      </c>
    </row>
    <row r="5774" s="1" customFormat="1" spans="1:15">
      <c r="A5774" s="1" t="str">
        <f t="shared" si="3274"/>
        <v>202406</v>
      </c>
      <c r="B5774" s="1" t="str">
        <f t="shared" si="3275"/>
        <v>150525100</v>
      </c>
      <c r="C5774" s="1" t="str">
        <f>"1014552328"</f>
        <v>1014552328</v>
      </c>
      <c r="D5774" s="1" t="str">
        <f>"152326195907203824"</f>
        <v>152326195907203824</v>
      </c>
      <c r="E5774" s="1" t="s">
        <v>5669</v>
      </c>
      <c r="F5774" s="1" t="s">
        <v>16</v>
      </c>
      <c r="G5774" s="1" t="s">
        <v>19</v>
      </c>
      <c r="H5774" s="1" t="str">
        <f>"65"</f>
        <v>65</v>
      </c>
      <c r="I5774" s="1" t="str">
        <f>"157.71"</f>
        <v>157.71</v>
      </c>
      <c r="J5774" s="1" t="str">
        <f t="shared" ref="J5774:N5774" si="3288">"0"</f>
        <v>0</v>
      </c>
      <c r="K5774" s="1" t="str">
        <f t="shared" si="3232"/>
        <v>103</v>
      </c>
      <c r="L5774" s="1" t="str">
        <f t="shared" si="3233"/>
        <v>47</v>
      </c>
      <c r="M5774" s="1" t="str">
        <f t="shared" si="3288"/>
        <v>0</v>
      </c>
      <c r="N5774" s="1" t="str">
        <f t="shared" si="3288"/>
        <v>0</v>
      </c>
      <c r="O5774" s="1" t="str">
        <f>"7.71"</f>
        <v>7.71</v>
      </c>
    </row>
    <row r="5775" s="1" customFormat="1" spans="1:15">
      <c r="A5775" s="1" t="str">
        <f t="shared" si="3274"/>
        <v>202406</v>
      </c>
      <c r="B5775" s="1" t="str">
        <f t="shared" si="3275"/>
        <v>150525100</v>
      </c>
      <c r="C5775" s="1" t="str">
        <f>"1014575752"</f>
        <v>1014575752</v>
      </c>
      <c r="D5775" s="1" t="str">
        <f>"152326195410160419"</f>
        <v>152326195410160419</v>
      </c>
      <c r="E5775" s="1" t="s">
        <v>2989</v>
      </c>
      <c r="F5775" s="1" t="s">
        <v>25</v>
      </c>
      <c r="G5775" s="1" t="s">
        <v>17</v>
      </c>
      <c r="H5775" s="1" t="str">
        <f>"70"</f>
        <v>70</v>
      </c>
      <c r="I5775" s="1" t="str">
        <f>"184.22"</f>
        <v>184.22</v>
      </c>
      <c r="J5775" s="1" t="str">
        <f t="shared" ref="J5775:N5775" si="3289">"0"</f>
        <v>0</v>
      </c>
      <c r="K5775" s="1" t="str">
        <f t="shared" si="3232"/>
        <v>103</v>
      </c>
      <c r="L5775" s="1" t="str">
        <f t="shared" si="3233"/>
        <v>47</v>
      </c>
      <c r="M5775" s="1" t="str">
        <f t="shared" si="3289"/>
        <v>0</v>
      </c>
      <c r="N5775" s="1" t="str">
        <f t="shared" si="3289"/>
        <v>0</v>
      </c>
      <c r="O5775" s="1" t="str">
        <f>"34.22"</f>
        <v>34.22</v>
      </c>
    </row>
    <row r="5776" s="1" customFormat="1" spans="1:15">
      <c r="A5776" s="1" t="str">
        <f t="shared" si="3274"/>
        <v>202406</v>
      </c>
      <c r="B5776" s="1" t="str">
        <f t="shared" si="3275"/>
        <v>150525100</v>
      </c>
      <c r="C5776" s="1" t="str">
        <f>"1014575763"</f>
        <v>1014575763</v>
      </c>
      <c r="D5776" s="1" t="str">
        <f>"152326195510250673"</f>
        <v>152326195510250673</v>
      </c>
      <c r="E5776" s="1" t="s">
        <v>5670</v>
      </c>
      <c r="F5776" s="1" t="s">
        <v>25</v>
      </c>
      <c r="G5776" s="1" t="s">
        <v>17</v>
      </c>
      <c r="H5776" s="1" t="str">
        <f>"69"</f>
        <v>69</v>
      </c>
      <c r="I5776" s="1" t="str">
        <f>"155.09"</f>
        <v>155.09</v>
      </c>
      <c r="J5776" s="1" t="str">
        <f t="shared" ref="J5776:N5776" si="3290">"0"</f>
        <v>0</v>
      </c>
      <c r="K5776" s="1" t="str">
        <f t="shared" si="3232"/>
        <v>103</v>
      </c>
      <c r="L5776" s="1" t="str">
        <f t="shared" si="3233"/>
        <v>47</v>
      </c>
      <c r="M5776" s="1" t="str">
        <f t="shared" si="3290"/>
        <v>0</v>
      </c>
      <c r="N5776" s="1" t="str">
        <f t="shared" si="3290"/>
        <v>0</v>
      </c>
      <c r="O5776" s="1" t="str">
        <f>"5.09"</f>
        <v>5.09</v>
      </c>
    </row>
    <row r="5777" s="1" customFormat="1" spans="1:15">
      <c r="A5777" s="1" t="str">
        <f t="shared" si="3274"/>
        <v>202406</v>
      </c>
      <c r="B5777" s="1" t="str">
        <f t="shared" si="3275"/>
        <v>150525100</v>
      </c>
      <c r="C5777" s="1" t="str">
        <f>"1014575765"</f>
        <v>1014575765</v>
      </c>
      <c r="D5777" s="1" t="s">
        <v>5671</v>
      </c>
      <c r="E5777" s="1" t="s">
        <v>5672</v>
      </c>
      <c r="F5777" s="1" t="s">
        <v>25</v>
      </c>
      <c r="G5777" s="1" t="s">
        <v>17</v>
      </c>
      <c r="H5777" s="1" t="str">
        <f>"69"</f>
        <v>69</v>
      </c>
      <c r="I5777" s="1" t="str">
        <f>"155"</f>
        <v>155</v>
      </c>
      <c r="J5777" s="1" t="str">
        <f t="shared" ref="J5777:N5777" si="3291">"0"</f>
        <v>0</v>
      </c>
      <c r="K5777" s="1" t="str">
        <f t="shared" si="3232"/>
        <v>103</v>
      </c>
      <c r="L5777" s="1" t="str">
        <f t="shared" si="3233"/>
        <v>47</v>
      </c>
      <c r="M5777" s="1" t="str">
        <f t="shared" si="3291"/>
        <v>0</v>
      </c>
      <c r="N5777" s="1" t="str">
        <f t="shared" si="3291"/>
        <v>0</v>
      </c>
      <c r="O5777" s="1" t="str">
        <f>"5"</f>
        <v>5</v>
      </c>
    </row>
    <row r="5778" s="1" customFormat="1" spans="1:15">
      <c r="A5778" s="1" t="str">
        <f t="shared" si="3274"/>
        <v>202406</v>
      </c>
      <c r="B5778" s="1" t="str">
        <f t="shared" si="3275"/>
        <v>150525100</v>
      </c>
      <c r="C5778" s="1" t="str">
        <f>"1014575777"</f>
        <v>1014575777</v>
      </c>
      <c r="D5778" s="1" t="str">
        <f>"152326195702280666"</f>
        <v>152326195702280666</v>
      </c>
      <c r="E5778" s="1" t="s">
        <v>5673</v>
      </c>
      <c r="F5778" s="1" t="s">
        <v>16</v>
      </c>
      <c r="G5778" s="1" t="s">
        <v>17</v>
      </c>
      <c r="H5778" s="1" t="str">
        <f>"67"</f>
        <v>67</v>
      </c>
      <c r="I5778" s="1" t="str">
        <f>"156.03"</f>
        <v>156.03</v>
      </c>
      <c r="J5778" s="1" t="str">
        <f t="shared" ref="J5778:N5778" si="3292">"0"</f>
        <v>0</v>
      </c>
      <c r="K5778" s="1" t="str">
        <f t="shared" si="3232"/>
        <v>103</v>
      </c>
      <c r="L5778" s="1" t="str">
        <f t="shared" si="3233"/>
        <v>47</v>
      </c>
      <c r="M5778" s="1" t="str">
        <f t="shared" si="3292"/>
        <v>0</v>
      </c>
      <c r="N5778" s="1" t="str">
        <f t="shared" si="3292"/>
        <v>0</v>
      </c>
      <c r="O5778" s="1" t="str">
        <f>"6.03"</f>
        <v>6.03</v>
      </c>
    </row>
    <row r="5779" s="1" customFormat="1" spans="1:15">
      <c r="A5779" s="1" t="str">
        <f t="shared" si="3274"/>
        <v>202406</v>
      </c>
      <c r="B5779" s="1" t="str">
        <f t="shared" si="3275"/>
        <v>150525100</v>
      </c>
      <c r="C5779" s="1" t="str">
        <f>"1014576105"</f>
        <v>1014576105</v>
      </c>
      <c r="D5779" s="1" t="s">
        <v>5674</v>
      </c>
      <c r="E5779" s="1" t="s">
        <v>919</v>
      </c>
      <c r="F5779" s="1" t="s">
        <v>16</v>
      </c>
      <c r="G5779" s="1" t="s">
        <v>17</v>
      </c>
      <c r="H5779" s="1" t="str">
        <f>"67"</f>
        <v>67</v>
      </c>
      <c r="I5779" s="1" t="str">
        <f>"624.16"</f>
        <v>624.16</v>
      </c>
      <c r="J5779" s="1" t="str">
        <f>"468.12"</f>
        <v>468.12</v>
      </c>
      <c r="K5779" s="1" t="str">
        <f>"412"</f>
        <v>412</v>
      </c>
      <c r="L5779" s="1" t="str">
        <f>"188"</f>
        <v>188</v>
      </c>
      <c r="M5779" s="1" t="str">
        <f>"0"</f>
        <v>0</v>
      </c>
      <c r="N5779" s="1" t="str">
        <f>"0"</f>
        <v>0</v>
      </c>
      <c r="O5779" s="1" t="str">
        <f>"24.16"</f>
        <v>24.16</v>
      </c>
    </row>
    <row r="5780" s="1" customFormat="1" spans="1:15">
      <c r="A5780" s="1" t="str">
        <f t="shared" si="3274"/>
        <v>202406</v>
      </c>
      <c r="B5780" s="1" t="str">
        <f t="shared" si="3275"/>
        <v>150525100</v>
      </c>
      <c r="C5780" s="1" t="str">
        <f>"1014576108"</f>
        <v>1014576108</v>
      </c>
      <c r="D5780" s="1" t="s">
        <v>5675</v>
      </c>
      <c r="E5780" s="1" t="s">
        <v>5676</v>
      </c>
      <c r="F5780" s="1" t="s">
        <v>25</v>
      </c>
      <c r="G5780" s="1" t="s">
        <v>17</v>
      </c>
      <c r="H5780" s="1" t="str">
        <f>"65"</f>
        <v>65</v>
      </c>
      <c r="I5780" s="1" t="str">
        <f>"158.21"</f>
        <v>158.21</v>
      </c>
      <c r="J5780" s="1" t="str">
        <f t="shared" ref="J5780:N5780" si="3293">"0"</f>
        <v>0</v>
      </c>
      <c r="K5780" s="1" t="str">
        <f t="shared" ref="K5780:K5791" si="3294">"103"</f>
        <v>103</v>
      </c>
      <c r="L5780" s="1" t="str">
        <f t="shared" ref="L5780:L5791" si="3295">"47"</f>
        <v>47</v>
      </c>
      <c r="M5780" s="1" t="str">
        <f t="shared" si="3293"/>
        <v>0</v>
      </c>
      <c r="N5780" s="1" t="str">
        <f t="shared" si="3293"/>
        <v>0</v>
      </c>
      <c r="O5780" s="1" t="str">
        <f>"8.21"</f>
        <v>8.21</v>
      </c>
    </row>
    <row r="5781" s="1" customFormat="1" spans="1:15">
      <c r="A5781" s="1" t="str">
        <f t="shared" si="3274"/>
        <v>202406</v>
      </c>
      <c r="B5781" s="1" t="str">
        <f t="shared" si="3275"/>
        <v>150525100</v>
      </c>
      <c r="C5781" s="1" t="str">
        <f>"1014576423"</f>
        <v>1014576423</v>
      </c>
      <c r="D5781" s="1" t="str">
        <f>"152326195204040715"</f>
        <v>152326195204040715</v>
      </c>
      <c r="E5781" s="1" t="s">
        <v>5677</v>
      </c>
      <c r="F5781" s="1" t="s">
        <v>25</v>
      </c>
      <c r="G5781" s="1" t="s">
        <v>17</v>
      </c>
      <c r="H5781" s="1" t="str">
        <f>"72"</f>
        <v>72</v>
      </c>
      <c r="I5781" s="1" t="str">
        <f>"162.14"</f>
        <v>162.14</v>
      </c>
      <c r="J5781" s="1" t="str">
        <f t="shared" ref="J5781:N5781" si="3296">"0"</f>
        <v>0</v>
      </c>
      <c r="K5781" s="1" t="str">
        <f t="shared" si="3294"/>
        <v>103</v>
      </c>
      <c r="L5781" s="1" t="str">
        <f t="shared" si="3295"/>
        <v>47</v>
      </c>
      <c r="M5781" s="1" t="str">
        <f t="shared" si="3296"/>
        <v>0</v>
      </c>
      <c r="N5781" s="1" t="str">
        <f t="shared" si="3296"/>
        <v>0</v>
      </c>
      <c r="O5781" s="1" t="str">
        <f>"2.14"</f>
        <v>2.14</v>
      </c>
    </row>
    <row r="5782" s="1" customFormat="1" spans="1:15">
      <c r="A5782" s="1" t="str">
        <f t="shared" si="3274"/>
        <v>202406</v>
      </c>
      <c r="B5782" s="1" t="str">
        <f t="shared" si="3275"/>
        <v>150525100</v>
      </c>
      <c r="C5782" s="1" t="str">
        <f>"1014576427"</f>
        <v>1014576427</v>
      </c>
      <c r="D5782" s="1" t="str">
        <f>"152326195205300662"</f>
        <v>152326195205300662</v>
      </c>
      <c r="E5782" s="1" t="s">
        <v>5678</v>
      </c>
      <c r="F5782" s="1" t="s">
        <v>16</v>
      </c>
      <c r="G5782" s="1" t="s">
        <v>17</v>
      </c>
      <c r="H5782" s="1" t="str">
        <f>"72"</f>
        <v>72</v>
      </c>
      <c r="I5782" s="1" t="str">
        <f>"162.14"</f>
        <v>162.14</v>
      </c>
      <c r="J5782" s="1" t="str">
        <f t="shared" ref="J5782:N5782" si="3297">"0"</f>
        <v>0</v>
      </c>
      <c r="K5782" s="1" t="str">
        <f t="shared" si="3294"/>
        <v>103</v>
      </c>
      <c r="L5782" s="1" t="str">
        <f t="shared" si="3295"/>
        <v>47</v>
      </c>
      <c r="M5782" s="1" t="str">
        <f t="shared" si="3297"/>
        <v>0</v>
      </c>
      <c r="N5782" s="1" t="str">
        <f t="shared" si="3297"/>
        <v>0</v>
      </c>
      <c r="O5782" s="1" t="str">
        <f>"2.14"</f>
        <v>2.14</v>
      </c>
    </row>
    <row r="5783" s="1" customFormat="1" spans="1:15">
      <c r="A5783" s="1" t="str">
        <f t="shared" si="3274"/>
        <v>202406</v>
      </c>
      <c r="B5783" s="1" t="str">
        <f t="shared" si="3275"/>
        <v>150525100</v>
      </c>
      <c r="C5783" s="1" t="str">
        <f>"1014548093"</f>
        <v>1014548093</v>
      </c>
      <c r="D5783" s="1" t="str">
        <f>"152326195505133085"</f>
        <v>152326195505133085</v>
      </c>
      <c r="E5783" s="1" t="s">
        <v>5679</v>
      </c>
      <c r="F5783" s="1" t="s">
        <v>16</v>
      </c>
      <c r="G5783" s="1" t="s">
        <v>17</v>
      </c>
      <c r="H5783" s="1" t="str">
        <f>"69"</f>
        <v>69</v>
      </c>
      <c r="I5783" s="1" t="str">
        <f>"155.1"</f>
        <v>155.1</v>
      </c>
      <c r="J5783" s="1" t="str">
        <f t="shared" ref="J5783:N5783" si="3298">"0"</f>
        <v>0</v>
      </c>
      <c r="K5783" s="1" t="str">
        <f t="shared" si="3294"/>
        <v>103</v>
      </c>
      <c r="L5783" s="1" t="str">
        <f t="shared" si="3295"/>
        <v>47</v>
      </c>
      <c r="M5783" s="1" t="str">
        <f t="shared" si="3298"/>
        <v>0</v>
      </c>
      <c r="N5783" s="1" t="str">
        <f t="shared" si="3298"/>
        <v>0</v>
      </c>
      <c r="O5783" s="1" t="str">
        <f>"5.1"</f>
        <v>5.1</v>
      </c>
    </row>
    <row r="5784" s="1" customFormat="1" spans="1:15">
      <c r="A5784" s="1" t="str">
        <f t="shared" si="3274"/>
        <v>202406</v>
      </c>
      <c r="B5784" s="1" t="str">
        <f t="shared" si="3275"/>
        <v>150525100</v>
      </c>
      <c r="C5784" s="1" t="str">
        <f>"1014572003"</f>
        <v>1014572003</v>
      </c>
      <c r="D5784" s="1" t="str">
        <f>"152326196006163081"</f>
        <v>152326196006163081</v>
      </c>
      <c r="E5784" s="1" t="s">
        <v>3461</v>
      </c>
      <c r="F5784" s="1" t="s">
        <v>16</v>
      </c>
      <c r="G5784" s="1" t="s">
        <v>17</v>
      </c>
      <c r="H5784" s="1" t="str">
        <f>"64"</f>
        <v>64</v>
      </c>
      <c r="I5784" s="1" t="str">
        <f>"159.24"</f>
        <v>159.24</v>
      </c>
      <c r="J5784" s="1" t="str">
        <f t="shared" ref="J5784:N5784" si="3299">"0"</f>
        <v>0</v>
      </c>
      <c r="K5784" s="1" t="str">
        <f t="shared" si="3294"/>
        <v>103</v>
      </c>
      <c r="L5784" s="1" t="str">
        <f t="shared" si="3295"/>
        <v>47</v>
      </c>
      <c r="M5784" s="1" t="str">
        <f t="shared" si="3299"/>
        <v>0</v>
      </c>
      <c r="N5784" s="1" t="str">
        <f t="shared" si="3299"/>
        <v>0</v>
      </c>
      <c r="O5784" s="1" t="str">
        <f>"9.24"</f>
        <v>9.24</v>
      </c>
    </row>
    <row r="5785" s="1" customFormat="1" spans="1:15">
      <c r="A5785" s="1" t="str">
        <f t="shared" si="3274"/>
        <v>202406</v>
      </c>
      <c r="B5785" s="1" t="str">
        <f t="shared" si="3275"/>
        <v>150525100</v>
      </c>
      <c r="C5785" s="1" t="str">
        <f>"1014572007"</f>
        <v>1014572007</v>
      </c>
      <c r="D5785" s="1" t="str">
        <f>"152326196304270424"</f>
        <v>152326196304270424</v>
      </c>
      <c r="E5785" s="1" t="s">
        <v>5680</v>
      </c>
      <c r="F5785" s="1" t="s">
        <v>16</v>
      </c>
      <c r="G5785" s="1" t="s">
        <v>17</v>
      </c>
      <c r="H5785" s="1" t="str">
        <f>"61"</f>
        <v>61</v>
      </c>
      <c r="I5785" s="1" t="str">
        <f>"167.98"</f>
        <v>167.98</v>
      </c>
      <c r="J5785" s="1" t="str">
        <f t="shared" ref="J5785:N5785" si="3300">"0"</f>
        <v>0</v>
      </c>
      <c r="K5785" s="1" t="str">
        <f t="shared" si="3294"/>
        <v>103</v>
      </c>
      <c r="L5785" s="1" t="str">
        <f t="shared" si="3295"/>
        <v>47</v>
      </c>
      <c r="M5785" s="1" t="str">
        <f t="shared" si="3300"/>
        <v>0</v>
      </c>
      <c r="N5785" s="1" t="str">
        <f t="shared" si="3300"/>
        <v>0</v>
      </c>
      <c r="O5785" s="1" t="str">
        <f>"17.98"</f>
        <v>17.98</v>
      </c>
    </row>
    <row r="5786" s="1" customFormat="1" spans="1:15">
      <c r="A5786" s="1" t="str">
        <f t="shared" si="3274"/>
        <v>202406</v>
      </c>
      <c r="B5786" s="1" t="str">
        <f t="shared" si="3275"/>
        <v>150525100</v>
      </c>
      <c r="C5786" s="1" t="str">
        <f>"1014576636"</f>
        <v>1014576636</v>
      </c>
      <c r="D5786" s="1" t="str">
        <f>"152326195705020691"</f>
        <v>152326195705020691</v>
      </c>
      <c r="E5786" s="1" t="s">
        <v>5681</v>
      </c>
      <c r="F5786" s="1" t="s">
        <v>25</v>
      </c>
      <c r="G5786" s="1" t="s">
        <v>19</v>
      </c>
      <c r="H5786" s="1" t="str">
        <f t="shared" ref="H5786:H5790" si="3301">"67"</f>
        <v>67</v>
      </c>
      <c r="I5786" s="1" t="str">
        <f>"156.06"</f>
        <v>156.06</v>
      </c>
      <c r="J5786" s="1" t="str">
        <f t="shared" ref="J5786:N5786" si="3302">"0"</f>
        <v>0</v>
      </c>
      <c r="K5786" s="1" t="str">
        <f t="shared" si="3294"/>
        <v>103</v>
      </c>
      <c r="L5786" s="1" t="str">
        <f t="shared" si="3295"/>
        <v>47</v>
      </c>
      <c r="M5786" s="1" t="str">
        <f t="shared" si="3302"/>
        <v>0</v>
      </c>
      <c r="N5786" s="1" t="str">
        <f t="shared" si="3302"/>
        <v>0</v>
      </c>
      <c r="O5786" s="1" t="str">
        <f>"6.06"</f>
        <v>6.06</v>
      </c>
    </row>
    <row r="5787" s="1" customFormat="1" spans="1:15">
      <c r="A5787" s="1" t="str">
        <f t="shared" si="3274"/>
        <v>202406</v>
      </c>
      <c r="B5787" s="1" t="str">
        <f t="shared" si="3275"/>
        <v>150525100</v>
      </c>
      <c r="C5787" s="1" t="str">
        <f>"1014576642"</f>
        <v>1014576642</v>
      </c>
      <c r="D5787" s="1" t="str">
        <f>"152326195711060702"</f>
        <v>152326195711060702</v>
      </c>
      <c r="E5787" s="1" t="s">
        <v>5682</v>
      </c>
      <c r="F5787" s="1" t="s">
        <v>16</v>
      </c>
      <c r="G5787" s="1" t="s">
        <v>19</v>
      </c>
      <c r="H5787" s="1" t="str">
        <f t="shared" si="3301"/>
        <v>67</v>
      </c>
      <c r="I5787" s="1" t="str">
        <f>"156.11"</f>
        <v>156.11</v>
      </c>
      <c r="J5787" s="1" t="str">
        <f t="shared" ref="J5787:N5787" si="3303">"0"</f>
        <v>0</v>
      </c>
      <c r="K5787" s="1" t="str">
        <f t="shared" si="3294"/>
        <v>103</v>
      </c>
      <c r="L5787" s="1" t="str">
        <f t="shared" si="3295"/>
        <v>47</v>
      </c>
      <c r="M5787" s="1" t="str">
        <f t="shared" si="3303"/>
        <v>0</v>
      </c>
      <c r="N5787" s="1" t="str">
        <f t="shared" si="3303"/>
        <v>0</v>
      </c>
      <c r="O5787" s="1" t="str">
        <f>"6.11"</f>
        <v>6.11</v>
      </c>
    </row>
    <row r="5788" s="1" customFormat="1" spans="1:15">
      <c r="A5788" s="1" t="str">
        <f t="shared" si="3274"/>
        <v>202406</v>
      </c>
      <c r="B5788" s="1" t="str">
        <f t="shared" si="3275"/>
        <v>150525100</v>
      </c>
      <c r="C5788" s="1" t="str">
        <f>"1014576656"</f>
        <v>1014576656</v>
      </c>
      <c r="D5788" s="1" t="str">
        <f>"152326195305243087"</f>
        <v>152326195305243087</v>
      </c>
      <c r="E5788" s="1" t="s">
        <v>5683</v>
      </c>
      <c r="F5788" s="1" t="s">
        <v>16</v>
      </c>
      <c r="G5788" s="1" t="s">
        <v>17</v>
      </c>
      <c r="H5788" s="1" t="str">
        <f>"71"</f>
        <v>71</v>
      </c>
      <c r="I5788" s="1" t="str">
        <f>"163.16"</f>
        <v>163.16</v>
      </c>
      <c r="J5788" s="1" t="str">
        <f t="shared" ref="J5788:N5788" si="3304">"0"</f>
        <v>0</v>
      </c>
      <c r="K5788" s="1" t="str">
        <f t="shared" si="3294"/>
        <v>103</v>
      </c>
      <c r="L5788" s="1" t="str">
        <f t="shared" si="3295"/>
        <v>47</v>
      </c>
      <c r="M5788" s="1" t="str">
        <f t="shared" si="3304"/>
        <v>0</v>
      </c>
      <c r="N5788" s="1" t="str">
        <f t="shared" si="3304"/>
        <v>0</v>
      </c>
      <c r="O5788" s="1" t="str">
        <f>"3.16"</f>
        <v>3.16</v>
      </c>
    </row>
    <row r="5789" s="1" customFormat="1" spans="1:15">
      <c r="A5789" s="1" t="str">
        <f t="shared" si="3274"/>
        <v>202406</v>
      </c>
      <c r="B5789" s="1" t="str">
        <f t="shared" si="3275"/>
        <v>150525100</v>
      </c>
      <c r="C5789" s="1" t="str">
        <f>"1014548038"</f>
        <v>1014548038</v>
      </c>
      <c r="D5789" s="1" t="str">
        <f>"152326195404183817"</f>
        <v>152326195404183817</v>
      </c>
      <c r="E5789" s="1" t="s">
        <v>5684</v>
      </c>
      <c r="F5789" s="1" t="s">
        <v>25</v>
      </c>
      <c r="G5789" s="1" t="s">
        <v>17</v>
      </c>
      <c r="H5789" s="1" t="str">
        <f>"70"</f>
        <v>70</v>
      </c>
      <c r="I5789" s="1" t="str">
        <f>"163.91"</f>
        <v>163.91</v>
      </c>
      <c r="J5789" s="1" t="str">
        <f t="shared" ref="J5789:N5789" si="3305">"0"</f>
        <v>0</v>
      </c>
      <c r="K5789" s="1" t="str">
        <f t="shared" si="3294"/>
        <v>103</v>
      </c>
      <c r="L5789" s="1" t="str">
        <f t="shared" si="3295"/>
        <v>47</v>
      </c>
      <c r="M5789" s="1" t="str">
        <f t="shared" si="3305"/>
        <v>0</v>
      </c>
      <c r="N5789" s="1" t="str">
        <f t="shared" si="3305"/>
        <v>0</v>
      </c>
      <c r="O5789" s="1" t="str">
        <f>"3.91"</f>
        <v>3.91</v>
      </c>
    </row>
    <row r="5790" s="1" customFormat="1" spans="1:15">
      <c r="A5790" s="1" t="str">
        <f t="shared" si="3274"/>
        <v>202406</v>
      </c>
      <c r="B5790" s="1" t="str">
        <f t="shared" si="3275"/>
        <v>150525100</v>
      </c>
      <c r="C5790" s="1" t="str">
        <f>"1014548125"</f>
        <v>1014548125</v>
      </c>
      <c r="D5790" s="1" t="str">
        <f>"152326195712163084"</f>
        <v>152326195712163084</v>
      </c>
      <c r="E5790" s="1" t="s">
        <v>5685</v>
      </c>
      <c r="F5790" s="1" t="s">
        <v>16</v>
      </c>
      <c r="G5790" s="1" t="s">
        <v>17</v>
      </c>
      <c r="H5790" s="1" t="str">
        <f t="shared" si="3301"/>
        <v>67</v>
      </c>
      <c r="I5790" s="1" t="str">
        <f>"156.12"</f>
        <v>156.12</v>
      </c>
      <c r="J5790" s="1" t="str">
        <f t="shared" ref="J5790:N5790" si="3306">"0"</f>
        <v>0</v>
      </c>
      <c r="K5790" s="1" t="str">
        <f t="shared" si="3294"/>
        <v>103</v>
      </c>
      <c r="L5790" s="1" t="str">
        <f t="shared" si="3295"/>
        <v>47</v>
      </c>
      <c r="M5790" s="1" t="str">
        <f t="shared" si="3306"/>
        <v>0</v>
      </c>
      <c r="N5790" s="1" t="str">
        <f t="shared" si="3306"/>
        <v>0</v>
      </c>
      <c r="O5790" s="1" t="str">
        <f>"6.12"</f>
        <v>6.12</v>
      </c>
    </row>
    <row r="5791" s="1" customFormat="1" spans="1:15">
      <c r="A5791" s="1" t="str">
        <f t="shared" si="3274"/>
        <v>202406</v>
      </c>
      <c r="B5791" s="1" t="str">
        <f t="shared" si="3275"/>
        <v>150525100</v>
      </c>
      <c r="C5791" s="1" t="str">
        <f>"1014548128"</f>
        <v>1014548128</v>
      </c>
      <c r="D5791" s="1" t="str">
        <f>"152326195910163077"</f>
        <v>152326195910163077</v>
      </c>
      <c r="E5791" s="1" t="s">
        <v>5686</v>
      </c>
      <c r="F5791" s="1" t="s">
        <v>25</v>
      </c>
      <c r="G5791" s="1" t="s">
        <v>17</v>
      </c>
      <c r="H5791" s="1" t="str">
        <f>"65"</f>
        <v>65</v>
      </c>
      <c r="I5791" s="1" t="str">
        <f>"158.2"</f>
        <v>158.2</v>
      </c>
      <c r="J5791" s="1" t="str">
        <f t="shared" ref="J5791:N5791" si="3307">"0"</f>
        <v>0</v>
      </c>
      <c r="K5791" s="1" t="str">
        <f t="shared" si="3294"/>
        <v>103</v>
      </c>
      <c r="L5791" s="1" t="str">
        <f t="shared" si="3295"/>
        <v>47</v>
      </c>
      <c r="M5791" s="1" t="str">
        <f t="shared" si="3307"/>
        <v>0</v>
      </c>
      <c r="N5791" s="1" t="str">
        <f t="shared" si="3307"/>
        <v>0</v>
      </c>
      <c r="O5791" s="1" t="str">
        <f>"8.2"</f>
        <v>8.2</v>
      </c>
    </row>
    <row r="5792" s="1" customFormat="1" spans="1:15">
      <c r="A5792" s="1" t="str">
        <f t="shared" si="3274"/>
        <v>202406</v>
      </c>
      <c r="B5792" s="1" t="str">
        <f t="shared" si="3275"/>
        <v>150525100</v>
      </c>
      <c r="C5792" s="1" t="str">
        <f>"1014576465"</f>
        <v>1014576465</v>
      </c>
      <c r="D5792" s="1" t="s">
        <v>5687</v>
      </c>
      <c r="E5792" s="1" t="s">
        <v>5688</v>
      </c>
      <c r="F5792" s="1" t="s">
        <v>25</v>
      </c>
      <c r="G5792" s="1" t="s">
        <v>19</v>
      </c>
      <c r="H5792" s="1" t="str">
        <f>"67"</f>
        <v>67</v>
      </c>
      <c r="I5792" s="1" t="str">
        <f>"936.66"</f>
        <v>936.66</v>
      </c>
      <c r="J5792" s="1" t="str">
        <f>"780.55"</f>
        <v>780.55</v>
      </c>
      <c r="K5792" s="1" t="str">
        <f>"618"</f>
        <v>618</v>
      </c>
      <c r="L5792" s="1" t="str">
        <f>"282"</f>
        <v>282</v>
      </c>
      <c r="M5792" s="1" t="str">
        <f>"0"</f>
        <v>0</v>
      </c>
      <c r="N5792" s="1" t="str">
        <f>"0"</f>
        <v>0</v>
      </c>
      <c r="O5792" s="1" t="str">
        <f>"36.66"</f>
        <v>36.66</v>
      </c>
    </row>
    <row r="5793" s="1" customFormat="1" spans="1:15">
      <c r="A5793" s="1" t="str">
        <f t="shared" si="3274"/>
        <v>202406</v>
      </c>
      <c r="B5793" s="1" t="str">
        <f t="shared" si="3275"/>
        <v>150525100</v>
      </c>
      <c r="C5793" s="1" t="str">
        <f>"1014576470"</f>
        <v>1014576470</v>
      </c>
      <c r="D5793" s="1" t="s">
        <v>5689</v>
      </c>
      <c r="E5793" s="1" t="s">
        <v>329</v>
      </c>
      <c r="F5793" s="1" t="s">
        <v>16</v>
      </c>
      <c r="G5793" s="1" t="s">
        <v>19</v>
      </c>
      <c r="H5793" s="1" t="str">
        <f>"62"</f>
        <v>62</v>
      </c>
      <c r="I5793" s="1" t="str">
        <f>"165.47"</f>
        <v>165.47</v>
      </c>
      <c r="J5793" s="1" t="str">
        <f t="shared" ref="J5793:N5793" si="3308">"0"</f>
        <v>0</v>
      </c>
      <c r="K5793" s="1" t="str">
        <f t="shared" ref="K5793:K5809" si="3309">"103"</f>
        <v>103</v>
      </c>
      <c r="L5793" s="1" t="str">
        <f t="shared" ref="L5793:L5809" si="3310">"47"</f>
        <v>47</v>
      </c>
      <c r="M5793" s="1" t="str">
        <f t="shared" si="3308"/>
        <v>0</v>
      </c>
      <c r="N5793" s="1" t="str">
        <f t="shared" si="3308"/>
        <v>0</v>
      </c>
      <c r="O5793" s="1" t="str">
        <f>"15.47"</f>
        <v>15.47</v>
      </c>
    </row>
    <row r="5794" s="1" customFormat="1" spans="1:15">
      <c r="A5794" s="1" t="str">
        <f t="shared" si="3274"/>
        <v>202406</v>
      </c>
      <c r="B5794" s="1" t="str">
        <f t="shared" si="3275"/>
        <v>150525100</v>
      </c>
      <c r="C5794" s="1" t="str">
        <f>"1014576479"</f>
        <v>1014576479</v>
      </c>
      <c r="D5794" s="1" t="str">
        <f>"152326195907226372"</f>
        <v>152326195907226372</v>
      </c>
      <c r="E5794" s="1" t="s">
        <v>5690</v>
      </c>
      <c r="F5794" s="1" t="s">
        <v>25</v>
      </c>
      <c r="G5794" s="1" t="s">
        <v>17</v>
      </c>
      <c r="H5794" s="1" t="str">
        <f>"65"</f>
        <v>65</v>
      </c>
      <c r="I5794" s="1" t="str">
        <f>"157.94"</f>
        <v>157.94</v>
      </c>
      <c r="J5794" s="1" t="str">
        <f t="shared" ref="J5794:N5794" si="3311">"0"</f>
        <v>0</v>
      </c>
      <c r="K5794" s="1" t="str">
        <f t="shared" si="3309"/>
        <v>103</v>
      </c>
      <c r="L5794" s="1" t="str">
        <f t="shared" si="3310"/>
        <v>47</v>
      </c>
      <c r="M5794" s="1" t="str">
        <f t="shared" si="3311"/>
        <v>0</v>
      </c>
      <c r="N5794" s="1" t="str">
        <f t="shared" si="3311"/>
        <v>0</v>
      </c>
      <c r="O5794" s="1" t="str">
        <f>"7.94"</f>
        <v>7.94</v>
      </c>
    </row>
    <row r="5795" s="1" customFormat="1" spans="1:15">
      <c r="A5795" s="1" t="str">
        <f t="shared" si="3274"/>
        <v>202406</v>
      </c>
      <c r="B5795" s="1" t="str">
        <f t="shared" si="3275"/>
        <v>150525100</v>
      </c>
      <c r="C5795" s="1" t="str">
        <f>"1014576724"</f>
        <v>1014576724</v>
      </c>
      <c r="D5795" s="1" t="str">
        <f>"152326195506170670"</f>
        <v>152326195506170670</v>
      </c>
      <c r="E5795" s="1" t="s">
        <v>5691</v>
      </c>
      <c r="F5795" s="1" t="s">
        <v>25</v>
      </c>
      <c r="G5795" s="1" t="s">
        <v>17</v>
      </c>
      <c r="H5795" s="1" t="str">
        <f>"69"</f>
        <v>69</v>
      </c>
      <c r="I5795" s="1" t="str">
        <f>"155.1"</f>
        <v>155.1</v>
      </c>
      <c r="J5795" s="1" t="str">
        <f t="shared" ref="J5795:N5795" si="3312">"0"</f>
        <v>0</v>
      </c>
      <c r="K5795" s="1" t="str">
        <f t="shared" si="3309"/>
        <v>103</v>
      </c>
      <c r="L5795" s="1" t="str">
        <f t="shared" si="3310"/>
        <v>47</v>
      </c>
      <c r="M5795" s="1" t="str">
        <f t="shared" si="3312"/>
        <v>0</v>
      </c>
      <c r="N5795" s="1" t="str">
        <f t="shared" si="3312"/>
        <v>0</v>
      </c>
      <c r="O5795" s="1" t="str">
        <f>"5.1"</f>
        <v>5.1</v>
      </c>
    </row>
    <row r="5796" s="1" customFormat="1" spans="1:15">
      <c r="A5796" s="1" t="str">
        <f t="shared" si="3274"/>
        <v>202406</v>
      </c>
      <c r="B5796" s="1" t="str">
        <f t="shared" si="3275"/>
        <v>150525100</v>
      </c>
      <c r="C5796" s="1" t="str">
        <f>"1014576959"</f>
        <v>1014576959</v>
      </c>
      <c r="D5796" s="1" t="s">
        <v>5692</v>
      </c>
      <c r="E5796" s="1" t="s">
        <v>1300</v>
      </c>
      <c r="F5796" s="1" t="s">
        <v>16</v>
      </c>
      <c r="G5796" s="1" t="s">
        <v>17</v>
      </c>
      <c r="H5796" s="1" t="str">
        <f>"62"</f>
        <v>62</v>
      </c>
      <c r="I5796" s="1" t="str">
        <f>"163.15"</f>
        <v>163.15</v>
      </c>
      <c r="J5796" s="1" t="str">
        <f t="shared" ref="J5796:N5796" si="3313">"0"</f>
        <v>0</v>
      </c>
      <c r="K5796" s="1" t="str">
        <f t="shared" si="3309"/>
        <v>103</v>
      </c>
      <c r="L5796" s="1" t="str">
        <f t="shared" si="3310"/>
        <v>47</v>
      </c>
      <c r="M5796" s="1" t="str">
        <f t="shared" si="3313"/>
        <v>0</v>
      </c>
      <c r="N5796" s="1" t="str">
        <f t="shared" si="3313"/>
        <v>0</v>
      </c>
      <c r="O5796" s="1" t="str">
        <f>"13.15"</f>
        <v>13.15</v>
      </c>
    </row>
    <row r="5797" s="1" customFormat="1" spans="1:15">
      <c r="A5797" s="1" t="str">
        <f t="shared" si="3274"/>
        <v>202406</v>
      </c>
      <c r="B5797" s="1" t="str">
        <f t="shared" si="3275"/>
        <v>150525100</v>
      </c>
      <c r="C5797" s="1" t="str">
        <f>"1014570282"</f>
        <v>1014570282</v>
      </c>
      <c r="D5797" s="1" t="str">
        <f>"152326195404063823"</f>
        <v>152326195404063823</v>
      </c>
      <c r="E5797" s="1" t="s">
        <v>980</v>
      </c>
      <c r="F5797" s="1" t="s">
        <v>16</v>
      </c>
      <c r="G5797" s="1" t="s">
        <v>96</v>
      </c>
      <c r="H5797" s="1" t="str">
        <f>"70"</f>
        <v>70</v>
      </c>
      <c r="I5797" s="1" t="str">
        <f>"164.15"</f>
        <v>164.15</v>
      </c>
      <c r="J5797" s="1" t="str">
        <f t="shared" ref="J5797:N5797" si="3314">"0"</f>
        <v>0</v>
      </c>
      <c r="K5797" s="1" t="str">
        <f t="shared" si="3309"/>
        <v>103</v>
      </c>
      <c r="L5797" s="1" t="str">
        <f t="shared" si="3310"/>
        <v>47</v>
      </c>
      <c r="M5797" s="1" t="str">
        <f t="shared" si="3314"/>
        <v>0</v>
      </c>
      <c r="N5797" s="1" t="str">
        <f t="shared" si="3314"/>
        <v>0</v>
      </c>
      <c r="O5797" s="1" t="str">
        <f>"4.15"</f>
        <v>4.15</v>
      </c>
    </row>
    <row r="5798" s="1" customFormat="1" spans="1:15">
      <c r="A5798" s="1" t="str">
        <f t="shared" si="3274"/>
        <v>202406</v>
      </c>
      <c r="B5798" s="1" t="str">
        <f t="shared" si="3275"/>
        <v>150525100</v>
      </c>
      <c r="C5798" s="1" t="str">
        <f>"1014570400"</f>
        <v>1014570400</v>
      </c>
      <c r="D5798" s="1" t="str">
        <f>"152326195609183810"</f>
        <v>152326195609183810</v>
      </c>
      <c r="E5798" s="1" t="s">
        <v>5693</v>
      </c>
      <c r="F5798" s="1" t="s">
        <v>25</v>
      </c>
      <c r="G5798" s="1" t="s">
        <v>17</v>
      </c>
      <c r="H5798" s="1" t="str">
        <f>"68"</f>
        <v>68</v>
      </c>
      <c r="I5798" s="1" t="str">
        <f>"156.02"</f>
        <v>156.02</v>
      </c>
      <c r="J5798" s="1" t="str">
        <f t="shared" ref="J5798:N5798" si="3315">"0"</f>
        <v>0</v>
      </c>
      <c r="K5798" s="1" t="str">
        <f t="shared" si="3309"/>
        <v>103</v>
      </c>
      <c r="L5798" s="1" t="str">
        <f t="shared" si="3310"/>
        <v>47</v>
      </c>
      <c r="M5798" s="1" t="str">
        <f t="shared" si="3315"/>
        <v>0</v>
      </c>
      <c r="N5798" s="1" t="str">
        <f t="shared" si="3315"/>
        <v>0</v>
      </c>
      <c r="O5798" s="1" t="str">
        <f>"6.02"</f>
        <v>6.02</v>
      </c>
    </row>
    <row r="5799" s="1" customFormat="1" spans="1:15">
      <c r="A5799" s="1" t="str">
        <f t="shared" si="3274"/>
        <v>202406</v>
      </c>
      <c r="B5799" s="1" t="str">
        <f t="shared" si="3275"/>
        <v>150525100</v>
      </c>
      <c r="C5799" s="1" t="str">
        <f>"1014570406"</f>
        <v>1014570406</v>
      </c>
      <c r="D5799" s="1" t="str">
        <f>"152326195301183822"</f>
        <v>152326195301183822</v>
      </c>
      <c r="E5799" s="1" t="s">
        <v>5694</v>
      </c>
      <c r="F5799" s="1" t="s">
        <v>16</v>
      </c>
      <c r="G5799" s="1" t="s">
        <v>17</v>
      </c>
      <c r="H5799" s="1" t="str">
        <f>"71"</f>
        <v>71</v>
      </c>
      <c r="I5799" s="1" t="str">
        <f>"163.17"</f>
        <v>163.17</v>
      </c>
      <c r="J5799" s="1" t="str">
        <f t="shared" ref="J5799:N5799" si="3316">"0"</f>
        <v>0</v>
      </c>
      <c r="K5799" s="1" t="str">
        <f t="shared" si="3309"/>
        <v>103</v>
      </c>
      <c r="L5799" s="1" t="str">
        <f t="shared" si="3310"/>
        <v>47</v>
      </c>
      <c r="M5799" s="1" t="str">
        <f t="shared" si="3316"/>
        <v>0</v>
      </c>
      <c r="N5799" s="1" t="str">
        <f t="shared" si="3316"/>
        <v>0</v>
      </c>
      <c r="O5799" s="1" t="str">
        <f>"3.17"</f>
        <v>3.17</v>
      </c>
    </row>
    <row r="5800" s="1" customFormat="1" spans="1:15">
      <c r="A5800" s="1" t="str">
        <f t="shared" si="3274"/>
        <v>202406</v>
      </c>
      <c r="B5800" s="1" t="str">
        <f t="shared" si="3275"/>
        <v>150525100</v>
      </c>
      <c r="C5800" s="1" t="str">
        <f>"1014570407"</f>
        <v>1014570407</v>
      </c>
      <c r="D5800" s="1" t="str">
        <f>"152326195204073816"</f>
        <v>152326195204073816</v>
      </c>
      <c r="E5800" s="1" t="s">
        <v>5695</v>
      </c>
      <c r="F5800" s="1" t="s">
        <v>25</v>
      </c>
      <c r="G5800" s="1" t="s">
        <v>17</v>
      </c>
      <c r="H5800" s="1" t="str">
        <f>"72"</f>
        <v>72</v>
      </c>
      <c r="I5800" s="1" t="str">
        <f>"162.16"</f>
        <v>162.16</v>
      </c>
      <c r="J5800" s="1" t="str">
        <f t="shared" ref="J5800:N5800" si="3317">"0"</f>
        <v>0</v>
      </c>
      <c r="K5800" s="1" t="str">
        <f t="shared" si="3309"/>
        <v>103</v>
      </c>
      <c r="L5800" s="1" t="str">
        <f t="shared" si="3310"/>
        <v>47</v>
      </c>
      <c r="M5800" s="1" t="str">
        <f t="shared" si="3317"/>
        <v>0</v>
      </c>
      <c r="N5800" s="1" t="str">
        <f t="shared" si="3317"/>
        <v>0</v>
      </c>
      <c r="O5800" s="1" t="str">
        <f>"2.16"</f>
        <v>2.16</v>
      </c>
    </row>
    <row r="5801" s="1" customFormat="1" spans="1:15">
      <c r="A5801" s="1" t="str">
        <f t="shared" si="3274"/>
        <v>202406</v>
      </c>
      <c r="B5801" s="1" t="str">
        <f t="shared" si="3275"/>
        <v>150525100</v>
      </c>
      <c r="C5801" s="1" t="str">
        <f>"1014552453"</f>
        <v>1014552453</v>
      </c>
      <c r="D5801" s="1" t="str">
        <f>"152326195802123860"</f>
        <v>152326195802123860</v>
      </c>
      <c r="E5801" s="1" t="s">
        <v>5696</v>
      </c>
      <c r="F5801" s="1" t="s">
        <v>16</v>
      </c>
      <c r="G5801" s="1" t="s">
        <v>19</v>
      </c>
      <c r="H5801" s="1" t="str">
        <f>"66"</f>
        <v>66</v>
      </c>
      <c r="I5801" s="1" t="str">
        <f>"157.58"</f>
        <v>157.58</v>
      </c>
      <c r="J5801" s="1" t="str">
        <f t="shared" ref="J5801:N5801" si="3318">"0"</f>
        <v>0</v>
      </c>
      <c r="K5801" s="1" t="str">
        <f t="shared" si="3309"/>
        <v>103</v>
      </c>
      <c r="L5801" s="1" t="str">
        <f t="shared" si="3310"/>
        <v>47</v>
      </c>
      <c r="M5801" s="1" t="str">
        <f t="shared" si="3318"/>
        <v>0</v>
      </c>
      <c r="N5801" s="1" t="str">
        <f t="shared" si="3318"/>
        <v>0</v>
      </c>
      <c r="O5801" s="1" t="str">
        <f>"7.58"</f>
        <v>7.58</v>
      </c>
    </row>
    <row r="5802" s="1" customFormat="1" spans="1:15">
      <c r="A5802" s="1" t="str">
        <f t="shared" si="3274"/>
        <v>202406</v>
      </c>
      <c r="B5802" s="1" t="str">
        <f t="shared" si="3275"/>
        <v>150525100</v>
      </c>
      <c r="C5802" s="1" t="str">
        <f>"1014548240"</f>
        <v>1014548240</v>
      </c>
      <c r="D5802" s="1" t="str">
        <f>"152326196107060671"</f>
        <v>152326196107060671</v>
      </c>
      <c r="E5802" s="1" t="s">
        <v>5697</v>
      </c>
      <c r="F5802" s="1" t="s">
        <v>25</v>
      </c>
      <c r="G5802" s="1" t="s">
        <v>19</v>
      </c>
      <c r="H5802" s="1" t="str">
        <f>"63"</f>
        <v>63</v>
      </c>
      <c r="I5802" s="1" t="str">
        <f>"176.42"</f>
        <v>176.42</v>
      </c>
      <c r="J5802" s="1" t="str">
        <f t="shared" ref="J5802:N5802" si="3319">"0"</f>
        <v>0</v>
      </c>
      <c r="K5802" s="1" t="str">
        <f t="shared" si="3309"/>
        <v>103</v>
      </c>
      <c r="L5802" s="1" t="str">
        <f t="shared" si="3310"/>
        <v>47</v>
      </c>
      <c r="M5802" s="1" t="str">
        <f t="shared" si="3319"/>
        <v>0</v>
      </c>
      <c r="N5802" s="1" t="str">
        <f t="shared" si="3319"/>
        <v>0</v>
      </c>
      <c r="O5802" s="1" t="str">
        <f>"26.42"</f>
        <v>26.42</v>
      </c>
    </row>
    <row r="5803" s="1" customFormat="1" spans="1:15">
      <c r="A5803" s="1" t="str">
        <f t="shared" si="3274"/>
        <v>202406</v>
      </c>
      <c r="B5803" s="1" t="str">
        <f t="shared" si="3275"/>
        <v>150525100</v>
      </c>
      <c r="C5803" s="1" t="str">
        <f>"1014570434"</f>
        <v>1014570434</v>
      </c>
      <c r="D5803" s="1" t="str">
        <f>"152326195901123815"</f>
        <v>152326195901123815</v>
      </c>
      <c r="E5803" s="1" t="s">
        <v>5698</v>
      </c>
      <c r="F5803" s="1" t="s">
        <v>25</v>
      </c>
      <c r="G5803" s="1" t="s">
        <v>17</v>
      </c>
      <c r="H5803" s="1" t="str">
        <f>"65"</f>
        <v>65</v>
      </c>
      <c r="I5803" s="1" t="str">
        <f>"159.51"</f>
        <v>159.51</v>
      </c>
      <c r="J5803" s="1" t="str">
        <f t="shared" ref="J5803:N5803" si="3320">"0"</f>
        <v>0</v>
      </c>
      <c r="K5803" s="1" t="str">
        <f t="shared" si="3309"/>
        <v>103</v>
      </c>
      <c r="L5803" s="1" t="str">
        <f t="shared" si="3310"/>
        <v>47</v>
      </c>
      <c r="M5803" s="1" t="str">
        <f t="shared" si="3320"/>
        <v>0</v>
      </c>
      <c r="N5803" s="1" t="str">
        <f t="shared" si="3320"/>
        <v>0</v>
      </c>
      <c r="O5803" s="1" t="str">
        <f>"9.51"</f>
        <v>9.51</v>
      </c>
    </row>
    <row r="5804" s="1" customFormat="1" spans="1:15">
      <c r="A5804" s="1" t="str">
        <f t="shared" si="3274"/>
        <v>202406</v>
      </c>
      <c r="B5804" s="1" t="str">
        <f t="shared" si="3275"/>
        <v>150525100</v>
      </c>
      <c r="C5804" s="1" t="str">
        <f>"1014570442"</f>
        <v>1014570442</v>
      </c>
      <c r="D5804" s="1" t="str">
        <f>"152326195211273840"</f>
        <v>152326195211273840</v>
      </c>
      <c r="E5804" s="1" t="s">
        <v>5699</v>
      </c>
      <c r="F5804" s="1" t="s">
        <v>16</v>
      </c>
      <c r="G5804" s="1" t="s">
        <v>17</v>
      </c>
      <c r="H5804" s="1" t="str">
        <f t="shared" ref="H5804:H5808" si="3321">"72"</f>
        <v>72</v>
      </c>
      <c r="I5804" s="1" t="str">
        <f>"162.16"</f>
        <v>162.16</v>
      </c>
      <c r="J5804" s="1" t="str">
        <f t="shared" ref="J5804:N5804" si="3322">"0"</f>
        <v>0</v>
      </c>
      <c r="K5804" s="1" t="str">
        <f t="shared" si="3309"/>
        <v>103</v>
      </c>
      <c r="L5804" s="1" t="str">
        <f t="shared" si="3310"/>
        <v>47</v>
      </c>
      <c r="M5804" s="1" t="str">
        <f t="shared" si="3322"/>
        <v>0</v>
      </c>
      <c r="N5804" s="1" t="str">
        <f t="shared" si="3322"/>
        <v>0</v>
      </c>
      <c r="O5804" s="1" t="str">
        <f>"2.16"</f>
        <v>2.16</v>
      </c>
    </row>
    <row r="5805" s="1" customFormat="1" spans="1:15">
      <c r="A5805" s="1" t="str">
        <f t="shared" si="3274"/>
        <v>202406</v>
      </c>
      <c r="B5805" s="1" t="str">
        <f t="shared" si="3275"/>
        <v>150525100</v>
      </c>
      <c r="C5805" s="1" t="str">
        <f>"1014576789"</f>
        <v>1014576789</v>
      </c>
      <c r="D5805" s="1" t="str">
        <f>"152326195501010694"</f>
        <v>152326195501010694</v>
      </c>
      <c r="E5805" s="1" t="s">
        <v>5700</v>
      </c>
      <c r="F5805" s="1" t="s">
        <v>25</v>
      </c>
      <c r="G5805" s="1" t="s">
        <v>17</v>
      </c>
      <c r="H5805" s="1" t="str">
        <f>"70"</f>
        <v>70</v>
      </c>
      <c r="I5805" s="1" t="str">
        <f>"154.96"</f>
        <v>154.96</v>
      </c>
      <c r="J5805" s="1" t="str">
        <f t="shared" ref="J5805:N5805" si="3323">"0"</f>
        <v>0</v>
      </c>
      <c r="K5805" s="1" t="str">
        <f t="shared" si="3309"/>
        <v>103</v>
      </c>
      <c r="L5805" s="1" t="str">
        <f t="shared" si="3310"/>
        <v>47</v>
      </c>
      <c r="M5805" s="1" t="str">
        <f t="shared" si="3323"/>
        <v>0</v>
      </c>
      <c r="N5805" s="1" t="str">
        <f t="shared" si="3323"/>
        <v>0</v>
      </c>
      <c r="O5805" s="1" t="str">
        <f>"4.96"</f>
        <v>4.96</v>
      </c>
    </row>
    <row r="5806" s="1" customFormat="1" spans="1:15">
      <c r="A5806" s="1" t="str">
        <f t="shared" si="3274"/>
        <v>202406</v>
      </c>
      <c r="B5806" s="1" t="str">
        <f t="shared" si="3275"/>
        <v>150525100</v>
      </c>
      <c r="C5806" s="1" t="str">
        <f>"1014577027"</f>
        <v>1014577027</v>
      </c>
      <c r="D5806" s="1" t="str">
        <f>"152326195205150676"</f>
        <v>152326195205150676</v>
      </c>
      <c r="E5806" s="1" t="s">
        <v>5701</v>
      </c>
      <c r="F5806" s="1" t="s">
        <v>25</v>
      </c>
      <c r="G5806" s="1" t="s">
        <v>17</v>
      </c>
      <c r="H5806" s="1" t="str">
        <f t="shared" si="3321"/>
        <v>72</v>
      </c>
      <c r="I5806" s="1" t="str">
        <f>"162.14"</f>
        <v>162.14</v>
      </c>
      <c r="J5806" s="1" t="str">
        <f t="shared" ref="J5806:N5806" si="3324">"0"</f>
        <v>0</v>
      </c>
      <c r="K5806" s="1" t="str">
        <f t="shared" si="3309"/>
        <v>103</v>
      </c>
      <c r="L5806" s="1" t="str">
        <f t="shared" si="3310"/>
        <v>47</v>
      </c>
      <c r="M5806" s="1" t="str">
        <f t="shared" si="3324"/>
        <v>0</v>
      </c>
      <c r="N5806" s="1" t="str">
        <f t="shared" si="3324"/>
        <v>0</v>
      </c>
      <c r="O5806" s="1" t="str">
        <f>"2.14"</f>
        <v>2.14</v>
      </c>
    </row>
    <row r="5807" s="1" customFormat="1" spans="1:15">
      <c r="A5807" s="1" t="str">
        <f t="shared" si="3274"/>
        <v>202406</v>
      </c>
      <c r="B5807" s="1" t="str">
        <f t="shared" si="3275"/>
        <v>150525100</v>
      </c>
      <c r="C5807" s="1" t="str">
        <f>"1014577040"</f>
        <v>1014577040</v>
      </c>
      <c r="D5807" s="1" t="str">
        <f>"152326195306190669"</f>
        <v>152326195306190669</v>
      </c>
      <c r="E5807" s="1" t="s">
        <v>5702</v>
      </c>
      <c r="F5807" s="1" t="s">
        <v>16</v>
      </c>
      <c r="G5807" s="1" t="s">
        <v>17</v>
      </c>
      <c r="H5807" s="1" t="str">
        <f>"71"</f>
        <v>71</v>
      </c>
      <c r="I5807" s="1" t="str">
        <f>"163.16"</f>
        <v>163.16</v>
      </c>
      <c r="J5807" s="1" t="str">
        <f t="shared" ref="J5807:N5807" si="3325">"0"</f>
        <v>0</v>
      </c>
      <c r="K5807" s="1" t="str">
        <f t="shared" si="3309"/>
        <v>103</v>
      </c>
      <c r="L5807" s="1" t="str">
        <f t="shared" si="3310"/>
        <v>47</v>
      </c>
      <c r="M5807" s="1" t="str">
        <f t="shared" si="3325"/>
        <v>0</v>
      </c>
      <c r="N5807" s="1" t="str">
        <f t="shared" si="3325"/>
        <v>0</v>
      </c>
      <c r="O5807" s="1" t="str">
        <f>"3.16"</f>
        <v>3.16</v>
      </c>
    </row>
    <row r="5808" s="1" customFormat="1" spans="1:15">
      <c r="A5808" s="1" t="str">
        <f t="shared" si="3274"/>
        <v>202406</v>
      </c>
      <c r="B5808" s="1" t="str">
        <f t="shared" si="3275"/>
        <v>150525100</v>
      </c>
      <c r="C5808" s="1" t="str">
        <f>"1014572506"</f>
        <v>1014572506</v>
      </c>
      <c r="D5808" s="1" t="str">
        <f>"152326195205170415"</f>
        <v>152326195205170415</v>
      </c>
      <c r="E5808" s="1" t="s">
        <v>5703</v>
      </c>
      <c r="F5808" s="1" t="s">
        <v>25</v>
      </c>
      <c r="G5808" s="1" t="s">
        <v>17</v>
      </c>
      <c r="H5808" s="1" t="str">
        <f t="shared" si="3321"/>
        <v>72</v>
      </c>
      <c r="I5808" s="1" t="str">
        <f>"162.14"</f>
        <v>162.14</v>
      </c>
      <c r="J5808" s="1" t="str">
        <f t="shared" ref="J5808:N5808" si="3326">"0"</f>
        <v>0</v>
      </c>
      <c r="K5808" s="1" t="str">
        <f t="shared" si="3309"/>
        <v>103</v>
      </c>
      <c r="L5808" s="1" t="str">
        <f t="shared" si="3310"/>
        <v>47</v>
      </c>
      <c r="M5808" s="1" t="str">
        <f t="shared" si="3326"/>
        <v>0</v>
      </c>
      <c r="N5808" s="1" t="str">
        <f t="shared" si="3326"/>
        <v>0</v>
      </c>
      <c r="O5808" s="1" t="str">
        <f>"2.14"</f>
        <v>2.14</v>
      </c>
    </row>
    <row r="5809" s="1" customFormat="1" spans="1:15">
      <c r="A5809" s="1" t="str">
        <f t="shared" si="3274"/>
        <v>202406</v>
      </c>
      <c r="B5809" s="1" t="str">
        <f t="shared" si="3275"/>
        <v>150525100</v>
      </c>
      <c r="C5809" s="1" t="str">
        <f>"1014552526"</f>
        <v>1014552526</v>
      </c>
      <c r="D5809" s="1" t="str">
        <f>"152326195805173820"</f>
        <v>152326195805173820</v>
      </c>
      <c r="E5809" s="1" t="s">
        <v>5704</v>
      </c>
      <c r="F5809" s="1" t="s">
        <v>16</v>
      </c>
      <c r="G5809" s="1" t="s">
        <v>17</v>
      </c>
      <c r="H5809" s="1" t="str">
        <f>"66"</f>
        <v>66</v>
      </c>
      <c r="I5809" s="1" t="str">
        <f>"156.87"</f>
        <v>156.87</v>
      </c>
      <c r="J5809" s="1" t="str">
        <f t="shared" ref="J5809:N5809" si="3327">"0"</f>
        <v>0</v>
      </c>
      <c r="K5809" s="1" t="str">
        <f t="shared" si="3309"/>
        <v>103</v>
      </c>
      <c r="L5809" s="1" t="str">
        <f t="shared" si="3310"/>
        <v>47</v>
      </c>
      <c r="M5809" s="1" t="str">
        <f t="shared" si="3327"/>
        <v>0</v>
      </c>
      <c r="N5809" s="1" t="str">
        <f t="shared" si="3327"/>
        <v>0</v>
      </c>
      <c r="O5809" s="1" t="str">
        <f>"6.87"</f>
        <v>6.87</v>
      </c>
    </row>
    <row r="5810" s="1" customFormat="1" spans="1:15">
      <c r="A5810" s="1" t="str">
        <f t="shared" si="3274"/>
        <v>202406</v>
      </c>
      <c r="B5810" s="1" t="str">
        <f t="shared" si="3275"/>
        <v>150525100</v>
      </c>
      <c r="C5810" s="1" t="str">
        <f>"1014577049"</f>
        <v>1014577049</v>
      </c>
      <c r="D5810" s="1" t="str">
        <f>"152326195601290662"</f>
        <v>152326195601290662</v>
      </c>
      <c r="E5810" s="1" t="s">
        <v>5705</v>
      </c>
      <c r="F5810" s="1" t="s">
        <v>16</v>
      </c>
      <c r="G5810" s="1" t="s">
        <v>17</v>
      </c>
      <c r="H5810" s="1" t="str">
        <f t="shared" ref="H5810:H5812" si="3328">"68"</f>
        <v>68</v>
      </c>
      <c r="I5810" s="1" t="str">
        <f>"1560.1"</f>
        <v>1560.1</v>
      </c>
      <c r="J5810" s="1" t="str">
        <f>"1404.09"</f>
        <v>1404.09</v>
      </c>
      <c r="K5810" s="1" t="str">
        <f>"1030"</f>
        <v>1030</v>
      </c>
      <c r="L5810" s="1" t="str">
        <f>"470"</f>
        <v>470</v>
      </c>
      <c r="M5810" s="1" t="str">
        <f t="shared" ref="M5810:M5876" si="3329">"0"</f>
        <v>0</v>
      </c>
      <c r="N5810" s="1" t="str">
        <f>"0"</f>
        <v>0</v>
      </c>
      <c r="O5810" s="1" t="str">
        <f>"60.1"</f>
        <v>60.1</v>
      </c>
    </row>
    <row r="5811" s="1" customFormat="1" spans="1:15">
      <c r="A5811" s="1" t="str">
        <f t="shared" si="3274"/>
        <v>202406</v>
      </c>
      <c r="B5811" s="1" t="str">
        <f t="shared" si="3275"/>
        <v>150525100</v>
      </c>
      <c r="C5811" s="1" t="str">
        <f>"1014577051"</f>
        <v>1014577051</v>
      </c>
      <c r="D5811" s="1" t="str">
        <f>"152326195603150663"</f>
        <v>152326195603150663</v>
      </c>
      <c r="E5811" s="1" t="s">
        <v>5706</v>
      </c>
      <c r="F5811" s="1" t="s">
        <v>16</v>
      </c>
      <c r="G5811" s="1" t="s">
        <v>17</v>
      </c>
      <c r="H5811" s="1" t="str">
        <f t="shared" si="3328"/>
        <v>68</v>
      </c>
      <c r="I5811" s="1" t="str">
        <f>"156.02"</f>
        <v>156.02</v>
      </c>
      <c r="J5811" s="1" t="str">
        <f t="shared" ref="J5811:N5811" si="3330">"0"</f>
        <v>0</v>
      </c>
      <c r="K5811" s="1" t="str">
        <f t="shared" ref="K5811:K5846" si="3331">"103"</f>
        <v>103</v>
      </c>
      <c r="L5811" s="1" t="str">
        <f t="shared" ref="L5811:L5846" si="3332">"47"</f>
        <v>47</v>
      </c>
      <c r="M5811" s="1" t="str">
        <f t="shared" si="3330"/>
        <v>0</v>
      </c>
      <c r="N5811" s="1" t="str">
        <f t="shared" si="3330"/>
        <v>0</v>
      </c>
      <c r="O5811" s="1" t="str">
        <f>"6.02"</f>
        <v>6.02</v>
      </c>
    </row>
    <row r="5812" s="1" customFormat="1" spans="1:15">
      <c r="A5812" s="1" t="str">
        <f t="shared" si="3274"/>
        <v>202406</v>
      </c>
      <c r="B5812" s="1" t="str">
        <f t="shared" si="3275"/>
        <v>150525100</v>
      </c>
      <c r="C5812" s="1" t="str">
        <f>"1014577054"</f>
        <v>1014577054</v>
      </c>
      <c r="D5812" s="1" t="str">
        <f>"152326195608090671"</f>
        <v>152326195608090671</v>
      </c>
      <c r="E5812" s="1" t="s">
        <v>5707</v>
      </c>
      <c r="F5812" s="1" t="s">
        <v>25</v>
      </c>
      <c r="G5812" s="1" t="s">
        <v>17</v>
      </c>
      <c r="H5812" s="1" t="str">
        <f t="shared" si="3328"/>
        <v>68</v>
      </c>
      <c r="I5812" s="1" t="str">
        <f>"156.01"</f>
        <v>156.01</v>
      </c>
      <c r="J5812" s="1" t="str">
        <f t="shared" ref="J5812:N5812" si="3333">"0"</f>
        <v>0</v>
      </c>
      <c r="K5812" s="1" t="str">
        <f t="shared" si="3331"/>
        <v>103</v>
      </c>
      <c r="L5812" s="1" t="str">
        <f t="shared" si="3332"/>
        <v>47</v>
      </c>
      <c r="M5812" s="1" t="str">
        <f t="shared" si="3333"/>
        <v>0</v>
      </c>
      <c r="N5812" s="1" t="str">
        <f t="shared" si="3333"/>
        <v>0</v>
      </c>
      <c r="O5812" s="1" t="str">
        <f>"6.01"</f>
        <v>6.01</v>
      </c>
    </row>
    <row r="5813" s="1" customFormat="1" spans="1:15">
      <c r="A5813" s="1" t="str">
        <f t="shared" si="3274"/>
        <v>202406</v>
      </c>
      <c r="B5813" s="1" t="str">
        <f t="shared" si="3275"/>
        <v>150525100</v>
      </c>
      <c r="C5813" s="1" t="str">
        <f>"1014577060"</f>
        <v>1014577060</v>
      </c>
      <c r="D5813" s="1" t="str">
        <f>"152326195701200695"</f>
        <v>152326195701200695</v>
      </c>
      <c r="E5813" s="1" t="s">
        <v>5708</v>
      </c>
      <c r="F5813" s="1" t="s">
        <v>25</v>
      </c>
      <c r="G5813" s="1" t="s">
        <v>17</v>
      </c>
      <c r="H5813" s="1" t="str">
        <f t="shared" ref="H5813:H5818" si="3334">"67"</f>
        <v>67</v>
      </c>
      <c r="I5813" s="1" t="str">
        <f>"156.02"</f>
        <v>156.02</v>
      </c>
      <c r="J5813" s="1" t="str">
        <f t="shared" ref="J5813:N5813" si="3335">"0"</f>
        <v>0</v>
      </c>
      <c r="K5813" s="1" t="str">
        <f t="shared" si="3331"/>
        <v>103</v>
      </c>
      <c r="L5813" s="1" t="str">
        <f t="shared" si="3332"/>
        <v>47</v>
      </c>
      <c r="M5813" s="1" t="str">
        <f t="shared" si="3335"/>
        <v>0</v>
      </c>
      <c r="N5813" s="1" t="str">
        <f t="shared" si="3335"/>
        <v>0</v>
      </c>
      <c r="O5813" s="1" t="str">
        <f>"6.02"</f>
        <v>6.02</v>
      </c>
    </row>
    <row r="5814" s="1" customFormat="1" spans="1:15">
      <c r="A5814" s="1" t="str">
        <f t="shared" si="3274"/>
        <v>202406</v>
      </c>
      <c r="B5814" s="1" t="str">
        <f t="shared" si="3275"/>
        <v>150525100</v>
      </c>
      <c r="C5814" s="1" t="str">
        <f>"1014548281"</f>
        <v>1014548281</v>
      </c>
      <c r="D5814" s="1" t="str">
        <f>"152326195202220683"</f>
        <v>152326195202220683</v>
      </c>
      <c r="E5814" s="1" t="s">
        <v>5709</v>
      </c>
      <c r="F5814" s="1" t="s">
        <v>16</v>
      </c>
      <c r="G5814" s="1" t="s">
        <v>17</v>
      </c>
      <c r="H5814" s="1" t="str">
        <f>"72"</f>
        <v>72</v>
      </c>
      <c r="I5814" s="1" t="str">
        <f>"202.2"</f>
        <v>202.2</v>
      </c>
      <c r="J5814" s="1" t="str">
        <f t="shared" ref="J5814:J5846" si="3336">"0"</f>
        <v>0</v>
      </c>
      <c r="K5814" s="1" t="str">
        <f t="shared" si="3331"/>
        <v>103</v>
      </c>
      <c r="L5814" s="1" t="str">
        <f t="shared" si="3332"/>
        <v>47</v>
      </c>
      <c r="M5814" s="1" t="str">
        <f t="shared" si="3329"/>
        <v>0</v>
      </c>
      <c r="N5814" s="1" t="str">
        <f>"40.05"</f>
        <v>40.05</v>
      </c>
      <c r="O5814" s="1" t="str">
        <f>"2.15"</f>
        <v>2.15</v>
      </c>
    </row>
    <row r="5815" s="1" customFormat="1" spans="1:15">
      <c r="A5815" s="1" t="str">
        <f t="shared" si="3274"/>
        <v>202406</v>
      </c>
      <c r="B5815" s="1" t="str">
        <f t="shared" si="3275"/>
        <v>150525100</v>
      </c>
      <c r="C5815" s="1" t="str">
        <f>"1014572322"</f>
        <v>1014572322</v>
      </c>
      <c r="D5815" s="1" t="s">
        <v>5710</v>
      </c>
      <c r="E5815" s="1" t="s">
        <v>5711</v>
      </c>
      <c r="F5815" s="1" t="s">
        <v>16</v>
      </c>
      <c r="G5815" s="1" t="s">
        <v>96</v>
      </c>
      <c r="H5815" s="1" t="str">
        <f t="shared" si="3334"/>
        <v>67</v>
      </c>
      <c r="I5815" s="1" t="str">
        <f>"199.77"</f>
        <v>199.77</v>
      </c>
      <c r="J5815" s="1" t="str">
        <f t="shared" si="3336"/>
        <v>0</v>
      </c>
      <c r="K5815" s="1" t="str">
        <f t="shared" si="3331"/>
        <v>103</v>
      </c>
      <c r="L5815" s="1" t="str">
        <f t="shared" si="3332"/>
        <v>47</v>
      </c>
      <c r="M5815" s="1" t="str">
        <f t="shared" si="3329"/>
        <v>0</v>
      </c>
      <c r="N5815" s="1" t="str">
        <f t="shared" ref="N5815:N5878" si="3337">"0"</f>
        <v>0</v>
      </c>
      <c r="O5815" s="1" t="str">
        <f>"49.77"</f>
        <v>49.77</v>
      </c>
    </row>
    <row r="5816" s="1" customFormat="1" spans="1:15">
      <c r="A5816" s="1" t="str">
        <f t="shared" si="3274"/>
        <v>202406</v>
      </c>
      <c r="B5816" s="1" t="str">
        <f t="shared" si="3275"/>
        <v>150525100</v>
      </c>
      <c r="C5816" s="1" t="str">
        <f>"1014572324"</f>
        <v>1014572324</v>
      </c>
      <c r="D5816" s="1" t="str">
        <f>"152326196005070027"</f>
        <v>152326196005070027</v>
      </c>
      <c r="E5816" s="1" t="s">
        <v>3303</v>
      </c>
      <c r="F5816" s="1" t="s">
        <v>16</v>
      </c>
      <c r="G5816" s="1" t="s">
        <v>19</v>
      </c>
      <c r="H5816" s="1" t="str">
        <f>"64"</f>
        <v>64</v>
      </c>
      <c r="I5816" s="1" t="str">
        <f>"212.58"</f>
        <v>212.58</v>
      </c>
      <c r="J5816" s="1" t="str">
        <f t="shared" si="3336"/>
        <v>0</v>
      </c>
      <c r="K5816" s="1" t="str">
        <f t="shared" si="3331"/>
        <v>103</v>
      </c>
      <c r="L5816" s="1" t="str">
        <f t="shared" si="3332"/>
        <v>47</v>
      </c>
      <c r="M5816" s="1" t="str">
        <f t="shared" si="3329"/>
        <v>0</v>
      </c>
      <c r="N5816" s="1" t="str">
        <f t="shared" si="3337"/>
        <v>0</v>
      </c>
      <c r="O5816" s="1" t="str">
        <f>"62.58"</f>
        <v>62.58</v>
      </c>
    </row>
    <row r="5817" s="1" customFormat="1" spans="1:15">
      <c r="A5817" s="1" t="str">
        <f t="shared" si="3274"/>
        <v>202406</v>
      </c>
      <c r="B5817" s="1" t="str">
        <f t="shared" si="3275"/>
        <v>150525100</v>
      </c>
      <c r="C5817" s="1" t="str">
        <f>"1014572588"</f>
        <v>1014572588</v>
      </c>
      <c r="D5817" s="1" t="str">
        <f>"152326195603103074"</f>
        <v>152326195603103074</v>
      </c>
      <c r="E5817" s="1" t="s">
        <v>5712</v>
      </c>
      <c r="F5817" s="1" t="s">
        <v>25</v>
      </c>
      <c r="G5817" s="1" t="s">
        <v>19</v>
      </c>
      <c r="H5817" s="1" t="str">
        <f>"68"</f>
        <v>68</v>
      </c>
      <c r="I5817" s="1" t="str">
        <f>"156.01"</f>
        <v>156.01</v>
      </c>
      <c r="J5817" s="1" t="str">
        <f t="shared" si="3336"/>
        <v>0</v>
      </c>
      <c r="K5817" s="1" t="str">
        <f t="shared" si="3331"/>
        <v>103</v>
      </c>
      <c r="L5817" s="1" t="str">
        <f t="shared" si="3332"/>
        <v>47</v>
      </c>
      <c r="M5817" s="1" t="str">
        <f t="shared" si="3329"/>
        <v>0</v>
      </c>
      <c r="N5817" s="1" t="str">
        <f t="shared" si="3337"/>
        <v>0</v>
      </c>
      <c r="O5817" s="1" t="str">
        <f>"6.01"</f>
        <v>6.01</v>
      </c>
    </row>
    <row r="5818" s="1" customFormat="1" spans="1:15">
      <c r="A5818" s="1" t="str">
        <f t="shared" si="3274"/>
        <v>202406</v>
      </c>
      <c r="B5818" s="1" t="str">
        <f t="shared" si="3275"/>
        <v>150525100</v>
      </c>
      <c r="C5818" s="1" t="str">
        <f>"1014572603"</f>
        <v>1014572603</v>
      </c>
      <c r="D5818" s="1" t="str">
        <f>"152326195707080030"</f>
        <v>152326195707080030</v>
      </c>
      <c r="E5818" s="1" t="s">
        <v>5713</v>
      </c>
      <c r="F5818" s="1" t="s">
        <v>25</v>
      </c>
      <c r="G5818" s="1" t="s">
        <v>19</v>
      </c>
      <c r="H5818" s="1" t="str">
        <f t="shared" si="3334"/>
        <v>67</v>
      </c>
      <c r="I5818" s="1" t="str">
        <f>"156.07"</f>
        <v>156.07</v>
      </c>
      <c r="J5818" s="1" t="str">
        <f t="shared" si="3336"/>
        <v>0</v>
      </c>
      <c r="K5818" s="1" t="str">
        <f t="shared" si="3331"/>
        <v>103</v>
      </c>
      <c r="L5818" s="1" t="str">
        <f t="shared" si="3332"/>
        <v>47</v>
      </c>
      <c r="M5818" s="1" t="str">
        <f t="shared" si="3329"/>
        <v>0</v>
      </c>
      <c r="N5818" s="1" t="str">
        <f t="shared" si="3337"/>
        <v>0</v>
      </c>
      <c r="O5818" s="1" t="str">
        <f>"6.07"</f>
        <v>6.07</v>
      </c>
    </row>
    <row r="5819" s="1" customFormat="1" spans="1:15">
      <c r="A5819" s="1" t="str">
        <f t="shared" si="3274"/>
        <v>202406</v>
      </c>
      <c r="B5819" s="1" t="str">
        <f t="shared" si="3275"/>
        <v>150525100</v>
      </c>
      <c r="C5819" s="1" t="str">
        <f>"1014552562"</f>
        <v>1014552562</v>
      </c>
      <c r="D5819" s="1" t="str">
        <f>"152326195811103861"</f>
        <v>152326195811103861</v>
      </c>
      <c r="E5819" s="1" t="s">
        <v>5714</v>
      </c>
      <c r="F5819" s="1" t="s">
        <v>16</v>
      </c>
      <c r="G5819" s="1" t="s">
        <v>17</v>
      </c>
      <c r="H5819" s="1" t="str">
        <f>"66"</f>
        <v>66</v>
      </c>
      <c r="I5819" s="1" t="str">
        <f>"157.86"</f>
        <v>157.86</v>
      </c>
      <c r="J5819" s="1" t="str">
        <f t="shared" si="3336"/>
        <v>0</v>
      </c>
      <c r="K5819" s="1" t="str">
        <f t="shared" si="3331"/>
        <v>103</v>
      </c>
      <c r="L5819" s="1" t="str">
        <f t="shared" si="3332"/>
        <v>47</v>
      </c>
      <c r="M5819" s="1" t="str">
        <f t="shared" si="3329"/>
        <v>0</v>
      </c>
      <c r="N5819" s="1" t="str">
        <f t="shared" si="3337"/>
        <v>0</v>
      </c>
      <c r="O5819" s="1" t="str">
        <f>"7.86"</f>
        <v>7.86</v>
      </c>
    </row>
    <row r="5820" s="1" customFormat="1" spans="1:15">
      <c r="A5820" s="1" t="str">
        <f t="shared" si="3274"/>
        <v>202406</v>
      </c>
      <c r="B5820" s="1" t="str">
        <f t="shared" si="3275"/>
        <v>150525100</v>
      </c>
      <c r="C5820" s="1" t="str">
        <f>"1014552572"</f>
        <v>1014552572</v>
      </c>
      <c r="D5820" s="1" t="str">
        <f>"152326195212183820"</f>
        <v>152326195212183820</v>
      </c>
      <c r="E5820" s="1" t="s">
        <v>5715</v>
      </c>
      <c r="F5820" s="1" t="s">
        <v>16</v>
      </c>
      <c r="G5820" s="1" t="s">
        <v>17</v>
      </c>
      <c r="H5820" s="1" t="str">
        <f>"72"</f>
        <v>72</v>
      </c>
      <c r="I5820" s="1" t="str">
        <f>"176.28"</f>
        <v>176.28</v>
      </c>
      <c r="J5820" s="1" t="str">
        <f t="shared" si="3336"/>
        <v>0</v>
      </c>
      <c r="K5820" s="1" t="str">
        <f t="shared" si="3331"/>
        <v>103</v>
      </c>
      <c r="L5820" s="1" t="str">
        <f t="shared" si="3332"/>
        <v>47</v>
      </c>
      <c r="M5820" s="1" t="str">
        <f t="shared" si="3329"/>
        <v>0</v>
      </c>
      <c r="N5820" s="1" t="str">
        <f t="shared" si="3337"/>
        <v>0</v>
      </c>
      <c r="O5820" s="1" t="str">
        <f>"16.28"</f>
        <v>16.28</v>
      </c>
    </row>
    <row r="5821" s="1" customFormat="1" spans="1:15">
      <c r="A5821" s="1" t="str">
        <f t="shared" si="3274"/>
        <v>202406</v>
      </c>
      <c r="B5821" s="1" t="str">
        <f t="shared" si="3275"/>
        <v>150525100</v>
      </c>
      <c r="C5821" s="1" t="str">
        <f>"1014570206"</f>
        <v>1014570206</v>
      </c>
      <c r="D5821" s="1" t="str">
        <f>"152326195812033826"</f>
        <v>152326195812033826</v>
      </c>
      <c r="E5821" s="1" t="s">
        <v>5716</v>
      </c>
      <c r="F5821" s="1" t="s">
        <v>16</v>
      </c>
      <c r="G5821" s="1" t="s">
        <v>19</v>
      </c>
      <c r="H5821" s="1" t="str">
        <f>"66"</f>
        <v>66</v>
      </c>
      <c r="I5821" s="1" t="str">
        <f>"157.17"</f>
        <v>157.17</v>
      </c>
      <c r="J5821" s="1" t="str">
        <f t="shared" si="3336"/>
        <v>0</v>
      </c>
      <c r="K5821" s="1" t="str">
        <f t="shared" si="3331"/>
        <v>103</v>
      </c>
      <c r="L5821" s="1" t="str">
        <f t="shared" si="3332"/>
        <v>47</v>
      </c>
      <c r="M5821" s="1" t="str">
        <f t="shared" si="3329"/>
        <v>0</v>
      </c>
      <c r="N5821" s="1" t="str">
        <f t="shared" si="3337"/>
        <v>0</v>
      </c>
      <c r="O5821" s="1" t="str">
        <f>"7.17"</f>
        <v>7.17</v>
      </c>
    </row>
    <row r="5822" s="1" customFormat="1" spans="1:15">
      <c r="A5822" s="1" t="str">
        <f t="shared" si="3274"/>
        <v>202406</v>
      </c>
      <c r="B5822" s="1" t="str">
        <f t="shared" si="3275"/>
        <v>150525100</v>
      </c>
      <c r="C5822" s="1" t="str">
        <f>"1014572474"</f>
        <v>1014572474</v>
      </c>
      <c r="D5822" s="1" t="str">
        <f>"152326195402080048"</f>
        <v>152326195402080048</v>
      </c>
      <c r="E5822" s="1" t="s">
        <v>5717</v>
      </c>
      <c r="F5822" s="1" t="s">
        <v>16</v>
      </c>
      <c r="G5822" s="1" t="s">
        <v>19</v>
      </c>
      <c r="H5822" s="1" t="str">
        <f>"70"</f>
        <v>70</v>
      </c>
      <c r="I5822" s="1" t="str">
        <f>"164.14"</f>
        <v>164.14</v>
      </c>
      <c r="J5822" s="1" t="str">
        <f t="shared" si="3336"/>
        <v>0</v>
      </c>
      <c r="K5822" s="1" t="str">
        <f t="shared" si="3331"/>
        <v>103</v>
      </c>
      <c r="L5822" s="1" t="str">
        <f t="shared" si="3332"/>
        <v>47</v>
      </c>
      <c r="M5822" s="1" t="str">
        <f t="shared" si="3329"/>
        <v>0</v>
      </c>
      <c r="N5822" s="1" t="str">
        <f t="shared" si="3337"/>
        <v>0</v>
      </c>
      <c r="O5822" s="1" t="str">
        <f>"4.14"</f>
        <v>4.14</v>
      </c>
    </row>
    <row r="5823" s="1" customFormat="1" spans="1:15">
      <c r="A5823" s="1" t="str">
        <f t="shared" si="3274"/>
        <v>202406</v>
      </c>
      <c r="B5823" s="1" t="str">
        <f t="shared" si="3275"/>
        <v>150525100</v>
      </c>
      <c r="C5823" s="1" t="str">
        <f>"1014572572"</f>
        <v>1014572572</v>
      </c>
      <c r="D5823" s="1" t="str">
        <f>"152326195407300919"</f>
        <v>152326195407300919</v>
      </c>
      <c r="E5823" s="1" t="s">
        <v>5718</v>
      </c>
      <c r="F5823" s="1" t="s">
        <v>25</v>
      </c>
      <c r="G5823" s="1" t="s">
        <v>19</v>
      </c>
      <c r="H5823" s="1" t="str">
        <f>"70"</f>
        <v>70</v>
      </c>
      <c r="I5823" s="1" t="str">
        <f>"153.66"</f>
        <v>153.66</v>
      </c>
      <c r="J5823" s="1" t="str">
        <f t="shared" si="3336"/>
        <v>0</v>
      </c>
      <c r="K5823" s="1" t="str">
        <f t="shared" si="3331"/>
        <v>103</v>
      </c>
      <c r="L5823" s="1" t="str">
        <f t="shared" si="3332"/>
        <v>47</v>
      </c>
      <c r="M5823" s="1" t="str">
        <f t="shared" si="3329"/>
        <v>0</v>
      </c>
      <c r="N5823" s="1" t="str">
        <f t="shared" si="3337"/>
        <v>0</v>
      </c>
      <c r="O5823" s="1" t="str">
        <f>"3.66"</f>
        <v>3.66</v>
      </c>
    </row>
    <row r="5824" s="1" customFormat="1" spans="1:15">
      <c r="A5824" s="1" t="str">
        <f t="shared" si="3274"/>
        <v>202406</v>
      </c>
      <c r="B5824" s="1" t="str">
        <f t="shared" si="3275"/>
        <v>150525100</v>
      </c>
      <c r="C5824" s="1" t="str">
        <f>"1014572582"</f>
        <v>1014572582</v>
      </c>
      <c r="D5824" s="1" t="str">
        <f>"152326195512230940"</f>
        <v>152326195512230940</v>
      </c>
      <c r="E5824" s="1" t="s">
        <v>5719</v>
      </c>
      <c r="F5824" s="1" t="s">
        <v>16</v>
      </c>
      <c r="G5824" s="1" t="s">
        <v>19</v>
      </c>
      <c r="H5824" s="1" t="str">
        <f>"69"</f>
        <v>69</v>
      </c>
      <c r="I5824" s="1" t="str">
        <f>"154.84"</f>
        <v>154.84</v>
      </c>
      <c r="J5824" s="1" t="str">
        <f t="shared" si="3336"/>
        <v>0</v>
      </c>
      <c r="K5824" s="1" t="str">
        <f t="shared" si="3331"/>
        <v>103</v>
      </c>
      <c r="L5824" s="1" t="str">
        <f t="shared" si="3332"/>
        <v>47</v>
      </c>
      <c r="M5824" s="1" t="str">
        <f t="shared" si="3329"/>
        <v>0</v>
      </c>
      <c r="N5824" s="1" t="str">
        <f t="shared" si="3337"/>
        <v>0</v>
      </c>
      <c r="O5824" s="1" t="str">
        <f>"4.84"</f>
        <v>4.84</v>
      </c>
    </row>
    <row r="5825" s="1" customFormat="1" spans="1:15">
      <c r="A5825" s="1" t="str">
        <f t="shared" si="3274"/>
        <v>202406</v>
      </c>
      <c r="B5825" s="1" t="str">
        <f t="shared" si="3275"/>
        <v>150525100</v>
      </c>
      <c r="C5825" s="1" t="str">
        <f>"1014572586"</f>
        <v>1014572586</v>
      </c>
      <c r="D5825" s="1" t="str">
        <f>"152326195601100929"</f>
        <v>152326195601100929</v>
      </c>
      <c r="E5825" s="1" t="s">
        <v>5720</v>
      </c>
      <c r="F5825" s="1" t="s">
        <v>16</v>
      </c>
      <c r="G5825" s="1" t="s">
        <v>19</v>
      </c>
      <c r="H5825" s="1" t="str">
        <f>"68"</f>
        <v>68</v>
      </c>
      <c r="I5825" s="1" t="str">
        <f>"155.51"</f>
        <v>155.51</v>
      </c>
      <c r="J5825" s="1" t="str">
        <f t="shared" si="3336"/>
        <v>0</v>
      </c>
      <c r="K5825" s="1" t="str">
        <f t="shared" si="3331"/>
        <v>103</v>
      </c>
      <c r="L5825" s="1" t="str">
        <f t="shared" si="3332"/>
        <v>47</v>
      </c>
      <c r="M5825" s="1" t="str">
        <f t="shared" si="3329"/>
        <v>0</v>
      </c>
      <c r="N5825" s="1" t="str">
        <f t="shared" si="3337"/>
        <v>0</v>
      </c>
      <c r="O5825" s="1" t="str">
        <f>"5.51"</f>
        <v>5.51</v>
      </c>
    </row>
    <row r="5826" s="1" customFormat="1" spans="1:15">
      <c r="A5826" s="1" t="str">
        <f t="shared" ref="A5826:A5889" si="3338">"202406"</f>
        <v>202406</v>
      </c>
      <c r="B5826" s="1" t="str">
        <f t="shared" ref="B5826:B5889" si="3339">"150525100"</f>
        <v>150525100</v>
      </c>
      <c r="C5826" s="1" t="str">
        <f>"1014572634"</f>
        <v>1014572634</v>
      </c>
      <c r="D5826" s="1" t="str">
        <f>"152326195305040028"</f>
        <v>152326195305040028</v>
      </c>
      <c r="E5826" s="1" t="s">
        <v>5597</v>
      </c>
      <c r="F5826" s="1" t="s">
        <v>16</v>
      </c>
      <c r="G5826" s="1" t="s">
        <v>17</v>
      </c>
      <c r="H5826" s="1" t="str">
        <f>"71"</f>
        <v>71</v>
      </c>
      <c r="I5826" s="1" t="str">
        <f>"163.16"</f>
        <v>163.16</v>
      </c>
      <c r="J5826" s="1" t="str">
        <f t="shared" si="3336"/>
        <v>0</v>
      </c>
      <c r="K5826" s="1" t="str">
        <f t="shared" si="3331"/>
        <v>103</v>
      </c>
      <c r="L5826" s="1" t="str">
        <f t="shared" si="3332"/>
        <v>47</v>
      </c>
      <c r="M5826" s="1" t="str">
        <f t="shared" si="3329"/>
        <v>0</v>
      </c>
      <c r="N5826" s="1" t="str">
        <f t="shared" si="3337"/>
        <v>0</v>
      </c>
      <c r="O5826" s="1" t="str">
        <f>"3.16"</f>
        <v>3.16</v>
      </c>
    </row>
    <row r="5827" s="1" customFormat="1" spans="1:15">
      <c r="A5827" s="1" t="str">
        <f t="shared" si="3338"/>
        <v>202406</v>
      </c>
      <c r="B5827" s="1" t="str">
        <f t="shared" si="3339"/>
        <v>150525100</v>
      </c>
      <c r="C5827" s="1" t="str">
        <f>"1014644463"</f>
        <v>1014644463</v>
      </c>
      <c r="D5827" s="1" t="str">
        <f>"152326195504060697"</f>
        <v>152326195504060697</v>
      </c>
      <c r="E5827" s="1" t="s">
        <v>5721</v>
      </c>
      <c r="F5827" s="1" t="s">
        <v>25</v>
      </c>
      <c r="G5827" s="1" t="s">
        <v>17</v>
      </c>
      <c r="H5827" s="1" t="str">
        <f>"69"</f>
        <v>69</v>
      </c>
      <c r="I5827" s="1" t="str">
        <f>"155.1"</f>
        <v>155.1</v>
      </c>
      <c r="J5827" s="1" t="str">
        <f t="shared" si="3336"/>
        <v>0</v>
      </c>
      <c r="K5827" s="1" t="str">
        <f t="shared" si="3331"/>
        <v>103</v>
      </c>
      <c r="L5827" s="1" t="str">
        <f t="shared" si="3332"/>
        <v>47</v>
      </c>
      <c r="M5827" s="1" t="str">
        <f t="shared" si="3329"/>
        <v>0</v>
      </c>
      <c r="N5827" s="1" t="str">
        <f t="shared" si="3337"/>
        <v>0</v>
      </c>
      <c r="O5827" s="1" t="str">
        <f>"5.1"</f>
        <v>5.1</v>
      </c>
    </row>
    <row r="5828" s="1" customFormat="1" spans="1:15">
      <c r="A5828" s="1" t="str">
        <f t="shared" si="3338"/>
        <v>202406</v>
      </c>
      <c r="B5828" s="1" t="str">
        <f t="shared" si="3339"/>
        <v>150525100</v>
      </c>
      <c r="C5828" s="1" t="str">
        <f>"1014567725"</f>
        <v>1014567725</v>
      </c>
      <c r="D5828" s="1" t="str">
        <f>"152326196401133827"</f>
        <v>152326196401133827</v>
      </c>
      <c r="E5828" s="1" t="s">
        <v>5722</v>
      </c>
      <c r="F5828" s="1" t="s">
        <v>16</v>
      </c>
      <c r="G5828" s="1" t="s">
        <v>17</v>
      </c>
      <c r="H5828" s="1" t="str">
        <f>"60"</f>
        <v>60</v>
      </c>
      <c r="I5828" s="1" t="str">
        <f>"166.82"</f>
        <v>166.82</v>
      </c>
      <c r="J5828" s="1" t="str">
        <f t="shared" si="3336"/>
        <v>0</v>
      </c>
      <c r="K5828" s="1" t="str">
        <f t="shared" si="3331"/>
        <v>103</v>
      </c>
      <c r="L5828" s="1" t="str">
        <f t="shared" si="3332"/>
        <v>47</v>
      </c>
      <c r="M5828" s="1" t="str">
        <f t="shared" si="3329"/>
        <v>0</v>
      </c>
      <c r="N5828" s="1" t="str">
        <f t="shared" si="3337"/>
        <v>0</v>
      </c>
      <c r="O5828" s="1" t="str">
        <f>"16.82"</f>
        <v>16.82</v>
      </c>
    </row>
    <row r="5829" s="1" customFormat="1" spans="1:15">
      <c r="A5829" s="1" t="str">
        <f t="shared" si="3338"/>
        <v>202406</v>
      </c>
      <c r="B5829" s="1" t="str">
        <f t="shared" si="3339"/>
        <v>150525100</v>
      </c>
      <c r="C5829" s="1" t="str">
        <f>"1014567730"</f>
        <v>1014567730</v>
      </c>
      <c r="D5829" s="1" t="str">
        <f>"152326195211263829"</f>
        <v>152326195211263829</v>
      </c>
      <c r="E5829" s="1" t="s">
        <v>5723</v>
      </c>
      <c r="F5829" s="1" t="s">
        <v>16</v>
      </c>
      <c r="G5829" s="1" t="s">
        <v>17</v>
      </c>
      <c r="H5829" s="1" t="str">
        <f>"72"</f>
        <v>72</v>
      </c>
      <c r="I5829" s="1" t="str">
        <f>"162.15"</f>
        <v>162.15</v>
      </c>
      <c r="J5829" s="1" t="str">
        <f t="shared" si="3336"/>
        <v>0</v>
      </c>
      <c r="K5829" s="1" t="str">
        <f t="shared" si="3331"/>
        <v>103</v>
      </c>
      <c r="L5829" s="1" t="str">
        <f t="shared" si="3332"/>
        <v>47</v>
      </c>
      <c r="M5829" s="1" t="str">
        <f t="shared" si="3329"/>
        <v>0</v>
      </c>
      <c r="N5829" s="1" t="str">
        <f t="shared" si="3337"/>
        <v>0</v>
      </c>
      <c r="O5829" s="1" t="str">
        <f>"2.15"</f>
        <v>2.15</v>
      </c>
    </row>
    <row r="5830" s="1" customFormat="1" spans="1:15">
      <c r="A5830" s="1" t="str">
        <f t="shared" si="3338"/>
        <v>202406</v>
      </c>
      <c r="B5830" s="1" t="str">
        <f t="shared" si="3339"/>
        <v>150525100</v>
      </c>
      <c r="C5830" s="1" t="str">
        <f>"1014563205"</f>
        <v>1014563205</v>
      </c>
      <c r="D5830" s="1" t="str">
        <f>"152326196203170424"</f>
        <v>152326196203170424</v>
      </c>
      <c r="E5830" s="1" t="s">
        <v>5724</v>
      </c>
      <c r="F5830" s="1" t="s">
        <v>16</v>
      </c>
      <c r="G5830" s="1" t="s">
        <v>17</v>
      </c>
      <c r="H5830" s="1" t="str">
        <f>"62"</f>
        <v>62</v>
      </c>
      <c r="I5830" s="1" t="str">
        <f>"162.98"</f>
        <v>162.98</v>
      </c>
      <c r="J5830" s="1" t="str">
        <f t="shared" si="3336"/>
        <v>0</v>
      </c>
      <c r="K5830" s="1" t="str">
        <f t="shared" si="3331"/>
        <v>103</v>
      </c>
      <c r="L5830" s="1" t="str">
        <f t="shared" si="3332"/>
        <v>47</v>
      </c>
      <c r="M5830" s="1" t="str">
        <f t="shared" si="3329"/>
        <v>0</v>
      </c>
      <c r="N5830" s="1" t="str">
        <f t="shared" si="3337"/>
        <v>0</v>
      </c>
      <c r="O5830" s="1" t="str">
        <f>"12.98"</f>
        <v>12.98</v>
      </c>
    </row>
    <row r="5831" s="1" customFormat="1" spans="1:15">
      <c r="A5831" s="1" t="str">
        <f t="shared" si="3338"/>
        <v>202406</v>
      </c>
      <c r="B5831" s="1" t="str">
        <f t="shared" si="3339"/>
        <v>150525100</v>
      </c>
      <c r="C5831" s="1" t="str">
        <f>"1014584007"</f>
        <v>1014584007</v>
      </c>
      <c r="D5831" s="1" t="str">
        <f>"152326195701010664"</f>
        <v>152326195701010664</v>
      </c>
      <c r="E5831" s="1" t="s">
        <v>5725</v>
      </c>
      <c r="F5831" s="1" t="s">
        <v>16</v>
      </c>
      <c r="G5831" s="1" t="s">
        <v>17</v>
      </c>
      <c r="H5831" s="1" t="str">
        <f>"68"</f>
        <v>68</v>
      </c>
      <c r="I5831" s="1" t="str">
        <f>"156.02"</f>
        <v>156.02</v>
      </c>
      <c r="J5831" s="1" t="str">
        <f t="shared" si="3336"/>
        <v>0</v>
      </c>
      <c r="K5831" s="1" t="str">
        <f t="shared" si="3331"/>
        <v>103</v>
      </c>
      <c r="L5831" s="1" t="str">
        <f t="shared" si="3332"/>
        <v>47</v>
      </c>
      <c r="M5831" s="1" t="str">
        <f t="shared" si="3329"/>
        <v>0</v>
      </c>
      <c r="N5831" s="1" t="str">
        <f t="shared" si="3337"/>
        <v>0</v>
      </c>
      <c r="O5831" s="1" t="str">
        <f>"6.02"</f>
        <v>6.02</v>
      </c>
    </row>
    <row r="5832" s="1" customFormat="1" spans="1:15">
      <c r="A5832" s="1" t="str">
        <f t="shared" si="3338"/>
        <v>202406</v>
      </c>
      <c r="B5832" s="1" t="str">
        <f t="shared" si="3339"/>
        <v>150525100</v>
      </c>
      <c r="C5832" s="1" t="str">
        <f>"1014584030"</f>
        <v>1014584030</v>
      </c>
      <c r="D5832" s="1" t="str">
        <f>"152326195709170419"</f>
        <v>152326195709170419</v>
      </c>
      <c r="E5832" s="1" t="s">
        <v>5726</v>
      </c>
      <c r="F5832" s="1" t="s">
        <v>25</v>
      </c>
      <c r="G5832" s="1" t="s">
        <v>17</v>
      </c>
      <c r="H5832" s="1" t="str">
        <f>"67"</f>
        <v>67</v>
      </c>
      <c r="I5832" s="1" t="str">
        <f>"156.08"</f>
        <v>156.08</v>
      </c>
      <c r="J5832" s="1" t="str">
        <f t="shared" si="3336"/>
        <v>0</v>
      </c>
      <c r="K5832" s="1" t="str">
        <f t="shared" si="3331"/>
        <v>103</v>
      </c>
      <c r="L5832" s="1" t="str">
        <f t="shared" si="3332"/>
        <v>47</v>
      </c>
      <c r="M5832" s="1" t="str">
        <f t="shared" si="3329"/>
        <v>0</v>
      </c>
      <c r="N5832" s="1" t="str">
        <f t="shared" si="3337"/>
        <v>0</v>
      </c>
      <c r="O5832" s="1" t="str">
        <f>"6.08"</f>
        <v>6.08</v>
      </c>
    </row>
    <row r="5833" s="1" customFormat="1" spans="1:15">
      <c r="A5833" s="1" t="str">
        <f t="shared" si="3338"/>
        <v>202406</v>
      </c>
      <c r="B5833" s="1" t="str">
        <f t="shared" si="3339"/>
        <v>150525100</v>
      </c>
      <c r="C5833" s="1" t="str">
        <f>"1014550405"</f>
        <v>1014550405</v>
      </c>
      <c r="D5833" s="1" t="str">
        <f>"152326196310020667"</f>
        <v>152326196310020667</v>
      </c>
      <c r="E5833" s="1" t="s">
        <v>5727</v>
      </c>
      <c r="F5833" s="1" t="s">
        <v>16</v>
      </c>
      <c r="G5833" s="1" t="s">
        <v>17</v>
      </c>
      <c r="H5833" s="1" t="str">
        <f>"61"</f>
        <v>61</v>
      </c>
      <c r="I5833" s="1" t="str">
        <f>"165.09"</f>
        <v>165.09</v>
      </c>
      <c r="J5833" s="1" t="str">
        <f t="shared" si="3336"/>
        <v>0</v>
      </c>
      <c r="K5833" s="1" t="str">
        <f t="shared" si="3331"/>
        <v>103</v>
      </c>
      <c r="L5833" s="1" t="str">
        <f t="shared" si="3332"/>
        <v>47</v>
      </c>
      <c r="M5833" s="1" t="str">
        <f t="shared" si="3329"/>
        <v>0</v>
      </c>
      <c r="N5833" s="1" t="str">
        <f t="shared" si="3337"/>
        <v>0</v>
      </c>
      <c r="O5833" s="1" t="str">
        <f>"15.09"</f>
        <v>15.09</v>
      </c>
    </row>
    <row r="5834" s="1" customFormat="1" spans="1:15">
      <c r="A5834" s="1" t="str">
        <f t="shared" si="3338"/>
        <v>202406</v>
      </c>
      <c r="B5834" s="1" t="str">
        <f t="shared" si="3339"/>
        <v>150525100</v>
      </c>
      <c r="C5834" s="1" t="str">
        <f>"1014549012"</f>
        <v>1014549012</v>
      </c>
      <c r="D5834" s="1" t="str">
        <f>"152326196306243323"</f>
        <v>152326196306243323</v>
      </c>
      <c r="E5834" s="1" t="s">
        <v>5728</v>
      </c>
      <c r="F5834" s="1" t="s">
        <v>16</v>
      </c>
      <c r="G5834" s="1" t="s">
        <v>17</v>
      </c>
      <c r="H5834" s="1" t="str">
        <f>"61"</f>
        <v>61</v>
      </c>
      <c r="I5834" s="1" t="str">
        <f>"165.01"</f>
        <v>165.01</v>
      </c>
      <c r="J5834" s="1" t="str">
        <f t="shared" si="3336"/>
        <v>0</v>
      </c>
      <c r="K5834" s="1" t="str">
        <f t="shared" si="3331"/>
        <v>103</v>
      </c>
      <c r="L5834" s="1" t="str">
        <f t="shared" si="3332"/>
        <v>47</v>
      </c>
      <c r="M5834" s="1" t="str">
        <f t="shared" si="3329"/>
        <v>0</v>
      </c>
      <c r="N5834" s="1" t="str">
        <f t="shared" si="3337"/>
        <v>0</v>
      </c>
      <c r="O5834" s="1" t="str">
        <f>"15.01"</f>
        <v>15.01</v>
      </c>
    </row>
    <row r="5835" s="1" customFormat="1" spans="1:15">
      <c r="A5835" s="1" t="str">
        <f t="shared" si="3338"/>
        <v>202406</v>
      </c>
      <c r="B5835" s="1" t="str">
        <f t="shared" si="3339"/>
        <v>150525100</v>
      </c>
      <c r="C5835" s="1" t="str">
        <f>"1014584939"</f>
        <v>1014584939</v>
      </c>
      <c r="D5835" s="1" t="str">
        <f>"152326195309083316"</f>
        <v>152326195309083316</v>
      </c>
      <c r="E5835" s="1" t="s">
        <v>5729</v>
      </c>
      <c r="F5835" s="1" t="s">
        <v>25</v>
      </c>
      <c r="G5835" s="1" t="s">
        <v>17</v>
      </c>
      <c r="H5835" s="1" t="str">
        <f>"71"</f>
        <v>71</v>
      </c>
      <c r="I5835" s="1" t="str">
        <f>"162.91"</f>
        <v>162.91</v>
      </c>
      <c r="J5835" s="1" t="str">
        <f t="shared" si="3336"/>
        <v>0</v>
      </c>
      <c r="K5835" s="1" t="str">
        <f t="shared" si="3331"/>
        <v>103</v>
      </c>
      <c r="L5835" s="1" t="str">
        <f t="shared" si="3332"/>
        <v>47</v>
      </c>
      <c r="M5835" s="1" t="str">
        <f t="shared" si="3329"/>
        <v>0</v>
      </c>
      <c r="N5835" s="1" t="str">
        <f t="shared" si="3337"/>
        <v>0</v>
      </c>
      <c r="O5835" s="1" t="str">
        <f>"2.91"</f>
        <v>2.91</v>
      </c>
    </row>
    <row r="5836" s="1" customFormat="1" spans="1:15">
      <c r="A5836" s="1" t="str">
        <f t="shared" si="3338"/>
        <v>202406</v>
      </c>
      <c r="B5836" s="1" t="str">
        <f t="shared" si="3339"/>
        <v>150525100</v>
      </c>
      <c r="C5836" s="1" t="str">
        <f>"1014584958"</f>
        <v>1014584958</v>
      </c>
      <c r="D5836" s="1" t="str">
        <f>"152326195507220422"</f>
        <v>152326195507220422</v>
      </c>
      <c r="E5836" s="1" t="s">
        <v>4708</v>
      </c>
      <c r="F5836" s="1" t="s">
        <v>16</v>
      </c>
      <c r="G5836" s="1" t="s">
        <v>17</v>
      </c>
      <c r="H5836" s="1" t="str">
        <f>"69"</f>
        <v>69</v>
      </c>
      <c r="I5836" s="1" t="str">
        <f>"155.1"</f>
        <v>155.1</v>
      </c>
      <c r="J5836" s="1" t="str">
        <f t="shared" si="3336"/>
        <v>0</v>
      </c>
      <c r="K5836" s="1" t="str">
        <f t="shared" si="3331"/>
        <v>103</v>
      </c>
      <c r="L5836" s="1" t="str">
        <f t="shared" si="3332"/>
        <v>47</v>
      </c>
      <c r="M5836" s="1" t="str">
        <f t="shared" si="3329"/>
        <v>0</v>
      </c>
      <c r="N5836" s="1" t="str">
        <f t="shared" si="3337"/>
        <v>0</v>
      </c>
      <c r="O5836" s="1" t="str">
        <f>"5.1"</f>
        <v>5.1</v>
      </c>
    </row>
    <row r="5837" s="1" customFormat="1" spans="1:15">
      <c r="A5837" s="1" t="str">
        <f t="shared" si="3338"/>
        <v>202406</v>
      </c>
      <c r="B5837" s="1" t="str">
        <f t="shared" si="3339"/>
        <v>150525100</v>
      </c>
      <c r="C5837" s="1" t="str">
        <f>"1014567761"</f>
        <v>1014567761</v>
      </c>
      <c r="D5837" s="1" t="str">
        <f>"152326195212213815"</f>
        <v>152326195212213815</v>
      </c>
      <c r="E5837" s="1" t="s">
        <v>5730</v>
      </c>
      <c r="F5837" s="1" t="s">
        <v>25</v>
      </c>
      <c r="G5837" s="1" t="s">
        <v>17</v>
      </c>
      <c r="H5837" s="1" t="str">
        <f>"72"</f>
        <v>72</v>
      </c>
      <c r="I5837" s="1" t="str">
        <f>"162.15"</f>
        <v>162.15</v>
      </c>
      <c r="J5837" s="1" t="str">
        <f t="shared" si="3336"/>
        <v>0</v>
      </c>
      <c r="K5837" s="1" t="str">
        <f t="shared" si="3331"/>
        <v>103</v>
      </c>
      <c r="L5837" s="1" t="str">
        <f t="shared" si="3332"/>
        <v>47</v>
      </c>
      <c r="M5837" s="1" t="str">
        <f t="shared" si="3329"/>
        <v>0</v>
      </c>
      <c r="N5837" s="1" t="str">
        <f t="shared" si="3337"/>
        <v>0</v>
      </c>
      <c r="O5837" s="1" t="str">
        <f>"2.15"</f>
        <v>2.15</v>
      </c>
    </row>
    <row r="5838" s="1" customFormat="1" spans="1:15">
      <c r="A5838" s="1" t="str">
        <f t="shared" si="3338"/>
        <v>202406</v>
      </c>
      <c r="B5838" s="1" t="str">
        <f t="shared" si="3339"/>
        <v>150525100</v>
      </c>
      <c r="C5838" s="1" t="str">
        <f>"1014568783"</f>
        <v>1014568783</v>
      </c>
      <c r="D5838" s="1" t="str">
        <f>"152326195310223822"</f>
        <v>152326195310223822</v>
      </c>
      <c r="E5838" s="1" t="s">
        <v>5731</v>
      </c>
      <c r="F5838" s="1" t="s">
        <v>16</v>
      </c>
      <c r="G5838" s="1" t="s">
        <v>19</v>
      </c>
      <c r="H5838" s="1" t="str">
        <f>"71"</f>
        <v>71</v>
      </c>
      <c r="I5838" s="1" t="str">
        <f>"163.16"</f>
        <v>163.16</v>
      </c>
      <c r="J5838" s="1" t="str">
        <f t="shared" si="3336"/>
        <v>0</v>
      </c>
      <c r="K5838" s="1" t="str">
        <f t="shared" si="3331"/>
        <v>103</v>
      </c>
      <c r="L5838" s="1" t="str">
        <f t="shared" si="3332"/>
        <v>47</v>
      </c>
      <c r="M5838" s="1" t="str">
        <f t="shared" si="3329"/>
        <v>0</v>
      </c>
      <c r="N5838" s="1" t="str">
        <f t="shared" si="3337"/>
        <v>0</v>
      </c>
      <c r="O5838" s="1" t="str">
        <f>"3.16"</f>
        <v>3.16</v>
      </c>
    </row>
    <row r="5839" s="1" customFormat="1" spans="1:15">
      <c r="A5839" s="1" t="str">
        <f t="shared" si="3338"/>
        <v>202406</v>
      </c>
      <c r="B5839" s="1" t="str">
        <f t="shared" si="3339"/>
        <v>150525100</v>
      </c>
      <c r="C5839" s="1" t="str">
        <f>"1014568785"</f>
        <v>1014568785</v>
      </c>
      <c r="D5839" s="1" t="str">
        <f>"152326195603103816"</f>
        <v>152326195603103816</v>
      </c>
      <c r="E5839" s="1" t="s">
        <v>5732</v>
      </c>
      <c r="F5839" s="1" t="s">
        <v>25</v>
      </c>
      <c r="G5839" s="1" t="s">
        <v>19</v>
      </c>
      <c r="H5839" s="1" t="str">
        <f>"68"</f>
        <v>68</v>
      </c>
      <c r="I5839" s="1" t="str">
        <f>"156.01"</f>
        <v>156.01</v>
      </c>
      <c r="J5839" s="1" t="str">
        <f t="shared" si="3336"/>
        <v>0</v>
      </c>
      <c r="K5839" s="1" t="str">
        <f t="shared" si="3331"/>
        <v>103</v>
      </c>
      <c r="L5839" s="1" t="str">
        <f t="shared" si="3332"/>
        <v>47</v>
      </c>
      <c r="M5839" s="1" t="str">
        <f t="shared" si="3329"/>
        <v>0</v>
      </c>
      <c r="N5839" s="1" t="str">
        <f t="shared" si="3337"/>
        <v>0</v>
      </c>
      <c r="O5839" s="1" t="str">
        <f>"6.01"</f>
        <v>6.01</v>
      </c>
    </row>
    <row r="5840" s="1" customFormat="1" spans="1:15">
      <c r="A5840" s="1" t="str">
        <f t="shared" si="3338"/>
        <v>202406</v>
      </c>
      <c r="B5840" s="1" t="str">
        <f t="shared" si="3339"/>
        <v>150525100</v>
      </c>
      <c r="C5840" s="1" t="str">
        <f>"1014568792"</f>
        <v>1014568792</v>
      </c>
      <c r="D5840" s="1" t="str">
        <f>"152326195907143817"</f>
        <v>152326195907143817</v>
      </c>
      <c r="E5840" s="1" t="s">
        <v>5733</v>
      </c>
      <c r="F5840" s="1" t="s">
        <v>25</v>
      </c>
      <c r="G5840" s="1" t="s">
        <v>19</v>
      </c>
      <c r="H5840" s="1" t="str">
        <f t="shared" ref="H5840:H5842" si="3340">"65"</f>
        <v>65</v>
      </c>
      <c r="I5840" s="1" t="str">
        <f>"158.17"</f>
        <v>158.17</v>
      </c>
      <c r="J5840" s="1" t="str">
        <f t="shared" si="3336"/>
        <v>0</v>
      </c>
      <c r="K5840" s="1" t="str">
        <f t="shared" si="3331"/>
        <v>103</v>
      </c>
      <c r="L5840" s="1" t="str">
        <f t="shared" si="3332"/>
        <v>47</v>
      </c>
      <c r="M5840" s="1" t="str">
        <f t="shared" si="3329"/>
        <v>0</v>
      </c>
      <c r="N5840" s="1" t="str">
        <f t="shared" si="3337"/>
        <v>0</v>
      </c>
      <c r="O5840" s="1" t="str">
        <f>"8.17"</f>
        <v>8.17</v>
      </c>
    </row>
    <row r="5841" s="1" customFormat="1" spans="1:15">
      <c r="A5841" s="1" t="str">
        <f t="shared" si="3338"/>
        <v>202406</v>
      </c>
      <c r="B5841" s="1" t="str">
        <f t="shared" si="3339"/>
        <v>150525100</v>
      </c>
      <c r="C5841" s="1" t="str">
        <f>"1014562834"</f>
        <v>1014562834</v>
      </c>
      <c r="D5841" s="1" t="str">
        <f>"152326195904080427"</f>
        <v>152326195904080427</v>
      </c>
      <c r="E5841" s="1" t="s">
        <v>4709</v>
      </c>
      <c r="F5841" s="1" t="s">
        <v>16</v>
      </c>
      <c r="G5841" s="1" t="s">
        <v>17</v>
      </c>
      <c r="H5841" s="1" t="str">
        <f t="shared" si="3340"/>
        <v>65</v>
      </c>
      <c r="I5841" s="1" t="str">
        <f>"158.16"</f>
        <v>158.16</v>
      </c>
      <c r="J5841" s="1" t="str">
        <f t="shared" si="3336"/>
        <v>0</v>
      </c>
      <c r="K5841" s="1" t="str">
        <f t="shared" si="3331"/>
        <v>103</v>
      </c>
      <c r="L5841" s="1" t="str">
        <f t="shared" si="3332"/>
        <v>47</v>
      </c>
      <c r="M5841" s="1" t="str">
        <f t="shared" si="3329"/>
        <v>0</v>
      </c>
      <c r="N5841" s="1" t="str">
        <f t="shared" si="3337"/>
        <v>0</v>
      </c>
      <c r="O5841" s="1" t="str">
        <f>"8.16"</f>
        <v>8.16</v>
      </c>
    </row>
    <row r="5842" s="1" customFormat="1" spans="1:15">
      <c r="A5842" s="1" t="str">
        <f t="shared" si="3338"/>
        <v>202406</v>
      </c>
      <c r="B5842" s="1" t="str">
        <f t="shared" si="3339"/>
        <v>150525100</v>
      </c>
      <c r="C5842" s="1" t="str">
        <f>"1014562838"</f>
        <v>1014562838</v>
      </c>
      <c r="D5842" s="1" t="str">
        <f>"152326195905190425"</f>
        <v>152326195905190425</v>
      </c>
      <c r="E5842" s="1" t="s">
        <v>2269</v>
      </c>
      <c r="F5842" s="1" t="s">
        <v>16</v>
      </c>
      <c r="G5842" s="1" t="s">
        <v>17</v>
      </c>
      <c r="H5842" s="1" t="str">
        <f t="shared" si="3340"/>
        <v>65</v>
      </c>
      <c r="I5842" s="1" t="str">
        <f>"158.17"</f>
        <v>158.17</v>
      </c>
      <c r="J5842" s="1" t="str">
        <f t="shared" si="3336"/>
        <v>0</v>
      </c>
      <c r="K5842" s="1" t="str">
        <f t="shared" si="3331"/>
        <v>103</v>
      </c>
      <c r="L5842" s="1" t="str">
        <f t="shared" si="3332"/>
        <v>47</v>
      </c>
      <c r="M5842" s="1" t="str">
        <f t="shared" si="3329"/>
        <v>0</v>
      </c>
      <c r="N5842" s="1" t="str">
        <f t="shared" si="3337"/>
        <v>0</v>
      </c>
      <c r="O5842" s="1" t="str">
        <f>"8.17"</f>
        <v>8.17</v>
      </c>
    </row>
    <row r="5843" s="1" customFormat="1" spans="1:15">
      <c r="A5843" s="1" t="str">
        <f t="shared" si="3338"/>
        <v>202406</v>
      </c>
      <c r="B5843" s="1" t="str">
        <f t="shared" si="3339"/>
        <v>150525100</v>
      </c>
      <c r="C5843" s="1" t="str">
        <f>"1014563214"</f>
        <v>1014563214</v>
      </c>
      <c r="D5843" s="1" t="str">
        <f>"152326196202090422"</f>
        <v>152326196202090422</v>
      </c>
      <c r="E5843" s="1" t="s">
        <v>5734</v>
      </c>
      <c r="F5843" s="1" t="s">
        <v>16</v>
      </c>
      <c r="G5843" s="1" t="s">
        <v>17</v>
      </c>
      <c r="H5843" s="1" t="str">
        <f>"62"</f>
        <v>62</v>
      </c>
      <c r="I5843" s="1" t="str">
        <f>"162.94"</f>
        <v>162.94</v>
      </c>
      <c r="J5843" s="1" t="str">
        <f t="shared" si="3336"/>
        <v>0</v>
      </c>
      <c r="K5843" s="1" t="str">
        <f t="shared" si="3331"/>
        <v>103</v>
      </c>
      <c r="L5843" s="1" t="str">
        <f t="shared" si="3332"/>
        <v>47</v>
      </c>
      <c r="M5843" s="1" t="str">
        <f t="shared" si="3329"/>
        <v>0</v>
      </c>
      <c r="N5843" s="1" t="str">
        <f t="shared" si="3337"/>
        <v>0</v>
      </c>
      <c r="O5843" s="1" t="str">
        <f>"12.94"</f>
        <v>12.94</v>
      </c>
    </row>
    <row r="5844" s="1" customFormat="1" spans="1:15">
      <c r="A5844" s="1" t="str">
        <f t="shared" si="3338"/>
        <v>202406</v>
      </c>
      <c r="B5844" s="1" t="str">
        <f t="shared" si="3339"/>
        <v>150525100</v>
      </c>
      <c r="C5844" s="1" t="str">
        <f>"1014563227"</f>
        <v>1014563227</v>
      </c>
      <c r="D5844" s="1" t="str">
        <f>"152326196304150414"</f>
        <v>152326196304150414</v>
      </c>
      <c r="E5844" s="1" t="s">
        <v>5735</v>
      </c>
      <c r="F5844" s="1" t="s">
        <v>25</v>
      </c>
      <c r="G5844" s="1" t="s">
        <v>17</v>
      </c>
      <c r="H5844" s="1" t="str">
        <f>"61"</f>
        <v>61</v>
      </c>
      <c r="I5844" s="1" t="str">
        <f>"164.98"</f>
        <v>164.98</v>
      </c>
      <c r="J5844" s="1" t="str">
        <f t="shared" si="3336"/>
        <v>0</v>
      </c>
      <c r="K5844" s="1" t="str">
        <f t="shared" si="3331"/>
        <v>103</v>
      </c>
      <c r="L5844" s="1" t="str">
        <f t="shared" si="3332"/>
        <v>47</v>
      </c>
      <c r="M5844" s="1" t="str">
        <f t="shared" si="3329"/>
        <v>0</v>
      </c>
      <c r="N5844" s="1" t="str">
        <f t="shared" si="3337"/>
        <v>0</v>
      </c>
      <c r="O5844" s="1" t="str">
        <f>"14.98"</f>
        <v>14.98</v>
      </c>
    </row>
    <row r="5845" s="1" customFormat="1" spans="1:15">
      <c r="A5845" s="1" t="str">
        <f t="shared" si="3338"/>
        <v>202406</v>
      </c>
      <c r="B5845" s="1" t="str">
        <f t="shared" si="3339"/>
        <v>150525100</v>
      </c>
      <c r="C5845" s="1" t="str">
        <f>"1014569651"</f>
        <v>1014569651</v>
      </c>
      <c r="D5845" s="1" t="str">
        <f>"152326195311160413"</f>
        <v>152326195311160413</v>
      </c>
      <c r="E5845" s="1" t="s">
        <v>5434</v>
      </c>
      <c r="F5845" s="1" t="s">
        <v>25</v>
      </c>
      <c r="G5845" s="1" t="s">
        <v>17</v>
      </c>
      <c r="H5845" s="1" t="str">
        <f t="shared" ref="H5845:H5849" si="3341">"71"</f>
        <v>71</v>
      </c>
      <c r="I5845" s="1" t="str">
        <f>"173.38"</f>
        <v>173.38</v>
      </c>
      <c r="J5845" s="1" t="str">
        <f t="shared" si="3336"/>
        <v>0</v>
      </c>
      <c r="K5845" s="1" t="str">
        <f t="shared" si="3331"/>
        <v>103</v>
      </c>
      <c r="L5845" s="1" t="str">
        <f t="shared" si="3332"/>
        <v>47</v>
      </c>
      <c r="M5845" s="1" t="str">
        <f t="shared" si="3329"/>
        <v>0</v>
      </c>
      <c r="N5845" s="1" t="str">
        <f t="shared" si="3337"/>
        <v>0</v>
      </c>
      <c r="O5845" s="1" t="str">
        <f>"13.38"</f>
        <v>13.38</v>
      </c>
    </row>
    <row r="5846" s="1" customFormat="1" spans="1:15">
      <c r="A5846" s="1" t="str">
        <f t="shared" si="3338"/>
        <v>202406</v>
      </c>
      <c r="B5846" s="1" t="str">
        <f t="shared" si="3339"/>
        <v>150525100</v>
      </c>
      <c r="C5846" s="1" t="str">
        <f>"1014569653"</f>
        <v>1014569653</v>
      </c>
      <c r="D5846" s="1" t="str">
        <f>"152326195207130417"</f>
        <v>152326195207130417</v>
      </c>
      <c r="E5846" s="1" t="s">
        <v>5736</v>
      </c>
      <c r="F5846" s="1" t="s">
        <v>25</v>
      </c>
      <c r="G5846" s="1" t="s">
        <v>17</v>
      </c>
      <c r="H5846" s="1" t="str">
        <f>"72"</f>
        <v>72</v>
      </c>
      <c r="I5846" s="1" t="str">
        <f>"177.77"</f>
        <v>177.77</v>
      </c>
      <c r="J5846" s="1" t="str">
        <f t="shared" si="3336"/>
        <v>0</v>
      </c>
      <c r="K5846" s="1" t="str">
        <f t="shared" si="3331"/>
        <v>103</v>
      </c>
      <c r="L5846" s="1" t="str">
        <f t="shared" si="3332"/>
        <v>47</v>
      </c>
      <c r="M5846" s="1" t="str">
        <f t="shared" si="3329"/>
        <v>0</v>
      </c>
      <c r="N5846" s="1" t="str">
        <f t="shared" si="3337"/>
        <v>0</v>
      </c>
      <c r="O5846" s="1" t="str">
        <f>"17.77"</f>
        <v>17.77</v>
      </c>
    </row>
    <row r="5847" s="1" customFormat="1" spans="1:15">
      <c r="A5847" s="1" t="str">
        <f t="shared" si="3338"/>
        <v>202406</v>
      </c>
      <c r="B5847" s="1" t="str">
        <f t="shared" si="3339"/>
        <v>150525100</v>
      </c>
      <c r="C5847" s="1" t="str">
        <f>"1014584344"</f>
        <v>1014584344</v>
      </c>
      <c r="D5847" s="1" t="s">
        <v>5737</v>
      </c>
      <c r="E5847" s="1" t="s">
        <v>4686</v>
      </c>
      <c r="F5847" s="1" t="s">
        <v>25</v>
      </c>
      <c r="G5847" s="1" t="s">
        <v>19</v>
      </c>
      <c r="H5847" s="1" t="str">
        <f>"62"</f>
        <v>62</v>
      </c>
      <c r="I5847" s="1" t="str">
        <f>"652.52"</f>
        <v>652.52</v>
      </c>
      <c r="J5847" s="1" t="str">
        <f>"489.39"</f>
        <v>489.39</v>
      </c>
      <c r="K5847" s="1" t="str">
        <f>"412"</f>
        <v>412</v>
      </c>
      <c r="L5847" s="1" t="str">
        <f>"188"</f>
        <v>188</v>
      </c>
      <c r="M5847" s="1" t="str">
        <f t="shared" si="3329"/>
        <v>0</v>
      </c>
      <c r="N5847" s="1" t="str">
        <f t="shared" si="3337"/>
        <v>0</v>
      </c>
      <c r="O5847" s="1" t="str">
        <f>"52.52"</f>
        <v>52.52</v>
      </c>
    </row>
    <row r="5848" s="1" customFormat="1" spans="1:15">
      <c r="A5848" s="1" t="str">
        <f t="shared" si="3338"/>
        <v>202406</v>
      </c>
      <c r="B5848" s="1" t="str">
        <f t="shared" si="3339"/>
        <v>150525100</v>
      </c>
      <c r="C5848" s="1" t="str">
        <f>"1014550456"</f>
        <v>1014550456</v>
      </c>
      <c r="D5848" s="1" t="s">
        <v>5738</v>
      </c>
      <c r="E5848" s="1" t="s">
        <v>1407</v>
      </c>
      <c r="F5848" s="1" t="s">
        <v>16</v>
      </c>
      <c r="G5848" s="1" t="s">
        <v>17</v>
      </c>
      <c r="H5848" s="1" t="str">
        <f t="shared" si="3341"/>
        <v>71</v>
      </c>
      <c r="I5848" s="1" t="str">
        <f>"163.16"</f>
        <v>163.16</v>
      </c>
      <c r="J5848" s="1" t="str">
        <f t="shared" ref="J5848:J5911" si="3342">"0"</f>
        <v>0</v>
      </c>
      <c r="K5848" s="1" t="str">
        <f t="shared" ref="K5848:K5911" si="3343">"103"</f>
        <v>103</v>
      </c>
      <c r="L5848" s="1" t="str">
        <f t="shared" ref="L5848:L5911" si="3344">"47"</f>
        <v>47</v>
      </c>
      <c r="M5848" s="1" t="str">
        <f t="shared" si="3329"/>
        <v>0</v>
      </c>
      <c r="N5848" s="1" t="str">
        <f t="shared" si="3337"/>
        <v>0</v>
      </c>
      <c r="O5848" s="1" t="str">
        <f>"3.16"</f>
        <v>3.16</v>
      </c>
    </row>
    <row r="5849" s="1" customFormat="1" spans="1:15">
      <c r="A5849" s="1" t="str">
        <f t="shared" si="3338"/>
        <v>202406</v>
      </c>
      <c r="B5849" s="1" t="str">
        <f t="shared" si="3339"/>
        <v>150525100</v>
      </c>
      <c r="C5849" s="1" t="str">
        <f>"1014550459"</f>
        <v>1014550459</v>
      </c>
      <c r="D5849" s="1" t="s">
        <v>5739</v>
      </c>
      <c r="E5849" s="1" t="s">
        <v>765</v>
      </c>
      <c r="F5849" s="1" t="s">
        <v>16</v>
      </c>
      <c r="G5849" s="1" t="s">
        <v>17</v>
      </c>
      <c r="H5849" s="1" t="str">
        <f t="shared" si="3341"/>
        <v>71</v>
      </c>
      <c r="I5849" s="1" t="str">
        <f>"163.16"</f>
        <v>163.16</v>
      </c>
      <c r="J5849" s="1" t="str">
        <f t="shared" si="3342"/>
        <v>0</v>
      </c>
      <c r="K5849" s="1" t="str">
        <f t="shared" si="3343"/>
        <v>103</v>
      </c>
      <c r="L5849" s="1" t="str">
        <f t="shared" si="3344"/>
        <v>47</v>
      </c>
      <c r="M5849" s="1" t="str">
        <f t="shared" si="3329"/>
        <v>0</v>
      </c>
      <c r="N5849" s="1" t="str">
        <f t="shared" si="3337"/>
        <v>0</v>
      </c>
      <c r="O5849" s="1" t="str">
        <f>"3.16"</f>
        <v>3.16</v>
      </c>
    </row>
    <row r="5850" s="1" customFormat="1" spans="1:15">
      <c r="A5850" s="1" t="str">
        <f t="shared" si="3338"/>
        <v>202406</v>
      </c>
      <c r="B5850" s="1" t="str">
        <f t="shared" si="3339"/>
        <v>150525100</v>
      </c>
      <c r="C5850" s="1" t="str">
        <f>"1014549044"</f>
        <v>1014549044</v>
      </c>
      <c r="D5850" s="1" t="str">
        <f>"152326195709213319"</f>
        <v>152326195709213319</v>
      </c>
      <c r="E5850" s="1" t="s">
        <v>5740</v>
      </c>
      <c r="F5850" s="1" t="s">
        <v>25</v>
      </c>
      <c r="G5850" s="1" t="s">
        <v>19</v>
      </c>
      <c r="H5850" s="1" t="str">
        <f>"67"</f>
        <v>67</v>
      </c>
      <c r="I5850" s="1" t="str">
        <f>"156.08"</f>
        <v>156.08</v>
      </c>
      <c r="J5850" s="1" t="str">
        <f t="shared" si="3342"/>
        <v>0</v>
      </c>
      <c r="K5850" s="1" t="str">
        <f t="shared" si="3343"/>
        <v>103</v>
      </c>
      <c r="L5850" s="1" t="str">
        <f t="shared" si="3344"/>
        <v>47</v>
      </c>
      <c r="M5850" s="1" t="str">
        <f t="shared" si="3329"/>
        <v>0</v>
      </c>
      <c r="N5850" s="1" t="str">
        <f t="shared" si="3337"/>
        <v>0</v>
      </c>
      <c r="O5850" s="1" t="str">
        <f>"6.08"</f>
        <v>6.08</v>
      </c>
    </row>
    <row r="5851" s="1" customFormat="1" spans="1:15">
      <c r="A5851" s="1" t="str">
        <f t="shared" si="3338"/>
        <v>202406</v>
      </c>
      <c r="B5851" s="1" t="str">
        <f t="shared" si="3339"/>
        <v>150525100</v>
      </c>
      <c r="C5851" s="1" t="str">
        <f>"1014584975"</f>
        <v>1014584975</v>
      </c>
      <c r="D5851" s="1" t="str">
        <f>"152326195612140416"</f>
        <v>152326195612140416</v>
      </c>
      <c r="E5851" s="1" t="s">
        <v>5741</v>
      </c>
      <c r="F5851" s="1" t="s">
        <v>25</v>
      </c>
      <c r="G5851" s="1" t="s">
        <v>17</v>
      </c>
      <c r="H5851" s="1" t="str">
        <f>"68"</f>
        <v>68</v>
      </c>
      <c r="I5851" s="1" t="str">
        <f>"156.02"</f>
        <v>156.02</v>
      </c>
      <c r="J5851" s="1" t="str">
        <f t="shared" si="3342"/>
        <v>0</v>
      </c>
      <c r="K5851" s="1" t="str">
        <f t="shared" si="3343"/>
        <v>103</v>
      </c>
      <c r="L5851" s="1" t="str">
        <f t="shared" si="3344"/>
        <v>47</v>
      </c>
      <c r="M5851" s="1" t="str">
        <f t="shared" si="3329"/>
        <v>0</v>
      </c>
      <c r="N5851" s="1" t="str">
        <f t="shared" si="3337"/>
        <v>0</v>
      </c>
      <c r="O5851" s="1" t="str">
        <f>"6.02"</f>
        <v>6.02</v>
      </c>
    </row>
    <row r="5852" s="1" customFormat="1" spans="1:15">
      <c r="A5852" s="1" t="str">
        <f t="shared" si="3338"/>
        <v>202406</v>
      </c>
      <c r="B5852" s="1" t="str">
        <f t="shared" si="3339"/>
        <v>150525100</v>
      </c>
      <c r="C5852" s="1" t="str">
        <f>"1014584983"</f>
        <v>1014584983</v>
      </c>
      <c r="D5852" s="1" t="s">
        <v>5742</v>
      </c>
      <c r="E5852" s="1" t="s">
        <v>5743</v>
      </c>
      <c r="F5852" s="1" t="s">
        <v>16</v>
      </c>
      <c r="G5852" s="1" t="s">
        <v>17</v>
      </c>
      <c r="H5852" s="1" t="str">
        <f>"66"</f>
        <v>66</v>
      </c>
      <c r="I5852" s="1" t="str">
        <f>"157.64"</f>
        <v>157.64</v>
      </c>
      <c r="J5852" s="1" t="str">
        <f t="shared" si="3342"/>
        <v>0</v>
      </c>
      <c r="K5852" s="1" t="str">
        <f t="shared" si="3343"/>
        <v>103</v>
      </c>
      <c r="L5852" s="1" t="str">
        <f t="shared" si="3344"/>
        <v>47</v>
      </c>
      <c r="M5852" s="1" t="str">
        <f t="shared" si="3329"/>
        <v>0</v>
      </c>
      <c r="N5852" s="1" t="str">
        <f t="shared" si="3337"/>
        <v>0</v>
      </c>
      <c r="O5852" s="1" t="str">
        <f>"7.64"</f>
        <v>7.64</v>
      </c>
    </row>
    <row r="5853" s="1" customFormat="1" spans="1:15">
      <c r="A5853" s="1" t="str">
        <f t="shared" si="3338"/>
        <v>202406</v>
      </c>
      <c r="B5853" s="1" t="str">
        <f t="shared" si="3339"/>
        <v>150525100</v>
      </c>
      <c r="C5853" s="1" t="str">
        <f>"1040833018"</f>
        <v>1040833018</v>
      </c>
      <c r="D5853" s="1" t="str">
        <f>"152326195505090660"</f>
        <v>152326195505090660</v>
      </c>
      <c r="E5853" s="1" t="s">
        <v>1476</v>
      </c>
      <c r="F5853" s="1" t="s">
        <v>16</v>
      </c>
      <c r="G5853" s="1" t="s">
        <v>17</v>
      </c>
      <c r="H5853" s="1" t="str">
        <f>"69"</f>
        <v>69</v>
      </c>
      <c r="I5853" s="1" t="str">
        <f>"154.52"</f>
        <v>154.52</v>
      </c>
      <c r="J5853" s="1" t="str">
        <f t="shared" si="3342"/>
        <v>0</v>
      </c>
      <c r="K5853" s="1" t="str">
        <f t="shared" si="3343"/>
        <v>103</v>
      </c>
      <c r="L5853" s="1" t="str">
        <f t="shared" si="3344"/>
        <v>47</v>
      </c>
      <c r="M5853" s="1" t="str">
        <f t="shared" si="3329"/>
        <v>0</v>
      </c>
      <c r="N5853" s="1" t="str">
        <f t="shared" si="3337"/>
        <v>0</v>
      </c>
      <c r="O5853" s="1" t="str">
        <f>"4.52"</f>
        <v>4.52</v>
      </c>
    </row>
    <row r="5854" s="1" customFormat="1" spans="1:15">
      <c r="A5854" s="1" t="str">
        <f t="shared" si="3338"/>
        <v>202406</v>
      </c>
      <c r="B5854" s="1" t="str">
        <f t="shared" si="3339"/>
        <v>150525100</v>
      </c>
      <c r="C5854" s="1" t="str">
        <f>"1040833020"</f>
        <v>1040833020</v>
      </c>
      <c r="D5854" s="1" t="str">
        <f>"152326195511210673"</f>
        <v>152326195511210673</v>
      </c>
      <c r="E5854" s="1" t="s">
        <v>5744</v>
      </c>
      <c r="F5854" s="1" t="s">
        <v>25</v>
      </c>
      <c r="G5854" s="1" t="s">
        <v>17</v>
      </c>
      <c r="H5854" s="1" t="str">
        <f>"69"</f>
        <v>69</v>
      </c>
      <c r="I5854" s="1" t="str">
        <f>"154.52"</f>
        <v>154.52</v>
      </c>
      <c r="J5854" s="1" t="str">
        <f t="shared" si="3342"/>
        <v>0</v>
      </c>
      <c r="K5854" s="1" t="str">
        <f t="shared" si="3343"/>
        <v>103</v>
      </c>
      <c r="L5854" s="1" t="str">
        <f t="shared" si="3344"/>
        <v>47</v>
      </c>
      <c r="M5854" s="1" t="str">
        <f t="shared" si="3329"/>
        <v>0</v>
      </c>
      <c r="N5854" s="1" t="str">
        <f t="shared" si="3337"/>
        <v>0</v>
      </c>
      <c r="O5854" s="1" t="str">
        <f>"4.52"</f>
        <v>4.52</v>
      </c>
    </row>
    <row r="5855" s="1" customFormat="1" spans="1:15">
      <c r="A5855" s="1" t="str">
        <f t="shared" si="3338"/>
        <v>202406</v>
      </c>
      <c r="B5855" s="1" t="str">
        <f t="shared" si="3339"/>
        <v>150525100</v>
      </c>
      <c r="C5855" s="1" t="str">
        <f>"1014567803"</f>
        <v>1014567803</v>
      </c>
      <c r="D5855" s="1" t="str">
        <f>"152326195305213822"</f>
        <v>152326195305213822</v>
      </c>
      <c r="E5855" s="1" t="s">
        <v>4652</v>
      </c>
      <c r="F5855" s="1" t="s">
        <v>16</v>
      </c>
      <c r="G5855" s="1" t="s">
        <v>96</v>
      </c>
      <c r="H5855" s="1" t="str">
        <f>"71"</f>
        <v>71</v>
      </c>
      <c r="I5855" s="1" t="str">
        <f>"162.92"</f>
        <v>162.92</v>
      </c>
      <c r="J5855" s="1" t="str">
        <f t="shared" si="3342"/>
        <v>0</v>
      </c>
      <c r="K5855" s="1" t="str">
        <f t="shared" si="3343"/>
        <v>103</v>
      </c>
      <c r="L5855" s="1" t="str">
        <f t="shared" si="3344"/>
        <v>47</v>
      </c>
      <c r="M5855" s="1" t="str">
        <f t="shared" si="3329"/>
        <v>0</v>
      </c>
      <c r="N5855" s="1" t="str">
        <f t="shared" si="3337"/>
        <v>0</v>
      </c>
      <c r="O5855" s="1" t="str">
        <f>"2.92"</f>
        <v>2.92</v>
      </c>
    </row>
    <row r="5856" s="1" customFormat="1" spans="1:15">
      <c r="A5856" s="1" t="str">
        <f t="shared" si="3338"/>
        <v>202406</v>
      </c>
      <c r="B5856" s="1" t="str">
        <f t="shared" si="3339"/>
        <v>150525100</v>
      </c>
      <c r="C5856" s="1" t="str">
        <f>"1014562890"</f>
        <v>1014562890</v>
      </c>
      <c r="D5856" s="1" t="str">
        <f>"152326195205190424"</f>
        <v>152326195205190424</v>
      </c>
      <c r="E5856" s="1" t="s">
        <v>5745</v>
      </c>
      <c r="F5856" s="1" t="s">
        <v>16</v>
      </c>
      <c r="G5856" s="1" t="s">
        <v>17</v>
      </c>
      <c r="H5856" s="1" t="str">
        <f>"72"</f>
        <v>72</v>
      </c>
      <c r="I5856" s="1" t="str">
        <f>"162.16"</f>
        <v>162.16</v>
      </c>
      <c r="J5856" s="1" t="str">
        <f t="shared" si="3342"/>
        <v>0</v>
      </c>
      <c r="K5856" s="1" t="str">
        <f t="shared" si="3343"/>
        <v>103</v>
      </c>
      <c r="L5856" s="1" t="str">
        <f t="shared" si="3344"/>
        <v>47</v>
      </c>
      <c r="M5856" s="1" t="str">
        <f t="shared" si="3329"/>
        <v>0</v>
      </c>
      <c r="N5856" s="1" t="str">
        <f t="shared" si="3337"/>
        <v>0</v>
      </c>
      <c r="O5856" s="1" t="str">
        <f>"2.16"</f>
        <v>2.16</v>
      </c>
    </row>
    <row r="5857" s="1" customFormat="1" spans="1:15">
      <c r="A5857" s="1" t="str">
        <f t="shared" si="3338"/>
        <v>202406</v>
      </c>
      <c r="B5857" s="1" t="str">
        <f t="shared" si="3339"/>
        <v>150525100</v>
      </c>
      <c r="C5857" s="1" t="str">
        <f>"1014569674"</f>
        <v>1014569674</v>
      </c>
      <c r="D5857" s="1" t="str">
        <f>"152326195301020433"</f>
        <v>152326195301020433</v>
      </c>
      <c r="E5857" s="1" t="s">
        <v>5746</v>
      </c>
      <c r="F5857" s="1" t="s">
        <v>25</v>
      </c>
      <c r="G5857" s="1" t="s">
        <v>17</v>
      </c>
      <c r="H5857" s="1" t="str">
        <f>"72"</f>
        <v>72</v>
      </c>
      <c r="I5857" s="1" t="str">
        <f>"163.16"</f>
        <v>163.16</v>
      </c>
      <c r="J5857" s="1" t="str">
        <f t="shared" si="3342"/>
        <v>0</v>
      </c>
      <c r="K5857" s="1" t="str">
        <f t="shared" si="3343"/>
        <v>103</v>
      </c>
      <c r="L5857" s="1" t="str">
        <f t="shared" si="3344"/>
        <v>47</v>
      </c>
      <c r="M5857" s="1" t="str">
        <f t="shared" si="3329"/>
        <v>0</v>
      </c>
      <c r="N5857" s="1" t="str">
        <f t="shared" si="3337"/>
        <v>0</v>
      </c>
      <c r="O5857" s="1" t="str">
        <f>"3.16"</f>
        <v>3.16</v>
      </c>
    </row>
    <row r="5858" s="1" customFormat="1" spans="1:15">
      <c r="A5858" s="1" t="str">
        <f t="shared" si="3338"/>
        <v>202406</v>
      </c>
      <c r="B5858" s="1" t="str">
        <f t="shared" si="3339"/>
        <v>150525100</v>
      </c>
      <c r="C5858" s="1" t="str">
        <f>"1014569679"</f>
        <v>1014569679</v>
      </c>
      <c r="D5858" s="1" t="str">
        <f>"152326195403020418"</f>
        <v>152326195403020418</v>
      </c>
      <c r="E5858" s="1" t="s">
        <v>5747</v>
      </c>
      <c r="F5858" s="1" t="s">
        <v>25</v>
      </c>
      <c r="G5858" s="1" t="s">
        <v>17</v>
      </c>
      <c r="H5858" s="1" t="str">
        <f t="shared" ref="H5858:H5860" si="3345">"70"</f>
        <v>70</v>
      </c>
      <c r="I5858" s="1" t="str">
        <f>"164.14"</f>
        <v>164.14</v>
      </c>
      <c r="J5858" s="1" t="str">
        <f t="shared" si="3342"/>
        <v>0</v>
      </c>
      <c r="K5858" s="1" t="str">
        <f t="shared" si="3343"/>
        <v>103</v>
      </c>
      <c r="L5858" s="1" t="str">
        <f t="shared" si="3344"/>
        <v>47</v>
      </c>
      <c r="M5858" s="1" t="str">
        <f t="shared" si="3329"/>
        <v>0</v>
      </c>
      <c r="N5858" s="1" t="str">
        <f t="shared" si="3337"/>
        <v>0</v>
      </c>
      <c r="O5858" s="1" t="str">
        <f>"4.14"</f>
        <v>4.14</v>
      </c>
    </row>
    <row r="5859" s="1" customFormat="1" spans="1:15">
      <c r="A5859" s="1" t="str">
        <f t="shared" si="3338"/>
        <v>202406</v>
      </c>
      <c r="B5859" s="1" t="str">
        <f t="shared" si="3339"/>
        <v>150525100</v>
      </c>
      <c r="C5859" s="1" t="str">
        <f>"1014569687"</f>
        <v>1014569687</v>
      </c>
      <c r="D5859" s="1" t="str">
        <f>"152326195412220411"</f>
        <v>152326195412220411</v>
      </c>
      <c r="E5859" s="1" t="s">
        <v>5748</v>
      </c>
      <c r="F5859" s="1" t="s">
        <v>25</v>
      </c>
      <c r="G5859" s="1" t="s">
        <v>17</v>
      </c>
      <c r="H5859" s="1" t="str">
        <f t="shared" si="3345"/>
        <v>70</v>
      </c>
      <c r="I5859" s="1" t="str">
        <f>"154.14"</f>
        <v>154.14</v>
      </c>
      <c r="J5859" s="1" t="str">
        <f t="shared" si="3342"/>
        <v>0</v>
      </c>
      <c r="K5859" s="1" t="str">
        <f t="shared" si="3343"/>
        <v>103</v>
      </c>
      <c r="L5859" s="1" t="str">
        <f t="shared" si="3344"/>
        <v>47</v>
      </c>
      <c r="M5859" s="1" t="str">
        <f t="shared" si="3329"/>
        <v>0</v>
      </c>
      <c r="N5859" s="1" t="str">
        <f t="shared" si="3337"/>
        <v>0</v>
      </c>
      <c r="O5859" s="1" t="str">
        <f>"4.14"</f>
        <v>4.14</v>
      </c>
    </row>
    <row r="5860" s="1" customFormat="1" spans="1:15">
      <c r="A5860" s="1" t="str">
        <f t="shared" si="3338"/>
        <v>202406</v>
      </c>
      <c r="B5860" s="1" t="str">
        <f t="shared" si="3339"/>
        <v>150525100</v>
      </c>
      <c r="C5860" s="1" t="str">
        <f>"1014569689"</f>
        <v>1014569689</v>
      </c>
      <c r="D5860" s="1" t="str">
        <f>"152326195501020411"</f>
        <v>152326195501020411</v>
      </c>
      <c r="E5860" s="1" t="s">
        <v>5749</v>
      </c>
      <c r="F5860" s="1" t="s">
        <v>25</v>
      </c>
      <c r="G5860" s="1" t="s">
        <v>17</v>
      </c>
      <c r="H5860" s="1" t="str">
        <f t="shared" si="3345"/>
        <v>70</v>
      </c>
      <c r="I5860" s="1" t="str">
        <f>"155.1"</f>
        <v>155.1</v>
      </c>
      <c r="J5860" s="1" t="str">
        <f t="shared" si="3342"/>
        <v>0</v>
      </c>
      <c r="K5860" s="1" t="str">
        <f t="shared" si="3343"/>
        <v>103</v>
      </c>
      <c r="L5860" s="1" t="str">
        <f t="shared" si="3344"/>
        <v>47</v>
      </c>
      <c r="M5860" s="1" t="str">
        <f t="shared" si="3329"/>
        <v>0</v>
      </c>
      <c r="N5860" s="1" t="str">
        <f t="shared" si="3337"/>
        <v>0</v>
      </c>
      <c r="O5860" s="1" t="str">
        <f>"5.1"</f>
        <v>5.1</v>
      </c>
    </row>
    <row r="5861" s="1" customFormat="1" spans="1:15">
      <c r="A5861" s="1" t="str">
        <f t="shared" si="3338"/>
        <v>202406</v>
      </c>
      <c r="B5861" s="1" t="str">
        <f t="shared" si="3339"/>
        <v>150525100</v>
      </c>
      <c r="C5861" s="1" t="str">
        <f>"1014584084"</f>
        <v>1014584084</v>
      </c>
      <c r="D5861" s="1" t="str">
        <f>"152326195712040420"</f>
        <v>152326195712040420</v>
      </c>
      <c r="E5861" s="1" t="s">
        <v>260</v>
      </c>
      <c r="F5861" s="1" t="s">
        <v>16</v>
      </c>
      <c r="G5861" s="1" t="s">
        <v>17</v>
      </c>
      <c r="H5861" s="1" t="str">
        <f>"67"</f>
        <v>67</v>
      </c>
      <c r="I5861" s="1" t="str">
        <f>"156.11"</f>
        <v>156.11</v>
      </c>
      <c r="J5861" s="1" t="str">
        <f t="shared" si="3342"/>
        <v>0</v>
      </c>
      <c r="K5861" s="1" t="str">
        <f t="shared" si="3343"/>
        <v>103</v>
      </c>
      <c r="L5861" s="1" t="str">
        <f t="shared" si="3344"/>
        <v>47</v>
      </c>
      <c r="M5861" s="1" t="str">
        <f t="shared" si="3329"/>
        <v>0</v>
      </c>
      <c r="N5861" s="1" t="str">
        <f t="shared" si="3337"/>
        <v>0</v>
      </c>
      <c r="O5861" s="1" t="str">
        <f>"6.11"</f>
        <v>6.11</v>
      </c>
    </row>
    <row r="5862" s="1" customFormat="1" spans="1:15">
      <c r="A5862" s="1" t="str">
        <f t="shared" si="3338"/>
        <v>202406</v>
      </c>
      <c r="B5862" s="1" t="str">
        <f t="shared" si="3339"/>
        <v>150525100</v>
      </c>
      <c r="C5862" s="1" t="str">
        <f>"1014549955"</f>
        <v>1014549955</v>
      </c>
      <c r="D5862" s="1" t="str">
        <f>"152326195510133071"</f>
        <v>152326195510133071</v>
      </c>
      <c r="E5862" s="1" t="s">
        <v>5750</v>
      </c>
      <c r="F5862" s="1" t="s">
        <v>25</v>
      </c>
      <c r="G5862" s="1" t="s">
        <v>17</v>
      </c>
      <c r="H5862" s="1" t="str">
        <f>"69"</f>
        <v>69</v>
      </c>
      <c r="I5862" s="1" t="str">
        <f>"155.1"</f>
        <v>155.1</v>
      </c>
      <c r="J5862" s="1" t="str">
        <f t="shared" si="3342"/>
        <v>0</v>
      </c>
      <c r="K5862" s="1" t="str">
        <f t="shared" si="3343"/>
        <v>103</v>
      </c>
      <c r="L5862" s="1" t="str">
        <f t="shared" si="3344"/>
        <v>47</v>
      </c>
      <c r="M5862" s="1" t="str">
        <f t="shared" si="3329"/>
        <v>0</v>
      </c>
      <c r="N5862" s="1" t="str">
        <f t="shared" si="3337"/>
        <v>0</v>
      </c>
      <c r="O5862" s="1" t="str">
        <f>"5.1"</f>
        <v>5.1</v>
      </c>
    </row>
    <row r="5863" s="1" customFormat="1" spans="1:15">
      <c r="A5863" s="1" t="str">
        <f t="shared" si="3338"/>
        <v>202406</v>
      </c>
      <c r="B5863" s="1" t="str">
        <f t="shared" si="3339"/>
        <v>150525100</v>
      </c>
      <c r="C5863" s="1" t="str">
        <f>"1014549961"</f>
        <v>1014549961</v>
      </c>
      <c r="D5863" s="1" t="str">
        <f>"152326195511260670"</f>
        <v>152326195511260670</v>
      </c>
      <c r="E5863" s="1" t="s">
        <v>5751</v>
      </c>
      <c r="F5863" s="1" t="s">
        <v>25</v>
      </c>
      <c r="G5863" s="1" t="s">
        <v>17</v>
      </c>
      <c r="H5863" s="1" t="str">
        <f>"69"</f>
        <v>69</v>
      </c>
      <c r="I5863" s="1" t="str">
        <f>"155.11"</f>
        <v>155.11</v>
      </c>
      <c r="J5863" s="1" t="str">
        <f t="shared" si="3342"/>
        <v>0</v>
      </c>
      <c r="K5863" s="1" t="str">
        <f t="shared" si="3343"/>
        <v>103</v>
      </c>
      <c r="L5863" s="1" t="str">
        <f t="shared" si="3344"/>
        <v>47</v>
      </c>
      <c r="M5863" s="1" t="str">
        <f t="shared" si="3329"/>
        <v>0</v>
      </c>
      <c r="N5863" s="1" t="str">
        <f t="shared" si="3337"/>
        <v>0</v>
      </c>
      <c r="O5863" s="1" t="str">
        <f>"5.11"</f>
        <v>5.11</v>
      </c>
    </row>
    <row r="5864" s="1" customFormat="1" spans="1:15">
      <c r="A5864" s="1" t="str">
        <f t="shared" si="3338"/>
        <v>202406</v>
      </c>
      <c r="B5864" s="1" t="str">
        <f t="shared" si="3339"/>
        <v>150525100</v>
      </c>
      <c r="C5864" s="1" t="str">
        <f>"1014550477"</f>
        <v>1014550477</v>
      </c>
      <c r="D5864" s="1" t="str">
        <f>"152326195111053330"</f>
        <v>152326195111053330</v>
      </c>
      <c r="E5864" s="1" t="s">
        <v>5752</v>
      </c>
      <c r="F5864" s="1" t="s">
        <v>25</v>
      </c>
      <c r="G5864" s="1" t="s">
        <v>17</v>
      </c>
      <c r="H5864" s="1" t="str">
        <f>"73"</f>
        <v>73</v>
      </c>
      <c r="I5864" s="1" t="str">
        <f>"160"</f>
        <v>160</v>
      </c>
      <c r="J5864" s="1" t="str">
        <f t="shared" si="3342"/>
        <v>0</v>
      </c>
      <c r="K5864" s="1" t="str">
        <f t="shared" si="3343"/>
        <v>103</v>
      </c>
      <c r="L5864" s="1" t="str">
        <f t="shared" si="3344"/>
        <v>47</v>
      </c>
      <c r="M5864" s="1" t="str">
        <f t="shared" si="3329"/>
        <v>0</v>
      </c>
      <c r="N5864" s="1" t="str">
        <f t="shared" si="3337"/>
        <v>0</v>
      </c>
      <c r="O5864" s="1" t="str">
        <f>"0"</f>
        <v>0</v>
      </c>
    </row>
    <row r="5865" s="1" customFormat="1" spans="1:15">
      <c r="A5865" s="1" t="str">
        <f t="shared" si="3338"/>
        <v>202406</v>
      </c>
      <c r="B5865" s="1" t="str">
        <f t="shared" si="3339"/>
        <v>150525100</v>
      </c>
      <c r="C5865" s="1" t="str">
        <f>"1014550492"</f>
        <v>1014550492</v>
      </c>
      <c r="D5865" s="1" t="str">
        <f>"152326195204030664"</f>
        <v>152326195204030664</v>
      </c>
      <c r="E5865" s="1" t="s">
        <v>5753</v>
      </c>
      <c r="F5865" s="1" t="s">
        <v>16</v>
      </c>
      <c r="G5865" s="1" t="s">
        <v>17</v>
      </c>
      <c r="H5865" s="1" t="str">
        <f t="shared" ref="H5865:H5869" si="3346">"72"</f>
        <v>72</v>
      </c>
      <c r="I5865" s="1" t="str">
        <f>"162.15"</f>
        <v>162.15</v>
      </c>
      <c r="J5865" s="1" t="str">
        <f t="shared" si="3342"/>
        <v>0</v>
      </c>
      <c r="K5865" s="1" t="str">
        <f t="shared" si="3343"/>
        <v>103</v>
      </c>
      <c r="L5865" s="1" t="str">
        <f t="shared" si="3344"/>
        <v>47</v>
      </c>
      <c r="M5865" s="1" t="str">
        <f t="shared" si="3329"/>
        <v>0</v>
      </c>
      <c r="N5865" s="1" t="str">
        <f t="shared" si="3337"/>
        <v>0</v>
      </c>
      <c r="O5865" s="1" t="str">
        <f>"2.15"</f>
        <v>2.15</v>
      </c>
    </row>
    <row r="5866" s="1" customFormat="1" spans="1:15">
      <c r="A5866" s="1" t="str">
        <f t="shared" si="3338"/>
        <v>202406</v>
      </c>
      <c r="B5866" s="1" t="str">
        <f t="shared" si="3339"/>
        <v>150525100</v>
      </c>
      <c r="C5866" s="1" t="str">
        <f>"1040832967"</f>
        <v>1040832967</v>
      </c>
      <c r="D5866" s="1" t="str">
        <f>"152326195212280065"</f>
        <v>152326195212280065</v>
      </c>
      <c r="E5866" s="1" t="s">
        <v>5754</v>
      </c>
      <c r="F5866" s="1" t="s">
        <v>16</v>
      </c>
      <c r="G5866" s="1" t="s">
        <v>17</v>
      </c>
      <c r="H5866" s="1" t="str">
        <f t="shared" si="3346"/>
        <v>72</v>
      </c>
      <c r="I5866" s="1" t="str">
        <f>"161.46"</f>
        <v>161.46</v>
      </c>
      <c r="J5866" s="1" t="str">
        <f t="shared" si="3342"/>
        <v>0</v>
      </c>
      <c r="K5866" s="1" t="str">
        <f t="shared" si="3343"/>
        <v>103</v>
      </c>
      <c r="L5866" s="1" t="str">
        <f t="shared" si="3344"/>
        <v>47</v>
      </c>
      <c r="M5866" s="1" t="str">
        <f t="shared" si="3329"/>
        <v>0</v>
      </c>
      <c r="N5866" s="1" t="str">
        <f t="shared" si="3337"/>
        <v>0</v>
      </c>
      <c r="O5866" s="1" t="str">
        <f>"1.46"</f>
        <v>1.46</v>
      </c>
    </row>
    <row r="5867" s="1" customFormat="1" spans="1:15">
      <c r="A5867" s="1" t="str">
        <f t="shared" si="3338"/>
        <v>202406</v>
      </c>
      <c r="B5867" s="1" t="str">
        <f t="shared" si="3339"/>
        <v>150525100</v>
      </c>
      <c r="C5867" s="1" t="str">
        <f>"1040832993"</f>
        <v>1040832993</v>
      </c>
      <c r="D5867" s="1" t="str">
        <f>"152326195309050928"</f>
        <v>152326195309050928</v>
      </c>
      <c r="E5867" s="1" t="s">
        <v>5755</v>
      </c>
      <c r="F5867" s="1" t="s">
        <v>16</v>
      </c>
      <c r="G5867" s="1" t="s">
        <v>19</v>
      </c>
      <c r="H5867" s="1" t="str">
        <f>"71"</f>
        <v>71</v>
      </c>
      <c r="I5867" s="1" t="str">
        <f>"162.31"</f>
        <v>162.31</v>
      </c>
      <c r="J5867" s="1" t="str">
        <f t="shared" si="3342"/>
        <v>0</v>
      </c>
      <c r="K5867" s="1" t="str">
        <f t="shared" si="3343"/>
        <v>103</v>
      </c>
      <c r="L5867" s="1" t="str">
        <f t="shared" si="3344"/>
        <v>47</v>
      </c>
      <c r="M5867" s="1" t="str">
        <f t="shared" si="3329"/>
        <v>0</v>
      </c>
      <c r="N5867" s="1" t="str">
        <f t="shared" si="3337"/>
        <v>0</v>
      </c>
      <c r="O5867" s="1" t="str">
        <f>"2.31"</f>
        <v>2.31</v>
      </c>
    </row>
    <row r="5868" s="1" customFormat="1" spans="1:15">
      <c r="A5868" s="1" t="str">
        <f t="shared" si="3338"/>
        <v>202406</v>
      </c>
      <c r="B5868" s="1" t="str">
        <f t="shared" si="3339"/>
        <v>150525100</v>
      </c>
      <c r="C5868" s="1" t="str">
        <f>"1040833025"</f>
        <v>1040833025</v>
      </c>
      <c r="D5868" s="1" t="str">
        <f>"152326195109043846"</f>
        <v>152326195109043846</v>
      </c>
      <c r="E5868" s="1" t="s">
        <v>5756</v>
      </c>
      <c r="F5868" s="1" t="s">
        <v>16</v>
      </c>
      <c r="G5868" s="1" t="s">
        <v>17</v>
      </c>
      <c r="H5868" s="1" t="str">
        <f>"73"</f>
        <v>73</v>
      </c>
      <c r="I5868" s="1" t="str">
        <f>"160"</f>
        <v>160</v>
      </c>
      <c r="J5868" s="1" t="str">
        <f t="shared" si="3342"/>
        <v>0</v>
      </c>
      <c r="K5868" s="1" t="str">
        <f t="shared" si="3343"/>
        <v>103</v>
      </c>
      <c r="L5868" s="1" t="str">
        <f t="shared" si="3344"/>
        <v>47</v>
      </c>
      <c r="M5868" s="1" t="str">
        <f t="shared" si="3329"/>
        <v>0</v>
      </c>
      <c r="N5868" s="1" t="str">
        <f t="shared" si="3337"/>
        <v>0</v>
      </c>
      <c r="O5868" s="1" t="str">
        <f>"0"</f>
        <v>0</v>
      </c>
    </row>
    <row r="5869" s="1" customFormat="1" spans="1:15">
      <c r="A5869" s="1" t="str">
        <f t="shared" si="3338"/>
        <v>202406</v>
      </c>
      <c r="B5869" s="1" t="str">
        <f t="shared" si="3339"/>
        <v>150525100</v>
      </c>
      <c r="C5869" s="1" t="str">
        <f>"1014562906"</f>
        <v>1014562906</v>
      </c>
      <c r="D5869" s="1" t="str">
        <f>"152326195207120411"</f>
        <v>152326195207120411</v>
      </c>
      <c r="E5869" s="1" t="s">
        <v>5757</v>
      </c>
      <c r="F5869" s="1" t="s">
        <v>25</v>
      </c>
      <c r="G5869" s="1" t="s">
        <v>17</v>
      </c>
      <c r="H5869" s="1" t="str">
        <f t="shared" si="3346"/>
        <v>72</v>
      </c>
      <c r="I5869" s="1" t="str">
        <f>"162.16"</f>
        <v>162.16</v>
      </c>
      <c r="J5869" s="1" t="str">
        <f t="shared" si="3342"/>
        <v>0</v>
      </c>
      <c r="K5869" s="1" t="str">
        <f t="shared" si="3343"/>
        <v>103</v>
      </c>
      <c r="L5869" s="1" t="str">
        <f t="shared" si="3344"/>
        <v>47</v>
      </c>
      <c r="M5869" s="1" t="str">
        <f t="shared" si="3329"/>
        <v>0</v>
      </c>
      <c r="N5869" s="1" t="str">
        <f t="shared" si="3337"/>
        <v>0</v>
      </c>
      <c r="O5869" s="1" t="str">
        <f>"2.16"</f>
        <v>2.16</v>
      </c>
    </row>
    <row r="5870" s="1" customFormat="1" spans="1:15">
      <c r="A5870" s="1" t="str">
        <f t="shared" si="3338"/>
        <v>202406</v>
      </c>
      <c r="B5870" s="1" t="str">
        <f t="shared" si="3339"/>
        <v>150525100</v>
      </c>
      <c r="C5870" s="1" t="str">
        <f>"1014562924"</f>
        <v>1014562924</v>
      </c>
      <c r="D5870" s="1" t="str">
        <f>"152326196310130428"</f>
        <v>152326196310130428</v>
      </c>
      <c r="E5870" s="1" t="s">
        <v>5758</v>
      </c>
      <c r="F5870" s="1" t="s">
        <v>16</v>
      </c>
      <c r="G5870" s="1" t="s">
        <v>17</v>
      </c>
      <c r="H5870" s="1" t="str">
        <f>"61"</f>
        <v>61</v>
      </c>
      <c r="I5870" s="1" t="str">
        <f>"165.11"</f>
        <v>165.11</v>
      </c>
      <c r="J5870" s="1" t="str">
        <f t="shared" si="3342"/>
        <v>0</v>
      </c>
      <c r="K5870" s="1" t="str">
        <f t="shared" si="3343"/>
        <v>103</v>
      </c>
      <c r="L5870" s="1" t="str">
        <f t="shared" si="3344"/>
        <v>47</v>
      </c>
      <c r="M5870" s="1" t="str">
        <f t="shared" si="3329"/>
        <v>0</v>
      </c>
      <c r="N5870" s="1" t="str">
        <f t="shared" si="3337"/>
        <v>0</v>
      </c>
      <c r="O5870" s="1" t="str">
        <f>"15.11"</f>
        <v>15.11</v>
      </c>
    </row>
    <row r="5871" s="1" customFormat="1" spans="1:15">
      <c r="A5871" s="1" t="str">
        <f t="shared" si="3338"/>
        <v>202406</v>
      </c>
      <c r="B5871" s="1" t="str">
        <f t="shared" si="3339"/>
        <v>150525100</v>
      </c>
      <c r="C5871" s="1" t="str">
        <f>"1014569707"</f>
        <v>1014569707</v>
      </c>
      <c r="D5871" s="1" t="str">
        <f>"152326196204190427"</f>
        <v>152326196204190427</v>
      </c>
      <c r="E5871" s="1" t="s">
        <v>5759</v>
      </c>
      <c r="F5871" s="1" t="s">
        <v>16</v>
      </c>
      <c r="G5871" s="1" t="s">
        <v>17</v>
      </c>
      <c r="H5871" s="1" t="str">
        <f>"62"</f>
        <v>62</v>
      </c>
      <c r="I5871" s="1" t="str">
        <f>"162.98"</f>
        <v>162.98</v>
      </c>
      <c r="J5871" s="1" t="str">
        <f t="shared" si="3342"/>
        <v>0</v>
      </c>
      <c r="K5871" s="1" t="str">
        <f t="shared" si="3343"/>
        <v>103</v>
      </c>
      <c r="L5871" s="1" t="str">
        <f t="shared" si="3344"/>
        <v>47</v>
      </c>
      <c r="M5871" s="1" t="str">
        <f t="shared" si="3329"/>
        <v>0</v>
      </c>
      <c r="N5871" s="1" t="str">
        <f t="shared" si="3337"/>
        <v>0</v>
      </c>
      <c r="O5871" s="1" t="str">
        <f>"12.98"</f>
        <v>12.98</v>
      </c>
    </row>
    <row r="5872" s="1" customFormat="1" spans="1:15">
      <c r="A5872" s="1" t="str">
        <f t="shared" si="3338"/>
        <v>202406</v>
      </c>
      <c r="B5872" s="1" t="str">
        <f t="shared" si="3339"/>
        <v>150525100</v>
      </c>
      <c r="C5872" s="1" t="str">
        <f>"1014569710"</f>
        <v>1014569710</v>
      </c>
      <c r="D5872" s="1" t="str">
        <f>"152326196210160419"</f>
        <v>152326196210160419</v>
      </c>
      <c r="E5872" s="1" t="s">
        <v>5760</v>
      </c>
      <c r="F5872" s="1" t="s">
        <v>25</v>
      </c>
      <c r="G5872" s="1" t="s">
        <v>17</v>
      </c>
      <c r="H5872" s="1" t="str">
        <f>"62"</f>
        <v>62</v>
      </c>
      <c r="I5872" s="1" t="str">
        <f>"163.16"</f>
        <v>163.16</v>
      </c>
      <c r="J5872" s="1" t="str">
        <f t="shared" si="3342"/>
        <v>0</v>
      </c>
      <c r="K5872" s="1" t="str">
        <f t="shared" si="3343"/>
        <v>103</v>
      </c>
      <c r="L5872" s="1" t="str">
        <f t="shared" si="3344"/>
        <v>47</v>
      </c>
      <c r="M5872" s="1" t="str">
        <f t="shared" si="3329"/>
        <v>0</v>
      </c>
      <c r="N5872" s="1" t="str">
        <f t="shared" si="3337"/>
        <v>0</v>
      </c>
      <c r="O5872" s="1" t="str">
        <f>"13.16"</f>
        <v>13.16</v>
      </c>
    </row>
    <row r="5873" s="1" customFormat="1" spans="1:15">
      <c r="A5873" s="1" t="str">
        <f t="shared" si="3338"/>
        <v>202406</v>
      </c>
      <c r="B5873" s="1" t="str">
        <f t="shared" si="3339"/>
        <v>150525100</v>
      </c>
      <c r="C5873" s="1" t="str">
        <f>"1014584430"</f>
        <v>1014584430</v>
      </c>
      <c r="D5873" s="1" t="str">
        <f>"152326195205200426"</f>
        <v>152326195205200426</v>
      </c>
      <c r="E5873" s="1" t="s">
        <v>5761</v>
      </c>
      <c r="F5873" s="1" t="s">
        <v>16</v>
      </c>
      <c r="G5873" s="1" t="s">
        <v>17</v>
      </c>
      <c r="H5873" s="1" t="str">
        <f t="shared" ref="H5873:H5875" si="3347">"72"</f>
        <v>72</v>
      </c>
      <c r="I5873" s="1" t="str">
        <f>"162.14"</f>
        <v>162.14</v>
      </c>
      <c r="J5873" s="1" t="str">
        <f t="shared" si="3342"/>
        <v>0</v>
      </c>
      <c r="K5873" s="1" t="str">
        <f t="shared" si="3343"/>
        <v>103</v>
      </c>
      <c r="L5873" s="1" t="str">
        <f t="shared" si="3344"/>
        <v>47</v>
      </c>
      <c r="M5873" s="1" t="str">
        <f t="shared" si="3329"/>
        <v>0</v>
      </c>
      <c r="N5873" s="1" t="str">
        <f t="shared" si="3337"/>
        <v>0</v>
      </c>
      <c r="O5873" s="1" t="str">
        <f>"2.14"</f>
        <v>2.14</v>
      </c>
    </row>
    <row r="5874" s="1" customFormat="1" spans="1:15">
      <c r="A5874" s="1" t="str">
        <f t="shared" si="3338"/>
        <v>202406</v>
      </c>
      <c r="B5874" s="1" t="str">
        <f t="shared" si="3339"/>
        <v>150525100</v>
      </c>
      <c r="C5874" s="1" t="str">
        <f>"1014584435"</f>
        <v>1014584435</v>
      </c>
      <c r="D5874" s="1" t="s">
        <v>5762</v>
      </c>
      <c r="E5874" s="1" t="s">
        <v>5763</v>
      </c>
      <c r="F5874" s="1" t="s">
        <v>16</v>
      </c>
      <c r="G5874" s="1" t="s">
        <v>17</v>
      </c>
      <c r="H5874" s="1" t="str">
        <f t="shared" si="3347"/>
        <v>72</v>
      </c>
      <c r="I5874" s="1" t="str">
        <f>"162.14"</f>
        <v>162.14</v>
      </c>
      <c r="J5874" s="1" t="str">
        <f t="shared" si="3342"/>
        <v>0</v>
      </c>
      <c r="K5874" s="1" t="str">
        <f t="shared" si="3343"/>
        <v>103</v>
      </c>
      <c r="L5874" s="1" t="str">
        <f t="shared" si="3344"/>
        <v>47</v>
      </c>
      <c r="M5874" s="1" t="str">
        <f t="shared" si="3329"/>
        <v>0</v>
      </c>
      <c r="N5874" s="1" t="str">
        <f t="shared" si="3337"/>
        <v>0</v>
      </c>
      <c r="O5874" s="1" t="str">
        <f>"2.14"</f>
        <v>2.14</v>
      </c>
    </row>
    <row r="5875" s="1" customFormat="1" spans="1:15">
      <c r="A5875" s="1" t="str">
        <f t="shared" si="3338"/>
        <v>202406</v>
      </c>
      <c r="B5875" s="1" t="str">
        <f t="shared" si="3339"/>
        <v>150525100</v>
      </c>
      <c r="C5875" s="1" t="str">
        <f>"1014549118"</f>
        <v>1014549118</v>
      </c>
      <c r="D5875" s="1" t="str">
        <f>"152326195205153340"</f>
        <v>152326195205153340</v>
      </c>
      <c r="E5875" s="1" t="s">
        <v>5764</v>
      </c>
      <c r="F5875" s="1" t="s">
        <v>16</v>
      </c>
      <c r="G5875" s="1" t="s">
        <v>19</v>
      </c>
      <c r="H5875" s="1" t="str">
        <f t="shared" si="3347"/>
        <v>72</v>
      </c>
      <c r="I5875" s="1" t="str">
        <f>"163.87"</f>
        <v>163.87</v>
      </c>
      <c r="J5875" s="1" t="str">
        <f t="shared" si="3342"/>
        <v>0</v>
      </c>
      <c r="K5875" s="1" t="str">
        <f t="shared" si="3343"/>
        <v>103</v>
      </c>
      <c r="L5875" s="1" t="str">
        <f t="shared" si="3344"/>
        <v>47</v>
      </c>
      <c r="M5875" s="1" t="str">
        <f t="shared" si="3329"/>
        <v>0</v>
      </c>
      <c r="N5875" s="1" t="str">
        <f t="shared" si="3337"/>
        <v>0</v>
      </c>
      <c r="O5875" s="1" t="str">
        <f>"3.87"</f>
        <v>3.87</v>
      </c>
    </row>
    <row r="5876" s="1" customFormat="1" spans="1:15">
      <c r="A5876" s="1" t="str">
        <f t="shared" si="3338"/>
        <v>202406</v>
      </c>
      <c r="B5876" s="1" t="str">
        <f t="shared" si="3339"/>
        <v>150525100</v>
      </c>
      <c r="C5876" s="1" t="str">
        <f>"1014561116"</f>
        <v>1014561116</v>
      </c>
      <c r="D5876" s="1" t="str">
        <f>"152326195710170416"</f>
        <v>152326195710170416</v>
      </c>
      <c r="E5876" s="1" t="s">
        <v>5765</v>
      </c>
      <c r="F5876" s="1" t="s">
        <v>25</v>
      </c>
      <c r="G5876" s="1" t="s">
        <v>17</v>
      </c>
      <c r="H5876" s="1" t="str">
        <f>"67"</f>
        <v>67</v>
      </c>
      <c r="I5876" s="1" t="str">
        <f>"175.94"</f>
        <v>175.94</v>
      </c>
      <c r="J5876" s="1" t="str">
        <f t="shared" si="3342"/>
        <v>0</v>
      </c>
      <c r="K5876" s="1" t="str">
        <f t="shared" si="3343"/>
        <v>103</v>
      </c>
      <c r="L5876" s="1" t="str">
        <f t="shared" si="3344"/>
        <v>47</v>
      </c>
      <c r="M5876" s="1" t="str">
        <f t="shared" si="3329"/>
        <v>0</v>
      </c>
      <c r="N5876" s="1" t="str">
        <f t="shared" si="3337"/>
        <v>0</v>
      </c>
      <c r="O5876" s="1" t="str">
        <f>"25.94"</f>
        <v>25.94</v>
      </c>
    </row>
    <row r="5877" s="1" customFormat="1" spans="1:15">
      <c r="A5877" s="1" t="str">
        <f t="shared" si="3338"/>
        <v>202406</v>
      </c>
      <c r="B5877" s="1" t="str">
        <f t="shared" si="3339"/>
        <v>150525100</v>
      </c>
      <c r="C5877" s="1" t="str">
        <f>"1014561120"</f>
        <v>1014561120</v>
      </c>
      <c r="D5877" s="1" t="str">
        <f>"152326196212230425"</f>
        <v>152326196212230425</v>
      </c>
      <c r="E5877" s="1" t="s">
        <v>5766</v>
      </c>
      <c r="F5877" s="1" t="s">
        <v>16</v>
      </c>
      <c r="G5877" s="1" t="s">
        <v>17</v>
      </c>
      <c r="H5877" s="1" t="str">
        <f>"62"</f>
        <v>62</v>
      </c>
      <c r="I5877" s="1" t="str">
        <f>"199.92"</f>
        <v>199.92</v>
      </c>
      <c r="J5877" s="1" t="str">
        <f t="shared" si="3342"/>
        <v>0</v>
      </c>
      <c r="K5877" s="1" t="str">
        <f t="shared" si="3343"/>
        <v>103</v>
      </c>
      <c r="L5877" s="1" t="str">
        <f t="shared" si="3344"/>
        <v>47</v>
      </c>
      <c r="M5877" s="1" t="str">
        <f t="shared" ref="M5877:M5940" si="3348">"0"</f>
        <v>0</v>
      </c>
      <c r="N5877" s="1" t="str">
        <f t="shared" si="3337"/>
        <v>0</v>
      </c>
      <c r="O5877" s="1" t="str">
        <f>"49.92"</f>
        <v>49.92</v>
      </c>
    </row>
    <row r="5878" s="1" customFormat="1" spans="1:15">
      <c r="A5878" s="1" t="str">
        <f t="shared" si="3338"/>
        <v>202406</v>
      </c>
      <c r="B5878" s="1" t="str">
        <f t="shared" si="3339"/>
        <v>150525100</v>
      </c>
      <c r="C5878" s="1" t="str">
        <f>"1014555695"</f>
        <v>1014555695</v>
      </c>
      <c r="D5878" s="1" t="str">
        <f>"152326195808273819"</f>
        <v>152326195808273819</v>
      </c>
      <c r="E5878" s="1" t="s">
        <v>5767</v>
      </c>
      <c r="F5878" s="1" t="s">
        <v>25</v>
      </c>
      <c r="G5878" s="1" t="s">
        <v>17</v>
      </c>
      <c r="H5878" s="1" t="str">
        <f>"66"</f>
        <v>66</v>
      </c>
      <c r="I5878" s="1" t="str">
        <f>"156.89"</f>
        <v>156.89</v>
      </c>
      <c r="J5878" s="1" t="str">
        <f t="shared" si="3342"/>
        <v>0</v>
      </c>
      <c r="K5878" s="1" t="str">
        <f t="shared" si="3343"/>
        <v>103</v>
      </c>
      <c r="L5878" s="1" t="str">
        <f t="shared" si="3344"/>
        <v>47</v>
      </c>
      <c r="M5878" s="1" t="str">
        <f t="shared" si="3348"/>
        <v>0</v>
      </c>
      <c r="N5878" s="1" t="str">
        <f t="shared" si="3337"/>
        <v>0</v>
      </c>
      <c r="O5878" s="1" t="str">
        <f>"6.89"</f>
        <v>6.89</v>
      </c>
    </row>
    <row r="5879" s="1" customFormat="1" spans="1:15">
      <c r="A5879" s="1" t="str">
        <f t="shared" si="3338"/>
        <v>202406</v>
      </c>
      <c r="B5879" s="1" t="str">
        <f t="shared" si="3339"/>
        <v>150525100</v>
      </c>
      <c r="C5879" s="1" t="str">
        <f>"1014567845"</f>
        <v>1014567845</v>
      </c>
      <c r="D5879" s="1" t="str">
        <f>"152326195209293826"</f>
        <v>152326195209293826</v>
      </c>
      <c r="E5879" s="1" t="s">
        <v>5768</v>
      </c>
      <c r="F5879" s="1" t="s">
        <v>16</v>
      </c>
      <c r="G5879" s="1" t="s">
        <v>19</v>
      </c>
      <c r="H5879" s="1" t="str">
        <f>"72"</f>
        <v>72</v>
      </c>
      <c r="I5879" s="1" t="str">
        <f>"162.15"</f>
        <v>162.15</v>
      </c>
      <c r="J5879" s="1" t="str">
        <f t="shared" si="3342"/>
        <v>0</v>
      </c>
      <c r="K5879" s="1" t="str">
        <f t="shared" si="3343"/>
        <v>103</v>
      </c>
      <c r="L5879" s="1" t="str">
        <f t="shared" si="3344"/>
        <v>47</v>
      </c>
      <c r="M5879" s="1" t="str">
        <f t="shared" si="3348"/>
        <v>0</v>
      </c>
      <c r="N5879" s="1" t="str">
        <f t="shared" ref="N5879:N5942" si="3349">"0"</f>
        <v>0</v>
      </c>
      <c r="O5879" s="1" t="str">
        <f>"2.15"</f>
        <v>2.15</v>
      </c>
    </row>
    <row r="5880" s="1" customFormat="1" spans="1:15">
      <c r="A5880" s="1" t="str">
        <f t="shared" si="3338"/>
        <v>202406</v>
      </c>
      <c r="B5880" s="1" t="str">
        <f t="shared" si="3339"/>
        <v>150525100</v>
      </c>
      <c r="C5880" s="1" t="str">
        <f>"1014562936"</f>
        <v>1014562936</v>
      </c>
      <c r="D5880" s="1" t="s">
        <v>5769</v>
      </c>
      <c r="E5880" s="1" t="s">
        <v>5770</v>
      </c>
      <c r="F5880" s="1" t="s">
        <v>25</v>
      </c>
      <c r="G5880" s="1" t="s">
        <v>17</v>
      </c>
      <c r="H5880" s="1" t="str">
        <f>"67"</f>
        <v>67</v>
      </c>
      <c r="I5880" s="1" t="str">
        <f>"156.13"</f>
        <v>156.13</v>
      </c>
      <c r="J5880" s="1" t="str">
        <f t="shared" si="3342"/>
        <v>0</v>
      </c>
      <c r="K5880" s="1" t="str">
        <f t="shared" si="3343"/>
        <v>103</v>
      </c>
      <c r="L5880" s="1" t="str">
        <f t="shared" si="3344"/>
        <v>47</v>
      </c>
      <c r="M5880" s="1" t="str">
        <f t="shared" si="3348"/>
        <v>0</v>
      </c>
      <c r="N5880" s="1" t="str">
        <f t="shared" si="3349"/>
        <v>0</v>
      </c>
      <c r="O5880" s="1" t="str">
        <f>"6.13"</f>
        <v>6.13</v>
      </c>
    </row>
    <row r="5881" s="1" customFormat="1" spans="1:15">
      <c r="A5881" s="1" t="str">
        <f t="shared" si="3338"/>
        <v>202406</v>
      </c>
      <c r="B5881" s="1" t="str">
        <f t="shared" si="3339"/>
        <v>150525100</v>
      </c>
      <c r="C5881" s="1" t="str">
        <f>"1014562940"</f>
        <v>1014562940</v>
      </c>
      <c r="D5881" s="1" t="str">
        <f>"152326196210050412"</f>
        <v>152326196210050412</v>
      </c>
      <c r="E5881" s="1" t="s">
        <v>5771</v>
      </c>
      <c r="F5881" s="1" t="s">
        <v>25</v>
      </c>
      <c r="G5881" s="1" t="s">
        <v>17</v>
      </c>
      <c r="H5881" s="1" t="str">
        <f>"62"</f>
        <v>62</v>
      </c>
      <c r="I5881" s="1" t="str">
        <f>"163.17"</f>
        <v>163.17</v>
      </c>
      <c r="J5881" s="1" t="str">
        <f t="shared" si="3342"/>
        <v>0</v>
      </c>
      <c r="K5881" s="1" t="str">
        <f t="shared" si="3343"/>
        <v>103</v>
      </c>
      <c r="L5881" s="1" t="str">
        <f t="shared" si="3344"/>
        <v>47</v>
      </c>
      <c r="M5881" s="1" t="str">
        <f t="shared" si="3348"/>
        <v>0</v>
      </c>
      <c r="N5881" s="1" t="str">
        <f t="shared" si="3349"/>
        <v>0</v>
      </c>
      <c r="O5881" s="1" t="str">
        <f>"13.17"</f>
        <v>13.17</v>
      </c>
    </row>
    <row r="5882" s="1" customFormat="1" spans="1:15">
      <c r="A5882" s="1" t="str">
        <f t="shared" si="3338"/>
        <v>202406</v>
      </c>
      <c r="B5882" s="1" t="str">
        <f t="shared" si="3339"/>
        <v>150525100</v>
      </c>
      <c r="C5882" s="1" t="str">
        <f>"1014563325"</f>
        <v>1014563325</v>
      </c>
      <c r="D5882" s="1" t="str">
        <f>"152326195410020424"</f>
        <v>152326195410020424</v>
      </c>
      <c r="E5882" s="1" t="s">
        <v>5772</v>
      </c>
      <c r="F5882" s="1" t="s">
        <v>16</v>
      </c>
      <c r="G5882" s="1" t="s">
        <v>17</v>
      </c>
      <c r="H5882" s="1" t="str">
        <f>"70"</f>
        <v>70</v>
      </c>
      <c r="I5882" s="1" t="str">
        <f>"153.91"</f>
        <v>153.91</v>
      </c>
      <c r="J5882" s="1" t="str">
        <f t="shared" si="3342"/>
        <v>0</v>
      </c>
      <c r="K5882" s="1" t="str">
        <f t="shared" si="3343"/>
        <v>103</v>
      </c>
      <c r="L5882" s="1" t="str">
        <f t="shared" si="3344"/>
        <v>47</v>
      </c>
      <c r="M5882" s="1" t="str">
        <f t="shared" si="3348"/>
        <v>0</v>
      </c>
      <c r="N5882" s="1" t="str">
        <f t="shared" si="3349"/>
        <v>0</v>
      </c>
      <c r="O5882" s="1" t="str">
        <f>"3.91"</f>
        <v>3.91</v>
      </c>
    </row>
    <row r="5883" s="1" customFormat="1" spans="1:15">
      <c r="A5883" s="1" t="str">
        <f t="shared" si="3338"/>
        <v>202406</v>
      </c>
      <c r="B5883" s="1" t="str">
        <f t="shared" si="3339"/>
        <v>150525100</v>
      </c>
      <c r="C5883" s="1" t="str">
        <f>"1014569749"</f>
        <v>1014569749</v>
      </c>
      <c r="D5883" s="1" t="str">
        <f>"152326195611260440"</f>
        <v>152326195611260440</v>
      </c>
      <c r="E5883" s="1" t="s">
        <v>4141</v>
      </c>
      <c r="F5883" s="1" t="s">
        <v>16</v>
      </c>
      <c r="G5883" s="1" t="s">
        <v>17</v>
      </c>
      <c r="H5883" s="1" t="str">
        <f>"68"</f>
        <v>68</v>
      </c>
      <c r="I5883" s="1" t="str">
        <f>"156.02"</f>
        <v>156.02</v>
      </c>
      <c r="J5883" s="1" t="str">
        <f t="shared" si="3342"/>
        <v>0</v>
      </c>
      <c r="K5883" s="1" t="str">
        <f t="shared" si="3343"/>
        <v>103</v>
      </c>
      <c r="L5883" s="1" t="str">
        <f t="shared" si="3344"/>
        <v>47</v>
      </c>
      <c r="M5883" s="1" t="str">
        <f t="shared" si="3348"/>
        <v>0</v>
      </c>
      <c r="N5883" s="1" t="str">
        <f t="shared" si="3349"/>
        <v>0</v>
      </c>
      <c r="O5883" s="1" t="str">
        <f>"6.02"</f>
        <v>6.02</v>
      </c>
    </row>
    <row r="5884" s="1" customFormat="1" spans="1:15">
      <c r="A5884" s="1" t="str">
        <f t="shared" si="3338"/>
        <v>202406</v>
      </c>
      <c r="B5884" s="1" t="str">
        <f t="shared" si="3339"/>
        <v>150525100</v>
      </c>
      <c r="C5884" s="1" t="str">
        <f>"1014561202"</f>
        <v>1014561202</v>
      </c>
      <c r="D5884" s="1" t="str">
        <f>"152326195709050441"</f>
        <v>152326195709050441</v>
      </c>
      <c r="E5884" s="1" t="s">
        <v>307</v>
      </c>
      <c r="F5884" s="1" t="s">
        <v>16</v>
      </c>
      <c r="G5884" s="1" t="s">
        <v>19</v>
      </c>
      <c r="H5884" s="1" t="str">
        <f>"67"</f>
        <v>67</v>
      </c>
      <c r="I5884" s="1" t="str">
        <f>"155.83"</f>
        <v>155.83</v>
      </c>
      <c r="J5884" s="1" t="str">
        <f t="shared" si="3342"/>
        <v>0</v>
      </c>
      <c r="K5884" s="1" t="str">
        <f t="shared" si="3343"/>
        <v>103</v>
      </c>
      <c r="L5884" s="1" t="str">
        <f t="shared" si="3344"/>
        <v>47</v>
      </c>
      <c r="M5884" s="1" t="str">
        <f t="shared" si="3348"/>
        <v>0</v>
      </c>
      <c r="N5884" s="1" t="str">
        <f t="shared" si="3349"/>
        <v>0</v>
      </c>
      <c r="O5884" s="1" t="str">
        <f>"5.83"</f>
        <v>5.83</v>
      </c>
    </row>
    <row r="5885" s="1" customFormat="1" spans="1:15">
      <c r="A5885" s="1" t="str">
        <f t="shared" si="3338"/>
        <v>202406</v>
      </c>
      <c r="B5885" s="1" t="str">
        <f t="shared" si="3339"/>
        <v>150525100</v>
      </c>
      <c r="C5885" s="1" t="str">
        <f>"1014561217"</f>
        <v>1014561217</v>
      </c>
      <c r="D5885" s="1" t="str">
        <f>"152326195807270448"</f>
        <v>152326195807270448</v>
      </c>
      <c r="E5885" s="1" t="s">
        <v>5773</v>
      </c>
      <c r="F5885" s="1" t="s">
        <v>16</v>
      </c>
      <c r="G5885" s="1" t="s">
        <v>17</v>
      </c>
      <c r="H5885" s="1" t="str">
        <f t="shared" ref="H5885:H5887" si="3350">"66"</f>
        <v>66</v>
      </c>
      <c r="I5885" s="1" t="str">
        <f>"157.11"</f>
        <v>157.11</v>
      </c>
      <c r="J5885" s="1" t="str">
        <f t="shared" si="3342"/>
        <v>0</v>
      </c>
      <c r="K5885" s="1" t="str">
        <f t="shared" si="3343"/>
        <v>103</v>
      </c>
      <c r="L5885" s="1" t="str">
        <f t="shared" si="3344"/>
        <v>47</v>
      </c>
      <c r="M5885" s="1" t="str">
        <f t="shared" si="3348"/>
        <v>0</v>
      </c>
      <c r="N5885" s="1" t="str">
        <f t="shared" si="3349"/>
        <v>0</v>
      </c>
      <c r="O5885" s="1" t="str">
        <f>"7.11"</f>
        <v>7.11</v>
      </c>
    </row>
    <row r="5886" s="1" customFormat="1" spans="1:15">
      <c r="A5886" s="1" t="str">
        <f t="shared" si="3338"/>
        <v>202406</v>
      </c>
      <c r="B5886" s="1" t="str">
        <f t="shared" si="3339"/>
        <v>150525100</v>
      </c>
      <c r="C5886" s="1" t="str">
        <f>"1014561218"</f>
        <v>1014561218</v>
      </c>
      <c r="D5886" s="1" t="str">
        <f>"152326195808070413"</f>
        <v>152326195808070413</v>
      </c>
      <c r="E5886" s="1" t="s">
        <v>5774</v>
      </c>
      <c r="F5886" s="1" t="s">
        <v>25</v>
      </c>
      <c r="G5886" s="1" t="s">
        <v>17</v>
      </c>
      <c r="H5886" s="1" t="str">
        <f t="shared" si="3350"/>
        <v>66</v>
      </c>
      <c r="I5886" s="1" t="str">
        <f>"157.12"</f>
        <v>157.12</v>
      </c>
      <c r="J5886" s="1" t="str">
        <f t="shared" si="3342"/>
        <v>0</v>
      </c>
      <c r="K5886" s="1" t="str">
        <f t="shared" si="3343"/>
        <v>103</v>
      </c>
      <c r="L5886" s="1" t="str">
        <f t="shared" si="3344"/>
        <v>47</v>
      </c>
      <c r="M5886" s="1" t="str">
        <f t="shared" si="3348"/>
        <v>0</v>
      </c>
      <c r="N5886" s="1" t="str">
        <f t="shared" si="3349"/>
        <v>0</v>
      </c>
      <c r="O5886" s="1" t="str">
        <f>"7.12"</f>
        <v>7.12</v>
      </c>
    </row>
    <row r="5887" s="1" customFormat="1" spans="1:15">
      <c r="A5887" s="1" t="str">
        <f t="shared" si="3338"/>
        <v>202406</v>
      </c>
      <c r="B5887" s="1" t="str">
        <f t="shared" si="3339"/>
        <v>150525100</v>
      </c>
      <c r="C5887" s="1" t="str">
        <f>"1014561219"</f>
        <v>1014561219</v>
      </c>
      <c r="D5887" s="1" t="str">
        <f>"152326195808270423"</f>
        <v>152326195808270423</v>
      </c>
      <c r="E5887" s="1" t="s">
        <v>5775</v>
      </c>
      <c r="F5887" s="1" t="s">
        <v>16</v>
      </c>
      <c r="G5887" s="1" t="s">
        <v>17</v>
      </c>
      <c r="H5887" s="1" t="str">
        <f t="shared" si="3350"/>
        <v>66</v>
      </c>
      <c r="I5887" s="1" t="str">
        <f>"157.12"</f>
        <v>157.12</v>
      </c>
      <c r="J5887" s="1" t="str">
        <f t="shared" si="3342"/>
        <v>0</v>
      </c>
      <c r="K5887" s="1" t="str">
        <f t="shared" si="3343"/>
        <v>103</v>
      </c>
      <c r="L5887" s="1" t="str">
        <f t="shared" si="3344"/>
        <v>47</v>
      </c>
      <c r="M5887" s="1" t="str">
        <f t="shared" si="3348"/>
        <v>0</v>
      </c>
      <c r="N5887" s="1" t="str">
        <f t="shared" si="3349"/>
        <v>0</v>
      </c>
      <c r="O5887" s="1" t="str">
        <f>"7.12"</f>
        <v>7.12</v>
      </c>
    </row>
    <row r="5888" s="1" customFormat="1" spans="1:15">
      <c r="A5888" s="1" t="str">
        <f t="shared" si="3338"/>
        <v>202406</v>
      </c>
      <c r="B5888" s="1" t="str">
        <f t="shared" si="3339"/>
        <v>150525100</v>
      </c>
      <c r="C5888" s="1" t="str">
        <f>"1040833147"</f>
        <v>1040833147</v>
      </c>
      <c r="D5888" s="1" t="s">
        <v>5776</v>
      </c>
      <c r="E5888" s="1" t="s">
        <v>5777</v>
      </c>
      <c r="F5888" s="1" t="s">
        <v>25</v>
      </c>
      <c r="G5888" s="1" t="s">
        <v>17</v>
      </c>
      <c r="H5888" s="1" t="str">
        <f t="shared" ref="H5888:H5891" si="3351">"69"</f>
        <v>69</v>
      </c>
      <c r="I5888" s="1" t="str">
        <f>"154.51"</f>
        <v>154.51</v>
      </c>
      <c r="J5888" s="1" t="str">
        <f t="shared" si="3342"/>
        <v>0</v>
      </c>
      <c r="K5888" s="1" t="str">
        <f t="shared" si="3343"/>
        <v>103</v>
      </c>
      <c r="L5888" s="1" t="str">
        <f t="shared" si="3344"/>
        <v>47</v>
      </c>
      <c r="M5888" s="1" t="str">
        <f t="shared" si="3348"/>
        <v>0</v>
      </c>
      <c r="N5888" s="1" t="str">
        <f t="shared" si="3349"/>
        <v>0</v>
      </c>
      <c r="O5888" s="1" t="str">
        <f>"4.51"</f>
        <v>4.51</v>
      </c>
    </row>
    <row r="5889" s="1" customFormat="1" spans="1:15">
      <c r="A5889" s="1" t="str">
        <f t="shared" si="3338"/>
        <v>202406</v>
      </c>
      <c r="B5889" s="1" t="str">
        <f t="shared" si="3339"/>
        <v>150525100</v>
      </c>
      <c r="C5889" s="1" t="str">
        <f>"1040833179"</f>
        <v>1040833179</v>
      </c>
      <c r="D5889" s="1" t="str">
        <f>"152326195211123316"</f>
        <v>152326195211123316</v>
      </c>
      <c r="E5889" s="1" t="s">
        <v>5778</v>
      </c>
      <c r="F5889" s="1" t="s">
        <v>25</v>
      </c>
      <c r="G5889" s="1" t="s">
        <v>17</v>
      </c>
      <c r="H5889" s="1" t="str">
        <f>"72"</f>
        <v>72</v>
      </c>
      <c r="I5889" s="1" t="str">
        <f>"161.51"</f>
        <v>161.51</v>
      </c>
      <c r="J5889" s="1" t="str">
        <f t="shared" si="3342"/>
        <v>0</v>
      </c>
      <c r="K5889" s="1" t="str">
        <f t="shared" si="3343"/>
        <v>103</v>
      </c>
      <c r="L5889" s="1" t="str">
        <f t="shared" si="3344"/>
        <v>47</v>
      </c>
      <c r="M5889" s="1" t="str">
        <f t="shared" si="3348"/>
        <v>0</v>
      </c>
      <c r="N5889" s="1" t="str">
        <f t="shared" si="3349"/>
        <v>0</v>
      </c>
      <c r="O5889" s="1" t="str">
        <f>"1.51"</f>
        <v>1.51</v>
      </c>
    </row>
    <row r="5890" s="1" customFormat="1" spans="1:15">
      <c r="A5890" s="1" t="str">
        <f t="shared" ref="A5890:A5953" si="3352">"202406"</f>
        <v>202406</v>
      </c>
      <c r="B5890" s="1" t="str">
        <f t="shared" ref="B5890:B5953" si="3353">"150525100"</f>
        <v>150525100</v>
      </c>
      <c r="C5890" s="1" t="str">
        <f>"1040833197"</f>
        <v>1040833197</v>
      </c>
      <c r="D5890" s="1" t="str">
        <f>"152326195512120418"</f>
        <v>152326195512120418</v>
      </c>
      <c r="E5890" s="1" t="s">
        <v>5779</v>
      </c>
      <c r="F5890" s="1" t="s">
        <v>25</v>
      </c>
      <c r="G5890" s="1" t="s">
        <v>17</v>
      </c>
      <c r="H5890" s="1" t="str">
        <f t="shared" si="3351"/>
        <v>69</v>
      </c>
      <c r="I5890" s="1" t="str">
        <f>"160.35"</f>
        <v>160.35</v>
      </c>
      <c r="J5890" s="1" t="str">
        <f t="shared" si="3342"/>
        <v>0</v>
      </c>
      <c r="K5890" s="1" t="str">
        <f t="shared" si="3343"/>
        <v>103</v>
      </c>
      <c r="L5890" s="1" t="str">
        <f t="shared" si="3344"/>
        <v>47</v>
      </c>
      <c r="M5890" s="1" t="str">
        <f t="shared" si="3348"/>
        <v>0</v>
      </c>
      <c r="N5890" s="1" t="str">
        <f t="shared" si="3349"/>
        <v>0</v>
      </c>
      <c r="O5890" s="1" t="str">
        <f>"10.35"</f>
        <v>10.35</v>
      </c>
    </row>
    <row r="5891" s="1" customFormat="1" spans="1:15">
      <c r="A5891" s="1" t="str">
        <f t="shared" si="3352"/>
        <v>202406</v>
      </c>
      <c r="B5891" s="1" t="str">
        <f t="shared" si="3353"/>
        <v>150525100</v>
      </c>
      <c r="C5891" s="1" t="str">
        <f>"1040833200"</f>
        <v>1040833200</v>
      </c>
      <c r="D5891" s="1" t="str">
        <f>"152326195505053085"</f>
        <v>152326195505053085</v>
      </c>
      <c r="E5891" s="1" t="s">
        <v>5780</v>
      </c>
      <c r="F5891" s="1" t="s">
        <v>16</v>
      </c>
      <c r="G5891" s="1" t="s">
        <v>17</v>
      </c>
      <c r="H5891" s="1" t="str">
        <f t="shared" si="3351"/>
        <v>69</v>
      </c>
      <c r="I5891" s="1" t="str">
        <f>"154.25"</f>
        <v>154.25</v>
      </c>
      <c r="J5891" s="1" t="str">
        <f t="shared" si="3342"/>
        <v>0</v>
      </c>
      <c r="K5891" s="1" t="str">
        <f t="shared" si="3343"/>
        <v>103</v>
      </c>
      <c r="L5891" s="1" t="str">
        <f t="shared" si="3344"/>
        <v>47</v>
      </c>
      <c r="M5891" s="1" t="str">
        <f t="shared" si="3348"/>
        <v>0</v>
      </c>
      <c r="N5891" s="1" t="str">
        <f t="shared" si="3349"/>
        <v>0</v>
      </c>
      <c r="O5891" s="1" t="str">
        <f>"4.25"</f>
        <v>4.25</v>
      </c>
    </row>
    <row r="5892" s="1" customFormat="1" spans="1:15">
      <c r="A5892" s="1" t="str">
        <f t="shared" si="3352"/>
        <v>202406</v>
      </c>
      <c r="B5892" s="1" t="str">
        <f t="shared" si="3353"/>
        <v>150525100</v>
      </c>
      <c r="C5892" s="1" t="str">
        <f>"1040833219"</f>
        <v>1040833219</v>
      </c>
      <c r="D5892" s="1" t="str">
        <f>"152326195310120663"</f>
        <v>152326195310120663</v>
      </c>
      <c r="E5892" s="1" t="s">
        <v>5781</v>
      </c>
      <c r="F5892" s="1" t="s">
        <v>16</v>
      </c>
      <c r="G5892" s="1" t="s">
        <v>17</v>
      </c>
      <c r="H5892" s="1" t="str">
        <f>"71"</f>
        <v>71</v>
      </c>
      <c r="I5892" s="1" t="str">
        <f>"162.31"</f>
        <v>162.31</v>
      </c>
      <c r="J5892" s="1" t="str">
        <f t="shared" si="3342"/>
        <v>0</v>
      </c>
      <c r="K5892" s="1" t="str">
        <f t="shared" si="3343"/>
        <v>103</v>
      </c>
      <c r="L5892" s="1" t="str">
        <f t="shared" si="3344"/>
        <v>47</v>
      </c>
      <c r="M5892" s="1" t="str">
        <f t="shared" si="3348"/>
        <v>0</v>
      </c>
      <c r="N5892" s="1" t="str">
        <f t="shared" si="3349"/>
        <v>0</v>
      </c>
      <c r="O5892" s="1" t="str">
        <f>"2.31"</f>
        <v>2.31</v>
      </c>
    </row>
    <row r="5893" s="1" customFormat="1" spans="1:15">
      <c r="A5893" s="1" t="str">
        <f t="shared" si="3352"/>
        <v>202406</v>
      </c>
      <c r="B5893" s="1" t="str">
        <f t="shared" si="3353"/>
        <v>150525100</v>
      </c>
      <c r="C5893" s="1" t="str">
        <f>"1014567881"</f>
        <v>1014567881</v>
      </c>
      <c r="D5893" s="1" t="str">
        <f>"152326195610203815"</f>
        <v>152326195610203815</v>
      </c>
      <c r="E5893" s="1" t="s">
        <v>5782</v>
      </c>
      <c r="F5893" s="1" t="s">
        <v>25</v>
      </c>
      <c r="G5893" s="1" t="s">
        <v>17</v>
      </c>
      <c r="H5893" s="1" t="str">
        <f>"68"</f>
        <v>68</v>
      </c>
      <c r="I5893" s="1" t="str">
        <f>"160.88"</f>
        <v>160.88</v>
      </c>
      <c r="J5893" s="1" t="str">
        <f t="shared" si="3342"/>
        <v>0</v>
      </c>
      <c r="K5893" s="1" t="str">
        <f t="shared" si="3343"/>
        <v>103</v>
      </c>
      <c r="L5893" s="1" t="str">
        <f t="shared" si="3344"/>
        <v>47</v>
      </c>
      <c r="M5893" s="1" t="str">
        <f t="shared" si="3348"/>
        <v>0</v>
      </c>
      <c r="N5893" s="1" t="str">
        <f t="shared" si="3349"/>
        <v>0</v>
      </c>
      <c r="O5893" s="1" t="str">
        <f>"10.88"</f>
        <v>10.88</v>
      </c>
    </row>
    <row r="5894" s="1" customFormat="1" spans="1:15">
      <c r="A5894" s="1" t="str">
        <f t="shared" si="3352"/>
        <v>202406</v>
      </c>
      <c r="B5894" s="1" t="str">
        <f t="shared" si="3353"/>
        <v>150525100</v>
      </c>
      <c r="C5894" s="1" t="str">
        <f>"1014569762"</f>
        <v>1014569762</v>
      </c>
      <c r="D5894" s="1" t="str">
        <f>"152326195801160432"</f>
        <v>152326195801160432</v>
      </c>
      <c r="E5894" s="1" t="s">
        <v>5782</v>
      </c>
      <c r="F5894" s="1" t="s">
        <v>25</v>
      </c>
      <c r="G5894" s="1" t="s">
        <v>17</v>
      </c>
      <c r="H5894" s="1" t="str">
        <f>"66"</f>
        <v>66</v>
      </c>
      <c r="I5894" s="1" t="str">
        <f>"157.06"</f>
        <v>157.06</v>
      </c>
      <c r="J5894" s="1" t="str">
        <f t="shared" si="3342"/>
        <v>0</v>
      </c>
      <c r="K5894" s="1" t="str">
        <f t="shared" si="3343"/>
        <v>103</v>
      </c>
      <c r="L5894" s="1" t="str">
        <f t="shared" si="3344"/>
        <v>47</v>
      </c>
      <c r="M5894" s="1" t="str">
        <f t="shared" si="3348"/>
        <v>0</v>
      </c>
      <c r="N5894" s="1" t="str">
        <f t="shared" si="3349"/>
        <v>0</v>
      </c>
      <c r="O5894" s="1" t="str">
        <f>"7.06"</f>
        <v>7.06</v>
      </c>
    </row>
    <row r="5895" s="1" customFormat="1" spans="1:15">
      <c r="A5895" s="1" t="str">
        <f t="shared" si="3352"/>
        <v>202406</v>
      </c>
      <c r="B5895" s="1" t="str">
        <f t="shared" si="3353"/>
        <v>150525100</v>
      </c>
      <c r="C5895" s="1" t="str">
        <f>"1014569772"</f>
        <v>1014569772</v>
      </c>
      <c r="D5895" s="1" t="str">
        <f>"152326195901070426"</f>
        <v>152326195901070426</v>
      </c>
      <c r="E5895" s="1" t="s">
        <v>1758</v>
      </c>
      <c r="F5895" s="1" t="s">
        <v>16</v>
      </c>
      <c r="G5895" s="1" t="s">
        <v>17</v>
      </c>
      <c r="H5895" s="1" t="str">
        <f>"66"</f>
        <v>66</v>
      </c>
      <c r="I5895" s="1" t="str">
        <f>"158.1"</f>
        <v>158.1</v>
      </c>
      <c r="J5895" s="1" t="str">
        <f t="shared" si="3342"/>
        <v>0</v>
      </c>
      <c r="K5895" s="1" t="str">
        <f t="shared" si="3343"/>
        <v>103</v>
      </c>
      <c r="L5895" s="1" t="str">
        <f t="shared" si="3344"/>
        <v>47</v>
      </c>
      <c r="M5895" s="1" t="str">
        <f t="shared" si="3348"/>
        <v>0</v>
      </c>
      <c r="N5895" s="1" t="str">
        <f t="shared" si="3349"/>
        <v>0</v>
      </c>
      <c r="O5895" s="1" t="str">
        <f>"8.1"</f>
        <v>8.1</v>
      </c>
    </row>
    <row r="5896" s="1" customFormat="1" spans="1:15">
      <c r="A5896" s="1" t="str">
        <f t="shared" si="3352"/>
        <v>202406</v>
      </c>
      <c r="B5896" s="1" t="str">
        <f t="shared" si="3353"/>
        <v>150525100</v>
      </c>
      <c r="C5896" s="1" t="str">
        <f>"1014569774"</f>
        <v>1014569774</v>
      </c>
      <c r="D5896" s="1" t="str">
        <f>"152326195906130424"</f>
        <v>152326195906130424</v>
      </c>
      <c r="E5896" s="1" t="s">
        <v>5783</v>
      </c>
      <c r="F5896" s="1" t="s">
        <v>16</v>
      </c>
      <c r="G5896" s="1" t="s">
        <v>17</v>
      </c>
      <c r="H5896" s="1" t="str">
        <f t="shared" ref="H5896:H5898" si="3354">"65"</f>
        <v>65</v>
      </c>
      <c r="I5896" s="1" t="str">
        <f>"157.92"</f>
        <v>157.92</v>
      </c>
      <c r="J5896" s="1" t="str">
        <f t="shared" si="3342"/>
        <v>0</v>
      </c>
      <c r="K5896" s="1" t="str">
        <f t="shared" si="3343"/>
        <v>103</v>
      </c>
      <c r="L5896" s="1" t="str">
        <f t="shared" si="3344"/>
        <v>47</v>
      </c>
      <c r="M5896" s="1" t="str">
        <f t="shared" si="3348"/>
        <v>0</v>
      </c>
      <c r="N5896" s="1" t="str">
        <f t="shared" si="3349"/>
        <v>0</v>
      </c>
      <c r="O5896" s="1" t="str">
        <f>"7.92"</f>
        <v>7.92</v>
      </c>
    </row>
    <row r="5897" s="1" customFormat="1" spans="1:15">
      <c r="A5897" s="1" t="str">
        <f t="shared" si="3352"/>
        <v>202406</v>
      </c>
      <c r="B5897" s="1" t="str">
        <f t="shared" si="3353"/>
        <v>150525100</v>
      </c>
      <c r="C5897" s="1" t="str">
        <f>"1014569775"</f>
        <v>1014569775</v>
      </c>
      <c r="D5897" s="1" t="str">
        <f>"152326195909100423"</f>
        <v>152326195909100423</v>
      </c>
      <c r="E5897" s="1" t="s">
        <v>5784</v>
      </c>
      <c r="F5897" s="1" t="s">
        <v>16</v>
      </c>
      <c r="G5897" s="1" t="s">
        <v>17</v>
      </c>
      <c r="H5897" s="1" t="str">
        <f t="shared" si="3354"/>
        <v>65</v>
      </c>
      <c r="I5897" s="1" t="str">
        <f>"158.19"</f>
        <v>158.19</v>
      </c>
      <c r="J5897" s="1" t="str">
        <f t="shared" si="3342"/>
        <v>0</v>
      </c>
      <c r="K5897" s="1" t="str">
        <f t="shared" si="3343"/>
        <v>103</v>
      </c>
      <c r="L5897" s="1" t="str">
        <f t="shared" si="3344"/>
        <v>47</v>
      </c>
      <c r="M5897" s="1" t="str">
        <f t="shared" si="3348"/>
        <v>0</v>
      </c>
      <c r="N5897" s="1" t="str">
        <f t="shared" si="3349"/>
        <v>0</v>
      </c>
      <c r="O5897" s="1" t="str">
        <f>"8.19"</f>
        <v>8.19</v>
      </c>
    </row>
    <row r="5898" s="1" customFormat="1" spans="1:15">
      <c r="A5898" s="1" t="str">
        <f t="shared" si="3352"/>
        <v>202406</v>
      </c>
      <c r="B5898" s="1" t="str">
        <f t="shared" si="3353"/>
        <v>150525100</v>
      </c>
      <c r="C5898" s="1" t="str">
        <f>"1014569776"</f>
        <v>1014569776</v>
      </c>
      <c r="D5898" s="1" t="str">
        <f>"152326195909270422"</f>
        <v>152326195909270422</v>
      </c>
      <c r="E5898" s="1" t="s">
        <v>2060</v>
      </c>
      <c r="F5898" s="1" t="s">
        <v>16</v>
      </c>
      <c r="G5898" s="1" t="s">
        <v>17</v>
      </c>
      <c r="H5898" s="1" t="str">
        <f t="shared" si="3354"/>
        <v>65</v>
      </c>
      <c r="I5898" s="1" t="str">
        <f>"158.19"</f>
        <v>158.19</v>
      </c>
      <c r="J5898" s="1" t="str">
        <f t="shared" si="3342"/>
        <v>0</v>
      </c>
      <c r="K5898" s="1" t="str">
        <f t="shared" si="3343"/>
        <v>103</v>
      </c>
      <c r="L5898" s="1" t="str">
        <f t="shared" si="3344"/>
        <v>47</v>
      </c>
      <c r="M5898" s="1" t="str">
        <f t="shared" si="3348"/>
        <v>0</v>
      </c>
      <c r="N5898" s="1" t="str">
        <f t="shared" si="3349"/>
        <v>0</v>
      </c>
      <c r="O5898" s="1" t="str">
        <f>"8.19"</f>
        <v>8.19</v>
      </c>
    </row>
    <row r="5899" s="1" customFormat="1" spans="1:15">
      <c r="A5899" s="1" t="str">
        <f t="shared" si="3352"/>
        <v>202406</v>
      </c>
      <c r="B5899" s="1" t="str">
        <f t="shared" si="3353"/>
        <v>150525100</v>
      </c>
      <c r="C5899" s="1" t="str">
        <f>"1014569782"</f>
        <v>1014569782</v>
      </c>
      <c r="D5899" s="1" t="str">
        <f>"152326196005100046"</f>
        <v>152326196005100046</v>
      </c>
      <c r="E5899" s="1" t="s">
        <v>4300</v>
      </c>
      <c r="F5899" s="1" t="s">
        <v>16</v>
      </c>
      <c r="G5899" s="1" t="s">
        <v>17</v>
      </c>
      <c r="H5899" s="1" t="str">
        <f>"64"</f>
        <v>64</v>
      </c>
      <c r="I5899" s="1" t="str">
        <f>"159.21"</f>
        <v>159.21</v>
      </c>
      <c r="J5899" s="1" t="str">
        <f t="shared" si="3342"/>
        <v>0</v>
      </c>
      <c r="K5899" s="1" t="str">
        <f t="shared" si="3343"/>
        <v>103</v>
      </c>
      <c r="L5899" s="1" t="str">
        <f t="shared" si="3344"/>
        <v>47</v>
      </c>
      <c r="M5899" s="1" t="str">
        <f t="shared" si="3348"/>
        <v>0</v>
      </c>
      <c r="N5899" s="1" t="str">
        <f t="shared" si="3349"/>
        <v>0</v>
      </c>
      <c r="O5899" s="1" t="str">
        <f>"9.21"</f>
        <v>9.21</v>
      </c>
    </row>
    <row r="5900" s="1" customFormat="1" spans="1:15">
      <c r="A5900" s="1" t="str">
        <f t="shared" si="3352"/>
        <v>202406</v>
      </c>
      <c r="B5900" s="1" t="str">
        <f t="shared" si="3353"/>
        <v>150525100</v>
      </c>
      <c r="C5900" s="1" t="str">
        <f>"1014550054"</f>
        <v>1014550054</v>
      </c>
      <c r="D5900" s="1" t="str">
        <f>"152326195603130670"</f>
        <v>152326195603130670</v>
      </c>
      <c r="E5900" s="1" t="s">
        <v>5785</v>
      </c>
      <c r="F5900" s="1" t="s">
        <v>25</v>
      </c>
      <c r="G5900" s="1" t="s">
        <v>17</v>
      </c>
      <c r="H5900" s="1" t="str">
        <f>"68"</f>
        <v>68</v>
      </c>
      <c r="I5900" s="1" t="str">
        <f>"156.02"</f>
        <v>156.02</v>
      </c>
      <c r="J5900" s="1" t="str">
        <f t="shared" si="3342"/>
        <v>0</v>
      </c>
      <c r="K5900" s="1" t="str">
        <f t="shared" si="3343"/>
        <v>103</v>
      </c>
      <c r="L5900" s="1" t="str">
        <f t="shared" si="3344"/>
        <v>47</v>
      </c>
      <c r="M5900" s="1" t="str">
        <f t="shared" si="3348"/>
        <v>0</v>
      </c>
      <c r="N5900" s="1" t="str">
        <f t="shared" si="3349"/>
        <v>0</v>
      </c>
      <c r="O5900" s="1" t="str">
        <f>"6.02"</f>
        <v>6.02</v>
      </c>
    </row>
    <row r="5901" s="1" customFormat="1" spans="1:15">
      <c r="A5901" s="1" t="str">
        <f t="shared" si="3352"/>
        <v>202406</v>
      </c>
      <c r="B5901" s="1" t="str">
        <f t="shared" si="3353"/>
        <v>150525100</v>
      </c>
      <c r="C5901" s="1" t="str">
        <f>"1014550067"</f>
        <v>1014550067</v>
      </c>
      <c r="D5901" s="1" t="str">
        <f>"152326195607053086"</f>
        <v>152326195607053086</v>
      </c>
      <c r="E5901" s="1" t="s">
        <v>280</v>
      </c>
      <c r="F5901" s="1" t="s">
        <v>16</v>
      </c>
      <c r="G5901" s="1" t="s">
        <v>17</v>
      </c>
      <c r="H5901" s="1" t="str">
        <f>"68"</f>
        <v>68</v>
      </c>
      <c r="I5901" s="1" t="str">
        <f>"156"</f>
        <v>156</v>
      </c>
      <c r="J5901" s="1" t="str">
        <f t="shared" si="3342"/>
        <v>0</v>
      </c>
      <c r="K5901" s="1" t="str">
        <f t="shared" si="3343"/>
        <v>103</v>
      </c>
      <c r="L5901" s="1" t="str">
        <f t="shared" si="3344"/>
        <v>47</v>
      </c>
      <c r="M5901" s="1" t="str">
        <f t="shared" si="3348"/>
        <v>0</v>
      </c>
      <c r="N5901" s="1" t="str">
        <f t="shared" si="3349"/>
        <v>0</v>
      </c>
      <c r="O5901" s="1" t="str">
        <f>"6"</f>
        <v>6</v>
      </c>
    </row>
    <row r="5902" s="1" customFormat="1" spans="1:15">
      <c r="A5902" s="1" t="str">
        <f t="shared" si="3352"/>
        <v>202406</v>
      </c>
      <c r="B5902" s="1" t="str">
        <f t="shared" si="3353"/>
        <v>150525100</v>
      </c>
      <c r="C5902" s="1" t="str">
        <f>"1014550561"</f>
        <v>1014550561</v>
      </c>
      <c r="D5902" s="1" t="str">
        <f>"152326195206130706"</f>
        <v>152326195206130706</v>
      </c>
      <c r="E5902" s="1" t="s">
        <v>5786</v>
      </c>
      <c r="F5902" s="1" t="s">
        <v>16</v>
      </c>
      <c r="G5902" s="1" t="s">
        <v>17</v>
      </c>
      <c r="H5902" s="1" t="str">
        <f>"72"</f>
        <v>72</v>
      </c>
      <c r="I5902" s="1" t="str">
        <f>"162.15"</f>
        <v>162.15</v>
      </c>
      <c r="J5902" s="1" t="str">
        <f t="shared" si="3342"/>
        <v>0</v>
      </c>
      <c r="K5902" s="1" t="str">
        <f t="shared" si="3343"/>
        <v>103</v>
      </c>
      <c r="L5902" s="1" t="str">
        <f t="shared" si="3344"/>
        <v>47</v>
      </c>
      <c r="M5902" s="1" t="str">
        <f t="shared" si="3348"/>
        <v>0</v>
      </c>
      <c r="N5902" s="1" t="str">
        <f t="shared" si="3349"/>
        <v>0</v>
      </c>
      <c r="O5902" s="1" t="str">
        <f>"2.15"</f>
        <v>2.15</v>
      </c>
    </row>
    <row r="5903" s="1" customFormat="1" spans="1:15">
      <c r="A5903" s="1" t="str">
        <f t="shared" si="3352"/>
        <v>202406</v>
      </c>
      <c r="B5903" s="1" t="str">
        <f t="shared" si="3353"/>
        <v>150525100</v>
      </c>
      <c r="C5903" s="1" t="str">
        <f>"1014585089"</f>
        <v>1014585089</v>
      </c>
      <c r="D5903" s="1" t="str">
        <f>"152326196002200447"</f>
        <v>152326196002200447</v>
      </c>
      <c r="E5903" s="1" t="s">
        <v>4668</v>
      </c>
      <c r="F5903" s="1" t="s">
        <v>16</v>
      </c>
      <c r="G5903" s="1" t="s">
        <v>17</v>
      </c>
      <c r="H5903" s="1" t="str">
        <f>"64"</f>
        <v>64</v>
      </c>
      <c r="I5903" s="1" t="str">
        <f>"159.18"</f>
        <v>159.18</v>
      </c>
      <c r="J5903" s="1" t="str">
        <f t="shared" si="3342"/>
        <v>0</v>
      </c>
      <c r="K5903" s="1" t="str">
        <f t="shared" si="3343"/>
        <v>103</v>
      </c>
      <c r="L5903" s="1" t="str">
        <f t="shared" si="3344"/>
        <v>47</v>
      </c>
      <c r="M5903" s="1" t="str">
        <f t="shared" si="3348"/>
        <v>0</v>
      </c>
      <c r="N5903" s="1" t="str">
        <f t="shared" si="3349"/>
        <v>0</v>
      </c>
      <c r="O5903" s="1" t="str">
        <f>"9.18"</f>
        <v>9.18</v>
      </c>
    </row>
    <row r="5904" s="1" customFormat="1" spans="1:15">
      <c r="A5904" s="1" t="str">
        <f t="shared" si="3352"/>
        <v>202406</v>
      </c>
      <c r="B5904" s="1" t="str">
        <f t="shared" si="3353"/>
        <v>150525100</v>
      </c>
      <c r="C5904" s="1" t="str">
        <f>"1014585096"</f>
        <v>1014585096</v>
      </c>
      <c r="D5904" s="1" t="str">
        <f>"152326196106220426"</f>
        <v>152326196106220426</v>
      </c>
      <c r="E5904" s="1" t="s">
        <v>5787</v>
      </c>
      <c r="F5904" s="1" t="s">
        <v>16</v>
      </c>
      <c r="G5904" s="1" t="s">
        <v>17</v>
      </c>
      <c r="H5904" s="1" t="str">
        <f>"63"</f>
        <v>63</v>
      </c>
      <c r="I5904" s="1" t="str">
        <f>"161.07"</f>
        <v>161.07</v>
      </c>
      <c r="J5904" s="1" t="str">
        <f t="shared" si="3342"/>
        <v>0</v>
      </c>
      <c r="K5904" s="1" t="str">
        <f t="shared" si="3343"/>
        <v>103</v>
      </c>
      <c r="L5904" s="1" t="str">
        <f t="shared" si="3344"/>
        <v>47</v>
      </c>
      <c r="M5904" s="1" t="str">
        <f t="shared" si="3348"/>
        <v>0</v>
      </c>
      <c r="N5904" s="1" t="str">
        <f t="shared" si="3349"/>
        <v>0</v>
      </c>
      <c r="O5904" s="1" t="str">
        <f>"11.07"</f>
        <v>11.07</v>
      </c>
    </row>
    <row r="5905" s="1" customFormat="1" spans="1:15">
      <c r="A5905" s="1" t="str">
        <f t="shared" si="3352"/>
        <v>202406</v>
      </c>
      <c r="B5905" s="1" t="str">
        <f t="shared" si="3353"/>
        <v>150525100</v>
      </c>
      <c r="C5905" s="1" t="str">
        <f>"1014585107"</f>
        <v>1014585107</v>
      </c>
      <c r="D5905" s="1" t="str">
        <f>"152326196211250432"</f>
        <v>152326196211250432</v>
      </c>
      <c r="E5905" s="1" t="s">
        <v>5788</v>
      </c>
      <c r="F5905" s="1" t="s">
        <v>25</v>
      </c>
      <c r="G5905" s="1" t="s">
        <v>17</v>
      </c>
      <c r="H5905" s="1" t="str">
        <f>"62"</f>
        <v>62</v>
      </c>
      <c r="I5905" s="1" t="str">
        <f>"163.19"</f>
        <v>163.19</v>
      </c>
      <c r="J5905" s="1" t="str">
        <f t="shared" si="3342"/>
        <v>0</v>
      </c>
      <c r="K5905" s="1" t="str">
        <f t="shared" si="3343"/>
        <v>103</v>
      </c>
      <c r="L5905" s="1" t="str">
        <f t="shared" si="3344"/>
        <v>47</v>
      </c>
      <c r="M5905" s="1" t="str">
        <f t="shared" si="3348"/>
        <v>0</v>
      </c>
      <c r="N5905" s="1" t="str">
        <f t="shared" si="3349"/>
        <v>0</v>
      </c>
      <c r="O5905" s="1" t="str">
        <f>"13.19"</f>
        <v>13.19</v>
      </c>
    </row>
    <row r="5906" s="1" customFormat="1" spans="1:15">
      <c r="A5906" s="1" t="str">
        <f t="shared" si="3352"/>
        <v>202406</v>
      </c>
      <c r="B5906" s="1" t="str">
        <f t="shared" si="3353"/>
        <v>150525100</v>
      </c>
      <c r="C5906" s="1" t="str">
        <f>"1014585113"</f>
        <v>1014585113</v>
      </c>
      <c r="D5906" s="1" t="s">
        <v>5789</v>
      </c>
      <c r="E5906" s="1" t="s">
        <v>5790</v>
      </c>
      <c r="F5906" s="1" t="s">
        <v>16</v>
      </c>
      <c r="G5906" s="1" t="s">
        <v>17</v>
      </c>
      <c r="H5906" s="1" t="str">
        <f t="shared" ref="H5906:H5910" si="3355">"61"</f>
        <v>61</v>
      </c>
      <c r="I5906" s="1" t="str">
        <f>"165.05"</f>
        <v>165.05</v>
      </c>
      <c r="J5906" s="1" t="str">
        <f t="shared" si="3342"/>
        <v>0</v>
      </c>
      <c r="K5906" s="1" t="str">
        <f t="shared" si="3343"/>
        <v>103</v>
      </c>
      <c r="L5906" s="1" t="str">
        <f t="shared" si="3344"/>
        <v>47</v>
      </c>
      <c r="M5906" s="1" t="str">
        <f t="shared" si="3348"/>
        <v>0</v>
      </c>
      <c r="N5906" s="1" t="str">
        <f t="shared" si="3349"/>
        <v>0</v>
      </c>
      <c r="O5906" s="1" t="str">
        <f>"15.05"</f>
        <v>15.05</v>
      </c>
    </row>
    <row r="5907" s="1" customFormat="1" spans="1:15">
      <c r="A5907" s="1" t="str">
        <f t="shared" si="3352"/>
        <v>202406</v>
      </c>
      <c r="B5907" s="1" t="str">
        <f t="shared" si="3353"/>
        <v>150525100</v>
      </c>
      <c r="C5907" s="1" t="str">
        <f>"1014585116"</f>
        <v>1014585116</v>
      </c>
      <c r="D5907" s="1" t="str">
        <f>"152326196310110419"</f>
        <v>152326196310110419</v>
      </c>
      <c r="E5907" s="1" t="s">
        <v>5791</v>
      </c>
      <c r="F5907" s="1" t="s">
        <v>25</v>
      </c>
      <c r="G5907" s="1" t="s">
        <v>17</v>
      </c>
      <c r="H5907" s="1" t="str">
        <f t="shared" si="3355"/>
        <v>61</v>
      </c>
      <c r="I5907" s="1" t="str">
        <f>"165.09"</f>
        <v>165.09</v>
      </c>
      <c r="J5907" s="1" t="str">
        <f t="shared" si="3342"/>
        <v>0</v>
      </c>
      <c r="K5907" s="1" t="str">
        <f t="shared" si="3343"/>
        <v>103</v>
      </c>
      <c r="L5907" s="1" t="str">
        <f t="shared" si="3344"/>
        <v>47</v>
      </c>
      <c r="M5907" s="1" t="str">
        <f t="shared" si="3348"/>
        <v>0</v>
      </c>
      <c r="N5907" s="1" t="str">
        <f t="shared" si="3349"/>
        <v>0</v>
      </c>
      <c r="O5907" s="1" t="str">
        <f>"15.09"</f>
        <v>15.09</v>
      </c>
    </row>
    <row r="5908" s="1" customFormat="1" spans="1:15">
      <c r="A5908" s="1" t="str">
        <f t="shared" si="3352"/>
        <v>202406</v>
      </c>
      <c r="B5908" s="1" t="str">
        <f t="shared" si="3353"/>
        <v>150525100</v>
      </c>
      <c r="C5908" s="1" t="str">
        <f>"1014561241"</f>
        <v>1014561241</v>
      </c>
      <c r="D5908" s="1" t="str">
        <f>"152326195209220424"</f>
        <v>152326195209220424</v>
      </c>
      <c r="E5908" s="1" t="s">
        <v>5792</v>
      </c>
      <c r="F5908" s="1" t="s">
        <v>16</v>
      </c>
      <c r="G5908" s="1" t="s">
        <v>17</v>
      </c>
      <c r="H5908" s="1" t="str">
        <f>"72"</f>
        <v>72</v>
      </c>
      <c r="I5908" s="1" t="str">
        <f>"162.15"</f>
        <v>162.15</v>
      </c>
      <c r="J5908" s="1" t="str">
        <f t="shared" si="3342"/>
        <v>0</v>
      </c>
      <c r="K5908" s="1" t="str">
        <f t="shared" si="3343"/>
        <v>103</v>
      </c>
      <c r="L5908" s="1" t="str">
        <f t="shared" si="3344"/>
        <v>47</v>
      </c>
      <c r="M5908" s="1" t="str">
        <f t="shared" si="3348"/>
        <v>0</v>
      </c>
      <c r="N5908" s="1" t="str">
        <f t="shared" si="3349"/>
        <v>0</v>
      </c>
      <c r="O5908" s="1" t="str">
        <f>"2.15"</f>
        <v>2.15</v>
      </c>
    </row>
    <row r="5909" s="1" customFormat="1" spans="1:15">
      <c r="A5909" s="1" t="str">
        <f t="shared" si="3352"/>
        <v>202406</v>
      </c>
      <c r="B5909" s="1" t="str">
        <f t="shared" si="3353"/>
        <v>150525100</v>
      </c>
      <c r="C5909" s="1" t="str">
        <f>"1014561246"</f>
        <v>1014561246</v>
      </c>
      <c r="D5909" s="1" t="str">
        <f>"152326195612140440"</f>
        <v>152326195612140440</v>
      </c>
      <c r="E5909" s="1" t="s">
        <v>5793</v>
      </c>
      <c r="F5909" s="1" t="s">
        <v>16</v>
      </c>
      <c r="G5909" s="1" t="s">
        <v>17</v>
      </c>
      <c r="H5909" s="1" t="str">
        <f>"68"</f>
        <v>68</v>
      </c>
      <c r="I5909" s="1" t="str">
        <f>"156.78"</f>
        <v>156.78</v>
      </c>
      <c r="J5909" s="1" t="str">
        <f t="shared" si="3342"/>
        <v>0</v>
      </c>
      <c r="K5909" s="1" t="str">
        <f t="shared" si="3343"/>
        <v>103</v>
      </c>
      <c r="L5909" s="1" t="str">
        <f t="shared" si="3344"/>
        <v>47</v>
      </c>
      <c r="M5909" s="1" t="str">
        <f t="shared" si="3348"/>
        <v>0</v>
      </c>
      <c r="N5909" s="1" t="str">
        <f t="shared" si="3349"/>
        <v>0</v>
      </c>
      <c r="O5909" s="1" t="str">
        <f>"6.78"</f>
        <v>6.78</v>
      </c>
    </row>
    <row r="5910" s="1" customFormat="1" spans="1:15">
      <c r="A5910" s="1" t="str">
        <f t="shared" si="3352"/>
        <v>202406</v>
      </c>
      <c r="B5910" s="1" t="str">
        <f t="shared" si="3353"/>
        <v>150525100</v>
      </c>
      <c r="C5910" s="1" t="str">
        <f>"1014561254"</f>
        <v>1014561254</v>
      </c>
      <c r="D5910" s="1" t="str">
        <f>"152326196306030424"</f>
        <v>152326196306030424</v>
      </c>
      <c r="E5910" s="1" t="s">
        <v>1671</v>
      </c>
      <c r="F5910" s="1" t="s">
        <v>16</v>
      </c>
      <c r="G5910" s="1" t="s">
        <v>17</v>
      </c>
      <c r="H5910" s="1" t="str">
        <f t="shared" si="3355"/>
        <v>61</v>
      </c>
      <c r="I5910" s="1" t="str">
        <f>"166.78"</f>
        <v>166.78</v>
      </c>
      <c r="J5910" s="1" t="str">
        <f t="shared" si="3342"/>
        <v>0</v>
      </c>
      <c r="K5910" s="1" t="str">
        <f t="shared" si="3343"/>
        <v>103</v>
      </c>
      <c r="L5910" s="1" t="str">
        <f t="shared" si="3344"/>
        <v>47</v>
      </c>
      <c r="M5910" s="1" t="str">
        <f t="shared" si="3348"/>
        <v>0</v>
      </c>
      <c r="N5910" s="1" t="str">
        <f t="shared" si="3349"/>
        <v>0</v>
      </c>
      <c r="O5910" s="1" t="str">
        <f>"16.78"</f>
        <v>16.78</v>
      </c>
    </row>
    <row r="5911" s="1" customFormat="1" spans="1:15">
      <c r="A5911" s="1" t="str">
        <f t="shared" si="3352"/>
        <v>202406</v>
      </c>
      <c r="B5911" s="1" t="str">
        <f t="shared" si="3353"/>
        <v>150525100</v>
      </c>
      <c r="C5911" s="1" t="str">
        <f>"1014562501"</f>
        <v>1014562501</v>
      </c>
      <c r="D5911" s="1" t="str">
        <f>"152326195304030426"</f>
        <v>152326195304030426</v>
      </c>
      <c r="E5911" s="1" t="s">
        <v>5794</v>
      </c>
      <c r="F5911" s="1" t="s">
        <v>16</v>
      </c>
      <c r="G5911" s="1" t="s">
        <v>17</v>
      </c>
      <c r="H5911" s="1" t="str">
        <f>"71"</f>
        <v>71</v>
      </c>
      <c r="I5911" s="1" t="str">
        <f>"163.18"</f>
        <v>163.18</v>
      </c>
      <c r="J5911" s="1" t="str">
        <f t="shared" si="3342"/>
        <v>0</v>
      </c>
      <c r="K5911" s="1" t="str">
        <f t="shared" si="3343"/>
        <v>103</v>
      </c>
      <c r="L5911" s="1" t="str">
        <f t="shared" si="3344"/>
        <v>47</v>
      </c>
      <c r="M5911" s="1" t="str">
        <f t="shared" si="3348"/>
        <v>0</v>
      </c>
      <c r="N5911" s="1" t="str">
        <f t="shared" si="3349"/>
        <v>0</v>
      </c>
      <c r="O5911" s="1" t="str">
        <f>"3.18"</f>
        <v>3.18</v>
      </c>
    </row>
    <row r="5912" s="1" customFormat="1" spans="1:15">
      <c r="A5912" s="1" t="str">
        <f t="shared" si="3352"/>
        <v>202406</v>
      </c>
      <c r="B5912" s="1" t="str">
        <f t="shared" si="3353"/>
        <v>150525100</v>
      </c>
      <c r="C5912" s="1" t="str">
        <f>"1014562997"</f>
        <v>1014562997</v>
      </c>
      <c r="D5912" s="1" t="str">
        <f>"152326195310190426"</f>
        <v>152326195310190426</v>
      </c>
      <c r="E5912" s="1" t="s">
        <v>5795</v>
      </c>
      <c r="F5912" s="1" t="s">
        <v>16</v>
      </c>
      <c r="G5912" s="1" t="s">
        <v>17</v>
      </c>
      <c r="H5912" s="1" t="str">
        <f>"71"</f>
        <v>71</v>
      </c>
      <c r="I5912" s="1" t="str">
        <f>"163.18"</f>
        <v>163.18</v>
      </c>
      <c r="J5912" s="1" t="str">
        <f t="shared" ref="J5912:J5975" si="3356">"0"</f>
        <v>0</v>
      </c>
      <c r="K5912" s="1" t="str">
        <f t="shared" ref="K5912:K5975" si="3357">"103"</f>
        <v>103</v>
      </c>
      <c r="L5912" s="1" t="str">
        <f t="shared" ref="L5912:L5975" si="3358">"47"</f>
        <v>47</v>
      </c>
      <c r="M5912" s="1" t="str">
        <f t="shared" si="3348"/>
        <v>0</v>
      </c>
      <c r="N5912" s="1" t="str">
        <f t="shared" si="3349"/>
        <v>0</v>
      </c>
      <c r="O5912" s="1" t="str">
        <f>"3.18"</f>
        <v>3.18</v>
      </c>
    </row>
    <row r="5913" s="1" customFormat="1" spans="1:15">
      <c r="A5913" s="1" t="str">
        <f t="shared" si="3352"/>
        <v>202406</v>
      </c>
      <c r="B5913" s="1" t="str">
        <f t="shared" si="3353"/>
        <v>150525100</v>
      </c>
      <c r="C5913" s="1" t="str">
        <f>"1014563395"</f>
        <v>1014563395</v>
      </c>
      <c r="D5913" s="1" t="str">
        <f>"152326195206060429"</f>
        <v>152326195206060429</v>
      </c>
      <c r="E5913" s="1" t="s">
        <v>5796</v>
      </c>
      <c r="F5913" s="1" t="s">
        <v>16</v>
      </c>
      <c r="G5913" s="1" t="s">
        <v>19</v>
      </c>
      <c r="H5913" s="1" t="str">
        <f>"72"</f>
        <v>72</v>
      </c>
      <c r="I5913" s="1" t="str">
        <f>"162.16"</f>
        <v>162.16</v>
      </c>
      <c r="J5913" s="1" t="str">
        <f t="shared" si="3356"/>
        <v>0</v>
      </c>
      <c r="K5913" s="1" t="str">
        <f t="shared" si="3357"/>
        <v>103</v>
      </c>
      <c r="L5913" s="1" t="str">
        <f t="shared" si="3358"/>
        <v>47</v>
      </c>
      <c r="M5913" s="1" t="str">
        <f t="shared" si="3348"/>
        <v>0</v>
      </c>
      <c r="N5913" s="1" t="str">
        <f t="shared" si="3349"/>
        <v>0</v>
      </c>
      <c r="O5913" s="1" t="str">
        <f>"2.16"</f>
        <v>2.16</v>
      </c>
    </row>
    <row r="5914" s="1" customFormat="1" spans="1:15">
      <c r="A5914" s="1" t="str">
        <f t="shared" si="3352"/>
        <v>202406</v>
      </c>
      <c r="B5914" s="1" t="str">
        <f t="shared" si="3353"/>
        <v>150525100</v>
      </c>
      <c r="C5914" s="1" t="str">
        <f>"1014549576"</f>
        <v>1014549576</v>
      </c>
      <c r="D5914" s="1" t="s">
        <v>5797</v>
      </c>
      <c r="E5914" s="1" t="s">
        <v>2887</v>
      </c>
      <c r="F5914" s="1" t="s">
        <v>25</v>
      </c>
      <c r="G5914" s="1" t="s">
        <v>19</v>
      </c>
      <c r="H5914" s="1" t="str">
        <f>"67"</f>
        <v>67</v>
      </c>
      <c r="I5914" s="1" t="str">
        <f>"156.08"</f>
        <v>156.08</v>
      </c>
      <c r="J5914" s="1" t="str">
        <f t="shared" si="3356"/>
        <v>0</v>
      </c>
      <c r="K5914" s="1" t="str">
        <f t="shared" si="3357"/>
        <v>103</v>
      </c>
      <c r="L5914" s="1" t="str">
        <f t="shared" si="3358"/>
        <v>47</v>
      </c>
      <c r="M5914" s="1" t="str">
        <f t="shared" si="3348"/>
        <v>0</v>
      </c>
      <c r="N5914" s="1" t="str">
        <f t="shared" si="3349"/>
        <v>0</v>
      </c>
      <c r="O5914" s="1" t="str">
        <f>"6.08"</f>
        <v>6.08</v>
      </c>
    </row>
    <row r="5915" s="1" customFormat="1" spans="1:15">
      <c r="A5915" s="1" t="str">
        <f t="shared" si="3352"/>
        <v>202406</v>
      </c>
      <c r="B5915" s="1" t="str">
        <f t="shared" si="3353"/>
        <v>150525100</v>
      </c>
      <c r="C5915" s="1" t="str">
        <f>"1014550079"</f>
        <v>1014550079</v>
      </c>
      <c r="D5915" s="1" t="str">
        <f>"152326195610100672"</f>
        <v>152326195610100672</v>
      </c>
      <c r="E5915" s="1" t="s">
        <v>5798</v>
      </c>
      <c r="F5915" s="1" t="s">
        <v>25</v>
      </c>
      <c r="G5915" s="1" t="s">
        <v>17</v>
      </c>
      <c r="H5915" s="1" t="str">
        <f t="shared" ref="H5915:H5917" si="3359">"68"</f>
        <v>68</v>
      </c>
      <c r="I5915" s="1" t="str">
        <f>"156.02"</f>
        <v>156.02</v>
      </c>
      <c r="J5915" s="1" t="str">
        <f t="shared" si="3356"/>
        <v>0</v>
      </c>
      <c r="K5915" s="1" t="str">
        <f t="shared" si="3357"/>
        <v>103</v>
      </c>
      <c r="L5915" s="1" t="str">
        <f t="shared" si="3358"/>
        <v>47</v>
      </c>
      <c r="M5915" s="1" t="str">
        <f t="shared" si="3348"/>
        <v>0</v>
      </c>
      <c r="N5915" s="1" t="str">
        <f t="shared" si="3349"/>
        <v>0</v>
      </c>
      <c r="O5915" s="1" t="str">
        <f>"6.02"</f>
        <v>6.02</v>
      </c>
    </row>
    <row r="5916" s="1" customFormat="1" spans="1:15">
      <c r="A5916" s="1" t="str">
        <f t="shared" si="3352"/>
        <v>202406</v>
      </c>
      <c r="B5916" s="1" t="str">
        <f t="shared" si="3353"/>
        <v>150525100</v>
      </c>
      <c r="C5916" s="1" t="str">
        <f>"1014550089"</f>
        <v>1014550089</v>
      </c>
      <c r="D5916" s="1" t="str">
        <f>"152326195612230673"</f>
        <v>152326195612230673</v>
      </c>
      <c r="E5916" s="1" t="s">
        <v>3389</v>
      </c>
      <c r="F5916" s="1" t="s">
        <v>25</v>
      </c>
      <c r="G5916" s="1" t="s">
        <v>19</v>
      </c>
      <c r="H5916" s="1" t="str">
        <f t="shared" si="3359"/>
        <v>68</v>
      </c>
      <c r="I5916" s="1" t="str">
        <f>"156.03"</f>
        <v>156.03</v>
      </c>
      <c r="J5916" s="1" t="str">
        <f t="shared" si="3356"/>
        <v>0</v>
      </c>
      <c r="K5916" s="1" t="str">
        <f t="shared" si="3357"/>
        <v>103</v>
      </c>
      <c r="L5916" s="1" t="str">
        <f t="shared" si="3358"/>
        <v>47</v>
      </c>
      <c r="M5916" s="1" t="str">
        <f t="shared" si="3348"/>
        <v>0</v>
      </c>
      <c r="N5916" s="1" t="str">
        <f t="shared" si="3349"/>
        <v>0</v>
      </c>
      <c r="O5916" s="1" t="str">
        <f>"6.03"</f>
        <v>6.03</v>
      </c>
    </row>
    <row r="5917" s="1" customFormat="1" spans="1:15">
      <c r="A5917" s="1" t="str">
        <f t="shared" si="3352"/>
        <v>202406</v>
      </c>
      <c r="B5917" s="1" t="str">
        <f t="shared" si="3353"/>
        <v>150525100</v>
      </c>
      <c r="C5917" s="1" t="str">
        <f>"1014550091"</f>
        <v>1014550091</v>
      </c>
      <c r="D5917" s="1" t="str">
        <f>"152326195612303086"</f>
        <v>152326195612303086</v>
      </c>
      <c r="E5917" s="1" t="s">
        <v>1608</v>
      </c>
      <c r="F5917" s="1" t="s">
        <v>16</v>
      </c>
      <c r="G5917" s="1" t="s">
        <v>17</v>
      </c>
      <c r="H5917" s="1" t="str">
        <f t="shared" si="3359"/>
        <v>68</v>
      </c>
      <c r="I5917" s="1" t="str">
        <f>"156.96"</f>
        <v>156.96</v>
      </c>
      <c r="J5917" s="1" t="str">
        <f t="shared" si="3356"/>
        <v>0</v>
      </c>
      <c r="K5917" s="1" t="str">
        <f t="shared" si="3357"/>
        <v>103</v>
      </c>
      <c r="L5917" s="1" t="str">
        <f t="shared" si="3358"/>
        <v>47</v>
      </c>
      <c r="M5917" s="1" t="str">
        <f t="shared" si="3348"/>
        <v>0</v>
      </c>
      <c r="N5917" s="1" t="str">
        <f t="shared" si="3349"/>
        <v>0</v>
      </c>
      <c r="O5917" s="1" t="str">
        <f>"6.96"</f>
        <v>6.96</v>
      </c>
    </row>
    <row r="5918" s="1" customFormat="1" spans="1:15">
      <c r="A5918" s="1" t="str">
        <f t="shared" si="3352"/>
        <v>202406</v>
      </c>
      <c r="B5918" s="1" t="str">
        <f t="shared" si="3353"/>
        <v>150525100</v>
      </c>
      <c r="C5918" s="1" t="str">
        <f>"1014550093"</f>
        <v>1014550093</v>
      </c>
      <c r="D5918" s="1" t="str">
        <f>"152326195701120660"</f>
        <v>152326195701120660</v>
      </c>
      <c r="E5918" s="1" t="s">
        <v>5799</v>
      </c>
      <c r="F5918" s="1" t="s">
        <v>16</v>
      </c>
      <c r="G5918" s="1" t="s">
        <v>17</v>
      </c>
      <c r="H5918" s="1" t="str">
        <f>"67"</f>
        <v>67</v>
      </c>
      <c r="I5918" s="1" t="str">
        <f>"156.04"</f>
        <v>156.04</v>
      </c>
      <c r="J5918" s="1" t="str">
        <f t="shared" si="3356"/>
        <v>0</v>
      </c>
      <c r="K5918" s="1" t="str">
        <f t="shared" si="3357"/>
        <v>103</v>
      </c>
      <c r="L5918" s="1" t="str">
        <f t="shared" si="3358"/>
        <v>47</v>
      </c>
      <c r="M5918" s="1" t="str">
        <f t="shared" si="3348"/>
        <v>0</v>
      </c>
      <c r="N5918" s="1" t="str">
        <f t="shared" si="3349"/>
        <v>0</v>
      </c>
      <c r="O5918" s="1" t="str">
        <f>"6.04"</f>
        <v>6.04</v>
      </c>
    </row>
    <row r="5919" s="1" customFormat="1" spans="1:15">
      <c r="A5919" s="1" t="str">
        <f t="shared" si="3352"/>
        <v>202406</v>
      </c>
      <c r="B5919" s="1" t="str">
        <f t="shared" si="3353"/>
        <v>150525100</v>
      </c>
      <c r="C5919" s="1" t="str">
        <f>"1014550567"</f>
        <v>1014550567</v>
      </c>
      <c r="D5919" s="1" t="str">
        <f>"152326195207303314"</f>
        <v>152326195207303314</v>
      </c>
      <c r="E5919" s="1" t="s">
        <v>5800</v>
      </c>
      <c r="F5919" s="1" t="s">
        <v>25</v>
      </c>
      <c r="G5919" s="1" t="s">
        <v>17</v>
      </c>
      <c r="H5919" s="1" t="str">
        <f t="shared" ref="H5919:H5925" si="3360">"72"</f>
        <v>72</v>
      </c>
      <c r="I5919" s="1" t="str">
        <f t="shared" ref="I5919:I5925" si="3361">"162.15"</f>
        <v>162.15</v>
      </c>
      <c r="J5919" s="1" t="str">
        <f t="shared" si="3356"/>
        <v>0</v>
      </c>
      <c r="K5919" s="1" t="str">
        <f t="shared" si="3357"/>
        <v>103</v>
      </c>
      <c r="L5919" s="1" t="str">
        <f t="shared" si="3358"/>
        <v>47</v>
      </c>
      <c r="M5919" s="1" t="str">
        <f t="shared" si="3348"/>
        <v>0</v>
      </c>
      <c r="N5919" s="1" t="str">
        <f t="shared" si="3349"/>
        <v>0</v>
      </c>
      <c r="O5919" s="1" t="str">
        <f t="shared" ref="O5919:O5925" si="3362">"2.15"</f>
        <v>2.15</v>
      </c>
    </row>
    <row r="5920" s="1" customFormat="1" spans="1:15">
      <c r="A5920" s="1" t="str">
        <f t="shared" si="3352"/>
        <v>202406</v>
      </c>
      <c r="B5920" s="1" t="str">
        <f t="shared" si="3353"/>
        <v>150525100</v>
      </c>
      <c r="C5920" s="1" t="str">
        <f>"1014550570"</f>
        <v>1014550570</v>
      </c>
      <c r="D5920" s="1" t="str">
        <f>"152326195208200667"</f>
        <v>152326195208200667</v>
      </c>
      <c r="E5920" s="1" t="s">
        <v>5801</v>
      </c>
      <c r="F5920" s="1" t="s">
        <v>16</v>
      </c>
      <c r="G5920" s="1" t="s">
        <v>17</v>
      </c>
      <c r="H5920" s="1" t="str">
        <f t="shared" si="3360"/>
        <v>72</v>
      </c>
      <c r="I5920" s="1" t="str">
        <f t="shared" si="3361"/>
        <v>162.15</v>
      </c>
      <c r="J5920" s="1" t="str">
        <f t="shared" si="3356"/>
        <v>0</v>
      </c>
      <c r="K5920" s="1" t="str">
        <f t="shared" si="3357"/>
        <v>103</v>
      </c>
      <c r="L5920" s="1" t="str">
        <f t="shared" si="3358"/>
        <v>47</v>
      </c>
      <c r="M5920" s="1" t="str">
        <f t="shared" si="3348"/>
        <v>0</v>
      </c>
      <c r="N5920" s="1" t="str">
        <f t="shared" si="3349"/>
        <v>0</v>
      </c>
      <c r="O5920" s="1" t="str">
        <f t="shared" si="3362"/>
        <v>2.15</v>
      </c>
    </row>
    <row r="5921" s="1" customFormat="1" spans="1:15">
      <c r="A5921" s="1" t="str">
        <f t="shared" si="3352"/>
        <v>202406</v>
      </c>
      <c r="B5921" s="1" t="str">
        <f t="shared" si="3353"/>
        <v>150525100</v>
      </c>
      <c r="C5921" s="1" t="str">
        <f>"1014550574"</f>
        <v>1014550574</v>
      </c>
      <c r="D5921" s="1" t="str">
        <f>"152326195209190026"</f>
        <v>152326195209190026</v>
      </c>
      <c r="E5921" s="1" t="s">
        <v>5802</v>
      </c>
      <c r="F5921" s="1" t="s">
        <v>16</v>
      </c>
      <c r="G5921" s="1" t="s">
        <v>17</v>
      </c>
      <c r="H5921" s="1" t="str">
        <f t="shared" si="3360"/>
        <v>72</v>
      </c>
      <c r="I5921" s="1" t="str">
        <f t="shared" si="3361"/>
        <v>162.15</v>
      </c>
      <c r="J5921" s="1" t="str">
        <f t="shared" si="3356"/>
        <v>0</v>
      </c>
      <c r="K5921" s="1" t="str">
        <f t="shared" si="3357"/>
        <v>103</v>
      </c>
      <c r="L5921" s="1" t="str">
        <f t="shared" si="3358"/>
        <v>47</v>
      </c>
      <c r="M5921" s="1" t="str">
        <f t="shared" si="3348"/>
        <v>0</v>
      </c>
      <c r="N5921" s="1" t="str">
        <f t="shared" si="3349"/>
        <v>0</v>
      </c>
      <c r="O5921" s="1" t="str">
        <f t="shared" si="3362"/>
        <v>2.15</v>
      </c>
    </row>
    <row r="5922" s="1" customFormat="1" spans="1:15">
      <c r="A5922" s="1" t="str">
        <f t="shared" si="3352"/>
        <v>202406</v>
      </c>
      <c r="B5922" s="1" t="str">
        <f t="shared" si="3353"/>
        <v>150525100</v>
      </c>
      <c r="C5922" s="1" t="str">
        <f>"1014550576"</f>
        <v>1014550576</v>
      </c>
      <c r="D5922" s="1" t="str">
        <f>"152326195209260661"</f>
        <v>152326195209260661</v>
      </c>
      <c r="E5922" s="1" t="s">
        <v>5803</v>
      </c>
      <c r="F5922" s="1" t="s">
        <v>16</v>
      </c>
      <c r="G5922" s="1" t="s">
        <v>17</v>
      </c>
      <c r="H5922" s="1" t="str">
        <f t="shared" si="3360"/>
        <v>72</v>
      </c>
      <c r="I5922" s="1" t="str">
        <f t="shared" si="3361"/>
        <v>162.15</v>
      </c>
      <c r="J5922" s="1" t="str">
        <f t="shared" si="3356"/>
        <v>0</v>
      </c>
      <c r="K5922" s="1" t="str">
        <f t="shared" si="3357"/>
        <v>103</v>
      </c>
      <c r="L5922" s="1" t="str">
        <f t="shared" si="3358"/>
        <v>47</v>
      </c>
      <c r="M5922" s="1" t="str">
        <f t="shared" si="3348"/>
        <v>0</v>
      </c>
      <c r="N5922" s="1" t="str">
        <f t="shared" si="3349"/>
        <v>0</v>
      </c>
      <c r="O5922" s="1" t="str">
        <f t="shared" si="3362"/>
        <v>2.15</v>
      </c>
    </row>
    <row r="5923" s="1" customFormat="1" spans="1:15">
      <c r="A5923" s="1" t="str">
        <f t="shared" si="3352"/>
        <v>202406</v>
      </c>
      <c r="B5923" s="1" t="str">
        <f t="shared" si="3353"/>
        <v>150525100</v>
      </c>
      <c r="C5923" s="1" t="str">
        <f>"1014550585"</f>
        <v>1014550585</v>
      </c>
      <c r="D5923" s="1" t="str">
        <f>"152326195211123076"</f>
        <v>152326195211123076</v>
      </c>
      <c r="E5923" s="1" t="s">
        <v>5804</v>
      </c>
      <c r="F5923" s="1" t="s">
        <v>25</v>
      </c>
      <c r="G5923" s="1" t="s">
        <v>17</v>
      </c>
      <c r="H5923" s="1" t="str">
        <f t="shared" si="3360"/>
        <v>72</v>
      </c>
      <c r="I5923" s="1" t="str">
        <f t="shared" si="3361"/>
        <v>162.15</v>
      </c>
      <c r="J5923" s="1" t="str">
        <f t="shared" si="3356"/>
        <v>0</v>
      </c>
      <c r="K5923" s="1" t="str">
        <f t="shared" si="3357"/>
        <v>103</v>
      </c>
      <c r="L5923" s="1" t="str">
        <f t="shared" si="3358"/>
        <v>47</v>
      </c>
      <c r="M5923" s="1" t="str">
        <f t="shared" si="3348"/>
        <v>0</v>
      </c>
      <c r="N5923" s="1" t="str">
        <f t="shared" si="3349"/>
        <v>0</v>
      </c>
      <c r="O5923" s="1" t="str">
        <f t="shared" si="3362"/>
        <v>2.15</v>
      </c>
    </row>
    <row r="5924" s="1" customFormat="1" spans="1:15">
      <c r="A5924" s="1" t="str">
        <f t="shared" si="3352"/>
        <v>202406</v>
      </c>
      <c r="B5924" s="1" t="str">
        <f t="shared" si="3353"/>
        <v>150525100</v>
      </c>
      <c r="C5924" s="1" t="str">
        <f>"1014550593"</f>
        <v>1014550593</v>
      </c>
      <c r="D5924" s="1" t="str">
        <f>"152326195212220660"</f>
        <v>152326195212220660</v>
      </c>
      <c r="E5924" s="1" t="s">
        <v>51</v>
      </c>
      <c r="F5924" s="1" t="s">
        <v>16</v>
      </c>
      <c r="G5924" s="1" t="s">
        <v>17</v>
      </c>
      <c r="H5924" s="1" t="str">
        <f t="shared" si="3360"/>
        <v>72</v>
      </c>
      <c r="I5924" s="1" t="str">
        <f t="shared" si="3361"/>
        <v>162.15</v>
      </c>
      <c r="J5924" s="1" t="str">
        <f t="shared" si="3356"/>
        <v>0</v>
      </c>
      <c r="K5924" s="1" t="str">
        <f t="shared" si="3357"/>
        <v>103</v>
      </c>
      <c r="L5924" s="1" t="str">
        <f t="shared" si="3358"/>
        <v>47</v>
      </c>
      <c r="M5924" s="1" t="str">
        <f t="shared" si="3348"/>
        <v>0</v>
      </c>
      <c r="N5924" s="1" t="str">
        <f t="shared" si="3349"/>
        <v>0</v>
      </c>
      <c r="O5924" s="1" t="str">
        <f t="shared" si="3362"/>
        <v>2.15</v>
      </c>
    </row>
    <row r="5925" s="1" customFormat="1" spans="1:15">
      <c r="A5925" s="1" t="str">
        <f t="shared" si="3352"/>
        <v>202406</v>
      </c>
      <c r="B5925" s="1" t="str">
        <f t="shared" si="3353"/>
        <v>150525100</v>
      </c>
      <c r="C5925" s="1" t="str">
        <f>"1014550597"</f>
        <v>1014550597</v>
      </c>
      <c r="D5925" s="1" t="str">
        <f>"152326195212293317"</f>
        <v>152326195212293317</v>
      </c>
      <c r="E5925" s="1" t="s">
        <v>5805</v>
      </c>
      <c r="F5925" s="1" t="s">
        <v>25</v>
      </c>
      <c r="G5925" s="1" t="s">
        <v>17</v>
      </c>
      <c r="H5925" s="1" t="str">
        <f t="shared" si="3360"/>
        <v>72</v>
      </c>
      <c r="I5925" s="1" t="str">
        <f t="shared" si="3361"/>
        <v>162.15</v>
      </c>
      <c r="J5925" s="1" t="str">
        <f t="shared" si="3356"/>
        <v>0</v>
      </c>
      <c r="K5925" s="1" t="str">
        <f t="shared" si="3357"/>
        <v>103</v>
      </c>
      <c r="L5925" s="1" t="str">
        <f t="shared" si="3358"/>
        <v>47</v>
      </c>
      <c r="M5925" s="1" t="str">
        <f t="shared" si="3348"/>
        <v>0</v>
      </c>
      <c r="N5925" s="1" t="str">
        <f t="shared" si="3349"/>
        <v>0</v>
      </c>
      <c r="O5925" s="1" t="str">
        <f t="shared" si="3362"/>
        <v>2.15</v>
      </c>
    </row>
    <row r="5926" s="1" customFormat="1" spans="1:15">
      <c r="A5926" s="1" t="str">
        <f t="shared" si="3352"/>
        <v>202406</v>
      </c>
      <c r="B5926" s="1" t="str">
        <f t="shared" si="3353"/>
        <v>150525100</v>
      </c>
      <c r="C5926" s="1" t="str">
        <f>"1014585134"</f>
        <v>1014585134</v>
      </c>
      <c r="D5926" s="1" t="str">
        <f>"152326195610160448"</f>
        <v>152326195610160448</v>
      </c>
      <c r="E5926" s="1" t="s">
        <v>5806</v>
      </c>
      <c r="F5926" s="1" t="s">
        <v>16</v>
      </c>
      <c r="G5926" s="1" t="s">
        <v>17</v>
      </c>
      <c r="H5926" s="1" t="str">
        <f>"68"</f>
        <v>68</v>
      </c>
      <c r="I5926" s="1" t="str">
        <f>"160.86"</f>
        <v>160.86</v>
      </c>
      <c r="J5926" s="1" t="str">
        <f t="shared" si="3356"/>
        <v>0</v>
      </c>
      <c r="K5926" s="1" t="str">
        <f t="shared" si="3357"/>
        <v>103</v>
      </c>
      <c r="L5926" s="1" t="str">
        <f t="shared" si="3358"/>
        <v>47</v>
      </c>
      <c r="M5926" s="1" t="str">
        <f t="shared" si="3348"/>
        <v>0</v>
      </c>
      <c r="N5926" s="1" t="str">
        <f t="shared" si="3349"/>
        <v>0</v>
      </c>
      <c r="O5926" s="1" t="str">
        <f>"10.86"</f>
        <v>10.86</v>
      </c>
    </row>
    <row r="5927" s="1" customFormat="1" spans="1:15">
      <c r="A5927" s="1" t="str">
        <f t="shared" si="3352"/>
        <v>202406</v>
      </c>
      <c r="B5927" s="1" t="str">
        <f t="shared" si="3353"/>
        <v>150525100</v>
      </c>
      <c r="C5927" s="1" t="str">
        <f>"1014561279"</f>
        <v>1014561279</v>
      </c>
      <c r="D5927" s="1" t="str">
        <f>"152326196011260433"</f>
        <v>152326196011260433</v>
      </c>
      <c r="E5927" s="1" t="s">
        <v>5807</v>
      </c>
      <c r="F5927" s="1" t="s">
        <v>25</v>
      </c>
      <c r="G5927" s="1" t="s">
        <v>17</v>
      </c>
      <c r="H5927" s="1" t="str">
        <f t="shared" ref="H5927:H5930" si="3363">"64"</f>
        <v>64</v>
      </c>
      <c r="I5927" s="1" t="str">
        <f>"159.28"</f>
        <v>159.28</v>
      </c>
      <c r="J5927" s="1" t="str">
        <f t="shared" si="3356"/>
        <v>0</v>
      </c>
      <c r="K5927" s="1" t="str">
        <f t="shared" si="3357"/>
        <v>103</v>
      </c>
      <c r="L5927" s="1" t="str">
        <f t="shared" si="3358"/>
        <v>47</v>
      </c>
      <c r="M5927" s="1" t="str">
        <f t="shared" si="3348"/>
        <v>0</v>
      </c>
      <c r="N5927" s="1" t="str">
        <f t="shared" si="3349"/>
        <v>0</v>
      </c>
      <c r="O5927" s="1" t="str">
        <f>"9.28"</f>
        <v>9.28</v>
      </c>
    </row>
    <row r="5928" s="1" customFormat="1" spans="1:15">
      <c r="A5928" s="1" t="str">
        <f t="shared" si="3352"/>
        <v>202406</v>
      </c>
      <c r="B5928" s="1" t="str">
        <f t="shared" si="3353"/>
        <v>150525100</v>
      </c>
      <c r="C5928" s="1" t="str">
        <f>"1014562523"</f>
        <v>1014562523</v>
      </c>
      <c r="D5928" s="1" t="str">
        <f>"152326196009030428"</f>
        <v>152326196009030428</v>
      </c>
      <c r="E5928" s="1" t="s">
        <v>2995</v>
      </c>
      <c r="F5928" s="1" t="s">
        <v>16</v>
      </c>
      <c r="G5928" s="1" t="s">
        <v>17</v>
      </c>
      <c r="H5928" s="1" t="str">
        <f t="shared" si="3363"/>
        <v>64</v>
      </c>
      <c r="I5928" s="1" t="str">
        <f>"159.28"</f>
        <v>159.28</v>
      </c>
      <c r="J5928" s="1" t="str">
        <f t="shared" si="3356"/>
        <v>0</v>
      </c>
      <c r="K5928" s="1" t="str">
        <f t="shared" si="3357"/>
        <v>103</v>
      </c>
      <c r="L5928" s="1" t="str">
        <f t="shared" si="3358"/>
        <v>47</v>
      </c>
      <c r="M5928" s="1" t="str">
        <f t="shared" si="3348"/>
        <v>0</v>
      </c>
      <c r="N5928" s="1" t="str">
        <f t="shared" si="3349"/>
        <v>0</v>
      </c>
      <c r="O5928" s="1" t="str">
        <f>"9.28"</f>
        <v>9.28</v>
      </c>
    </row>
    <row r="5929" s="1" customFormat="1" spans="1:15">
      <c r="A5929" s="1" t="str">
        <f t="shared" si="3352"/>
        <v>202406</v>
      </c>
      <c r="B5929" s="1" t="str">
        <f t="shared" si="3353"/>
        <v>150525100</v>
      </c>
      <c r="C5929" s="1" t="str">
        <f>"1014562525"</f>
        <v>1014562525</v>
      </c>
      <c r="D5929" s="1" t="s">
        <v>5808</v>
      </c>
      <c r="E5929" s="1" t="s">
        <v>5809</v>
      </c>
      <c r="F5929" s="1" t="s">
        <v>16</v>
      </c>
      <c r="G5929" s="1" t="s">
        <v>17</v>
      </c>
      <c r="H5929" s="1" t="str">
        <f>"68"</f>
        <v>68</v>
      </c>
      <c r="I5929" s="1" t="str">
        <f>"156.04"</f>
        <v>156.04</v>
      </c>
      <c r="J5929" s="1" t="str">
        <f t="shared" si="3356"/>
        <v>0</v>
      </c>
      <c r="K5929" s="1" t="str">
        <f t="shared" si="3357"/>
        <v>103</v>
      </c>
      <c r="L5929" s="1" t="str">
        <f t="shared" si="3358"/>
        <v>47</v>
      </c>
      <c r="M5929" s="1" t="str">
        <f t="shared" si="3348"/>
        <v>0</v>
      </c>
      <c r="N5929" s="1" t="str">
        <f t="shared" si="3349"/>
        <v>0</v>
      </c>
      <c r="O5929" s="1" t="str">
        <f>"6.04"</f>
        <v>6.04</v>
      </c>
    </row>
    <row r="5930" s="1" customFormat="1" spans="1:15">
      <c r="A5930" s="1" t="str">
        <f t="shared" si="3352"/>
        <v>202406</v>
      </c>
      <c r="B5930" s="1" t="str">
        <f t="shared" si="3353"/>
        <v>150525100</v>
      </c>
      <c r="C5930" s="1" t="str">
        <f>"1014562540"</f>
        <v>1014562540</v>
      </c>
      <c r="D5930" s="1" t="s">
        <v>5810</v>
      </c>
      <c r="E5930" s="1" t="s">
        <v>5811</v>
      </c>
      <c r="F5930" s="1" t="s">
        <v>25</v>
      </c>
      <c r="G5930" s="1" t="s">
        <v>17</v>
      </c>
      <c r="H5930" s="1" t="str">
        <f t="shared" si="3363"/>
        <v>64</v>
      </c>
      <c r="I5930" s="1" t="str">
        <f>"159.24"</f>
        <v>159.24</v>
      </c>
      <c r="J5930" s="1" t="str">
        <f t="shared" si="3356"/>
        <v>0</v>
      </c>
      <c r="K5930" s="1" t="str">
        <f t="shared" si="3357"/>
        <v>103</v>
      </c>
      <c r="L5930" s="1" t="str">
        <f t="shared" si="3358"/>
        <v>47</v>
      </c>
      <c r="M5930" s="1" t="str">
        <f t="shared" si="3348"/>
        <v>0</v>
      </c>
      <c r="N5930" s="1" t="str">
        <f t="shared" si="3349"/>
        <v>0</v>
      </c>
      <c r="O5930" s="1" t="str">
        <f>"9.24"</f>
        <v>9.24</v>
      </c>
    </row>
    <row r="5931" s="1" customFormat="1" spans="1:15">
      <c r="A5931" s="1" t="str">
        <f t="shared" si="3352"/>
        <v>202406</v>
      </c>
      <c r="B5931" s="1" t="str">
        <f t="shared" si="3353"/>
        <v>150525100</v>
      </c>
      <c r="C5931" s="1" t="str">
        <f>"1014563042"</f>
        <v>1014563042</v>
      </c>
      <c r="D5931" s="1" t="str">
        <f>"152326195205260410"</f>
        <v>152326195205260410</v>
      </c>
      <c r="E5931" s="1" t="s">
        <v>5812</v>
      </c>
      <c r="F5931" s="1" t="s">
        <v>25</v>
      </c>
      <c r="G5931" s="1" t="s">
        <v>17</v>
      </c>
      <c r="H5931" s="1" t="str">
        <f>"72"</f>
        <v>72</v>
      </c>
      <c r="I5931" s="1" t="str">
        <f>"162.16"</f>
        <v>162.16</v>
      </c>
      <c r="J5931" s="1" t="str">
        <f t="shared" si="3356"/>
        <v>0</v>
      </c>
      <c r="K5931" s="1" t="str">
        <f t="shared" si="3357"/>
        <v>103</v>
      </c>
      <c r="L5931" s="1" t="str">
        <f t="shared" si="3358"/>
        <v>47</v>
      </c>
      <c r="M5931" s="1" t="str">
        <f t="shared" si="3348"/>
        <v>0</v>
      </c>
      <c r="N5931" s="1" t="str">
        <f t="shared" si="3349"/>
        <v>0</v>
      </c>
      <c r="O5931" s="1" t="str">
        <f>"2.16"</f>
        <v>2.16</v>
      </c>
    </row>
    <row r="5932" s="1" customFormat="1" spans="1:15">
      <c r="A5932" s="1" t="str">
        <f t="shared" si="3352"/>
        <v>202406</v>
      </c>
      <c r="B5932" s="1" t="str">
        <f t="shared" si="3353"/>
        <v>150525100</v>
      </c>
      <c r="C5932" s="1" t="str">
        <f>"1014585157"</f>
        <v>1014585157</v>
      </c>
      <c r="D5932" s="1" t="str">
        <f>"152326196302080416"</f>
        <v>152326196302080416</v>
      </c>
      <c r="E5932" s="1" t="s">
        <v>5813</v>
      </c>
      <c r="F5932" s="1" t="s">
        <v>25</v>
      </c>
      <c r="G5932" s="1" t="s">
        <v>19</v>
      </c>
      <c r="H5932" s="1" t="str">
        <f>"61"</f>
        <v>61</v>
      </c>
      <c r="I5932" s="1" t="str">
        <f>"170.12"</f>
        <v>170.12</v>
      </c>
      <c r="J5932" s="1" t="str">
        <f t="shared" si="3356"/>
        <v>0</v>
      </c>
      <c r="K5932" s="1" t="str">
        <f t="shared" si="3357"/>
        <v>103</v>
      </c>
      <c r="L5932" s="1" t="str">
        <f t="shared" si="3358"/>
        <v>47</v>
      </c>
      <c r="M5932" s="1" t="str">
        <f t="shared" si="3348"/>
        <v>0</v>
      </c>
      <c r="N5932" s="1" t="str">
        <f t="shared" si="3349"/>
        <v>0</v>
      </c>
      <c r="O5932" s="1" t="str">
        <f>"20.12"</f>
        <v>20.12</v>
      </c>
    </row>
    <row r="5933" s="1" customFormat="1" spans="1:15">
      <c r="A5933" s="1" t="str">
        <f t="shared" si="3352"/>
        <v>202406</v>
      </c>
      <c r="B5933" s="1" t="str">
        <f t="shared" si="3353"/>
        <v>150525100</v>
      </c>
      <c r="C5933" s="1" t="str">
        <f>"1015311289"</f>
        <v>1015311289</v>
      </c>
      <c r="D5933" s="1" t="str">
        <f>"152326195301253341"</f>
        <v>152326195301253341</v>
      </c>
      <c r="E5933" s="1" t="s">
        <v>5814</v>
      </c>
      <c r="F5933" s="1" t="s">
        <v>16</v>
      </c>
      <c r="G5933" s="1" t="s">
        <v>17</v>
      </c>
      <c r="H5933" s="1" t="str">
        <f t="shared" ref="H5933:H5937" si="3364">"71"</f>
        <v>71</v>
      </c>
      <c r="I5933" s="1" t="str">
        <f>"162.58"</f>
        <v>162.58</v>
      </c>
      <c r="J5933" s="1" t="str">
        <f t="shared" si="3356"/>
        <v>0</v>
      </c>
      <c r="K5933" s="1" t="str">
        <f t="shared" si="3357"/>
        <v>103</v>
      </c>
      <c r="L5933" s="1" t="str">
        <f t="shared" si="3358"/>
        <v>47</v>
      </c>
      <c r="M5933" s="1" t="str">
        <f t="shared" si="3348"/>
        <v>0</v>
      </c>
      <c r="N5933" s="1" t="str">
        <f t="shared" si="3349"/>
        <v>0</v>
      </c>
      <c r="O5933" s="1" t="str">
        <f>"2.58"</f>
        <v>2.58</v>
      </c>
    </row>
    <row r="5934" s="1" customFormat="1" spans="1:15">
      <c r="A5934" s="1" t="str">
        <f t="shared" si="3352"/>
        <v>202406</v>
      </c>
      <c r="B5934" s="1" t="str">
        <f t="shared" si="3353"/>
        <v>150525100</v>
      </c>
      <c r="C5934" s="1" t="str">
        <f>"1015311301"</f>
        <v>1015311301</v>
      </c>
      <c r="D5934" s="1" t="str">
        <f>"152326195305250922"</f>
        <v>152326195305250922</v>
      </c>
      <c r="E5934" s="1" t="s">
        <v>5815</v>
      </c>
      <c r="F5934" s="1" t="s">
        <v>16</v>
      </c>
      <c r="G5934" s="1" t="s">
        <v>19</v>
      </c>
      <c r="H5934" s="1" t="str">
        <f t="shared" si="3364"/>
        <v>71</v>
      </c>
      <c r="I5934" s="1" t="str">
        <f t="shared" ref="I5934:I5937" si="3365">"162.57"</f>
        <v>162.57</v>
      </c>
      <c r="J5934" s="1" t="str">
        <f t="shared" si="3356"/>
        <v>0</v>
      </c>
      <c r="K5934" s="1" t="str">
        <f t="shared" si="3357"/>
        <v>103</v>
      </c>
      <c r="L5934" s="1" t="str">
        <f t="shared" si="3358"/>
        <v>47</v>
      </c>
      <c r="M5934" s="1" t="str">
        <f t="shared" si="3348"/>
        <v>0</v>
      </c>
      <c r="N5934" s="1" t="str">
        <f t="shared" si="3349"/>
        <v>0</v>
      </c>
      <c r="O5934" s="1" t="str">
        <f t="shared" ref="O5934:O5937" si="3366">"2.57"</f>
        <v>2.57</v>
      </c>
    </row>
    <row r="5935" s="1" customFormat="1" spans="1:15">
      <c r="A5935" s="1" t="str">
        <f t="shared" si="3352"/>
        <v>202406</v>
      </c>
      <c r="B5935" s="1" t="str">
        <f t="shared" si="3353"/>
        <v>150525100</v>
      </c>
      <c r="C5935" s="1" t="str">
        <f>"1015311311"</f>
        <v>1015311311</v>
      </c>
      <c r="D5935" s="1" t="str">
        <f>"152326195205100919"</f>
        <v>152326195205100919</v>
      </c>
      <c r="E5935" s="1" t="s">
        <v>5816</v>
      </c>
      <c r="F5935" s="1" t="s">
        <v>25</v>
      </c>
      <c r="G5935" s="1" t="s">
        <v>19</v>
      </c>
      <c r="H5935" s="1" t="str">
        <f>"72"</f>
        <v>72</v>
      </c>
      <c r="I5935" s="1" t="str">
        <f>"162.14"</f>
        <v>162.14</v>
      </c>
      <c r="J5935" s="1" t="str">
        <f t="shared" si="3356"/>
        <v>0</v>
      </c>
      <c r="K5935" s="1" t="str">
        <f t="shared" si="3357"/>
        <v>103</v>
      </c>
      <c r="L5935" s="1" t="str">
        <f t="shared" si="3358"/>
        <v>47</v>
      </c>
      <c r="M5935" s="1" t="str">
        <f t="shared" si="3348"/>
        <v>0</v>
      </c>
      <c r="N5935" s="1" t="str">
        <f t="shared" si="3349"/>
        <v>0</v>
      </c>
      <c r="O5935" s="1" t="str">
        <f>"2.14"</f>
        <v>2.14</v>
      </c>
    </row>
    <row r="5936" s="1" customFormat="1" spans="1:15">
      <c r="A5936" s="1" t="str">
        <f t="shared" si="3352"/>
        <v>202406</v>
      </c>
      <c r="B5936" s="1" t="str">
        <f t="shared" si="3353"/>
        <v>150525100</v>
      </c>
      <c r="C5936" s="1" t="str">
        <f>"1015311464"</f>
        <v>1015311464</v>
      </c>
      <c r="D5936" s="1" t="str">
        <f>"152326195311226371"</f>
        <v>152326195311226371</v>
      </c>
      <c r="E5936" s="1" t="s">
        <v>5817</v>
      </c>
      <c r="F5936" s="1" t="s">
        <v>25</v>
      </c>
      <c r="G5936" s="1" t="s">
        <v>17</v>
      </c>
      <c r="H5936" s="1" t="str">
        <f t="shared" si="3364"/>
        <v>71</v>
      </c>
      <c r="I5936" s="1" t="str">
        <f t="shared" si="3365"/>
        <v>162.57</v>
      </c>
      <c r="J5936" s="1" t="str">
        <f t="shared" si="3356"/>
        <v>0</v>
      </c>
      <c r="K5936" s="1" t="str">
        <f t="shared" si="3357"/>
        <v>103</v>
      </c>
      <c r="L5936" s="1" t="str">
        <f t="shared" si="3358"/>
        <v>47</v>
      </c>
      <c r="M5936" s="1" t="str">
        <f t="shared" si="3348"/>
        <v>0</v>
      </c>
      <c r="N5936" s="1" t="str">
        <f t="shared" si="3349"/>
        <v>0</v>
      </c>
      <c r="O5936" s="1" t="str">
        <f t="shared" si="3366"/>
        <v>2.57</v>
      </c>
    </row>
    <row r="5937" s="1" customFormat="1" spans="1:15">
      <c r="A5937" s="1" t="str">
        <f t="shared" si="3352"/>
        <v>202406</v>
      </c>
      <c r="B5937" s="1" t="str">
        <f t="shared" si="3353"/>
        <v>150525100</v>
      </c>
      <c r="C5937" s="1" t="str">
        <f>"1015311465"</f>
        <v>1015311465</v>
      </c>
      <c r="D5937" s="1" t="str">
        <f>"152326195312116377"</f>
        <v>152326195312116377</v>
      </c>
      <c r="E5937" s="1" t="s">
        <v>5818</v>
      </c>
      <c r="F5937" s="1" t="s">
        <v>25</v>
      </c>
      <c r="G5937" s="1" t="s">
        <v>17</v>
      </c>
      <c r="H5937" s="1" t="str">
        <f t="shared" si="3364"/>
        <v>71</v>
      </c>
      <c r="I5937" s="1" t="str">
        <f t="shared" si="3365"/>
        <v>162.57</v>
      </c>
      <c r="J5937" s="1" t="str">
        <f t="shared" si="3356"/>
        <v>0</v>
      </c>
      <c r="K5937" s="1" t="str">
        <f t="shared" si="3357"/>
        <v>103</v>
      </c>
      <c r="L5937" s="1" t="str">
        <f t="shared" si="3358"/>
        <v>47</v>
      </c>
      <c r="M5937" s="1" t="str">
        <f t="shared" si="3348"/>
        <v>0</v>
      </c>
      <c r="N5937" s="1" t="str">
        <f t="shared" si="3349"/>
        <v>0</v>
      </c>
      <c r="O5937" s="1" t="str">
        <f t="shared" si="3366"/>
        <v>2.57</v>
      </c>
    </row>
    <row r="5938" s="1" customFormat="1" spans="1:15">
      <c r="A5938" s="1" t="str">
        <f t="shared" si="3352"/>
        <v>202406</v>
      </c>
      <c r="B5938" s="1" t="str">
        <f t="shared" si="3353"/>
        <v>150525100</v>
      </c>
      <c r="C5938" s="1" t="str">
        <f>"1015311469"</f>
        <v>1015311469</v>
      </c>
      <c r="D5938" s="1" t="str">
        <f>"152326195204056127"</f>
        <v>152326195204056127</v>
      </c>
      <c r="E5938" s="1" t="s">
        <v>5819</v>
      </c>
      <c r="F5938" s="1" t="s">
        <v>16</v>
      </c>
      <c r="G5938" s="1" t="s">
        <v>17</v>
      </c>
      <c r="H5938" s="1" t="str">
        <f t="shared" ref="H5938:H5943" si="3367">"72"</f>
        <v>72</v>
      </c>
      <c r="I5938" s="1" t="str">
        <f t="shared" ref="I5938:I5943" si="3368">"161.56"</f>
        <v>161.56</v>
      </c>
      <c r="J5938" s="1" t="str">
        <f t="shared" si="3356"/>
        <v>0</v>
      </c>
      <c r="K5938" s="1" t="str">
        <f t="shared" si="3357"/>
        <v>103</v>
      </c>
      <c r="L5938" s="1" t="str">
        <f t="shared" si="3358"/>
        <v>47</v>
      </c>
      <c r="M5938" s="1" t="str">
        <f t="shared" si="3348"/>
        <v>0</v>
      </c>
      <c r="N5938" s="1" t="str">
        <f t="shared" si="3349"/>
        <v>0</v>
      </c>
      <c r="O5938" s="1" t="str">
        <f t="shared" ref="O5938:O5943" si="3369">"1.56"</f>
        <v>1.56</v>
      </c>
    </row>
    <row r="5939" s="1" customFormat="1" spans="1:15">
      <c r="A5939" s="1" t="str">
        <f t="shared" si="3352"/>
        <v>202406</v>
      </c>
      <c r="B5939" s="1" t="str">
        <f t="shared" si="3353"/>
        <v>150525100</v>
      </c>
      <c r="C5939" s="1" t="str">
        <f>"1015311473"</f>
        <v>1015311473</v>
      </c>
      <c r="D5939" s="1" t="str">
        <f>"152326195311076385"</f>
        <v>152326195311076385</v>
      </c>
      <c r="E5939" s="1" t="s">
        <v>5820</v>
      </c>
      <c r="F5939" s="1" t="s">
        <v>16</v>
      </c>
      <c r="G5939" s="1" t="s">
        <v>17</v>
      </c>
      <c r="H5939" s="1" t="str">
        <f t="shared" ref="H5939:H5944" si="3370">"71"</f>
        <v>71</v>
      </c>
      <c r="I5939" s="1" t="str">
        <f>"162.57"</f>
        <v>162.57</v>
      </c>
      <c r="J5939" s="1" t="str">
        <f t="shared" si="3356"/>
        <v>0</v>
      </c>
      <c r="K5939" s="1" t="str">
        <f t="shared" si="3357"/>
        <v>103</v>
      </c>
      <c r="L5939" s="1" t="str">
        <f t="shared" si="3358"/>
        <v>47</v>
      </c>
      <c r="M5939" s="1" t="str">
        <f t="shared" si="3348"/>
        <v>0</v>
      </c>
      <c r="N5939" s="1" t="str">
        <f t="shared" si="3349"/>
        <v>0</v>
      </c>
      <c r="O5939" s="1" t="str">
        <f>"2.57"</f>
        <v>2.57</v>
      </c>
    </row>
    <row r="5940" s="1" customFormat="1" spans="1:15">
      <c r="A5940" s="1" t="str">
        <f t="shared" si="3352"/>
        <v>202406</v>
      </c>
      <c r="B5940" s="1" t="str">
        <f t="shared" si="3353"/>
        <v>150525100</v>
      </c>
      <c r="C5940" s="1" t="str">
        <f>"1015311482"</f>
        <v>1015311482</v>
      </c>
      <c r="D5940" s="1" t="str">
        <f>"152326195310053325"</f>
        <v>152326195310053325</v>
      </c>
      <c r="E5940" s="1" t="s">
        <v>5821</v>
      </c>
      <c r="F5940" s="1" t="s">
        <v>16</v>
      </c>
      <c r="G5940" s="1" t="s">
        <v>19</v>
      </c>
      <c r="H5940" s="1" t="str">
        <f t="shared" si="3370"/>
        <v>71</v>
      </c>
      <c r="I5940" s="1" t="str">
        <f>"162.58"</f>
        <v>162.58</v>
      </c>
      <c r="J5940" s="1" t="str">
        <f t="shared" si="3356"/>
        <v>0</v>
      </c>
      <c r="K5940" s="1" t="str">
        <f t="shared" si="3357"/>
        <v>103</v>
      </c>
      <c r="L5940" s="1" t="str">
        <f t="shared" si="3358"/>
        <v>47</v>
      </c>
      <c r="M5940" s="1" t="str">
        <f t="shared" si="3348"/>
        <v>0</v>
      </c>
      <c r="N5940" s="1" t="str">
        <f t="shared" si="3349"/>
        <v>0</v>
      </c>
      <c r="O5940" s="1" t="str">
        <f>"2.58"</f>
        <v>2.58</v>
      </c>
    </row>
    <row r="5941" s="1" customFormat="1" spans="1:15">
      <c r="A5941" s="1" t="str">
        <f t="shared" si="3352"/>
        <v>202406</v>
      </c>
      <c r="B5941" s="1" t="str">
        <f t="shared" si="3353"/>
        <v>150525100</v>
      </c>
      <c r="C5941" s="1" t="str">
        <f>"1015311313"</f>
        <v>1015311313</v>
      </c>
      <c r="D5941" s="1" t="str">
        <f>"152326195212240928"</f>
        <v>152326195212240928</v>
      </c>
      <c r="E5941" s="1" t="s">
        <v>5822</v>
      </c>
      <c r="F5941" s="1" t="s">
        <v>16</v>
      </c>
      <c r="G5941" s="1" t="s">
        <v>19</v>
      </c>
      <c r="H5941" s="1" t="str">
        <f t="shared" si="3367"/>
        <v>72</v>
      </c>
      <c r="I5941" s="1" t="str">
        <f>"161.53"</f>
        <v>161.53</v>
      </c>
      <c r="J5941" s="1" t="str">
        <f t="shared" si="3356"/>
        <v>0</v>
      </c>
      <c r="K5941" s="1" t="str">
        <f t="shared" si="3357"/>
        <v>103</v>
      </c>
      <c r="L5941" s="1" t="str">
        <f t="shared" si="3358"/>
        <v>47</v>
      </c>
      <c r="M5941" s="1" t="str">
        <f t="shared" ref="M5941:M6004" si="3371">"0"</f>
        <v>0</v>
      </c>
      <c r="N5941" s="1" t="str">
        <f t="shared" si="3349"/>
        <v>0</v>
      </c>
      <c r="O5941" s="1" t="str">
        <f>"1.53"</f>
        <v>1.53</v>
      </c>
    </row>
    <row r="5942" s="1" customFormat="1" spans="1:15">
      <c r="A5942" s="1" t="str">
        <f t="shared" si="3352"/>
        <v>202406</v>
      </c>
      <c r="B5942" s="1" t="str">
        <f t="shared" si="3353"/>
        <v>150525100</v>
      </c>
      <c r="C5942" s="1" t="str">
        <f>"1015311320"</f>
        <v>1015311320</v>
      </c>
      <c r="D5942" s="1" t="str">
        <f>"152326195204163811"</f>
        <v>152326195204163811</v>
      </c>
      <c r="E5942" s="1" t="s">
        <v>5823</v>
      </c>
      <c r="F5942" s="1" t="s">
        <v>25</v>
      </c>
      <c r="G5942" s="1" t="s">
        <v>19</v>
      </c>
      <c r="H5942" s="1" t="str">
        <f t="shared" si="3367"/>
        <v>72</v>
      </c>
      <c r="I5942" s="1" t="str">
        <f t="shared" si="3368"/>
        <v>161.56</v>
      </c>
      <c r="J5942" s="1" t="str">
        <f t="shared" si="3356"/>
        <v>0</v>
      </c>
      <c r="K5942" s="1" t="str">
        <f t="shared" si="3357"/>
        <v>103</v>
      </c>
      <c r="L5942" s="1" t="str">
        <f t="shared" si="3358"/>
        <v>47</v>
      </c>
      <c r="M5942" s="1" t="str">
        <f t="shared" si="3371"/>
        <v>0</v>
      </c>
      <c r="N5942" s="1" t="str">
        <f t="shared" si="3349"/>
        <v>0</v>
      </c>
      <c r="O5942" s="1" t="str">
        <f t="shared" si="3369"/>
        <v>1.56</v>
      </c>
    </row>
    <row r="5943" s="1" customFormat="1" spans="1:15">
      <c r="A5943" s="1" t="str">
        <f t="shared" si="3352"/>
        <v>202406</v>
      </c>
      <c r="B5943" s="1" t="str">
        <f t="shared" si="3353"/>
        <v>150525100</v>
      </c>
      <c r="C5943" s="1" t="str">
        <f>"1015311333"</f>
        <v>1015311333</v>
      </c>
      <c r="D5943" s="1" t="str">
        <f>"152326195205063812"</f>
        <v>152326195205063812</v>
      </c>
      <c r="E5943" s="1" t="s">
        <v>5824</v>
      </c>
      <c r="F5943" s="1" t="s">
        <v>25</v>
      </c>
      <c r="G5943" s="1" t="s">
        <v>17</v>
      </c>
      <c r="H5943" s="1" t="str">
        <f t="shared" si="3367"/>
        <v>72</v>
      </c>
      <c r="I5943" s="1" t="str">
        <f t="shared" si="3368"/>
        <v>161.56</v>
      </c>
      <c r="J5943" s="1" t="str">
        <f t="shared" si="3356"/>
        <v>0</v>
      </c>
      <c r="K5943" s="1" t="str">
        <f t="shared" si="3357"/>
        <v>103</v>
      </c>
      <c r="L5943" s="1" t="str">
        <f t="shared" si="3358"/>
        <v>47</v>
      </c>
      <c r="M5943" s="1" t="str">
        <f t="shared" si="3371"/>
        <v>0</v>
      </c>
      <c r="N5943" s="1" t="str">
        <f t="shared" ref="N5943:N6006" si="3372">"0"</f>
        <v>0</v>
      </c>
      <c r="O5943" s="1" t="str">
        <f t="shared" si="3369"/>
        <v>1.56</v>
      </c>
    </row>
    <row r="5944" s="1" customFormat="1" spans="1:15">
      <c r="A5944" s="1" t="str">
        <f t="shared" si="3352"/>
        <v>202406</v>
      </c>
      <c r="B5944" s="1" t="str">
        <f t="shared" si="3353"/>
        <v>150525100</v>
      </c>
      <c r="C5944" s="1" t="str">
        <f>"1015311342"</f>
        <v>1015311342</v>
      </c>
      <c r="D5944" s="1" t="str">
        <f>"152326195311240042"</f>
        <v>152326195311240042</v>
      </c>
      <c r="E5944" s="1" t="s">
        <v>5825</v>
      </c>
      <c r="F5944" s="1" t="s">
        <v>16</v>
      </c>
      <c r="G5944" s="1" t="s">
        <v>17</v>
      </c>
      <c r="H5944" s="1" t="str">
        <f t="shared" si="3370"/>
        <v>71</v>
      </c>
      <c r="I5944" s="1" t="str">
        <f>"162.57"</f>
        <v>162.57</v>
      </c>
      <c r="J5944" s="1" t="str">
        <f t="shared" si="3356"/>
        <v>0</v>
      </c>
      <c r="K5944" s="1" t="str">
        <f t="shared" si="3357"/>
        <v>103</v>
      </c>
      <c r="L5944" s="1" t="str">
        <f t="shared" si="3358"/>
        <v>47</v>
      </c>
      <c r="M5944" s="1" t="str">
        <f t="shared" si="3371"/>
        <v>0</v>
      </c>
      <c r="N5944" s="1" t="str">
        <f t="shared" si="3372"/>
        <v>0</v>
      </c>
      <c r="O5944" s="1" t="str">
        <f>"2.57"</f>
        <v>2.57</v>
      </c>
    </row>
    <row r="5945" s="1" customFormat="1" spans="1:15">
      <c r="A5945" s="1" t="str">
        <f t="shared" si="3352"/>
        <v>202406</v>
      </c>
      <c r="B5945" s="1" t="str">
        <f t="shared" si="3353"/>
        <v>150525100</v>
      </c>
      <c r="C5945" s="1" t="str">
        <f>"1015311495"</f>
        <v>1015311495</v>
      </c>
      <c r="D5945" s="1" t="s">
        <v>5826</v>
      </c>
      <c r="E5945" s="1" t="s">
        <v>2428</v>
      </c>
      <c r="F5945" s="1" t="s">
        <v>16</v>
      </c>
      <c r="G5945" s="1" t="s">
        <v>17</v>
      </c>
      <c r="H5945" s="1" t="str">
        <f t="shared" ref="H5945:H5949" si="3373">"72"</f>
        <v>72</v>
      </c>
      <c r="I5945" s="1" t="str">
        <f>"167.69"</f>
        <v>167.69</v>
      </c>
      <c r="J5945" s="1" t="str">
        <f t="shared" si="3356"/>
        <v>0</v>
      </c>
      <c r="K5945" s="1" t="str">
        <f t="shared" si="3357"/>
        <v>103</v>
      </c>
      <c r="L5945" s="1" t="str">
        <f t="shared" si="3358"/>
        <v>47</v>
      </c>
      <c r="M5945" s="1" t="str">
        <f t="shared" si="3371"/>
        <v>0</v>
      </c>
      <c r="N5945" s="1" t="str">
        <f t="shared" si="3372"/>
        <v>0</v>
      </c>
      <c r="O5945" s="1" t="str">
        <f>"7.69"</f>
        <v>7.69</v>
      </c>
    </row>
    <row r="5946" s="1" customFormat="1" spans="1:15">
      <c r="A5946" s="1" t="str">
        <f t="shared" si="3352"/>
        <v>202406</v>
      </c>
      <c r="B5946" s="1" t="str">
        <f t="shared" si="3353"/>
        <v>150525100</v>
      </c>
      <c r="C5946" s="1" t="str">
        <f>"1015311496"</f>
        <v>1015311496</v>
      </c>
      <c r="D5946" s="1" t="str">
        <f>"152326195205040426"</f>
        <v>152326195205040426</v>
      </c>
      <c r="E5946" s="1" t="s">
        <v>1217</v>
      </c>
      <c r="F5946" s="1" t="s">
        <v>16</v>
      </c>
      <c r="G5946" s="1" t="s">
        <v>17</v>
      </c>
      <c r="H5946" s="1" t="str">
        <f t="shared" si="3373"/>
        <v>72</v>
      </c>
      <c r="I5946" s="1" t="str">
        <f>"161.54"</f>
        <v>161.54</v>
      </c>
      <c r="J5946" s="1" t="str">
        <f t="shared" si="3356"/>
        <v>0</v>
      </c>
      <c r="K5946" s="1" t="str">
        <f t="shared" si="3357"/>
        <v>103</v>
      </c>
      <c r="L5946" s="1" t="str">
        <f t="shared" si="3358"/>
        <v>47</v>
      </c>
      <c r="M5946" s="1" t="str">
        <f t="shared" si="3371"/>
        <v>0</v>
      </c>
      <c r="N5946" s="1" t="str">
        <f t="shared" si="3372"/>
        <v>0</v>
      </c>
      <c r="O5946" s="1" t="str">
        <f>"1.54"</f>
        <v>1.54</v>
      </c>
    </row>
    <row r="5947" s="1" customFormat="1" spans="1:15">
      <c r="A5947" s="1" t="str">
        <f t="shared" si="3352"/>
        <v>202406</v>
      </c>
      <c r="B5947" s="1" t="str">
        <f t="shared" si="3353"/>
        <v>150525100</v>
      </c>
      <c r="C5947" s="1" t="str">
        <f>"1015311498"</f>
        <v>1015311498</v>
      </c>
      <c r="D5947" s="1" t="str">
        <f>"152326195206010421"</f>
        <v>152326195206010421</v>
      </c>
      <c r="E5947" s="1" t="s">
        <v>5827</v>
      </c>
      <c r="F5947" s="1" t="s">
        <v>16</v>
      </c>
      <c r="G5947" s="1" t="s">
        <v>17</v>
      </c>
      <c r="H5947" s="1" t="str">
        <f t="shared" si="3373"/>
        <v>72</v>
      </c>
      <c r="I5947" s="1" t="str">
        <f t="shared" ref="I5947:I5952" si="3374">"161.56"</f>
        <v>161.56</v>
      </c>
      <c r="J5947" s="1" t="str">
        <f t="shared" si="3356"/>
        <v>0</v>
      </c>
      <c r="K5947" s="1" t="str">
        <f t="shared" si="3357"/>
        <v>103</v>
      </c>
      <c r="L5947" s="1" t="str">
        <f t="shared" si="3358"/>
        <v>47</v>
      </c>
      <c r="M5947" s="1" t="str">
        <f t="shared" si="3371"/>
        <v>0</v>
      </c>
      <c r="N5947" s="1" t="str">
        <f t="shared" si="3372"/>
        <v>0</v>
      </c>
      <c r="O5947" s="1" t="str">
        <f t="shared" ref="O5947:O5952" si="3375">"1.56"</f>
        <v>1.56</v>
      </c>
    </row>
    <row r="5948" s="1" customFormat="1" spans="1:15">
      <c r="A5948" s="1" t="str">
        <f t="shared" si="3352"/>
        <v>202406</v>
      </c>
      <c r="B5948" s="1" t="str">
        <f t="shared" si="3353"/>
        <v>150525100</v>
      </c>
      <c r="C5948" s="1" t="str">
        <f>"1015311518"</f>
        <v>1015311518</v>
      </c>
      <c r="D5948" s="1" t="str">
        <f>"152326195201143823"</f>
        <v>152326195201143823</v>
      </c>
      <c r="E5948" s="1" t="s">
        <v>5828</v>
      </c>
      <c r="F5948" s="1" t="s">
        <v>16</v>
      </c>
      <c r="G5948" s="1" t="s">
        <v>17</v>
      </c>
      <c r="H5948" s="1" t="str">
        <f t="shared" si="3373"/>
        <v>72</v>
      </c>
      <c r="I5948" s="1" t="str">
        <f>"163.12"</f>
        <v>163.12</v>
      </c>
      <c r="J5948" s="1" t="str">
        <f t="shared" si="3356"/>
        <v>0</v>
      </c>
      <c r="K5948" s="1" t="str">
        <f t="shared" si="3357"/>
        <v>103</v>
      </c>
      <c r="L5948" s="1" t="str">
        <f t="shared" si="3358"/>
        <v>47</v>
      </c>
      <c r="M5948" s="1" t="str">
        <f t="shared" si="3371"/>
        <v>0</v>
      </c>
      <c r="N5948" s="1" t="str">
        <f t="shared" si="3372"/>
        <v>0</v>
      </c>
      <c r="O5948" s="1" t="str">
        <f>"3.12"</f>
        <v>3.12</v>
      </c>
    </row>
    <row r="5949" s="1" customFormat="1" spans="1:15">
      <c r="A5949" s="1" t="str">
        <f t="shared" si="3352"/>
        <v>202406</v>
      </c>
      <c r="B5949" s="1" t="str">
        <f t="shared" si="3353"/>
        <v>150525100</v>
      </c>
      <c r="C5949" s="1" t="str">
        <f>"1015311520"</f>
        <v>1015311520</v>
      </c>
      <c r="D5949" s="1" t="s">
        <v>5829</v>
      </c>
      <c r="E5949" s="1" t="s">
        <v>5830</v>
      </c>
      <c r="F5949" s="1" t="s">
        <v>16</v>
      </c>
      <c r="G5949" s="1" t="s">
        <v>19</v>
      </c>
      <c r="H5949" s="1" t="str">
        <f t="shared" si="3373"/>
        <v>72</v>
      </c>
      <c r="I5949" s="1" t="str">
        <f t="shared" si="3374"/>
        <v>161.56</v>
      </c>
      <c r="J5949" s="1" t="str">
        <f t="shared" si="3356"/>
        <v>0</v>
      </c>
      <c r="K5949" s="1" t="str">
        <f t="shared" si="3357"/>
        <v>103</v>
      </c>
      <c r="L5949" s="1" t="str">
        <f t="shared" si="3358"/>
        <v>47</v>
      </c>
      <c r="M5949" s="1" t="str">
        <f t="shared" si="3371"/>
        <v>0</v>
      </c>
      <c r="N5949" s="1" t="str">
        <f t="shared" si="3372"/>
        <v>0</v>
      </c>
      <c r="O5949" s="1" t="str">
        <f t="shared" si="3375"/>
        <v>1.56</v>
      </c>
    </row>
    <row r="5950" s="1" customFormat="1" spans="1:15">
      <c r="A5950" s="1" t="str">
        <f t="shared" si="3352"/>
        <v>202406</v>
      </c>
      <c r="B5950" s="1" t="str">
        <f t="shared" si="3353"/>
        <v>150525100</v>
      </c>
      <c r="C5950" s="1" t="str">
        <f>"1015311669"</f>
        <v>1015311669</v>
      </c>
      <c r="D5950" s="1" t="str">
        <f>"152326195312160693"</f>
        <v>152326195312160693</v>
      </c>
      <c r="E5950" s="1" t="s">
        <v>2287</v>
      </c>
      <c r="F5950" s="1" t="s">
        <v>25</v>
      </c>
      <c r="G5950" s="1" t="s">
        <v>17</v>
      </c>
      <c r="H5950" s="1" t="str">
        <f>"71"</f>
        <v>71</v>
      </c>
      <c r="I5950" s="1" t="str">
        <f>"162.57"</f>
        <v>162.57</v>
      </c>
      <c r="J5950" s="1" t="str">
        <f t="shared" si="3356"/>
        <v>0</v>
      </c>
      <c r="K5950" s="1" t="str">
        <f t="shared" si="3357"/>
        <v>103</v>
      </c>
      <c r="L5950" s="1" t="str">
        <f t="shared" si="3358"/>
        <v>47</v>
      </c>
      <c r="M5950" s="1" t="str">
        <f t="shared" si="3371"/>
        <v>0</v>
      </c>
      <c r="N5950" s="1" t="str">
        <f t="shared" si="3372"/>
        <v>0</v>
      </c>
      <c r="O5950" s="1" t="str">
        <f>"2.57"</f>
        <v>2.57</v>
      </c>
    </row>
    <row r="5951" s="1" customFormat="1" spans="1:15">
      <c r="A5951" s="1" t="str">
        <f t="shared" si="3352"/>
        <v>202406</v>
      </c>
      <c r="B5951" s="1" t="str">
        <f t="shared" si="3353"/>
        <v>150525100</v>
      </c>
      <c r="C5951" s="1" t="str">
        <f>"1015311709"</f>
        <v>1015311709</v>
      </c>
      <c r="D5951" s="1" t="str">
        <f>"152326195204243088"</f>
        <v>152326195204243088</v>
      </c>
      <c r="E5951" s="1" t="s">
        <v>5831</v>
      </c>
      <c r="F5951" s="1" t="s">
        <v>16</v>
      </c>
      <c r="G5951" s="1" t="s">
        <v>17</v>
      </c>
      <c r="H5951" s="1" t="str">
        <f t="shared" ref="H5951:H5955" si="3376">"72"</f>
        <v>72</v>
      </c>
      <c r="I5951" s="1" t="str">
        <f>"161.54"</f>
        <v>161.54</v>
      </c>
      <c r="J5951" s="1" t="str">
        <f t="shared" si="3356"/>
        <v>0</v>
      </c>
      <c r="K5951" s="1" t="str">
        <f t="shared" si="3357"/>
        <v>103</v>
      </c>
      <c r="L5951" s="1" t="str">
        <f t="shared" si="3358"/>
        <v>47</v>
      </c>
      <c r="M5951" s="1" t="str">
        <f t="shared" si="3371"/>
        <v>0</v>
      </c>
      <c r="N5951" s="1" t="str">
        <f t="shared" si="3372"/>
        <v>0</v>
      </c>
      <c r="O5951" s="1" t="str">
        <f>"1.54"</f>
        <v>1.54</v>
      </c>
    </row>
    <row r="5952" s="1" customFormat="1" spans="1:15">
      <c r="A5952" s="1" t="str">
        <f t="shared" si="3352"/>
        <v>202406</v>
      </c>
      <c r="B5952" s="1" t="str">
        <f t="shared" si="3353"/>
        <v>150525100</v>
      </c>
      <c r="C5952" s="1" t="str">
        <f>"1015311811"</f>
        <v>1015311811</v>
      </c>
      <c r="D5952" s="1" t="str">
        <f>"152326195212303319"</f>
        <v>152326195212303319</v>
      </c>
      <c r="E5952" s="1" t="s">
        <v>5832</v>
      </c>
      <c r="F5952" s="1" t="s">
        <v>25</v>
      </c>
      <c r="G5952" s="1" t="s">
        <v>19</v>
      </c>
      <c r="H5952" s="1" t="str">
        <f t="shared" si="3376"/>
        <v>72</v>
      </c>
      <c r="I5952" s="1" t="str">
        <f t="shared" si="3374"/>
        <v>161.56</v>
      </c>
      <c r="J5952" s="1" t="str">
        <f t="shared" si="3356"/>
        <v>0</v>
      </c>
      <c r="K5952" s="1" t="str">
        <f t="shared" si="3357"/>
        <v>103</v>
      </c>
      <c r="L5952" s="1" t="str">
        <f t="shared" si="3358"/>
        <v>47</v>
      </c>
      <c r="M5952" s="1" t="str">
        <f t="shared" si="3371"/>
        <v>0</v>
      </c>
      <c r="N5952" s="1" t="str">
        <f t="shared" si="3372"/>
        <v>0</v>
      </c>
      <c r="O5952" s="1" t="str">
        <f t="shared" si="3375"/>
        <v>1.56</v>
      </c>
    </row>
    <row r="5953" s="1" customFormat="1" spans="1:15">
      <c r="A5953" s="1" t="str">
        <f t="shared" si="3352"/>
        <v>202406</v>
      </c>
      <c r="B5953" s="1" t="str">
        <f t="shared" si="3353"/>
        <v>150525100</v>
      </c>
      <c r="C5953" s="1" t="str">
        <f>"1015311351"</f>
        <v>1015311351</v>
      </c>
      <c r="D5953" s="1" t="s">
        <v>5833</v>
      </c>
      <c r="E5953" s="1" t="s">
        <v>5834</v>
      </c>
      <c r="F5953" s="1" t="s">
        <v>16</v>
      </c>
      <c r="G5953" s="1" t="s">
        <v>19</v>
      </c>
      <c r="H5953" s="1" t="str">
        <f t="shared" ref="H5953:H5958" si="3377">"71"</f>
        <v>71</v>
      </c>
      <c r="I5953" s="1" t="str">
        <f>"162.3"</f>
        <v>162.3</v>
      </c>
      <c r="J5953" s="1" t="str">
        <f t="shared" si="3356"/>
        <v>0</v>
      </c>
      <c r="K5953" s="1" t="str">
        <f t="shared" si="3357"/>
        <v>103</v>
      </c>
      <c r="L5953" s="1" t="str">
        <f t="shared" si="3358"/>
        <v>47</v>
      </c>
      <c r="M5953" s="1" t="str">
        <f t="shared" si="3371"/>
        <v>0</v>
      </c>
      <c r="N5953" s="1" t="str">
        <f t="shared" si="3372"/>
        <v>0</v>
      </c>
      <c r="O5953" s="1" t="str">
        <f>"2.3"</f>
        <v>2.3</v>
      </c>
    </row>
    <row r="5954" s="1" customFormat="1" spans="1:15">
      <c r="A5954" s="1" t="str">
        <f t="shared" ref="A5954:A6017" si="3378">"202406"</f>
        <v>202406</v>
      </c>
      <c r="B5954" s="1" t="str">
        <f t="shared" ref="B5954:B6017" si="3379">"150525100"</f>
        <v>150525100</v>
      </c>
      <c r="C5954" s="1" t="str">
        <f>"1015311363"</f>
        <v>1015311363</v>
      </c>
      <c r="D5954" s="1" t="str">
        <f>"152326195204040416"</f>
        <v>152326195204040416</v>
      </c>
      <c r="E5954" s="1" t="s">
        <v>5835</v>
      </c>
      <c r="F5954" s="1" t="s">
        <v>25</v>
      </c>
      <c r="G5954" s="1" t="s">
        <v>17</v>
      </c>
      <c r="H5954" s="1" t="str">
        <f t="shared" si="3376"/>
        <v>72</v>
      </c>
      <c r="I5954" s="1" t="str">
        <f>"161.54"</f>
        <v>161.54</v>
      </c>
      <c r="J5954" s="1" t="str">
        <f t="shared" si="3356"/>
        <v>0</v>
      </c>
      <c r="K5954" s="1" t="str">
        <f t="shared" si="3357"/>
        <v>103</v>
      </c>
      <c r="L5954" s="1" t="str">
        <f t="shared" si="3358"/>
        <v>47</v>
      </c>
      <c r="M5954" s="1" t="str">
        <f t="shared" si="3371"/>
        <v>0</v>
      </c>
      <c r="N5954" s="1" t="str">
        <f t="shared" si="3372"/>
        <v>0</v>
      </c>
      <c r="O5954" s="1" t="str">
        <f>"1.54"</f>
        <v>1.54</v>
      </c>
    </row>
    <row r="5955" s="1" customFormat="1" spans="1:15">
      <c r="A5955" s="1" t="str">
        <f t="shared" si="3378"/>
        <v>202406</v>
      </c>
      <c r="B5955" s="1" t="str">
        <f t="shared" si="3379"/>
        <v>150525100</v>
      </c>
      <c r="C5955" s="1" t="str">
        <f>"1015311377"</f>
        <v>1015311377</v>
      </c>
      <c r="D5955" s="1" t="str">
        <f>"152326195203113329"</f>
        <v>152326195203113329</v>
      </c>
      <c r="E5955" s="1" t="s">
        <v>1794</v>
      </c>
      <c r="F5955" s="1" t="s">
        <v>16</v>
      </c>
      <c r="G5955" s="1" t="s">
        <v>19</v>
      </c>
      <c r="H5955" s="1" t="str">
        <f t="shared" si="3376"/>
        <v>72</v>
      </c>
      <c r="I5955" s="1" t="str">
        <f t="shared" ref="I5955:I5959" si="3380">"161.56"</f>
        <v>161.56</v>
      </c>
      <c r="J5955" s="1" t="str">
        <f t="shared" si="3356"/>
        <v>0</v>
      </c>
      <c r="K5955" s="1" t="str">
        <f t="shared" si="3357"/>
        <v>103</v>
      </c>
      <c r="L5955" s="1" t="str">
        <f t="shared" si="3358"/>
        <v>47</v>
      </c>
      <c r="M5955" s="1" t="str">
        <f t="shared" si="3371"/>
        <v>0</v>
      </c>
      <c r="N5955" s="1" t="str">
        <f t="shared" si="3372"/>
        <v>0</v>
      </c>
      <c r="O5955" s="1" t="str">
        <f t="shared" ref="O5955:O5959" si="3381">"1.56"</f>
        <v>1.56</v>
      </c>
    </row>
    <row r="5956" s="1" customFormat="1" spans="1:15">
      <c r="A5956" s="1" t="str">
        <f t="shared" si="3378"/>
        <v>202406</v>
      </c>
      <c r="B5956" s="1" t="str">
        <f t="shared" si="3379"/>
        <v>150525100</v>
      </c>
      <c r="C5956" s="1" t="str">
        <f>"1015311529"</f>
        <v>1015311529</v>
      </c>
      <c r="D5956" s="1" t="str">
        <f>"152326195309073089"</f>
        <v>152326195309073089</v>
      </c>
      <c r="E5956" s="1" t="s">
        <v>5836</v>
      </c>
      <c r="F5956" s="1" t="s">
        <v>16</v>
      </c>
      <c r="G5956" s="1" t="s">
        <v>19</v>
      </c>
      <c r="H5956" s="1" t="str">
        <f t="shared" si="3377"/>
        <v>71</v>
      </c>
      <c r="I5956" s="1" t="str">
        <f>"162.58"</f>
        <v>162.58</v>
      </c>
      <c r="J5956" s="1" t="str">
        <f t="shared" si="3356"/>
        <v>0</v>
      </c>
      <c r="K5956" s="1" t="str">
        <f t="shared" si="3357"/>
        <v>103</v>
      </c>
      <c r="L5956" s="1" t="str">
        <f t="shared" si="3358"/>
        <v>47</v>
      </c>
      <c r="M5956" s="1" t="str">
        <f t="shared" si="3371"/>
        <v>0</v>
      </c>
      <c r="N5956" s="1" t="str">
        <f t="shared" si="3372"/>
        <v>0</v>
      </c>
      <c r="O5956" s="1" t="str">
        <f>"2.58"</f>
        <v>2.58</v>
      </c>
    </row>
    <row r="5957" s="1" customFormat="1" spans="1:15">
      <c r="A5957" s="1" t="str">
        <f t="shared" si="3378"/>
        <v>202406</v>
      </c>
      <c r="B5957" s="1" t="str">
        <f t="shared" si="3379"/>
        <v>150525100</v>
      </c>
      <c r="C5957" s="1" t="str">
        <f>"1015311820"</f>
        <v>1015311820</v>
      </c>
      <c r="D5957" s="1" t="str">
        <f>"152326195204253315"</f>
        <v>152326195204253315</v>
      </c>
      <c r="E5957" s="1" t="s">
        <v>5837</v>
      </c>
      <c r="F5957" s="1" t="s">
        <v>25</v>
      </c>
      <c r="G5957" s="1" t="s">
        <v>19</v>
      </c>
      <c r="H5957" s="1" t="str">
        <f t="shared" ref="H5957:H5962" si="3382">"72"</f>
        <v>72</v>
      </c>
      <c r="I5957" s="1" t="str">
        <f t="shared" si="3380"/>
        <v>161.56</v>
      </c>
      <c r="J5957" s="1" t="str">
        <f t="shared" si="3356"/>
        <v>0</v>
      </c>
      <c r="K5957" s="1" t="str">
        <f t="shared" si="3357"/>
        <v>103</v>
      </c>
      <c r="L5957" s="1" t="str">
        <f t="shared" si="3358"/>
        <v>47</v>
      </c>
      <c r="M5957" s="1" t="str">
        <f t="shared" si="3371"/>
        <v>0</v>
      </c>
      <c r="N5957" s="1" t="str">
        <f t="shared" si="3372"/>
        <v>0</v>
      </c>
      <c r="O5957" s="1" t="str">
        <f t="shared" si="3381"/>
        <v>1.56</v>
      </c>
    </row>
    <row r="5958" s="1" customFormat="1" spans="1:15">
      <c r="A5958" s="1" t="str">
        <f t="shared" si="3378"/>
        <v>202406</v>
      </c>
      <c r="B5958" s="1" t="str">
        <f t="shared" si="3379"/>
        <v>150525100</v>
      </c>
      <c r="C5958" s="1" t="str">
        <f>"1015311828"</f>
        <v>1015311828</v>
      </c>
      <c r="D5958" s="1" t="str">
        <f>"152326195303083323"</f>
        <v>152326195303083323</v>
      </c>
      <c r="E5958" s="1" t="s">
        <v>5838</v>
      </c>
      <c r="F5958" s="1" t="s">
        <v>16</v>
      </c>
      <c r="G5958" s="1" t="s">
        <v>17</v>
      </c>
      <c r="H5958" s="1" t="str">
        <f t="shared" si="3377"/>
        <v>71</v>
      </c>
      <c r="I5958" s="1" t="str">
        <f>"162.58"</f>
        <v>162.58</v>
      </c>
      <c r="J5958" s="1" t="str">
        <f t="shared" si="3356"/>
        <v>0</v>
      </c>
      <c r="K5958" s="1" t="str">
        <f t="shared" si="3357"/>
        <v>103</v>
      </c>
      <c r="L5958" s="1" t="str">
        <f t="shared" si="3358"/>
        <v>47</v>
      </c>
      <c r="M5958" s="1" t="str">
        <f t="shared" si="3371"/>
        <v>0</v>
      </c>
      <c r="N5958" s="1" t="str">
        <f t="shared" si="3372"/>
        <v>0</v>
      </c>
      <c r="O5958" s="1" t="str">
        <f>"2.58"</f>
        <v>2.58</v>
      </c>
    </row>
    <row r="5959" s="1" customFormat="1" spans="1:15">
      <c r="A5959" s="1" t="str">
        <f t="shared" si="3378"/>
        <v>202406</v>
      </c>
      <c r="B5959" s="1" t="str">
        <f t="shared" si="3379"/>
        <v>150525100</v>
      </c>
      <c r="C5959" s="1" t="str">
        <f>"1015311389"</f>
        <v>1015311389</v>
      </c>
      <c r="D5959" s="1" t="str">
        <f>"152326195201233829"</f>
        <v>152326195201233829</v>
      </c>
      <c r="E5959" s="1" t="s">
        <v>5839</v>
      </c>
      <c r="F5959" s="1" t="s">
        <v>16</v>
      </c>
      <c r="G5959" s="1" t="s">
        <v>17</v>
      </c>
      <c r="H5959" s="1" t="str">
        <f t="shared" si="3382"/>
        <v>72</v>
      </c>
      <c r="I5959" s="1" t="str">
        <f t="shared" si="3380"/>
        <v>161.56</v>
      </c>
      <c r="J5959" s="1" t="str">
        <f t="shared" si="3356"/>
        <v>0</v>
      </c>
      <c r="K5959" s="1" t="str">
        <f t="shared" si="3357"/>
        <v>103</v>
      </c>
      <c r="L5959" s="1" t="str">
        <f t="shared" si="3358"/>
        <v>47</v>
      </c>
      <c r="M5959" s="1" t="str">
        <f t="shared" si="3371"/>
        <v>0</v>
      </c>
      <c r="N5959" s="1" t="str">
        <f t="shared" si="3372"/>
        <v>0</v>
      </c>
      <c r="O5959" s="1" t="str">
        <f t="shared" si="3381"/>
        <v>1.56</v>
      </c>
    </row>
    <row r="5960" s="1" customFormat="1" spans="1:15">
      <c r="A5960" s="1" t="str">
        <f t="shared" si="3378"/>
        <v>202406</v>
      </c>
      <c r="B5960" s="1" t="str">
        <f t="shared" si="3379"/>
        <v>150525100</v>
      </c>
      <c r="C5960" s="1" t="str">
        <f>"1015311391"</f>
        <v>1015311391</v>
      </c>
      <c r="D5960" s="1" t="str">
        <f>"152326195308123822"</f>
        <v>152326195308123822</v>
      </c>
      <c r="E5960" s="1" t="s">
        <v>5840</v>
      </c>
      <c r="F5960" s="1" t="s">
        <v>16</v>
      </c>
      <c r="G5960" s="1" t="s">
        <v>17</v>
      </c>
      <c r="H5960" s="1" t="str">
        <f t="shared" ref="H5960:H5966" si="3383">"71"</f>
        <v>71</v>
      </c>
      <c r="I5960" s="1" t="str">
        <f t="shared" ref="I5960:I5964" si="3384">"162.57"</f>
        <v>162.57</v>
      </c>
      <c r="J5960" s="1" t="str">
        <f t="shared" si="3356"/>
        <v>0</v>
      </c>
      <c r="K5960" s="1" t="str">
        <f t="shared" si="3357"/>
        <v>103</v>
      </c>
      <c r="L5960" s="1" t="str">
        <f t="shared" si="3358"/>
        <v>47</v>
      </c>
      <c r="M5960" s="1" t="str">
        <f t="shared" si="3371"/>
        <v>0</v>
      </c>
      <c r="N5960" s="1" t="str">
        <f t="shared" si="3372"/>
        <v>0</v>
      </c>
      <c r="O5960" s="1" t="str">
        <f t="shared" ref="O5960:O5964" si="3385">"2.57"</f>
        <v>2.57</v>
      </c>
    </row>
    <row r="5961" s="1" customFormat="1" spans="1:15">
      <c r="A5961" s="1" t="str">
        <f t="shared" si="3378"/>
        <v>202406</v>
      </c>
      <c r="B5961" s="1" t="str">
        <f t="shared" si="3379"/>
        <v>150525100</v>
      </c>
      <c r="C5961" s="1" t="str">
        <f>"1015311396"</f>
        <v>1015311396</v>
      </c>
      <c r="D5961" s="1" t="str">
        <f>"152326195210023073"</f>
        <v>152326195210023073</v>
      </c>
      <c r="E5961" s="1" t="s">
        <v>5841</v>
      </c>
      <c r="F5961" s="1" t="s">
        <v>25</v>
      </c>
      <c r="G5961" s="1" t="s">
        <v>17</v>
      </c>
      <c r="H5961" s="1" t="str">
        <f t="shared" si="3382"/>
        <v>72</v>
      </c>
      <c r="I5961" s="1" t="str">
        <f>"161.56"</f>
        <v>161.56</v>
      </c>
      <c r="J5961" s="1" t="str">
        <f t="shared" si="3356"/>
        <v>0</v>
      </c>
      <c r="K5961" s="1" t="str">
        <f t="shared" si="3357"/>
        <v>103</v>
      </c>
      <c r="L5961" s="1" t="str">
        <f t="shared" si="3358"/>
        <v>47</v>
      </c>
      <c r="M5961" s="1" t="str">
        <f t="shared" si="3371"/>
        <v>0</v>
      </c>
      <c r="N5961" s="1" t="str">
        <f t="shared" si="3372"/>
        <v>0</v>
      </c>
      <c r="O5961" s="1" t="str">
        <f>"1.56"</f>
        <v>1.56</v>
      </c>
    </row>
    <row r="5962" s="1" customFormat="1" spans="1:15">
      <c r="A5962" s="1" t="str">
        <f t="shared" si="3378"/>
        <v>202406</v>
      </c>
      <c r="B5962" s="1" t="str">
        <f t="shared" si="3379"/>
        <v>150525100</v>
      </c>
      <c r="C5962" s="1" t="str">
        <f>"1015311400"</f>
        <v>1015311400</v>
      </c>
      <c r="D5962" s="1" t="str">
        <f>"152326195212290669"</f>
        <v>152326195212290669</v>
      </c>
      <c r="E5962" s="1" t="s">
        <v>1798</v>
      </c>
      <c r="F5962" s="1" t="s">
        <v>16</v>
      </c>
      <c r="G5962" s="1" t="s">
        <v>17</v>
      </c>
      <c r="H5962" s="1" t="str">
        <f t="shared" si="3382"/>
        <v>72</v>
      </c>
      <c r="I5962" s="1" t="str">
        <f>"161.54"</f>
        <v>161.54</v>
      </c>
      <c r="J5962" s="1" t="str">
        <f t="shared" si="3356"/>
        <v>0</v>
      </c>
      <c r="K5962" s="1" t="str">
        <f t="shared" si="3357"/>
        <v>103</v>
      </c>
      <c r="L5962" s="1" t="str">
        <f t="shared" si="3358"/>
        <v>47</v>
      </c>
      <c r="M5962" s="1" t="str">
        <f t="shared" si="3371"/>
        <v>0</v>
      </c>
      <c r="N5962" s="1" t="str">
        <f t="shared" si="3372"/>
        <v>0</v>
      </c>
      <c r="O5962" s="1" t="str">
        <f>"1.54"</f>
        <v>1.54</v>
      </c>
    </row>
    <row r="5963" s="1" customFormat="1" spans="1:15">
      <c r="A5963" s="1" t="str">
        <f t="shared" si="3378"/>
        <v>202406</v>
      </c>
      <c r="B5963" s="1" t="str">
        <f t="shared" si="3379"/>
        <v>150525100</v>
      </c>
      <c r="C5963" s="1" t="str">
        <f>"1015311411"</f>
        <v>1015311411</v>
      </c>
      <c r="D5963" s="1" t="str">
        <f>"152326195305070673"</f>
        <v>152326195305070673</v>
      </c>
      <c r="E5963" s="1" t="s">
        <v>5842</v>
      </c>
      <c r="F5963" s="1" t="s">
        <v>25</v>
      </c>
      <c r="G5963" s="1" t="s">
        <v>17</v>
      </c>
      <c r="H5963" s="1" t="str">
        <f t="shared" si="3383"/>
        <v>71</v>
      </c>
      <c r="I5963" s="1" t="str">
        <f t="shared" si="3384"/>
        <v>162.57</v>
      </c>
      <c r="J5963" s="1" t="str">
        <f t="shared" si="3356"/>
        <v>0</v>
      </c>
      <c r="K5963" s="1" t="str">
        <f t="shared" si="3357"/>
        <v>103</v>
      </c>
      <c r="L5963" s="1" t="str">
        <f t="shared" si="3358"/>
        <v>47</v>
      </c>
      <c r="M5963" s="1" t="str">
        <f t="shared" si="3371"/>
        <v>0</v>
      </c>
      <c r="N5963" s="1" t="str">
        <f t="shared" si="3372"/>
        <v>0</v>
      </c>
      <c r="O5963" s="1" t="str">
        <f t="shared" si="3385"/>
        <v>2.57</v>
      </c>
    </row>
    <row r="5964" s="1" customFormat="1" spans="1:15">
      <c r="A5964" s="1" t="str">
        <f t="shared" si="3378"/>
        <v>202406</v>
      </c>
      <c r="B5964" s="1" t="str">
        <f t="shared" si="3379"/>
        <v>150525100</v>
      </c>
      <c r="C5964" s="1" t="str">
        <f>"1015311415"</f>
        <v>1015311415</v>
      </c>
      <c r="D5964" s="1" t="str">
        <f>"152326195301063812"</f>
        <v>152326195301063812</v>
      </c>
      <c r="E5964" s="1" t="s">
        <v>5843</v>
      </c>
      <c r="F5964" s="1" t="s">
        <v>25</v>
      </c>
      <c r="G5964" s="1" t="s">
        <v>19</v>
      </c>
      <c r="H5964" s="1" t="str">
        <f>"72"</f>
        <v>72</v>
      </c>
      <c r="I5964" s="1" t="str">
        <f t="shared" si="3384"/>
        <v>162.57</v>
      </c>
      <c r="J5964" s="1" t="str">
        <f t="shared" si="3356"/>
        <v>0</v>
      </c>
      <c r="K5964" s="1" t="str">
        <f t="shared" si="3357"/>
        <v>103</v>
      </c>
      <c r="L5964" s="1" t="str">
        <f t="shared" si="3358"/>
        <v>47</v>
      </c>
      <c r="M5964" s="1" t="str">
        <f t="shared" si="3371"/>
        <v>0</v>
      </c>
      <c r="N5964" s="1" t="str">
        <f t="shared" si="3372"/>
        <v>0</v>
      </c>
      <c r="O5964" s="1" t="str">
        <f t="shared" si="3385"/>
        <v>2.57</v>
      </c>
    </row>
    <row r="5965" s="1" customFormat="1" spans="1:15">
      <c r="A5965" s="1" t="str">
        <f t="shared" si="3378"/>
        <v>202406</v>
      </c>
      <c r="B5965" s="1" t="str">
        <f t="shared" si="3379"/>
        <v>150525100</v>
      </c>
      <c r="C5965" s="1" t="str">
        <f>"1015311613"</f>
        <v>1015311613</v>
      </c>
      <c r="D5965" s="1" t="str">
        <f>"152326195312150671"</f>
        <v>152326195312150671</v>
      </c>
      <c r="E5965" s="1" t="s">
        <v>5844</v>
      </c>
      <c r="F5965" s="1" t="s">
        <v>25</v>
      </c>
      <c r="G5965" s="1" t="s">
        <v>17</v>
      </c>
      <c r="H5965" s="1" t="str">
        <f t="shared" si="3383"/>
        <v>71</v>
      </c>
      <c r="I5965" s="1" t="str">
        <f>"162.31"</f>
        <v>162.31</v>
      </c>
      <c r="J5965" s="1" t="str">
        <f t="shared" si="3356"/>
        <v>0</v>
      </c>
      <c r="K5965" s="1" t="str">
        <f t="shared" si="3357"/>
        <v>103</v>
      </c>
      <c r="L5965" s="1" t="str">
        <f t="shared" si="3358"/>
        <v>47</v>
      </c>
      <c r="M5965" s="1" t="str">
        <f t="shared" si="3371"/>
        <v>0</v>
      </c>
      <c r="N5965" s="1" t="str">
        <f t="shared" si="3372"/>
        <v>0</v>
      </c>
      <c r="O5965" s="1" t="str">
        <f>"2.31"</f>
        <v>2.31</v>
      </c>
    </row>
    <row r="5966" s="1" customFormat="1" spans="1:15">
      <c r="A5966" s="1" t="str">
        <f t="shared" si="3378"/>
        <v>202406</v>
      </c>
      <c r="B5966" s="1" t="str">
        <f t="shared" si="3379"/>
        <v>150525100</v>
      </c>
      <c r="C5966" s="1" t="str">
        <f>"1015311796"</f>
        <v>1015311796</v>
      </c>
      <c r="D5966" s="1" t="str">
        <f>"152326195311240675"</f>
        <v>152326195311240675</v>
      </c>
      <c r="E5966" s="1" t="s">
        <v>5845</v>
      </c>
      <c r="F5966" s="1" t="s">
        <v>25</v>
      </c>
      <c r="G5966" s="1" t="s">
        <v>17</v>
      </c>
      <c r="H5966" s="1" t="str">
        <f t="shared" si="3383"/>
        <v>71</v>
      </c>
      <c r="I5966" s="1" t="str">
        <f>"162.57"</f>
        <v>162.57</v>
      </c>
      <c r="J5966" s="1" t="str">
        <f t="shared" si="3356"/>
        <v>0</v>
      </c>
      <c r="K5966" s="1" t="str">
        <f t="shared" si="3357"/>
        <v>103</v>
      </c>
      <c r="L5966" s="1" t="str">
        <f t="shared" si="3358"/>
        <v>47</v>
      </c>
      <c r="M5966" s="1" t="str">
        <f t="shared" si="3371"/>
        <v>0</v>
      </c>
      <c r="N5966" s="1" t="str">
        <f t="shared" si="3372"/>
        <v>0</v>
      </c>
      <c r="O5966" s="1" t="str">
        <f>"2.57"</f>
        <v>2.57</v>
      </c>
    </row>
    <row r="5967" s="1" customFormat="1" spans="1:15">
      <c r="A5967" s="1" t="str">
        <f t="shared" si="3378"/>
        <v>202406</v>
      </c>
      <c r="B5967" s="1" t="str">
        <f t="shared" si="3379"/>
        <v>150525100</v>
      </c>
      <c r="C5967" s="1" t="str">
        <f>"1015311807"</f>
        <v>1015311807</v>
      </c>
      <c r="D5967" s="1" t="s">
        <v>5846</v>
      </c>
      <c r="E5967" s="1" t="s">
        <v>5847</v>
      </c>
      <c r="F5967" s="1" t="s">
        <v>16</v>
      </c>
      <c r="G5967" s="1" t="s">
        <v>19</v>
      </c>
      <c r="H5967" s="1" t="str">
        <f>"72"</f>
        <v>72</v>
      </c>
      <c r="I5967" s="1" t="str">
        <f>"163.12"</f>
        <v>163.12</v>
      </c>
      <c r="J5967" s="1" t="str">
        <f t="shared" si="3356"/>
        <v>0</v>
      </c>
      <c r="K5967" s="1" t="str">
        <f t="shared" si="3357"/>
        <v>103</v>
      </c>
      <c r="L5967" s="1" t="str">
        <f t="shared" si="3358"/>
        <v>47</v>
      </c>
      <c r="M5967" s="1" t="str">
        <f t="shared" si="3371"/>
        <v>0</v>
      </c>
      <c r="N5967" s="1" t="str">
        <f t="shared" si="3372"/>
        <v>0</v>
      </c>
      <c r="O5967" s="1" t="str">
        <f>"3.12"</f>
        <v>3.12</v>
      </c>
    </row>
    <row r="5968" s="1" customFormat="1" spans="1:15">
      <c r="A5968" s="1" t="str">
        <f t="shared" si="3378"/>
        <v>202406</v>
      </c>
      <c r="B5968" s="1" t="str">
        <f t="shared" si="3379"/>
        <v>150525100</v>
      </c>
      <c r="C5968" s="1" t="str">
        <f>"1041007921"</f>
        <v>1041007921</v>
      </c>
      <c r="D5968" s="1" t="str">
        <f>"152326196207140927"</f>
        <v>152326196207140927</v>
      </c>
      <c r="E5968" s="1" t="s">
        <v>5848</v>
      </c>
      <c r="F5968" s="1" t="s">
        <v>16</v>
      </c>
      <c r="G5968" s="1" t="s">
        <v>19</v>
      </c>
      <c r="H5968" s="1" t="str">
        <f>"62"</f>
        <v>62</v>
      </c>
      <c r="I5968" s="1" t="str">
        <f>"162.87"</f>
        <v>162.87</v>
      </c>
      <c r="J5968" s="1" t="str">
        <f t="shared" si="3356"/>
        <v>0</v>
      </c>
      <c r="K5968" s="1" t="str">
        <f t="shared" si="3357"/>
        <v>103</v>
      </c>
      <c r="L5968" s="1" t="str">
        <f t="shared" si="3358"/>
        <v>47</v>
      </c>
      <c r="M5968" s="1" t="str">
        <f t="shared" si="3371"/>
        <v>0</v>
      </c>
      <c r="N5968" s="1" t="str">
        <f t="shared" si="3372"/>
        <v>0</v>
      </c>
      <c r="O5968" s="1" t="str">
        <f>"12.87"</f>
        <v>12.87</v>
      </c>
    </row>
    <row r="5969" s="1" customFormat="1" spans="1:15">
      <c r="A5969" s="1" t="str">
        <f t="shared" si="3378"/>
        <v>202406</v>
      </c>
      <c r="B5969" s="1" t="str">
        <f t="shared" si="3379"/>
        <v>150525100</v>
      </c>
      <c r="C5969" s="1" t="str">
        <f>"1041048802"</f>
        <v>1041048802</v>
      </c>
      <c r="D5969" s="1" t="str">
        <f>"152326195702023846"</f>
        <v>152326195702023846</v>
      </c>
      <c r="E5969" s="1" t="s">
        <v>5849</v>
      </c>
      <c r="F5969" s="1" t="s">
        <v>16</v>
      </c>
      <c r="G5969" s="1" t="s">
        <v>17</v>
      </c>
      <c r="H5969" s="1" t="str">
        <f t="shared" ref="H5969:H5971" si="3386">"67"</f>
        <v>67</v>
      </c>
      <c r="I5969" s="1" t="str">
        <f>"156.15"</f>
        <v>156.15</v>
      </c>
      <c r="J5969" s="1" t="str">
        <f t="shared" si="3356"/>
        <v>0</v>
      </c>
      <c r="K5969" s="1" t="str">
        <f t="shared" si="3357"/>
        <v>103</v>
      </c>
      <c r="L5969" s="1" t="str">
        <f t="shared" si="3358"/>
        <v>47</v>
      </c>
      <c r="M5969" s="1" t="str">
        <f t="shared" si="3371"/>
        <v>0</v>
      </c>
      <c r="N5969" s="1" t="str">
        <f t="shared" si="3372"/>
        <v>0</v>
      </c>
      <c r="O5969" s="1" t="str">
        <f>"6.15"</f>
        <v>6.15</v>
      </c>
    </row>
    <row r="5970" s="1" customFormat="1" spans="1:15">
      <c r="A5970" s="1" t="str">
        <f t="shared" si="3378"/>
        <v>202406</v>
      </c>
      <c r="B5970" s="1" t="str">
        <f t="shared" si="3379"/>
        <v>150525100</v>
      </c>
      <c r="C5970" s="1" t="str">
        <f>"1040648257"</f>
        <v>1040648257</v>
      </c>
      <c r="D5970" s="1" t="str">
        <f>"152326195711123814"</f>
        <v>152326195711123814</v>
      </c>
      <c r="E5970" s="1" t="s">
        <v>5850</v>
      </c>
      <c r="F5970" s="1" t="s">
        <v>25</v>
      </c>
      <c r="G5970" s="1" t="s">
        <v>19</v>
      </c>
      <c r="H5970" s="1" t="str">
        <f t="shared" si="3386"/>
        <v>67</v>
      </c>
      <c r="I5970" s="1" t="str">
        <f>"155.52"</f>
        <v>155.52</v>
      </c>
      <c r="J5970" s="1" t="str">
        <f t="shared" si="3356"/>
        <v>0</v>
      </c>
      <c r="K5970" s="1" t="str">
        <f t="shared" si="3357"/>
        <v>103</v>
      </c>
      <c r="L5970" s="1" t="str">
        <f t="shared" si="3358"/>
        <v>47</v>
      </c>
      <c r="M5970" s="1" t="str">
        <f t="shared" si="3371"/>
        <v>0</v>
      </c>
      <c r="N5970" s="1" t="str">
        <f t="shared" si="3372"/>
        <v>0</v>
      </c>
      <c r="O5970" s="1" t="str">
        <f>"5.52"</f>
        <v>5.52</v>
      </c>
    </row>
    <row r="5971" s="1" customFormat="1" spans="1:15">
      <c r="A5971" s="1" t="str">
        <f t="shared" si="3378"/>
        <v>202406</v>
      </c>
      <c r="B5971" s="1" t="str">
        <f t="shared" si="3379"/>
        <v>150525100</v>
      </c>
      <c r="C5971" s="1" t="str">
        <f>"1040652081"</f>
        <v>1040652081</v>
      </c>
      <c r="D5971" s="1" t="s">
        <v>5851</v>
      </c>
      <c r="E5971" s="1" t="s">
        <v>5852</v>
      </c>
      <c r="F5971" s="1" t="s">
        <v>25</v>
      </c>
      <c r="G5971" s="1" t="s">
        <v>17</v>
      </c>
      <c r="H5971" s="1" t="str">
        <f t="shared" si="3386"/>
        <v>67</v>
      </c>
      <c r="I5971" s="1" t="str">
        <f>"154.6"</f>
        <v>154.6</v>
      </c>
      <c r="J5971" s="1" t="str">
        <f t="shared" si="3356"/>
        <v>0</v>
      </c>
      <c r="K5971" s="1" t="str">
        <f t="shared" si="3357"/>
        <v>103</v>
      </c>
      <c r="L5971" s="1" t="str">
        <f t="shared" si="3358"/>
        <v>47</v>
      </c>
      <c r="M5971" s="1" t="str">
        <f t="shared" si="3371"/>
        <v>0</v>
      </c>
      <c r="N5971" s="1" t="str">
        <f t="shared" si="3372"/>
        <v>0</v>
      </c>
      <c r="O5971" s="1" t="str">
        <f>"4.6"</f>
        <v>4.6</v>
      </c>
    </row>
    <row r="5972" s="1" customFormat="1" spans="1:15">
      <c r="A5972" s="1" t="str">
        <f t="shared" si="3378"/>
        <v>202406</v>
      </c>
      <c r="B5972" s="1" t="str">
        <f t="shared" si="3379"/>
        <v>150525100</v>
      </c>
      <c r="C5972" s="1" t="str">
        <f>"1040693018"</f>
        <v>1040693018</v>
      </c>
      <c r="D5972" s="1" t="str">
        <f>"152326195801090024"</f>
        <v>152326195801090024</v>
      </c>
      <c r="E5972" s="1" t="s">
        <v>5853</v>
      </c>
      <c r="F5972" s="1" t="s">
        <v>16</v>
      </c>
      <c r="G5972" s="1" t="s">
        <v>17</v>
      </c>
      <c r="H5972" s="1" t="str">
        <f>"66"</f>
        <v>66</v>
      </c>
      <c r="I5972" s="1" t="str">
        <f>"155.56"</f>
        <v>155.56</v>
      </c>
      <c r="J5972" s="1" t="str">
        <f t="shared" si="3356"/>
        <v>0</v>
      </c>
      <c r="K5972" s="1" t="str">
        <f t="shared" si="3357"/>
        <v>103</v>
      </c>
      <c r="L5972" s="1" t="str">
        <f t="shared" si="3358"/>
        <v>47</v>
      </c>
      <c r="M5972" s="1" t="str">
        <f t="shared" si="3371"/>
        <v>0</v>
      </c>
      <c r="N5972" s="1" t="str">
        <f t="shared" si="3372"/>
        <v>0</v>
      </c>
      <c r="O5972" s="1" t="str">
        <f>"5.56"</f>
        <v>5.56</v>
      </c>
    </row>
    <row r="5973" s="1" customFormat="1" spans="1:15">
      <c r="A5973" s="1" t="str">
        <f t="shared" si="3378"/>
        <v>202406</v>
      </c>
      <c r="B5973" s="1" t="str">
        <f t="shared" si="3379"/>
        <v>150525100</v>
      </c>
      <c r="C5973" s="1" t="str">
        <f>"1040655175"</f>
        <v>1040655175</v>
      </c>
      <c r="D5973" s="1" t="str">
        <f>"152326196103100429"</f>
        <v>152326196103100429</v>
      </c>
      <c r="E5973" s="1" t="s">
        <v>5854</v>
      </c>
      <c r="F5973" s="1" t="s">
        <v>16</v>
      </c>
      <c r="G5973" s="1" t="s">
        <v>17</v>
      </c>
      <c r="H5973" s="1" t="str">
        <f>"63"</f>
        <v>63</v>
      </c>
      <c r="I5973" s="1" t="str">
        <f>"159.46"</f>
        <v>159.46</v>
      </c>
      <c r="J5973" s="1" t="str">
        <f t="shared" si="3356"/>
        <v>0</v>
      </c>
      <c r="K5973" s="1" t="str">
        <f t="shared" si="3357"/>
        <v>103</v>
      </c>
      <c r="L5973" s="1" t="str">
        <f t="shared" si="3358"/>
        <v>47</v>
      </c>
      <c r="M5973" s="1" t="str">
        <f t="shared" si="3371"/>
        <v>0</v>
      </c>
      <c r="N5973" s="1" t="str">
        <f t="shared" si="3372"/>
        <v>0</v>
      </c>
      <c r="O5973" s="1" t="str">
        <f>"9.46"</f>
        <v>9.46</v>
      </c>
    </row>
    <row r="5974" s="1" customFormat="1" spans="1:15">
      <c r="A5974" s="1" t="str">
        <f t="shared" si="3378"/>
        <v>202406</v>
      </c>
      <c r="B5974" s="1" t="str">
        <f t="shared" si="3379"/>
        <v>150525100</v>
      </c>
      <c r="C5974" s="1" t="str">
        <f>"1040737535"</f>
        <v>1040737535</v>
      </c>
      <c r="D5974" s="1" t="str">
        <f>"152326195712120068"</f>
        <v>152326195712120068</v>
      </c>
      <c r="E5974" s="1" t="s">
        <v>5855</v>
      </c>
      <c r="F5974" s="1" t="s">
        <v>16</v>
      </c>
      <c r="G5974" s="1" t="s">
        <v>17</v>
      </c>
      <c r="H5974" s="1" t="str">
        <f>"67"</f>
        <v>67</v>
      </c>
      <c r="I5974" s="1" t="str">
        <f>"155.55"</f>
        <v>155.55</v>
      </c>
      <c r="J5974" s="1" t="str">
        <f t="shared" si="3356"/>
        <v>0</v>
      </c>
      <c r="K5974" s="1" t="str">
        <f t="shared" si="3357"/>
        <v>103</v>
      </c>
      <c r="L5974" s="1" t="str">
        <f t="shared" si="3358"/>
        <v>47</v>
      </c>
      <c r="M5974" s="1" t="str">
        <f t="shared" si="3371"/>
        <v>0</v>
      </c>
      <c r="N5974" s="1" t="str">
        <f t="shared" si="3372"/>
        <v>0</v>
      </c>
      <c r="O5974" s="1" t="str">
        <f>"5.55"</f>
        <v>5.55</v>
      </c>
    </row>
    <row r="5975" s="1" customFormat="1" spans="1:15">
      <c r="A5975" s="1" t="str">
        <f t="shared" si="3378"/>
        <v>202406</v>
      </c>
      <c r="B5975" s="1" t="str">
        <f t="shared" si="3379"/>
        <v>150525100</v>
      </c>
      <c r="C5975" s="1" t="str">
        <f>"1040653635"</f>
        <v>1040653635</v>
      </c>
      <c r="D5975" s="1" t="str">
        <f>"152326196302080926"</f>
        <v>152326196302080926</v>
      </c>
      <c r="E5975" s="1" t="s">
        <v>5856</v>
      </c>
      <c r="F5975" s="1" t="s">
        <v>16</v>
      </c>
      <c r="G5975" s="1" t="s">
        <v>19</v>
      </c>
      <c r="H5975" s="1" t="str">
        <f>"61"</f>
        <v>61</v>
      </c>
      <c r="I5975" s="1" t="str">
        <f>"164.28"</f>
        <v>164.28</v>
      </c>
      <c r="J5975" s="1" t="str">
        <f t="shared" si="3356"/>
        <v>0</v>
      </c>
      <c r="K5975" s="1" t="str">
        <f t="shared" si="3357"/>
        <v>103</v>
      </c>
      <c r="L5975" s="1" t="str">
        <f t="shared" si="3358"/>
        <v>47</v>
      </c>
      <c r="M5975" s="1" t="str">
        <f t="shared" si="3371"/>
        <v>0</v>
      </c>
      <c r="N5975" s="1" t="str">
        <f t="shared" si="3372"/>
        <v>0</v>
      </c>
      <c r="O5975" s="1" t="str">
        <f>"14.28"</f>
        <v>14.28</v>
      </c>
    </row>
    <row r="5976" s="1" customFormat="1" spans="1:15">
      <c r="A5976" s="1" t="str">
        <f t="shared" si="3378"/>
        <v>202406</v>
      </c>
      <c r="B5976" s="1" t="str">
        <f t="shared" si="3379"/>
        <v>150525100</v>
      </c>
      <c r="C5976" s="1" t="str">
        <f>"1040647701"</f>
        <v>1040647701</v>
      </c>
      <c r="D5976" s="1" t="str">
        <f>"152326196202220661"</f>
        <v>152326196202220661</v>
      </c>
      <c r="E5976" s="1" t="s">
        <v>5857</v>
      </c>
      <c r="F5976" s="1" t="s">
        <v>16</v>
      </c>
      <c r="G5976" s="1" t="s">
        <v>17</v>
      </c>
      <c r="H5976" s="1" t="str">
        <f>"62"</f>
        <v>62</v>
      </c>
      <c r="I5976" s="1" t="str">
        <f>"162.27"</f>
        <v>162.27</v>
      </c>
      <c r="J5976" s="1" t="str">
        <f t="shared" ref="J5976:J6003" si="3387">"0"</f>
        <v>0</v>
      </c>
      <c r="K5976" s="1" t="str">
        <f t="shared" ref="K5976:K6003" si="3388">"103"</f>
        <v>103</v>
      </c>
      <c r="L5976" s="1" t="str">
        <f t="shared" ref="L5976:L6003" si="3389">"47"</f>
        <v>47</v>
      </c>
      <c r="M5976" s="1" t="str">
        <f t="shared" si="3371"/>
        <v>0</v>
      </c>
      <c r="N5976" s="1" t="str">
        <f t="shared" si="3372"/>
        <v>0</v>
      </c>
      <c r="O5976" s="1" t="str">
        <f>"12.27"</f>
        <v>12.27</v>
      </c>
    </row>
    <row r="5977" s="1" customFormat="1" spans="1:15">
      <c r="A5977" s="1" t="str">
        <f t="shared" si="3378"/>
        <v>202406</v>
      </c>
      <c r="B5977" s="1" t="str">
        <f t="shared" si="3379"/>
        <v>150525100</v>
      </c>
      <c r="C5977" s="1" t="str">
        <f>"1040647721"</f>
        <v>1040647721</v>
      </c>
      <c r="D5977" s="1" t="str">
        <f>"152326195809060428"</f>
        <v>152326195809060428</v>
      </c>
      <c r="E5977" s="1" t="s">
        <v>5858</v>
      </c>
      <c r="F5977" s="1" t="s">
        <v>16</v>
      </c>
      <c r="G5977" s="1" t="s">
        <v>19</v>
      </c>
      <c r="H5977" s="1" t="str">
        <f>"66"</f>
        <v>66</v>
      </c>
      <c r="I5977" s="1" t="str">
        <f>"156.53"</f>
        <v>156.53</v>
      </c>
      <c r="J5977" s="1" t="str">
        <f t="shared" si="3387"/>
        <v>0</v>
      </c>
      <c r="K5977" s="1" t="str">
        <f t="shared" si="3388"/>
        <v>103</v>
      </c>
      <c r="L5977" s="1" t="str">
        <f t="shared" si="3389"/>
        <v>47</v>
      </c>
      <c r="M5977" s="1" t="str">
        <f t="shared" si="3371"/>
        <v>0</v>
      </c>
      <c r="N5977" s="1" t="str">
        <f t="shared" si="3372"/>
        <v>0</v>
      </c>
      <c r="O5977" s="1" t="str">
        <f>"6.53"</f>
        <v>6.53</v>
      </c>
    </row>
    <row r="5978" s="1" customFormat="1" spans="1:15">
      <c r="A5978" s="1" t="str">
        <f t="shared" si="3378"/>
        <v>202406</v>
      </c>
      <c r="B5978" s="1" t="str">
        <f t="shared" si="3379"/>
        <v>150525100</v>
      </c>
      <c r="C5978" s="1" t="str">
        <f>"1040646024"</f>
        <v>1040646024</v>
      </c>
      <c r="D5978" s="1" t="str">
        <f>"152326195604160660"</f>
        <v>152326195604160660</v>
      </c>
      <c r="E5978" s="1" t="s">
        <v>5859</v>
      </c>
      <c r="F5978" s="1" t="s">
        <v>16</v>
      </c>
      <c r="G5978" s="1" t="s">
        <v>96</v>
      </c>
      <c r="H5978" s="1" t="str">
        <f>"68"</f>
        <v>68</v>
      </c>
      <c r="I5978" s="1" t="str">
        <f>"155.43"</f>
        <v>155.43</v>
      </c>
      <c r="J5978" s="1" t="str">
        <f t="shared" si="3387"/>
        <v>0</v>
      </c>
      <c r="K5978" s="1" t="str">
        <f t="shared" si="3388"/>
        <v>103</v>
      </c>
      <c r="L5978" s="1" t="str">
        <f t="shared" si="3389"/>
        <v>47</v>
      </c>
      <c r="M5978" s="1" t="str">
        <f t="shared" si="3371"/>
        <v>0</v>
      </c>
      <c r="N5978" s="1" t="str">
        <f t="shared" si="3372"/>
        <v>0</v>
      </c>
      <c r="O5978" s="1" t="str">
        <f>"5.43"</f>
        <v>5.43</v>
      </c>
    </row>
    <row r="5979" s="1" customFormat="1" spans="1:15">
      <c r="A5979" s="1" t="str">
        <f t="shared" si="3378"/>
        <v>202406</v>
      </c>
      <c r="B5979" s="1" t="str">
        <f t="shared" si="3379"/>
        <v>150525100</v>
      </c>
      <c r="C5979" s="1" t="str">
        <f>"1040646045"</f>
        <v>1040646045</v>
      </c>
      <c r="D5979" s="1" t="str">
        <f>"152326196102250679"</f>
        <v>152326196102250679</v>
      </c>
      <c r="E5979" s="1" t="s">
        <v>5860</v>
      </c>
      <c r="F5979" s="1" t="s">
        <v>25</v>
      </c>
      <c r="G5979" s="1" t="s">
        <v>17</v>
      </c>
      <c r="H5979" s="1" t="str">
        <f>"63"</f>
        <v>63</v>
      </c>
      <c r="I5979" s="1" t="str">
        <f>"160.4"</f>
        <v>160.4</v>
      </c>
      <c r="J5979" s="1" t="str">
        <f t="shared" si="3387"/>
        <v>0</v>
      </c>
      <c r="K5979" s="1" t="str">
        <f t="shared" si="3388"/>
        <v>103</v>
      </c>
      <c r="L5979" s="1" t="str">
        <f t="shared" si="3389"/>
        <v>47</v>
      </c>
      <c r="M5979" s="1" t="str">
        <f t="shared" si="3371"/>
        <v>0</v>
      </c>
      <c r="N5979" s="1" t="str">
        <f t="shared" si="3372"/>
        <v>0</v>
      </c>
      <c r="O5979" s="1" t="str">
        <f>"10.4"</f>
        <v>10.4</v>
      </c>
    </row>
    <row r="5980" s="1" customFormat="1" spans="1:15">
      <c r="A5980" s="1" t="str">
        <f t="shared" si="3378"/>
        <v>202406</v>
      </c>
      <c r="B5980" s="1" t="str">
        <f t="shared" si="3379"/>
        <v>150525100</v>
      </c>
      <c r="C5980" s="1" t="str">
        <f>"1040646050"</f>
        <v>1040646050</v>
      </c>
      <c r="D5980" s="1" t="str">
        <f>"152326196210060661"</f>
        <v>152326196210060661</v>
      </c>
      <c r="E5980" s="1" t="s">
        <v>1977</v>
      </c>
      <c r="F5980" s="1" t="s">
        <v>16</v>
      </c>
      <c r="G5980" s="1" t="s">
        <v>19</v>
      </c>
      <c r="H5980" s="1" t="str">
        <f>"62"</f>
        <v>62</v>
      </c>
      <c r="I5980" s="1" t="str">
        <f>"164.22"</f>
        <v>164.22</v>
      </c>
      <c r="J5980" s="1" t="str">
        <f t="shared" si="3387"/>
        <v>0</v>
      </c>
      <c r="K5980" s="1" t="str">
        <f t="shared" si="3388"/>
        <v>103</v>
      </c>
      <c r="L5980" s="1" t="str">
        <f t="shared" si="3389"/>
        <v>47</v>
      </c>
      <c r="M5980" s="1" t="str">
        <f t="shared" si="3371"/>
        <v>0</v>
      </c>
      <c r="N5980" s="1" t="str">
        <f t="shared" si="3372"/>
        <v>0</v>
      </c>
      <c r="O5980" s="1" t="str">
        <f>"14.22"</f>
        <v>14.22</v>
      </c>
    </row>
    <row r="5981" s="1" customFormat="1" spans="1:15">
      <c r="A5981" s="1" t="str">
        <f t="shared" si="3378"/>
        <v>202406</v>
      </c>
      <c r="B5981" s="1" t="str">
        <f t="shared" si="3379"/>
        <v>150525100</v>
      </c>
      <c r="C5981" s="1" t="str">
        <f>"1040728957"</f>
        <v>1040728957</v>
      </c>
      <c r="D5981" s="1" t="str">
        <f>"152326195602060666"</f>
        <v>152326195602060666</v>
      </c>
      <c r="E5981" s="1" t="s">
        <v>5861</v>
      </c>
      <c r="F5981" s="1" t="s">
        <v>16</v>
      </c>
      <c r="G5981" s="1" t="s">
        <v>19</v>
      </c>
      <c r="H5981" s="1" t="str">
        <f>"68"</f>
        <v>68</v>
      </c>
      <c r="I5981" s="1" t="str">
        <f>"154.54"</f>
        <v>154.54</v>
      </c>
      <c r="J5981" s="1" t="str">
        <f t="shared" si="3387"/>
        <v>0</v>
      </c>
      <c r="K5981" s="1" t="str">
        <f t="shared" si="3388"/>
        <v>103</v>
      </c>
      <c r="L5981" s="1" t="str">
        <f t="shared" si="3389"/>
        <v>47</v>
      </c>
      <c r="M5981" s="1" t="str">
        <f t="shared" si="3371"/>
        <v>0</v>
      </c>
      <c r="N5981" s="1" t="str">
        <f t="shared" si="3372"/>
        <v>0</v>
      </c>
      <c r="O5981" s="1" t="str">
        <f>"4.54"</f>
        <v>4.54</v>
      </c>
    </row>
    <row r="5982" s="1" customFormat="1" spans="1:15">
      <c r="A5982" s="1" t="str">
        <f t="shared" si="3378"/>
        <v>202406</v>
      </c>
      <c r="B5982" s="1" t="str">
        <f t="shared" si="3379"/>
        <v>150525100</v>
      </c>
      <c r="C5982" s="1" t="str">
        <f>"1040641894"</f>
        <v>1040641894</v>
      </c>
      <c r="D5982" s="1" t="str">
        <f>"152326195707133315"</f>
        <v>152326195707133315</v>
      </c>
      <c r="E5982" s="1" t="s">
        <v>5862</v>
      </c>
      <c r="F5982" s="1" t="s">
        <v>25</v>
      </c>
      <c r="G5982" s="1" t="s">
        <v>19</v>
      </c>
      <c r="H5982" s="1" t="str">
        <f t="shared" ref="H5982:H5984" si="3390">"67"</f>
        <v>67</v>
      </c>
      <c r="I5982" s="1" t="str">
        <f>"154.58"</f>
        <v>154.58</v>
      </c>
      <c r="J5982" s="1" t="str">
        <f t="shared" si="3387"/>
        <v>0</v>
      </c>
      <c r="K5982" s="1" t="str">
        <f t="shared" si="3388"/>
        <v>103</v>
      </c>
      <c r="L5982" s="1" t="str">
        <f t="shared" si="3389"/>
        <v>47</v>
      </c>
      <c r="M5982" s="1" t="str">
        <f t="shared" si="3371"/>
        <v>0</v>
      </c>
      <c r="N5982" s="1" t="str">
        <f t="shared" si="3372"/>
        <v>0</v>
      </c>
      <c r="O5982" s="1" t="str">
        <f>"4.58"</f>
        <v>4.58</v>
      </c>
    </row>
    <row r="5983" s="1" customFormat="1" spans="1:15">
      <c r="A5983" s="1" t="str">
        <f t="shared" si="3378"/>
        <v>202406</v>
      </c>
      <c r="B5983" s="1" t="str">
        <f t="shared" si="3379"/>
        <v>150525100</v>
      </c>
      <c r="C5983" s="1" t="str">
        <f>"1040701563"</f>
        <v>1040701563</v>
      </c>
      <c r="D5983" s="1" t="str">
        <f>"152326195711013818"</f>
        <v>152326195711013818</v>
      </c>
      <c r="E5983" s="1" t="s">
        <v>5863</v>
      </c>
      <c r="F5983" s="1" t="s">
        <v>25</v>
      </c>
      <c r="G5983" s="1" t="s">
        <v>17</v>
      </c>
      <c r="H5983" s="1" t="str">
        <f t="shared" si="3390"/>
        <v>67</v>
      </c>
      <c r="I5983" s="1" t="str">
        <f>"163.45"</f>
        <v>163.45</v>
      </c>
      <c r="J5983" s="1" t="str">
        <f t="shared" si="3387"/>
        <v>0</v>
      </c>
      <c r="K5983" s="1" t="str">
        <f t="shared" si="3388"/>
        <v>103</v>
      </c>
      <c r="L5983" s="1" t="str">
        <f t="shared" si="3389"/>
        <v>47</v>
      </c>
      <c r="M5983" s="1" t="str">
        <f t="shared" si="3371"/>
        <v>0</v>
      </c>
      <c r="N5983" s="1" t="str">
        <f t="shared" si="3372"/>
        <v>0</v>
      </c>
      <c r="O5983" s="1" t="str">
        <f>"13.45"</f>
        <v>13.45</v>
      </c>
    </row>
    <row r="5984" s="1" customFormat="1" spans="1:15">
      <c r="A5984" s="1" t="str">
        <f t="shared" si="3378"/>
        <v>202406</v>
      </c>
      <c r="B5984" s="1" t="str">
        <f t="shared" si="3379"/>
        <v>150525100</v>
      </c>
      <c r="C5984" s="1" t="str">
        <f>"1040647221"</f>
        <v>1040647221</v>
      </c>
      <c r="D5984" s="1" t="str">
        <f>"152326195706130446"</f>
        <v>152326195706130446</v>
      </c>
      <c r="E5984" s="1" t="s">
        <v>5864</v>
      </c>
      <c r="F5984" s="1" t="s">
        <v>16</v>
      </c>
      <c r="G5984" s="1" t="s">
        <v>17</v>
      </c>
      <c r="H5984" s="1" t="str">
        <f t="shared" si="3390"/>
        <v>67</v>
      </c>
      <c r="I5984" s="1" t="str">
        <f>"155.47"</f>
        <v>155.47</v>
      </c>
      <c r="J5984" s="1" t="str">
        <f t="shared" si="3387"/>
        <v>0</v>
      </c>
      <c r="K5984" s="1" t="str">
        <f t="shared" si="3388"/>
        <v>103</v>
      </c>
      <c r="L5984" s="1" t="str">
        <f t="shared" si="3389"/>
        <v>47</v>
      </c>
      <c r="M5984" s="1" t="str">
        <f t="shared" si="3371"/>
        <v>0</v>
      </c>
      <c r="N5984" s="1" t="str">
        <f t="shared" si="3372"/>
        <v>0</v>
      </c>
      <c r="O5984" s="1" t="str">
        <f>"5.47"</f>
        <v>5.47</v>
      </c>
    </row>
    <row r="5985" s="1" customFormat="1" spans="1:15">
      <c r="A5985" s="1" t="str">
        <f t="shared" si="3378"/>
        <v>202406</v>
      </c>
      <c r="B5985" s="1" t="str">
        <f t="shared" si="3379"/>
        <v>150525100</v>
      </c>
      <c r="C5985" s="1" t="str">
        <f>"1040735114"</f>
        <v>1040735114</v>
      </c>
      <c r="D5985" s="1" t="str">
        <f>"152326195809200662"</f>
        <v>152326195809200662</v>
      </c>
      <c r="E5985" s="1" t="s">
        <v>1111</v>
      </c>
      <c r="F5985" s="1" t="s">
        <v>16</v>
      </c>
      <c r="G5985" s="1" t="s">
        <v>17</v>
      </c>
      <c r="H5985" s="1" t="str">
        <f>"66"</f>
        <v>66</v>
      </c>
      <c r="I5985" s="1" t="str">
        <f>"155.6"</f>
        <v>155.6</v>
      </c>
      <c r="J5985" s="1" t="str">
        <f t="shared" si="3387"/>
        <v>0</v>
      </c>
      <c r="K5985" s="1" t="str">
        <f t="shared" si="3388"/>
        <v>103</v>
      </c>
      <c r="L5985" s="1" t="str">
        <f t="shared" si="3389"/>
        <v>47</v>
      </c>
      <c r="M5985" s="1" t="str">
        <f t="shared" si="3371"/>
        <v>0</v>
      </c>
      <c r="N5985" s="1" t="str">
        <f t="shared" si="3372"/>
        <v>0</v>
      </c>
      <c r="O5985" s="1" t="str">
        <f>"5.6"</f>
        <v>5.6</v>
      </c>
    </row>
    <row r="5986" s="1" customFormat="1" spans="1:15">
      <c r="A5986" s="1" t="str">
        <f t="shared" si="3378"/>
        <v>202406</v>
      </c>
      <c r="B5986" s="1" t="str">
        <f t="shared" si="3379"/>
        <v>150525100</v>
      </c>
      <c r="C5986" s="1" t="str">
        <f>"1040693088"</f>
        <v>1040693088</v>
      </c>
      <c r="D5986" s="1" t="str">
        <f>"152326196208141171"</f>
        <v>152326196208141171</v>
      </c>
      <c r="E5986" s="1" t="s">
        <v>5865</v>
      </c>
      <c r="F5986" s="1" t="s">
        <v>25</v>
      </c>
      <c r="G5986" s="1" t="s">
        <v>17</v>
      </c>
      <c r="H5986" s="1" t="str">
        <f>"62"</f>
        <v>62</v>
      </c>
      <c r="I5986" s="1" t="str">
        <f>"161.47"</f>
        <v>161.47</v>
      </c>
      <c r="J5986" s="1" t="str">
        <f t="shared" si="3387"/>
        <v>0</v>
      </c>
      <c r="K5986" s="1" t="str">
        <f t="shared" si="3388"/>
        <v>103</v>
      </c>
      <c r="L5986" s="1" t="str">
        <f t="shared" si="3389"/>
        <v>47</v>
      </c>
      <c r="M5986" s="1" t="str">
        <f t="shared" si="3371"/>
        <v>0</v>
      </c>
      <c r="N5986" s="1" t="str">
        <f t="shared" si="3372"/>
        <v>0</v>
      </c>
      <c r="O5986" s="1" t="str">
        <f>"11.47"</f>
        <v>11.47</v>
      </c>
    </row>
    <row r="5987" s="1" customFormat="1" spans="1:15">
      <c r="A5987" s="1" t="str">
        <f t="shared" si="3378"/>
        <v>202406</v>
      </c>
      <c r="B5987" s="1" t="str">
        <f t="shared" si="3379"/>
        <v>150525100</v>
      </c>
      <c r="C5987" s="1" t="str">
        <f>"1040689041"</f>
        <v>1040689041</v>
      </c>
      <c r="D5987" s="1" t="str">
        <f>"152326196302223325"</f>
        <v>152326196302223325</v>
      </c>
      <c r="E5987" s="1" t="s">
        <v>5866</v>
      </c>
      <c r="F5987" s="1" t="s">
        <v>16</v>
      </c>
      <c r="G5987" s="1" t="s">
        <v>19</v>
      </c>
      <c r="H5987" s="1" t="str">
        <f>"61"</f>
        <v>61</v>
      </c>
      <c r="I5987" s="1" t="str">
        <f>"162.73"</f>
        <v>162.73</v>
      </c>
      <c r="J5987" s="1" t="str">
        <f t="shared" si="3387"/>
        <v>0</v>
      </c>
      <c r="K5987" s="1" t="str">
        <f t="shared" si="3388"/>
        <v>103</v>
      </c>
      <c r="L5987" s="1" t="str">
        <f t="shared" si="3389"/>
        <v>47</v>
      </c>
      <c r="M5987" s="1" t="str">
        <f t="shared" si="3371"/>
        <v>0</v>
      </c>
      <c r="N5987" s="1" t="str">
        <f t="shared" si="3372"/>
        <v>0</v>
      </c>
      <c r="O5987" s="1" t="str">
        <f>"12.73"</f>
        <v>12.73</v>
      </c>
    </row>
    <row r="5988" s="1" customFormat="1" spans="1:15">
      <c r="A5988" s="1" t="str">
        <f t="shared" si="3378"/>
        <v>202406</v>
      </c>
      <c r="B5988" s="1" t="str">
        <f t="shared" si="3379"/>
        <v>150525100</v>
      </c>
      <c r="C5988" s="1" t="str">
        <f>"1040647316"</f>
        <v>1040647316</v>
      </c>
      <c r="D5988" s="1" t="str">
        <f>"152326195806093822"</f>
        <v>152326195806093822</v>
      </c>
      <c r="E5988" s="1" t="s">
        <v>5867</v>
      </c>
      <c r="F5988" s="1" t="s">
        <v>16</v>
      </c>
      <c r="G5988" s="1" t="s">
        <v>19</v>
      </c>
      <c r="H5988" s="1" t="str">
        <f>"66"</f>
        <v>66</v>
      </c>
      <c r="I5988" s="1" t="str">
        <f>"156.5"</f>
        <v>156.5</v>
      </c>
      <c r="J5988" s="1" t="str">
        <f t="shared" si="3387"/>
        <v>0</v>
      </c>
      <c r="K5988" s="1" t="str">
        <f t="shared" si="3388"/>
        <v>103</v>
      </c>
      <c r="L5988" s="1" t="str">
        <f t="shared" si="3389"/>
        <v>47</v>
      </c>
      <c r="M5988" s="1" t="str">
        <f t="shared" si="3371"/>
        <v>0</v>
      </c>
      <c r="N5988" s="1" t="str">
        <f t="shared" si="3372"/>
        <v>0</v>
      </c>
      <c r="O5988" s="1" t="str">
        <f>"6.5"</f>
        <v>6.5</v>
      </c>
    </row>
    <row r="5989" s="1" customFormat="1" spans="1:15">
      <c r="A5989" s="1" t="str">
        <f t="shared" si="3378"/>
        <v>202406</v>
      </c>
      <c r="B5989" s="1" t="str">
        <f t="shared" si="3379"/>
        <v>150525100</v>
      </c>
      <c r="C5989" s="1" t="str">
        <f>"1040652126"</f>
        <v>1040652126</v>
      </c>
      <c r="D5989" s="1" t="str">
        <f>"152326196305253327"</f>
        <v>152326196305253327</v>
      </c>
      <c r="E5989" s="1" t="s">
        <v>4497</v>
      </c>
      <c r="F5989" s="1" t="s">
        <v>16</v>
      </c>
      <c r="G5989" s="1" t="s">
        <v>17</v>
      </c>
      <c r="H5989" s="1" t="str">
        <f>"61"</f>
        <v>61</v>
      </c>
      <c r="I5989" s="1" t="str">
        <f>"163.34"</f>
        <v>163.34</v>
      </c>
      <c r="J5989" s="1" t="str">
        <f t="shared" si="3387"/>
        <v>0</v>
      </c>
      <c r="K5989" s="1" t="str">
        <f t="shared" si="3388"/>
        <v>103</v>
      </c>
      <c r="L5989" s="1" t="str">
        <f t="shared" si="3389"/>
        <v>47</v>
      </c>
      <c r="M5989" s="1" t="str">
        <f t="shared" si="3371"/>
        <v>0</v>
      </c>
      <c r="N5989" s="1" t="str">
        <f t="shared" si="3372"/>
        <v>0</v>
      </c>
      <c r="O5989" s="1" t="str">
        <f>"13.34"</f>
        <v>13.34</v>
      </c>
    </row>
    <row r="5990" s="1" customFormat="1" spans="1:15">
      <c r="A5990" s="1" t="str">
        <f t="shared" si="3378"/>
        <v>202406</v>
      </c>
      <c r="B5990" s="1" t="str">
        <f t="shared" si="3379"/>
        <v>150525100</v>
      </c>
      <c r="C5990" s="1" t="str">
        <f>"1040656044"</f>
        <v>1040656044</v>
      </c>
      <c r="D5990" s="1" t="str">
        <f>"152326195603280425"</f>
        <v>152326195603280425</v>
      </c>
      <c r="E5990" s="1" t="s">
        <v>5868</v>
      </c>
      <c r="F5990" s="1" t="s">
        <v>16</v>
      </c>
      <c r="G5990" s="1" t="s">
        <v>19</v>
      </c>
      <c r="H5990" s="1" t="str">
        <f>"68"</f>
        <v>68</v>
      </c>
      <c r="I5990" s="1" t="str">
        <f>"154.54"</f>
        <v>154.54</v>
      </c>
      <c r="J5990" s="1" t="str">
        <f t="shared" si="3387"/>
        <v>0</v>
      </c>
      <c r="K5990" s="1" t="str">
        <f t="shared" si="3388"/>
        <v>103</v>
      </c>
      <c r="L5990" s="1" t="str">
        <f t="shared" si="3389"/>
        <v>47</v>
      </c>
      <c r="M5990" s="1" t="str">
        <f t="shared" si="3371"/>
        <v>0</v>
      </c>
      <c r="N5990" s="1" t="str">
        <f t="shared" si="3372"/>
        <v>0</v>
      </c>
      <c r="O5990" s="1" t="str">
        <f>"4.54"</f>
        <v>4.54</v>
      </c>
    </row>
    <row r="5991" s="1" customFormat="1" spans="1:15">
      <c r="A5991" s="1" t="str">
        <f t="shared" si="3378"/>
        <v>202406</v>
      </c>
      <c r="B5991" s="1" t="str">
        <f t="shared" si="3379"/>
        <v>150525100</v>
      </c>
      <c r="C5991" s="1" t="str">
        <f>"1040771085"</f>
        <v>1040771085</v>
      </c>
      <c r="D5991" s="1" t="str">
        <f>"152326195212240661"</f>
        <v>152326195212240661</v>
      </c>
      <c r="E5991" s="1" t="s">
        <v>257</v>
      </c>
      <c r="F5991" s="1" t="s">
        <v>16</v>
      </c>
      <c r="G5991" s="1" t="s">
        <v>17</v>
      </c>
      <c r="H5991" s="1" t="str">
        <f>"72"</f>
        <v>72</v>
      </c>
      <c r="I5991" s="1" t="str">
        <f>"161.44"</f>
        <v>161.44</v>
      </c>
      <c r="J5991" s="1" t="str">
        <f t="shared" si="3387"/>
        <v>0</v>
      </c>
      <c r="K5991" s="1" t="str">
        <f t="shared" si="3388"/>
        <v>103</v>
      </c>
      <c r="L5991" s="1" t="str">
        <f t="shared" si="3389"/>
        <v>47</v>
      </c>
      <c r="M5991" s="1" t="str">
        <f t="shared" si="3371"/>
        <v>0</v>
      </c>
      <c r="N5991" s="1" t="str">
        <f t="shared" si="3372"/>
        <v>0</v>
      </c>
      <c r="O5991" s="1" t="str">
        <f>"1.44"</f>
        <v>1.44</v>
      </c>
    </row>
    <row r="5992" s="1" customFormat="1" spans="1:15">
      <c r="A5992" s="1" t="str">
        <f t="shared" si="3378"/>
        <v>202406</v>
      </c>
      <c r="B5992" s="1" t="str">
        <f t="shared" si="3379"/>
        <v>150525100</v>
      </c>
      <c r="C5992" s="1" t="str">
        <f>"1040646576"</f>
        <v>1040646576</v>
      </c>
      <c r="D5992" s="1" t="str">
        <f>"152326195406180687"</f>
        <v>152326195406180687</v>
      </c>
      <c r="E5992" s="1" t="s">
        <v>5869</v>
      </c>
      <c r="F5992" s="1" t="s">
        <v>16</v>
      </c>
      <c r="G5992" s="1" t="s">
        <v>17</v>
      </c>
      <c r="H5992" s="1" t="str">
        <f>"70"</f>
        <v>70</v>
      </c>
      <c r="I5992" s="1" t="str">
        <f>"153.55"</f>
        <v>153.55</v>
      </c>
      <c r="J5992" s="1" t="str">
        <f t="shared" si="3387"/>
        <v>0</v>
      </c>
      <c r="K5992" s="1" t="str">
        <f t="shared" si="3388"/>
        <v>103</v>
      </c>
      <c r="L5992" s="1" t="str">
        <f t="shared" si="3389"/>
        <v>47</v>
      </c>
      <c r="M5992" s="1" t="str">
        <f t="shared" si="3371"/>
        <v>0</v>
      </c>
      <c r="N5992" s="1" t="str">
        <f t="shared" si="3372"/>
        <v>0</v>
      </c>
      <c r="O5992" s="1" t="str">
        <f>"3.55"</f>
        <v>3.55</v>
      </c>
    </row>
    <row r="5993" s="1" customFormat="1" spans="1:15">
      <c r="A5993" s="1" t="str">
        <f t="shared" si="3378"/>
        <v>202406</v>
      </c>
      <c r="B5993" s="1" t="str">
        <f t="shared" si="3379"/>
        <v>150525100</v>
      </c>
      <c r="C5993" s="1" t="str">
        <f>"1040647885"</f>
        <v>1040647885</v>
      </c>
      <c r="D5993" s="1" t="str">
        <f>"152326195405240676"</f>
        <v>152326195405240676</v>
      </c>
      <c r="E5993" s="1" t="s">
        <v>2359</v>
      </c>
      <c r="F5993" s="1" t="s">
        <v>25</v>
      </c>
      <c r="G5993" s="1" t="s">
        <v>17</v>
      </c>
      <c r="H5993" s="1" t="str">
        <f>"70"</f>
        <v>70</v>
      </c>
      <c r="I5993" s="1" t="str">
        <f>"163.56"</f>
        <v>163.56</v>
      </c>
      <c r="J5993" s="1" t="str">
        <f t="shared" si="3387"/>
        <v>0</v>
      </c>
      <c r="K5993" s="1" t="str">
        <f t="shared" si="3388"/>
        <v>103</v>
      </c>
      <c r="L5993" s="1" t="str">
        <f t="shared" si="3389"/>
        <v>47</v>
      </c>
      <c r="M5993" s="1" t="str">
        <f t="shared" si="3371"/>
        <v>0</v>
      </c>
      <c r="N5993" s="1" t="str">
        <f t="shared" si="3372"/>
        <v>0</v>
      </c>
      <c r="O5993" s="1" t="str">
        <f>"3.56"</f>
        <v>3.56</v>
      </c>
    </row>
    <row r="5994" s="1" customFormat="1" spans="1:15">
      <c r="A5994" s="1" t="str">
        <f t="shared" si="3378"/>
        <v>202406</v>
      </c>
      <c r="B5994" s="1" t="str">
        <f t="shared" si="3379"/>
        <v>150525100</v>
      </c>
      <c r="C5994" s="1" t="str">
        <f>"1040647895"</f>
        <v>1040647895</v>
      </c>
      <c r="D5994" s="1" t="str">
        <f>"152326195902250664"</f>
        <v>152326195902250664</v>
      </c>
      <c r="E5994" s="1" t="s">
        <v>5870</v>
      </c>
      <c r="F5994" s="1" t="s">
        <v>16</v>
      </c>
      <c r="G5994" s="1" t="s">
        <v>17</v>
      </c>
      <c r="H5994" s="1" t="str">
        <f>"65"</f>
        <v>65</v>
      </c>
      <c r="I5994" s="1" t="str">
        <f>"157.51"</f>
        <v>157.51</v>
      </c>
      <c r="J5994" s="1" t="str">
        <f t="shared" si="3387"/>
        <v>0</v>
      </c>
      <c r="K5994" s="1" t="str">
        <f t="shared" si="3388"/>
        <v>103</v>
      </c>
      <c r="L5994" s="1" t="str">
        <f t="shared" si="3389"/>
        <v>47</v>
      </c>
      <c r="M5994" s="1" t="str">
        <f t="shared" si="3371"/>
        <v>0</v>
      </c>
      <c r="N5994" s="1" t="str">
        <f t="shared" si="3372"/>
        <v>0</v>
      </c>
      <c r="O5994" s="1" t="str">
        <f>"7.51"</f>
        <v>7.51</v>
      </c>
    </row>
    <row r="5995" s="1" customFormat="1" spans="1:15">
      <c r="A5995" s="1" t="str">
        <f t="shared" si="3378"/>
        <v>202406</v>
      </c>
      <c r="B5995" s="1" t="str">
        <f t="shared" si="3379"/>
        <v>150525100</v>
      </c>
      <c r="C5995" s="1" t="str">
        <f>"1040655447"</f>
        <v>1040655447</v>
      </c>
      <c r="D5995" s="1" t="str">
        <f>"152326196303190465"</f>
        <v>152326196303190465</v>
      </c>
      <c r="E5995" s="1" t="s">
        <v>1671</v>
      </c>
      <c r="F5995" s="1" t="s">
        <v>16</v>
      </c>
      <c r="G5995" s="1" t="s">
        <v>17</v>
      </c>
      <c r="H5995" s="1" t="str">
        <f>"61"</f>
        <v>61</v>
      </c>
      <c r="I5995" s="1" t="str">
        <f>"163.3"</f>
        <v>163.3</v>
      </c>
      <c r="J5995" s="1" t="str">
        <f t="shared" si="3387"/>
        <v>0</v>
      </c>
      <c r="K5995" s="1" t="str">
        <f t="shared" si="3388"/>
        <v>103</v>
      </c>
      <c r="L5995" s="1" t="str">
        <f t="shared" si="3389"/>
        <v>47</v>
      </c>
      <c r="M5995" s="1" t="str">
        <f t="shared" si="3371"/>
        <v>0</v>
      </c>
      <c r="N5995" s="1" t="str">
        <f t="shared" si="3372"/>
        <v>0</v>
      </c>
      <c r="O5995" s="1" t="str">
        <f>"13.3"</f>
        <v>13.3</v>
      </c>
    </row>
    <row r="5996" s="1" customFormat="1" spans="1:15">
      <c r="A5996" s="1" t="str">
        <f t="shared" si="3378"/>
        <v>202406</v>
      </c>
      <c r="B5996" s="1" t="str">
        <f t="shared" si="3379"/>
        <v>150525100</v>
      </c>
      <c r="C5996" s="1" t="str">
        <f>"1040689040"</f>
        <v>1040689040</v>
      </c>
      <c r="D5996" s="1" t="str">
        <f>"152326195704113319"</f>
        <v>152326195704113319</v>
      </c>
      <c r="E5996" s="1" t="s">
        <v>5871</v>
      </c>
      <c r="F5996" s="1" t="s">
        <v>25</v>
      </c>
      <c r="G5996" s="1" t="s">
        <v>19</v>
      </c>
      <c r="H5996" s="1" t="str">
        <f t="shared" ref="H5996:H6001" si="3391">"67"</f>
        <v>67</v>
      </c>
      <c r="I5996" s="1" t="str">
        <f>"154.57"</f>
        <v>154.57</v>
      </c>
      <c r="J5996" s="1" t="str">
        <f t="shared" si="3387"/>
        <v>0</v>
      </c>
      <c r="K5996" s="1" t="str">
        <f t="shared" si="3388"/>
        <v>103</v>
      </c>
      <c r="L5996" s="1" t="str">
        <f t="shared" si="3389"/>
        <v>47</v>
      </c>
      <c r="M5996" s="1" t="str">
        <f t="shared" si="3371"/>
        <v>0</v>
      </c>
      <c r="N5996" s="1" t="str">
        <f t="shared" si="3372"/>
        <v>0</v>
      </c>
      <c r="O5996" s="1" t="str">
        <f>"4.57"</f>
        <v>4.57</v>
      </c>
    </row>
    <row r="5997" s="1" customFormat="1" spans="1:15">
      <c r="A5997" s="1" t="str">
        <f t="shared" si="3378"/>
        <v>202406</v>
      </c>
      <c r="B5997" s="1" t="str">
        <f t="shared" si="3379"/>
        <v>150525100</v>
      </c>
      <c r="C5997" s="1" t="str">
        <f>"1040752586"</f>
        <v>1040752586</v>
      </c>
      <c r="D5997" s="1" t="str">
        <f>"152326195608260423"</f>
        <v>152326195608260423</v>
      </c>
      <c r="E5997" s="1" t="s">
        <v>5872</v>
      </c>
      <c r="F5997" s="1" t="s">
        <v>16</v>
      </c>
      <c r="G5997" s="1" t="s">
        <v>17</v>
      </c>
      <c r="H5997" s="1" t="str">
        <f>"68"</f>
        <v>68</v>
      </c>
      <c r="I5997" s="1" t="str">
        <f>"154.54"</f>
        <v>154.54</v>
      </c>
      <c r="J5997" s="1" t="str">
        <f t="shared" si="3387"/>
        <v>0</v>
      </c>
      <c r="K5997" s="1" t="str">
        <f t="shared" si="3388"/>
        <v>103</v>
      </c>
      <c r="L5997" s="1" t="str">
        <f t="shared" si="3389"/>
        <v>47</v>
      </c>
      <c r="M5997" s="1" t="str">
        <f t="shared" si="3371"/>
        <v>0</v>
      </c>
      <c r="N5997" s="1" t="str">
        <f t="shared" si="3372"/>
        <v>0</v>
      </c>
      <c r="O5997" s="1" t="str">
        <f>"4.54"</f>
        <v>4.54</v>
      </c>
    </row>
    <row r="5998" s="1" customFormat="1" spans="1:15">
      <c r="A5998" s="1" t="str">
        <f t="shared" si="3378"/>
        <v>202406</v>
      </c>
      <c r="B5998" s="1" t="str">
        <f t="shared" si="3379"/>
        <v>150525100</v>
      </c>
      <c r="C5998" s="1" t="str">
        <f>"1040647935"</f>
        <v>1040647935</v>
      </c>
      <c r="D5998" s="1" t="str">
        <f>"152326195707180672"</f>
        <v>152326195707180672</v>
      </c>
      <c r="E5998" s="1" t="s">
        <v>5873</v>
      </c>
      <c r="F5998" s="1" t="s">
        <v>25</v>
      </c>
      <c r="G5998" s="1" t="s">
        <v>17</v>
      </c>
      <c r="H5998" s="1" t="str">
        <f t="shared" si="3391"/>
        <v>67</v>
      </c>
      <c r="I5998" s="1" t="str">
        <f>"155.49"</f>
        <v>155.49</v>
      </c>
      <c r="J5998" s="1" t="str">
        <f t="shared" si="3387"/>
        <v>0</v>
      </c>
      <c r="K5998" s="1" t="str">
        <f t="shared" si="3388"/>
        <v>103</v>
      </c>
      <c r="L5998" s="1" t="str">
        <f t="shared" si="3389"/>
        <v>47</v>
      </c>
      <c r="M5998" s="1" t="str">
        <f t="shared" si="3371"/>
        <v>0</v>
      </c>
      <c r="N5998" s="1" t="str">
        <f t="shared" si="3372"/>
        <v>0</v>
      </c>
      <c r="O5998" s="1" t="str">
        <f>"5.49"</f>
        <v>5.49</v>
      </c>
    </row>
    <row r="5999" s="1" customFormat="1" spans="1:15">
      <c r="A5999" s="1" t="str">
        <f t="shared" si="3378"/>
        <v>202406</v>
      </c>
      <c r="B5999" s="1" t="str">
        <f t="shared" si="3379"/>
        <v>150525100</v>
      </c>
      <c r="C5999" s="1" t="str">
        <f>"1040647940"</f>
        <v>1040647940</v>
      </c>
      <c r="D5999" s="1" t="str">
        <f>"152326195908040684"</f>
        <v>152326195908040684</v>
      </c>
      <c r="E5999" s="1" t="s">
        <v>5874</v>
      </c>
      <c r="F5999" s="1" t="s">
        <v>16</v>
      </c>
      <c r="G5999" s="1" t="s">
        <v>17</v>
      </c>
      <c r="H5999" s="1" t="str">
        <f>"65"</f>
        <v>65</v>
      </c>
      <c r="I5999" s="1" t="str">
        <f>"157.57"</f>
        <v>157.57</v>
      </c>
      <c r="J5999" s="1" t="str">
        <f t="shared" si="3387"/>
        <v>0</v>
      </c>
      <c r="K5999" s="1" t="str">
        <f t="shared" si="3388"/>
        <v>103</v>
      </c>
      <c r="L5999" s="1" t="str">
        <f t="shared" si="3389"/>
        <v>47</v>
      </c>
      <c r="M5999" s="1" t="str">
        <f t="shared" si="3371"/>
        <v>0</v>
      </c>
      <c r="N5999" s="1" t="str">
        <f t="shared" si="3372"/>
        <v>0</v>
      </c>
      <c r="O5999" s="1" t="str">
        <f>"7.57"</f>
        <v>7.57</v>
      </c>
    </row>
    <row r="6000" s="1" customFormat="1" spans="1:15">
      <c r="A6000" s="1" t="str">
        <f t="shared" si="3378"/>
        <v>202406</v>
      </c>
      <c r="B6000" s="1" t="str">
        <f t="shared" si="3379"/>
        <v>150525100</v>
      </c>
      <c r="C6000" s="1" t="str">
        <f>"1040752560"</f>
        <v>1040752560</v>
      </c>
      <c r="D6000" s="1" t="str">
        <f>"152326195508073815"</f>
        <v>152326195508073815</v>
      </c>
      <c r="E6000" s="1" t="s">
        <v>5875</v>
      </c>
      <c r="F6000" s="1" t="s">
        <v>25</v>
      </c>
      <c r="G6000" s="1" t="s">
        <v>19</v>
      </c>
      <c r="H6000" s="1" t="str">
        <f>"69"</f>
        <v>69</v>
      </c>
      <c r="I6000" s="1" t="str">
        <f>"153.6"</f>
        <v>153.6</v>
      </c>
      <c r="J6000" s="1" t="str">
        <f t="shared" si="3387"/>
        <v>0</v>
      </c>
      <c r="K6000" s="1" t="str">
        <f t="shared" si="3388"/>
        <v>103</v>
      </c>
      <c r="L6000" s="1" t="str">
        <f t="shared" si="3389"/>
        <v>47</v>
      </c>
      <c r="M6000" s="1" t="str">
        <f t="shared" si="3371"/>
        <v>0</v>
      </c>
      <c r="N6000" s="1" t="str">
        <f t="shared" si="3372"/>
        <v>0</v>
      </c>
      <c r="O6000" s="1" t="str">
        <f>"3.6"</f>
        <v>3.6</v>
      </c>
    </row>
    <row r="6001" s="1" customFormat="1" spans="1:15">
      <c r="A6001" s="1" t="str">
        <f t="shared" si="3378"/>
        <v>202406</v>
      </c>
      <c r="B6001" s="1" t="str">
        <f t="shared" si="3379"/>
        <v>150525100</v>
      </c>
      <c r="C6001" s="1" t="str">
        <f>"1040760998"</f>
        <v>1040760998</v>
      </c>
      <c r="D6001" s="1" t="str">
        <f>"152326195710200427"</f>
        <v>152326195710200427</v>
      </c>
      <c r="E6001" s="1" t="s">
        <v>5876</v>
      </c>
      <c r="F6001" s="1" t="s">
        <v>16</v>
      </c>
      <c r="G6001" s="1" t="s">
        <v>19</v>
      </c>
      <c r="H6001" s="1" t="str">
        <f t="shared" si="3391"/>
        <v>67</v>
      </c>
      <c r="I6001" s="1" t="str">
        <f>"154.6"</f>
        <v>154.6</v>
      </c>
      <c r="J6001" s="1" t="str">
        <f t="shared" si="3387"/>
        <v>0</v>
      </c>
      <c r="K6001" s="1" t="str">
        <f t="shared" si="3388"/>
        <v>103</v>
      </c>
      <c r="L6001" s="1" t="str">
        <f t="shared" si="3389"/>
        <v>47</v>
      </c>
      <c r="M6001" s="1" t="str">
        <f t="shared" si="3371"/>
        <v>0</v>
      </c>
      <c r="N6001" s="1" t="str">
        <f t="shared" si="3372"/>
        <v>0</v>
      </c>
      <c r="O6001" s="1" t="str">
        <f>"4.6"</f>
        <v>4.6</v>
      </c>
    </row>
    <row r="6002" s="1" customFormat="1" spans="1:15">
      <c r="A6002" s="1" t="str">
        <f t="shared" si="3378"/>
        <v>202406</v>
      </c>
      <c r="B6002" s="1" t="str">
        <f t="shared" si="3379"/>
        <v>150525100</v>
      </c>
      <c r="C6002" s="1" t="str">
        <f>"1040688384"</f>
        <v>1040688384</v>
      </c>
      <c r="D6002" s="1" t="str">
        <f>"152326195901283835"</f>
        <v>152326195901283835</v>
      </c>
      <c r="E6002" s="1" t="s">
        <v>5877</v>
      </c>
      <c r="F6002" s="1" t="s">
        <v>25</v>
      </c>
      <c r="G6002" s="1" t="s">
        <v>17</v>
      </c>
      <c r="H6002" s="1" t="str">
        <f>"65"</f>
        <v>65</v>
      </c>
      <c r="I6002" s="1" t="str">
        <f>"156.61"</f>
        <v>156.61</v>
      </c>
      <c r="J6002" s="1" t="str">
        <f t="shared" si="3387"/>
        <v>0</v>
      </c>
      <c r="K6002" s="1" t="str">
        <f t="shared" si="3388"/>
        <v>103</v>
      </c>
      <c r="L6002" s="1" t="str">
        <f t="shared" si="3389"/>
        <v>47</v>
      </c>
      <c r="M6002" s="1" t="str">
        <f t="shared" si="3371"/>
        <v>0</v>
      </c>
      <c r="N6002" s="1" t="str">
        <f t="shared" si="3372"/>
        <v>0</v>
      </c>
      <c r="O6002" s="1" t="str">
        <f>"6.61"</f>
        <v>6.61</v>
      </c>
    </row>
    <row r="6003" s="1" customFormat="1" spans="1:15">
      <c r="A6003" s="1" t="str">
        <f t="shared" si="3378"/>
        <v>202406</v>
      </c>
      <c r="B6003" s="1" t="str">
        <f t="shared" si="3379"/>
        <v>150525100</v>
      </c>
      <c r="C6003" s="1" t="str">
        <f>"1040688405"</f>
        <v>1040688405</v>
      </c>
      <c r="D6003" s="1" t="str">
        <f>"152326195409063822"</f>
        <v>152326195409063822</v>
      </c>
      <c r="E6003" s="1" t="s">
        <v>5878</v>
      </c>
      <c r="F6003" s="1" t="s">
        <v>16</v>
      </c>
      <c r="G6003" s="1" t="s">
        <v>17</v>
      </c>
      <c r="H6003" s="1" t="str">
        <f>"70"</f>
        <v>70</v>
      </c>
      <c r="I6003" s="1" t="str">
        <f>"153"</f>
        <v>153</v>
      </c>
      <c r="J6003" s="1" t="str">
        <f t="shared" si="3387"/>
        <v>0</v>
      </c>
      <c r="K6003" s="1" t="str">
        <f t="shared" si="3388"/>
        <v>103</v>
      </c>
      <c r="L6003" s="1" t="str">
        <f t="shared" si="3389"/>
        <v>47</v>
      </c>
      <c r="M6003" s="1" t="str">
        <f t="shared" si="3371"/>
        <v>0</v>
      </c>
      <c r="N6003" s="1" t="str">
        <f t="shared" si="3372"/>
        <v>0</v>
      </c>
      <c r="O6003" s="1" t="str">
        <f>"3"</f>
        <v>3</v>
      </c>
    </row>
    <row r="6004" s="1" customFormat="1" spans="1:15">
      <c r="A6004" s="1" t="str">
        <f t="shared" si="3378"/>
        <v>202406</v>
      </c>
      <c r="B6004" s="1" t="str">
        <f t="shared" si="3379"/>
        <v>150525100</v>
      </c>
      <c r="C6004" s="1" t="str">
        <f>"1040686923"</f>
        <v>1040686923</v>
      </c>
      <c r="D6004" s="1" t="s">
        <v>5879</v>
      </c>
      <c r="E6004" s="1" t="s">
        <v>5880</v>
      </c>
      <c r="F6004" s="1" t="s">
        <v>16</v>
      </c>
      <c r="G6004" s="1" t="s">
        <v>17</v>
      </c>
      <c r="H6004" s="1" t="str">
        <f>"67"</f>
        <v>67</v>
      </c>
      <c r="I6004" s="1" t="str">
        <f>"1545.5"</f>
        <v>1545.5</v>
      </c>
      <c r="J6004" s="1" t="str">
        <f>"1390.95"</f>
        <v>1390.95</v>
      </c>
      <c r="K6004" s="1" t="str">
        <f>"1030"</f>
        <v>1030</v>
      </c>
      <c r="L6004" s="1" t="str">
        <f>"470"</f>
        <v>470</v>
      </c>
      <c r="M6004" s="1" t="str">
        <f t="shared" si="3371"/>
        <v>0</v>
      </c>
      <c r="N6004" s="1" t="str">
        <f t="shared" si="3372"/>
        <v>0</v>
      </c>
      <c r="O6004" s="1" t="str">
        <f>"45.5"</f>
        <v>45.5</v>
      </c>
    </row>
    <row r="6005" s="1" customFormat="1" spans="1:15">
      <c r="A6005" s="1" t="str">
        <f t="shared" si="3378"/>
        <v>202406</v>
      </c>
      <c r="B6005" s="1" t="str">
        <f t="shared" si="3379"/>
        <v>150525100</v>
      </c>
      <c r="C6005" s="1" t="str">
        <f>"1040686928"</f>
        <v>1040686928</v>
      </c>
      <c r="D6005" s="1" t="str">
        <f>"152326195611213839"</f>
        <v>152326195611213839</v>
      </c>
      <c r="E6005" s="1" t="s">
        <v>5881</v>
      </c>
      <c r="F6005" s="1" t="s">
        <v>25</v>
      </c>
      <c r="G6005" s="1" t="s">
        <v>17</v>
      </c>
      <c r="H6005" s="1" t="str">
        <f t="shared" ref="H6005:H6010" si="3392">"68"</f>
        <v>68</v>
      </c>
      <c r="I6005" s="1" t="str">
        <f>"2037.15"</f>
        <v>2037.15</v>
      </c>
      <c r="J6005" s="1" t="str">
        <f t="shared" ref="J6005:M6005" si="3393">"0"</f>
        <v>0</v>
      </c>
      <c r="K6005" s="1" t="str">
        <f t="shared" si="3393"/>
        <v>0</v>
      </c>
      <c r="L6005" s="1" t="str">
        <f t="shared" si="3393"/>
        <v>0</v>
      </c>
      <c r="M6005" s="1" t="str">
        <f t="shared" si="3393"/>
        <v>0</v>
      </c>
      <c r="N6005" s="1" t="str">
        <f t="shared" si="3372"/>
        <v>0</v>
      </c>
      <c r="O6005" s="1" t="str">
        <f>"0"</f>
        <v>0</v>
      </c>
    </row>
    <row r="6006" s="1" customFormat="1" spans="1:15">
      <c r="A6006" s="1" t="str">
        <f t="shared" si="3378"/>
        <v>202406</v>
      </c>
      <c r="B6006" s="1" t="str">
        <f t="shared" si="3379"/>
        <v>150525100</v>
      </c>
      <c r="C6006" s="1" t="str">
        <f>"1040728644"</f>
        <v>1040728644</v>
      </c>
      <c r="D6006" s="1" t="str">
        <f>"152326195610173329"</f>
        <v>152326195610173329</v>
      </c>
      <c r="E6006" s="1" t="s">
        <v>5882</v>
      </c>
      <c r="F6006" s="1" t="s">
        <v>16</v>
      </c>
      <c r="G6006" s="1" t="s">
        <v>19</v>
      </c>
      <c r="H6006" s="1" t="str">
        <f t="shared" si="3392"/>
        <v>68</v>
      </c>
      <c r="I6006" s="1" t="str">
        <f>"154.54"</f>
        <v>154.54</v>
      </c>
      <c r="J6006" s="1" t="str">
        <f>"0"</f>
        <v>0</v>
      </c>
      <c r="K6006" s="1" t="str">
        <f t="shared" ref="K6006:K6068" si="3394">"103"</f>
        <v>103</v>
      </c>
      <c r="L6006" s="1" t="str">
        <f t="shared" ref="L6006:L6068" si="3395">"47"</f>
        <v>47</v>
      </c>
      <c r="M6006" s="1" t="str">
        <f>"0"</f>
        <v>0</v>
      </c>
      <c r="N6006" s="1" t="str">
        <f t="shared" si="3372"/>
        <v>0</v>
      </c>
      <c r="O6006" s="1" t="str">
        <f>"4.54"</f>
        <v>4.54</v>
      </c>
    </row>
    <row r="6007" s="1" customFormat="1" spans="1:15">
      <c r="A6007" s="1" t="str">
        <f t="shared" si="3378"/>
        <v>202406</v>
      </c>
      <c r="B6007" s="1" t="str">
        <f t="shared" si="3379"/>
        <v>150525100</v>
      </c>
      <c r="C6007" s="1" t="str">
        <f>"1040693764"</f>
        <v>1040693764</v>
      </c>
      <c r="D6007" s="1" t="s">
        <v>5883</v>
      </c>
      <c r="E6007" s="1" t="s">
        <v>5884</v>
      </c>
      <c r="F6007" s="1" t="s">
        <v>16</v>
      </c>
      <c r="G6007" s="1" t="s">
        <v>19</v>
      </c>
      <c r="H6007" s="1" t="str">
        <f>"69"</f>
        <v>69</v>
      </c>
      <c r="I6007" s="1" t="str">
        <f>"153.6"</f>
        <v>153.6</v>
      </c>
      <c r="J6007" s="1" t="str">
        <f t="shared" ref="J6007:N6007" si="3396">"0"</f>
        <v>0</v>
      </c>
      <c r="K6007" s="1" t="str">
        <f t="shared" si="3394"/>
        <v>103</v>
      </c>
      <c r="L6007" s="1" t="str">
        <f t="shared" si="3395"/>
        <v>47</v>
      </c>
      <c r="M6007" s="1" t="str">
        <f t="shared" si="3396"/>
        <v>0</v>
      </c>
      <c r="N6007" s="1" t="str">
        <f t="shared" si="3396"/>
        <v>0</v>
      </c>
      <c r="O6007" s="1" t="str">
        <f>"3.6"</f>
        <v>3.6</v>
      </c>
    </row>
    <row r="6008" s="1" customFormat="1" spans="1:15">
      <c r="A6008" s="1" t="str">
        <f t="shared" si="3378"/>
        <v>202406</v>
      </c>
      <c r="B6008" s="1" t="str">
        <f t="shared" si="3379"/>
        <v>150525100</v>
      </c>
      <c r="C6008" s="1" t="str">
        <f>"1040653002"</f>
        <v>1040653002</v>
      </c>
      <c r="D6008" s="1" t="str">
        <f>"152326196010123082"</f>
        <v>152326196010123082</v>
      </c>
      <c r="E6008" s="1" t="s">
        <v>5885</v>
      </c>
      <c r="F6008" s="1" t="s">
        <v>16</v>
      </c>
      <c r="G6008" s="1" t="s">
        <v>19</v>
      </c>
      <c r="H6008" s="1" t="str">
        <f t="shared" ref="H6008:H6013" si="3397">"64"</f>
        <v>64</v>
      </c>
      <c r="I6008" s="1" t="str">
        <f>"158.65"</f>
        <v>158.65</v>
      </c>
      <c r="J6008" s="1" t="str">
        <f t="shared" ref="J6008:N6008" si="3398">"0"</f>
        <v>0</v>
      </c>
      <c r="K6008" s="1" t="str">
        <f t="shared" si="3394"/>
        <v>103</v>
      </c>
      <c r="L6008" s="1" t="str">
        <f t="shared" si="3395"/>
        <v>47</v>
      </c>
      <c r="M6008" s="1" t="str">
        <f t="shared" si="3398"/>
        <v>0</v>
      </c>
      <c r="N6008" s="1" t="str">
        <f t="shared" si="3398"/>
        <v>0</v>
      </c>
      <c r="O6008" s="1" t="str">
        <f>"8.65"</f>
        <v>8.65</v>
      </c>
    </row>
    <row r="6009" s="1" customFormat="1" spans="1:15">
      <c r="A6009" s="1" t="str">
        <f t="shared" si="3378"/>
        <v>202406</v>
      </c>
      <c r="B6009" s="1" t="str">
        <f t="shared" si="3379"/>
        <v>150525100</v>
      </c>
      <c r="C6009" s="1" t="str">
        <f>"1040653017"</f>
        <v>1040653017</v>
      </c>
      <c r="D6009" s="1" t="str">
        <f>"152326195411123089"</f>
        <v>152326195411123089</v>
      </c>
      <c r="E6009" s="1" t="s">
        <v>5886</v>
      </c>
      <c r="F6009" s="1" t="s">
        <v>16</v>
      </c>
      <c r="G6009" s="1" t="s">
        <v>17</v>
      </c>
      <c r="H6009" s="1" t="str">
        <f>"70"</f>
        <v>70</v>
      </c>
      <c r="I6009" s="1" t="str">
        <f>"153.56"</f>
        <v>153.56</v>
      </c>
      <c r="J6009" s="1" t="str">
        <f t="shared" ref="J6009:N6009" si="3399">"0"</f>
        <v>0</v>
      </c>
      <c r="K6009" s="1" t="str">
        <f t="shared" si="3394"/>
        <v>103</v>
      </c>
      <c r="L6009" s="1" t="str">
        <f t="shared" si="3395"/>
        <v>47</v>
      </c>
      <c r="M6009" s="1" t="str">
        <f t="shared" si="3399"/>
        <v>0</v>
      </c>
      <c r="N6009" s="1" t="str">
        <f t="shared" si="3399"/>
        <v>0</v>
      </c>
      <c r="O6009" s="1" t="str">
        <f>"3.56"</f>
        <v>3.56</v>
      </c>
    </row>
    <row r="6010" s="1" customFormat="1" spans="1:15">
      <c r="A6010" s="1" t="str">
        <f t="shared" si="3378"/>
        <v>202406</v>
      </c>
      <c r="B6010" s="1" t="str">
        <f t="shared" si="3379"/>
        <v>150525100</v>
      </c>
      <c r="C6010" s="1" t="str">
        <f>"1040688426"</f>
        <v>1040688426</v>
      </c>
      <c r="D6010" s="1" t="str">
        <f>"152326195611240423"</f>
        <v>152326195611240423</v>
      </c>
      <c r="E6010" s="1" t="s">
        <v>5887</v>
      </c>
      <c r="F6010" s="1" t="s">
        <v>16</v>
      </c>
      <c r="G6010" s="1" t="s">
        <v>17</v>
      </c>
      <c r="H6010" s="1" t="str">
        <f t="shared" si="3392"/>
        <v>68</v>
      </c>
      <c r="I6010" s="1" t="str">
        <f>"154.88"</f>
        <v>154.88</v>
      </c>
      <c r="J6010" s="1" t="str">
        <f t="shared" ref="J6010:N6010" si="3400">"0"</f>
        <v>0</v>
      </c>
      <c r="K6010" s="1" t="str">
        <f t="shared" si="3394"/>
        <v>103</v>
      </c>
      <c r="L6010" s="1" t="str">
        <f t="shared" si="3395"/>
        <v>47</v>
      </c>
      <c r="M6010" s="1" t="str">
        <f t="shared" si="3400"/>
        <v>0</v>
      </c>
      <c r="N6010" s="1" t="str">
        <f t="shared" si="3400"/>
        <v>0</v>
      </c>
      <c r="O6010" s="1" t="str">
        <f>"4.88"</f>
        <v>4.88</v>
      </c>
    </row>
    <row r="6011" s="1" customFormat="1" spans="1:15">
      <c r="A6011" s="1" t="str">
        <f t="shared" si="3378"/>
        <v>202406</v>
      </c>
      <c r="B6011" s="1" t="str">
        <f t="shared" si="3379"/>
        <v>150525100</v>
      </c>
      <c r="C6011" s="1" t="str">
        <f>"1040646595"</f>
        <v>1040646595</v>
      </c>
      <c r="D6011" s="1" t="str">
        <f>"152326195804240665"</f>
        <v>152326195804240665</v>
      </c>
      <c r="E6011" s="1" t="s">
        <v>5888</v>
      </c>
      <c r="F6011" s="1" t="s">
        <v>16</v>
      </c>
      <c r="G6011" s="1" t="s">
        <v>17</v>
      </c>
      <c r="H6011" s="1" t="str">
        <f>"66"</f>
        <v>66</v>
      </c>
      <c r="I6011" s="1" t="str">
        <f>"157.48"</f>
        <v>157.48</v>
      </c>
      <c r="J6011" s="1" t="str">
        <f t="shared" ref="J6011:N6011" si="3401">"0"</f>
        <v>0</v>
      </c>
      <c r="K6011" s="1" t="str">
        <f t="shared" si="3394"/>
        <v>103</v>
      </c>
      <c r="L6011" s="1" t="str">
        <f t="shared" si="3395"/>
        <v>47</v>
      </c>
      <c r="M6011" s="1" t="str">
        <f t="shared" si="3401"/>
        <v>0</v>
      </c>
      <c r="N6011" s="1" t="str">
        <f t="shared" si="3401"/>
        <v>0</v>
      </c>
      <c r="O6011" s="1" t="str">
        <f>"7.48"</f>
        <v>7.48</v>
      </c>
    </row>
    <row r="6012" s="1" customFormat="1" spans="1:15">
      <c r="A6012" s="1" t="str">
        <f t="shared" si="3378"/>
        <v>202406</v>
      </c>
      <c r="B6012" s="1" t="str">
        <f t="shared" si="3379"/>
        <v>150525100</v>
      </c>
      <c r="C6012" s="1" t="str">
        <f>"1040648068"</f>
        <v>1040648068</v>
      </c>
      <c r="D6012" s="1" t="str">
        <f>"152326196012170448"</f>
        <v>152326196012170448</v>
      </c>
      <c r="E6012" s="1" t="s">
        <v>2464</v>
      </c>
      <c r="F6012" s="1" t="s">
        <v>16</v>
      </c>
      <c r="G6012" s="1" t="s">
        <v>17</v>
      </c>
      <c r="H6012" s="1" t="str">
        <f t="shared" si="3397"/>
        <v>64</v>
      </c>
      <c r="I6012" s="1" t="str">
        <f>"158.67"</f>
        <v>158.67</v>
      </c>
      <c r="J6012" s="1" t="str">
        <f t="shared" ref="J6012:N6012" si="3402">"0"</f>
        <v>0</v>
      </c>
      <c r="K6012" s="1" t="str">
        <f t="shared" si="3394"/>
        <v>103</v>
      </c>
      <c r="L6012" s="1" t="str">
        <f t="shared" si="3395"/>
        <v>47</v>
      </c>
      <c r="M6012" s="1" t="str">
        <f t="shared" si="3402"/>
        <v>0</v>
      </c>
      <c r="N6012" s="1" t="str">
        <f t="shared" si="3402"/>
        <v>0</v>
      </c>
      <c r="O6012" s="1" t="str">
        <f>"8.67"</f>
        <v>8.67</v>
      </c>
    </row>
    <row r="6013" s="1" customFormat="1" spans="1:15">
      <c r="A6013" s="1" t="str">
        <f t="shared" si="3378"/>
        <v>202406</v>
      </c>
      <c r="B6013" s="1" t="str">
        <f t="shared" si="3379"/>
        <v>150525100</v>
      </c>
      <c r="C6013" s="1" t="str">
        <f>"1040695156"</f>
        <v>1040695156</v>
      </c>
      <c r="D6013" s="1" t="str">
        <f>"152326196001103071"</f>
        <v>152326196001103071</v>
      </c>
      <c r="E6013" s="1" t="s">
        <v>5889</v>
      </c>
      <c r="F6013" s="1" t="s">
        <v>25</v>
      </c>
      <c r="G6013" s="1" t="s">
        <v>17</v>
      </c>
      <c r="H6013" s="1" t="str">
        <f t="shared" si="3397"/>
        <v>64</v>
      </c>
      <c r="I6013" s="1" t="str">
        <f>"157.62"</f>
        <v>157.62</v>
      </c>
      <c r="J6013" s="1" t="str">
        <f t="shared" ref="J6013:N6013" si="3403">"0"</f>
        <v>0</v>
      </c>
      <c r="K6013" s="1" t="str">
        <f t="shared" si="3394"/>
        <v>103</v>
      </c>
      <c r="L6013" s="1" t="str">
        <f t="shared" si="3395"/>
        <v>47</v>
      </c>
      <c r="M6013" s="1" t="str">
        <f t="shared" si="3403"/>
        <v>0</v>
      </c>
      <c r="N6013" s="1" t="str">
        <f t="shared" si="3403"/>
        <v>0</v>
      </c>
      <c r="O6013" s="1" t="str">
        <f>"7.62"</f>
        <v>7.62</v>
      </c>
    </row>
    <row r="6014" s="1" customFormat="1" spans="1:15">
      <c r="A6014" s="1" t="str">
        <f t="shared" si="3378"/>
        <v>202406</v>
      </c>
      <c r="B6014" s="1" t="str">
        <f t="shared" si="3379"/>
        <v>150525100</v>
      </c>
      <c r="C6014" s="1" t="str">
        <f>"1040737556"</f>
        <v>1040737556</v>
      </c>
      <c r="D6014" s="1" t="str">
        <f>"152326195603146111"</f>
        <v>152326195603146111</v>
      </c>
      <c r="E6014" s="1" t="s">
        <v>5890</v>
      </c>
      <c r="F6014" s="1" t="s">
        <v>25</v>
      </c>
      <c r="G6014" s="1" t="s">
        <v>19</v>
      </c>
      <c r="H6014" s="1" t="str">
        <f>"68"</f>
        <v>68</v>
      </c>
      <c r="I6014" s="1" t="str">
        <f>"154.54"</f>
        <v>154.54</v>
      </c>
      <c r="J6014" s="1" t="str">
        <f t="shared" ref="J6014:N6014" si="3404">"0"</f>
        <v>0</v>
      </c>
      <c r="K6014" s="1" t="str">
        <f t="shared" si="3394"/>
        <v>103</v>
      </c>
      <c r="L6014" s="1" t="str">
        <f t="shared" si="3395"/>
        <v>47</v>
      </c>
      <c r="M6014" s="1" t="str">
        <f t="shared" si="3404"/>
        <v>0</v>
      </c>
      <c r="N6014" s="1" t="str">
        <f t="shared" si="3404"/>
        <v>0</v>
      </c>
      <c r="O6014" s="1" t="str">
        <f>"4.54"</f>
        <v>4.54</v>
      </c>
    </row>
    <row r="6015" s="1" customFormat="1" spans="1:15">
      <c r="A6015" s="1" t="str">
        <f t="shared" si="3378"/>
        <v>202406</v>
      </c>
      <c r="B6015" s="1" t="str">
        <f t="shared" si="3379"/>
        <v>150525100</v>
      </c>
      <c r="C6015" s="1" t="str">
        <f>"1040685988"</f>
        <v>1040685988</v>
      </c>
      <c r="D6015" s="1" t="str">
        <f>"152326196001243082"</f>
        <v>152326196001243082</v>
      </c>
      <c r="E6015" s="1" t="s">
        <v>5891</v>
      </c>
      <c r="F6015" s="1" t="s">
        <v>16</v>
      </c>
      <c r="G6015" s="1" t="s">
        <v>17</v>
      </c>
      <c r="H6015" s="1" t="str">
        <f>"64"</f>
        <v>64</v>
      </c>
      <c r="I6015" s="1" t="str">
        <f>"157.63"</f>
        <v>157.63</v>
      </c>
      <c r="J6015" s="1" t="str">
        <f t="shared" ref="J6015:N6015" si="3405">"0"</f>
        <v>0</v>
      </c>
      <c r="K6015" s="1" t="str">
        <f t="shared" si="3394"/>
        <v>103</v>
      </c>
      <c r="L6015" s="1" t="str">
        <f t="shared" si="3395"/>
        <v>47</v>
      </c>
      <c r="M6015" s="1" t="str">
        <f t="shared" si="3405"/>
        <v>0</v>
      </c>
      <c r="N6015" s="1" t="str">
        <f t="shared" si="3405"/>
        <v>0</v>
      </c>
      <c r="O6015" s="1" t="str">
        <f>"7.63"</f>
        <v>7.63</v>
      </c>
    </row>
    <row r="6016" s="1" customFormat="1" spans="1:15">
      <c r="A6016" s="1" t="str">
        <f t="shared" si="3378"/>
        <v>202406</v>
      </c>
      <c r="B6016" s="1" t="str">
        <f t="shared" si="3379"/>
        <v>150525100</v>
      </c>
      <c r="C6016" s="1" t="str">
        <f>"1040735019"</f>
        <v>1040735019</v>
      </c>
      <c r="D6016" s="1" t="s">
        <v>5892</v>
      </c>
      <c r="E6016" s="1" t="s">
        <v>4465</v>
      </c>
      <c r="F6016" s="1" t="s">
        <v>16</v>
      </c>
      <c r="G6016" s="1" t="s">
        <v>17</v>
      </c>
      <c r="H6016" s="1" t="str">
        <f>"66"</f>
        <v>66</v>
      </c>
      <c r="I6016" s="1" t="str">
        <f>"155.59"</f>
        <v>155.59</v>
      </c>
      <c r="J6016" s="1" t="str">
        <f t="shared" ref="J6016:N6016" si="3406">"0"</f>
        <v>0</v>
      </c>
      <c r="K6016" s="1" t="str">
        <f t="shared" si="3394"/>
        <v>103</v>
      </c>
      <c r="L6016" s="1" t="str">
        <f t="shared" si="3395"/>
        <v>47</v>
      </c>
      <c r="M6016" s="1" t="str">
        <f t="shared" si="3406"/>
        <v>0</v>
      </c>
      <c r="N6016" s="1" t="str">
        <f t="shared" si="3406"/>
        <v>0</v>
      </c>
      <c r="O6016" s="1" t="str">
        <f>"5.59"</f>
        <v>5.59</v>
      </c>
    </row>
    <row r="6017" s="1" customFormat="1" spans="1:15">
      <c r="A6017" s="1" t="str">
        <f t="shared" si="3378"/>
        <v>202406</v>
      </c>
      <c r="B6017" s="1" t="str">
        <f t="shared" si="3379"/>
        <v>150525100</v>
      </c>
      <c r="C6017" s="1" t="str">
        <f>"1040688493"</f>
        <v>1040688493</v>
      </c>
      <c r="D6017" s="1" t="str">
        <f>"152326195709150418"</f>
        <v>152326195709150418</v>
      </c>
      <c r="E6017" s="1" t="s">
        <v>5893</v>
      </c>
      <c r="F6017" s="1" t="s">
        <v>25</v>
      </c>
      <c r="G6017" s="1" t="s">
        <v>17</v>
      </c>
      <c r="H6017" s="1" t="str">
        <f>"67"</f>
        <v>67</v>
      </c>
      <c r="I6017" s="1" t="str">
        <f>"154.94"</f>
        <v>154.94</v>
      </c>
      <c r="J6017" s="1" t="str">
        <f t="shared" ref="J6017:N6017" si="3407">"0"</f>
        <v>0</v>
      </c>
      <c r="K6017" s="1" t="str">
        <f t="shared" si="3394"/>
        <v>103</v>
      </c>
      <c r="L6017" s="1" t="str">
        <f t="shared" si="3395"/>
        <v>47</v>
      </c>
      <c r="M6017" s="1" t="str">
        <f t="shared" si="3407"/>
        <v>0</v>
      </c>
      <c r="N6017" s="1" t="str">
        <f t="shared" si="3407"/>
        <v>0</v>
      </c>
      <c r="O6017" s="1" t="str">
        <f>"4.94"</f>
        <v>4.94</v>
      </c>
    </row>
    <row r="6018" s="1" customFormat="1" spans="1:15">
      <c r="A6018" s="1" t="str">
        <f t="shared" ref="A6018:A6081" si="3408">"202406"</f>
        <v>202406</v>
      </c>
      <c r="B6018" s="1" t="str">
        <f t="shared" ref="B6018:B6081" si="3409">"150525100"</f>
        <v>150525100</v>
      </c>
      <c r="C6018" s="1" t="str">
        <f>"1040688510"</f>
        <v>1040688510</v>
      </c>
      <c r="D6018" s="1" t="str">
        <f>"152326196209090425"</f>
        <v>152326196209090425</v>
      </c>
      <c r="E6018" s="1" t="s">
        <v>5894</v>
      </c>
      <c r="F6018" s="1" t="s">
        <v>16</v>
      </c>
      <c r="G6018" s="1" t="s">
        <v>17</v>
      </c>
      <c r="H6018" s="1" t="str">
        <f>"62"</f>
        <v>62</v>
      </c>
      <c r="I6018" s="1" t="str">
        <f>"161.87"</f>
        <v>161.87</v>
      </c>
      <c r="J6018" s="1" t="str">
        <f t="shared" ref="J6018:N6018" si="3410">"0"</f>
        <v>0</v>
      </c>
      <c r="K6018" s="1" t="str">
        <f t="shared" si="3394"/>
        <v>103</v>
      </c>
      <c r="L6018" s="1" t="str">
        <f t="shared" si="3395"/>
        <v>47</v>
      </c>
      <c r="M6018" s="1" t="str">
        <f t="shared" si="3410"/>
        <v>0</v>
      </c>
      <c r="N6018" s="1" t="str">
        <f t="shared" si="3410"/>
        <v>0</v>
      </c>
      <c r="O6018" s="1" t="str">
        <f>"11.87"</f>
        <v>11.87</v>
      </c>
    </row>
    <row r="6019" s="1" customFormat="1" spans="1:15">
      <c r="A6019" s="1" t="str">
        <f t="shared" si="3408"/>
        <v>202406</v>
      </c>
      <c r="B6019" s="1" t="str">
        <f t="shared" si="3409"/>
        <v>150525100</v>
      </c>
      <c r="C6019" s="1" t="str">
        <f>"1040688532"</f>
        <v>1040688532</v>
      </c>
      <c r="D6019" s="1" t="s">
        <v>5895</v>
      </c>
      <c r="E6019" s="1" t="s">
        <v>5896</v>
      </c>
      <c r="F6019" s="1" t="s">
        <v>16</v>
      </c>
      <c r="G6019" s="1" t="s">
        <v>17</v>
      </c>
      <c r="H6019" s="1" t="str">
        <f t="shared" ref="H6019:H6022" si="3411">"70"</f>
        <v>70</v>
      </c>
      <c r="I6019" s="1" t="str">
        <f>"163.75"</f>
        <v>163.75</v>
      </c>
      <c r="J6019" s="1" t="str">
        <f t="shared" ref="J6019:N6019" si="3412">"0"</f>
        <v>0</v>
      </c>
      <c r="K6019" s="1" t="str">
        <f t="shared" si="3394"/>
        <v>103</v>
      </c>
      <c r="L6019" s="1" t="str">
        <f t="shared" si="3395"/>
        <v>47</v>
      </c>
      <c r="M6019" s="1" t="str">
        <f t="shared" si="3412"/>
        <v>0</v>
      </c>
      <c r="N6019" s="1" t="str">
        <f t="shared" si="3412"/>
        <v>0</v>
      </c>
      <c r="O6019" s="1" t="str">
        <f>"13.75"</f>
        <v>13.75</v>
      </c>
    </row>
    <row r="6020" s="1" customFormat="1" spans="1:15">
      <c r="A6020" s="1" t="str">
        <f t="shared" si="3408"/>
        <v>202406</v>
      </c>
      <c r="B6020" s="1" t="str">
        <f t="shared" si="3409"/>
        <v>150525100</v>
      </c>
      <c r="C6020" s="1" t="str">
        <f>"1040688537"</f>
        <v>1040688537</v>
      </c>
      <c r="D6020" s="1" t="str">
        <f>"152326195402080929"</f>
        <v>152326195402080929</v>
      </c>
      <c r="E6020" s="1" t="s">
        <v>5897</v>
      </c>
      <c r="F6020" s="1" t="s">
        <v>16</v>
      </c>
      <c r="G6020" s="1" t="s">
        <v>19</v>
      </c>
      <c r="H6020" s="1" t="str">
        <f t="shared" si="3411"/>
        <v>70</v>
      </c>
      <c r="I6020" s="1" t="str">
        <f>"163.01"</f>
        <v>163.01</v>
      </c>
      <c r="J6020" s="1" t="str">
        <f t="shared" ref="J6020:N6020" si="3413">"0"</f>
        <v>0</v>
      </c>
      <c r="K6020" s="1" t="str">
        <f t="shared" si="3394"/>
        <v>103</v>
      </c>
      <c r="L6020" s="1" t="str">
        <f t="shared" si="3395"/>
        <v>47</v>
      </c>
      <c r="M6020" s="1" t="str">
        <f t="shared" si="3413"/>
        <v>0</v>
      </c>
      <c r="N6020" s="1" t="str">
        <f t="shared" si="3413"/>
        <v>0</v>
      </c>
      <c r="O6020" s="1" t="str">
        <f>"3.01"</f>
        <v>3.01</v>
      </c>
    </row>
    <row r="6021" s="1" customFormat="1" spans="1:15">
      <c r="A6021" s="1" t="str">
        <f t="shared" si="3408"/>
        <v>202406</v>
      </c>
      <c r="B6021" s="1" t="str">
        <f t="shared" si="3409"/>
        <v>150525100</v>
      </c>
      <c r="C6021" s="1" t="str">
        <f>"1040688547"</f>
        <v>1040688547</v>
      </c>
      <c r="D6021" s="1" t="str">
        <f>"152326195609093823"</f>
        <v>152326195609093823</v>
      </c>
      <c r="E6021" s="1" t="s">
        <v>5898</v>
      </c>
      <c r="F6021" s="1" t="s">
        <v>16</v>
      </c>
      <c r="G6021" s="1" t="s">
        <v>19</v>
      </c>
      <c r="H6021" s="1" t="str">
        <f t="shared" ref="H6021:H6025" si="3414">"68"</f>
        <v>68</v>
      </c>
      <c r="I6021" s="1" t="str">
        <f>"154.88"</f>
        <v>154.88</v>
      </c>
      <c r="J6021" s="1" t="str">
        <f t="shared" ref="J6021:N6021" si="3415">"0"</f>
        <v>0</v>
      </c>
      <c r="K6021" s="1" t="str">
        <f t="shared" si="3394"/>
        <v>103</v>
      </c>
      <c r="L6021" s="1" t="str">
        <f t="shared" si="3395"/>
        <v>47</v>
      </c>
      <c r="M6021" s="1" t="str">
        <f t="shared" si="3415"/>
        <v>0</v>
      </c>
      <c r="N6021" s="1" t="str">
        <f t="shared" si="3415"/>
        <v>0</v>
      </c>
      <c r="O6021" s="1" t="str">
        <f>"4.88"</f>
        <v>4.88</v>
      </c>
    </row>
    <row r="6022" s="1" customFormat="1" spans="1:15">
      <c r="A6022" s="1" t="str">
        <f t="shared" si="3408"/>
        <v>202406</v>
      </c>
      <c r="B6022" s="1" t="str">
        <f t="shared" si="3409"/>
        <v>150525100</v>
      </c>
      <c r="C6022" s="1" t="str">
        <f>"1040646845"</f>
        <v>1040646845</v>
      </c>
      <c r="D6022" s="1" t="str">
        <f>"152326195411050422"</f>
        <v>152326195411050422</v>
      </c>
      <c r="E6022" s="1" t="s">
        <v>5899</v>
      </c>
      <c r="F6022" s="1" t="s">
        <v>16</v>
      </c>
      <c r="G6022" s="1" t="s">
        <v>17</v>
      </c>
      <c r="H6022" s="1" t="str">
        <f t="shared" si="3411"/>
        <v>70</v>
      </c>
      <c r="I6022" s="1" t="str">
        <f>"153.56"</f>
        <v>153.56</v>
      </c>
      <c r="J6022" s="1" t="str">
        <f t="shared" ref="J6022:N6022" si="3416">"0"</f>
        <v>0</v>
      </c>
      <c r="K6022" s="1" t="str">
        <f t="shared" si="3394"/>
        <v>103</v>
      </c>
      <c r="L6022" s="1" t="str">
        <f t="shared" si="3395"/>
        <v>47</v>
      </c>
      <c r="M6022" s="1" t="str">
        <f t="shared" si="3416"/>
        <v>0</v>
      </c>
      <c r="N6022" s="1" t="str">
        <f t="shared" si="3416"/>
        <v>0</v>
      </c>
      <c r="O6022" s="1" t="str">
        <f>"3.56"</f>
        <v>3.56</v>
      </c>
    </row>
    <row r="6023" s="1" customFormat="1" spans="1:15">
      <c r="A6023" s="1" t="str">
        <f t="shared" si="3408"/>
        <v>202406</v>
      </c>
      <c r="B6023" s="1" t="str">
        <f t="shared" si="3409"/>
        <v>150525100</v>
      </c>
      <c r="C6023" s="1" t="str">
        <f>"1040646860"</f>
        <v>1040646860</v>
      </c>
      <c r="D6023" s="1" t="str">
        <f>"152326195610230426"</f>
        <v>152326195610230426</v>
      </c>
      <c r="E6023" s="1" t="s">
        <v>5900</v>
      </c>
      <c r="F6023" s="1" t="s">
        <v>16</v>
      </c>
      <c r="G6023" s="1" t="s">
        <v>17</v>
      </c>
      <c r="H6023" s="1" t="str">
        <f t="shared" si="3414"/>
        <v>68</v>
      </c>
      <c r="I6023" s="1" t="str">
        <f>"155.43"</f>
        <v>155.43</v>
      </c>
      <c r="J6023" s="1" t="str">
        <f t="shared" ref="J6023:N6023" si="3417">"0"</f>
        <v>0</v>
      </c>
      <c r="K6023" s="1" t="str">
        <f t="shared" si="3394"/>
        <v>103</v>
      </c>
      <c r="L6023" s="1" t="str">
        <f t="shared" si="3395"/>
        <v>47</v>
      </c>
      <c r="M6023" s="1" t="str">
        <f t="shared" si="3417"/>
        <v>0</v>
      </c>
      <c r="N6023" s="1" t="str">
        <f t="shared" si="3417"/>
        <v>0</v>
      </c>
      <c r="O6023" s="1" t="str">
        <f>"5.43"</f>
        <v>5.43</v>
      </c>
    </row>
    <row r="6024" s="1" customFormat="1" spans="1:15">
      <c r="A6024" s="1" t="str">
        <f t="shared" si="3408"/>
        <v>202406</v>
      </c>
      <c r="B6024" s="1" t="str">
        <f t="shared" si="3409"/>
        <v>150525100</v>
      </c>
      <c r="C6024" s="1" t="str">
        <f>"1040697171"</f>
        <v>1040697171</v>
      </c>
      <c r="D6024" s="1" t="str">
        <f>"152326195704223817"</f>
        <v>152326195704223817</v>
      </c>
      <c r="E6024" s="1" t="s">
        <v>5901</v>
      </c>
      <c r="F6024" s="1" t="s">
        <v>25</v>
      </c>
      <c r="G6024" s="1" t="s">
        <v>19</v>
      </c>
      <c r="H6024" s="1" t="str">
        <f>"67"</f>
        <v>67</v>
      </c>
      <c r="I6024" s="1" t="str">
        <f>"154.57"</f>
        <v>154.57</v>
      </c>
      <c r="J6024" s="1" t="str">
        <f t="shared" ref="J6024:N6024" si="3418">"0"</f>
        <v>0</v>
      </c>
      <c r="K6024" s="1" t="str">
        <f t="shared" si="3394"/>
        <v>103</v>
      </c>
      <c r="L6024" s="1" t="str">
        <f t="shared" si="3395"/>
        <v>47</v>
      </c>
      <c r="M6024" s="1" t="str">
        <f t="shared" si="3418"/>
        <v>0</v>
      </c>
      <c r="N6024" s="1" t="str">
        <f t="shared" si="3418"/>
        <v>0</v>
      </c>
      <c r="O6024" s="1" t="str">
        <f>"4.57"</f>
        <v>4.57</v>
      </c>
    </row>
    <row r="6025" s="1" customFormat="1" spans="1:15">
      <c r="A6025" s="1" t="str">
        <f t="shared" si="3408"/>
        <v>202406</v>
      </c>
      <c r="B6025" s="1" t="str">
        <f t="shared" si="3409"/>
        <v>150525100</v>
      </c>
      <c r="C6025" s="1" t="str">
        <f>"1040733254"</f>
        <v>1040733254</v>
      </c>
      <c r="D6025" s="1" t="str">
        <f>"152326195605060063"</f>
        <v>152326195605060063</v>
      </c>
      <c r="E6025" s="1" t="s">
        <v>3303</v>
      </c>
      <c r="F6025" s="1" t="s">
        <v>16</v>
      </c>
      <c r="G6025" s="1" t="s">
        <v>17</v>
      </c>
      <c r="H6025" s="1" t="str">
        <f t="shared" si="3414"/>
        <v>68</v>
      </c>
      <c r="I6025" s="1" t="str">
        <f>"154.54"</f>
        <v>154.54</v>
      </c>
      <c r="J6025" s="1" t="str">
        <f t="shared" ref="J6025:N6025" si="3419">"0"</f>
        <v>0</v>
      </c>
      <c r="K6025" s="1" t="str">
        <f t="shared" si="3394"/>
        <v>103</v>
      </c>
      <c r="L6025" s="1" t="str">
        <f t="shared" si="3395"/>
        <v>47</v>
      </c>
      <c r="M6025" s="1" t="str">
        <f t="shared" si="3419"/>
        <v>0</v>
      </c>
      <c r="N6025" s="1" t="str">
        <f t="shared" si="3419"/>
        <v>0</v>
      </c>
      <c r="O6025" s="1" t="str">
        <f>"4.54"</f>
        <v>4.54</v>
      </c>
    </row>
    <row r="6026" s="1" customFormat="1" spans="1:15">
      <c r="A6026" s="1" t="str">
        <f t="shared" si="3408"/>
        <v>202406</v>
      </c>
      <c r="B6026" s="1" t="str">
        <f t="shared" si="3409"/>
        <v>150525100</v>
      </c>
      <c r="C6026" s="1" t="str">
        <f>"1040653212"</f>
        <v>1040653212</v>
      </c>
      <c r="D6026" s="1" t="str">
        <f>"152326195705173313"</f>
        <v>152326195705173313</v>
      </c>
      <c r="E6026" s="1" t="s">
        <v>1755</v>
      </c>
      <c r="F6026" s="1" t="s">
        <v>25</v>
      </c>
      <c r="G6026" s="1" t="s">
        <v>17</v>
      </c>
      <c r="H6026" s="1" t="str">
        <f>"67"</f>
        <v>67</v>
      </c>
      <c r="I6026" s="1" t="str">
        <f>"155.48"</f>
        <v>155.48</v>
      </c>
      <c r="J6026" s="1" t="str">
        <f t="shared" ref="J6026:N6026" si="3420">"0"</f>
        <v>0</v>
      </c>
      <c r="K6026" s="1" t="str">
        <f t="shared" si="3394"/>
        <v>103</v>
      </c>
      <c r="L6026" s="1" t="str">
        <f t="shared" si="3395"/>
        <v>47</v>
      </c>
      <c r="M6026" s="1" t="str">
        <f t="shared" si="3420"/>
        <v>0</v>
      </c>
      <c r="N6026" s="1" t="str">
        <f t="shared" si="3420"/>
        <v>0</v>
      </c>
      <c r="O6026" s="1" t="str">
        <f>"5.48"</f>
        <v>5.48</v>
      </c>
    </row>
    <row r="6027" s="1" customFormat="1" spans="1:15">
      <c r="A6027" s="1" t="str">
        <f t="shared" si="3408"/>
        <v>202406</v>
      </c>
      <c r="B6027" s="1" t="str">
        <f t="shared" si="3409"/>
        <v>150525100</v>
      </c>
      <c r="C6027" s="1" t="str">
        <f>"1040653280"</f>
        <v>1040653280</v>
      </c>
      <c r="D6027" s="1" t="str">
        <f>"152326196006243313"</f>
        <v>152326196006243313</v>
      </c>
      <c r="E6027" s="1" t="s">
        <v>5902</v>
      </c>
      <c r="F6027" s="1" t="s">
        <v>25</v>
      </c>
      <c r="G6027" s="1" t="s">
        <v>17</v>
      </c>
      <c r="H6027" s="1" t="str">
        <f>"64"</f>
        <v>64</v>
      </c>
      <c r="I6027" s="1" t="str">
        <f>"158.62"</f>
        <v>158.62</v>
      </c>
      <c r="J6027" s="1" t="str">
        <f t="shared" ref="J6027:N6027" si="3421">"0"</f>
        <v>0</v>
      </c>
      <c r="K6027" s="1" t="str">
        <f t="shared" si="3394"/>
        <v>103</v>
      </c>
      <c r="L6027" s="1" t="str">
        <f t="shared" si="3395"/>
        <v>47</v>
      </c>
      <c r="M6027" s="1" t="str">
        <f t="shared" si="3421"/>
        <v>0</v>
      </c>
      <c r="N6027" s="1" t="str">
        <f t="shared" si="3421"/>
        <v>0</v>
      </c>
      <c r="O6027" s="1" t="str">
        <f>"8.62"</f>
        <v>8.62</v>
      </c>
    </row>
    <row r="6028" s="1" customFormat="1" spans="1:15">
      <c r="A6028" s="1" t="str">
        <f t="shared" si="3408"/>
        <v>202406</v>
      </c>
      <c r="B6028" s="1" t="str">
        <f t="shared" si="3409"/>
        <v>150525100</v>
      </c>
      <c r="C6028" s="1" t="str">
        <f>"1040653331"</f>
        <v>1040653331</v>
      </c>
      <c r="D6028" s="1" t="str">
        <f>"152326196209133317"</f>
        <v>152326196209133317</v>
      </c>
      <c r="E6028" s="1" t="s">
        <v>5903</v>
      </c>
      <c r="F6028" s="1" t="s">
        <v>25</v>
      </c>
      <c r="G6028" s="1" t="s">
        <v>17</v>
      </c>
      <c r="H6028" s="1" t="str">
        <f>"62"</f>
        <v>62</v>
      </c>
      <c r="I6028" s="1" t="str">
        <f>"163.98"</f>
        <v>163.98</v>
      </c>
      <c r="J6028" s="1" t="str">
        <f t="shared" ref="J6028:N6028" si="3422">"0"</f>
        <v>0</v>
      </c>
      <c r="K6028" s="1" t="str">
        <f t="shared" si="3394"/>
        <v>103</v>
      </c>
      <c r="L6028" s="1" t="str">
        <f t="shared" si="3395"/>
        <v>47</v>
      </c>
      <c r="M6028" s="1" t="str">
        <f t="shared" si="3422"/>
        <v>0</v>
      </c>
      <c r="N6028" s="1" t="str">
        <f t="shared" si="3422"/>
        <v>0</v>
      </c>
      <c r="O6028" s="1" t="str">
        <f>"13.98"</f>
        <v>13.98</v>
      </c>
    </row>
    <row r="6029" s="1" customFormat="1" spans="1:15">
      <c r="A6029" s="1" t="str">
        <f t="shared" si="3408"/>
        <v>202406</v>
      </c>
      <c r="B6029" s="1" t="str">
        <f t="shared" si="3409"/>
        <v>150525100</v>
      </c>
      <c r="C6029" s="1" t="str">
        <f>"1040653345"</f>
        <v>1040653345</v>
      </c>
      <c r="D6029" s="1" t="str">
        <f>"152326195609083318"</f>
        <v>152326195609083318</v>
      </c>
      <c r="E6029" s="1" t="s">
        <v>5904</v>
      </c>
      <c r="F6029" s="1" t="s">
        <v>25</v>
      </c>
      <c r="G6029" s="1" t="s">
        <v>19</v>
      </c>
      <c r="H6029" s="1" t="str">
        <f>"68"</f>
        <v>68</v>
      </c>
      <c r="I6029" s="1" t="str">
        <f>"155.43"</f>
        <v>155.43</v>
      </c>
      <c r="J6029" s="1" t="str">
        <f t="shared" ref="J6029:N6029" si="3423">"0"</f>
        <v>0</v>
      </c>
      <c r="K6029" s="1" t="str">
        <f t="shared" si="3394"/>
        <v>103</v>
      </c>
      <c r="L6029" s="1" t="str">
        <f t="shared" si="3395"/>
        <v>47</v>
      </c>
      <c r="M6029" s="1" t="str">
        <f t="shared" si="3423"/>
        <v>0</v>
      </c>
      <c r="N6029" s="1" t="str">
        <f t="shared" si="3423"/>
        <v>0</v>
      </c>
      <c r="O6029" s="1" t="str">
        <f>"5.43"</f>
        <v>5.43</v>
      </c>
    </row>
    <row r="6030" s="1" customFormat="1" spans="1:15">
      <c r="A6030" s="1" t="str">
        <f t="shared" si="3408"/>
        <v>202406</v>
      </c>
      <c r="B6030" s="1" t="str">
        <f t="shared" si="3409"/>
        <v>150525100</v>
      </c>
      <c r="C6030" s="1" t="str">
        <f>"1040653384"</f>
        <v>1040653384</v>
      </c>
      <c r="D6030" s="1" t="s">
        <v>5905</v>
      </c>
      <c r="E6030" s="1" t="s">
        <v>234</v>
      </c>
      <c r="F6030" s="1" t="s">
        <v>16</v>
      </c>
      <c r="G6030" s="1" t="s">
        <v>17</v>
      </c>
      <c r="H6030" s="1" t="str">
        <f>"64"</f>
        <v>64</v>
      </c>
      <c r="I6030" s="1" t="str">
        <f>"158.61"</f>
        <v>158.61</v>
      </c>
      <c r="J6030" s="1" t="str">
        <f t="shared" ref="J6030:N6030" si="3424">"0"</f>
        <v>0</v>
      </c>
      <c r="K6030" s="1" t="str">
        <f t="shared" si="3394"/>
        <v>103</v>
      </c>
      <c r="L6030" s="1" t="str">
        <f t="shared" si="3395"/>
        <v>47</v>
      </c>
      <c r="M6030" s="1" t="str">
        <f t="shared" si="3424"/>
        <v>0</v>
      </c>
      <c r="N6030" s="1" t="str">
        <f t="shared" si="3424"/>
        <v>0</v>
      </c>
      <c r="O6030" s="1" t="str">
        <f>"8.61"</f>
        <v>8.61</v>
      </c>
    </row>
    <row r="6031" s="1" customFormat="1" spans="1:15">
      <c r="A6031" s="1" t="str">
        <f t="shared" si="3408"/>
        <v>202406</v>
      </c>
      <c r="B6031" s="1" t="str">
        <f t="shared" si="3409"/>
        <v>150525100</v>
      </c>
      <c r="C6031" s="1" t="str">
        <f>"1040653402"</f>
        <v>1040653402</v>
      </c>
      <c r="D6031" s="1" t="str">
        <f>"152326196111273311"</f>
        <v>152326196111273311</v>
      </c>
      <c r="E6031" s="1" t="s">
        <v>5906</v>
      </c>
      <c r="F6031" s="1" t="s">
        <v>25</v>
      </c>
      <c r="G6031" s="1" t="s">
        <v>17</v>
      </c>
      <c r="H6031" s="1" t="str">
        <f>"63"</f>
        <v>63</v>
      </c>
      <c r="I6031" s="1" t="str">
        <f>"160.52"</f>
        <v>160.52</v>
      </c>
      <c r="J6031" s="1" t="str">
        <f t="shared" ref="J6031:N6031" si="3425">"0"</f>
        <v>0</v>
      </c>
      <c r="K6031" s="1" t="str">
        <f t="shared" si="3394"/>
        <v>103</v>
      </c>
      <c r="L6031" s="1" t="str">
        <f t="shared" si="3395"/>
        <v>47</v>
      </c>
      <c r="M6031" s="1" t="str">
        <f t="shared" si="3425"/>
        <v>0</v>
      </c>
      <c r="N6031" s="1" t="str">
        <f t="shared" si="3425"/>
        <v>0</v>
      </c>
      <c r="O6031" s="1" t="str">
        <f>"10.52"</f>
        <v>10.52</v>
      </c>
    </row>
    <row r="6032" s="1" customFormat="1" spans="1:15">
      <c r="A6032" s="1" t="str">
        <f t="shared" si="3408"/>
        <v>202406</v>
      </c>
      <c r="B6032" s="1" t="str">
        <f t="shared" si="3409"/>
        <v>150525100</v>
      </c>
      <c r="C6032" s="1" t="str">
        <f>"1040653414"</f>
        <v>1040653414</v>
      </c>
      <c r="D6032" s="1" t="str">
        <f>"152326195612013310"</f>
        <v>152326195612013310</v>
      </c>
      <c r="E6032" s="1" t="s">
        <v>5907</v>
      </c>
      <c r="F6032" s="1" t="s">
        <v>25</v>
      </c>
      <c r="G6032" s="1" t="s">
        <v>17</v>
      </c>
      <c r="H6032" s="1" t="str">
        <f>"68"</f>
        <v>68</v>
      </c>
      <c r="I6032" s="1" t="str">
        <f>"155.45"</f>
        <v>155.45</v>
      </c>
      <c r="J6032" s="1" t="str">
        <f t="shared" ref="J6032:N6032" si="3426">"0"</f>
        <v>0</v>
      </c>
      <c r="K6032" s="1" t="str">
        <f t="shared" si="3394"/>
        <v>103</v>
      </c>
      <c r="L6032" s="1" t="str">
        <f t="shared" si="3395"/>
        <v>47</v>
      </c>
      <c r="M6032" s="1" t="str">
        <f t="shared" si="3426"/>
        <v>0</v>
      </c>
      <c r="N6032" s="1" t="str">
        <f t="shared" si="3426"/>
        <v>0</v>
      </c>
      <c r="O6032" s="1" t="str">
        <f>"5.45"</f>
        <v>5.45</v>
      </c>
    </row>
    <row r="6033" s="1" customFormat="1" spans="1:15">
      <c r="A6033" s="1" t="str">
        <f t="shared" si="3408"/>
        <v>202406</v>
      </c>
      <c r="B6033" s="1" t="str">
        <f t="shared" si="3409"/>
        <v>150525100</v>
      </c>
      <c r="C6033" s="1" t="str">
        <f>"1040653422"</f>
        <v>1040653422</v>
      </c>
      <c r="D6033" s="1" t="str">
        <f>"152326195803053323"</f>
        <v>152326195803053323</v>
      </c>
      <c r="E6033" s="1" t="s">
        <v>50</v>
      </c>
      <c r="F6033" s="1" t="s">
        <v>16</v>
      </c>
      <c r="G6033" s="1" t="s">
        <v>17</v>
      </c>
      <c r="H6033" s="1" t="str">
        <f>"66"</f>
        <v>66</v>
      </c>
      <c r="I6033" s="1" t="str">
        <f>"156.49"</f>
        <v>156.49</v>
      </c>
      <c r="J6033" s="1" t="str">
        <f t="shared" ref="J6033:N6033" si="3427">"0"</f>
        <v>0</v>
      </c>
      <c r="K6033" s="1" t="str">
        <f t="shared" si="3394"/>
        <v>103</v>
      </c>
      <c r="L6033" s="1" t="str">
        <f t="shared" si="3395"/>
        <v>47</v>
      </c>
      <c r="M6033" s="1" t="str">
        <f t="shared" si="3427"/>
        <v>0</v>
      </c>
      <c r="N6033" s="1" t="str">
        <f t="shared" si="3427"/>
        <v>0</v>
      </c>
      <c r="O6033" s="1" t="str">
        <f>"6.49"</f>
        <v>6.49</v>
      </c>
    </row>
    <row r="6034" s="1" customFormat="1" spans="1:15">
      <c r="A6034" s="1" t="str">
        <f t="shared" si="3408"/>
        <v>202406</v>
      </c>
      <c r="B6034" s="1" t="str">
        <f t="shared" si="3409"/>
        <v>150525100</v>
      </c>
      <c r="C6034" s="1" t="str">
        <f>"1040653429"</f>
        <v>1040653429</v>
      </c>
      <c r="D6034" s="1" t="str">
        <f>"152326196104013327"</f>
        <v>152326196104013327</v>
      </c>
      <c r="E6034" s="1" t="s">
        <v>5908</v>
      </c>
      <c r="F6034" s="1" t="s">
        <v>16</v>
      </c>
      <c r="G6034" s="1" t="s">
        <v>19</v>
      </c>
      <c r="H6034" s="1" t="str">
        <f>"63"</f>
        <v>63</v>
      </c>
      <c r="I6034" s="1" t="str">
        <f>"160.43"</f>
        <v>160.43</v>
      </c>
      <c r="J6034" s="1" t="str">
        <f t="shared" ref="J6034:N6034" si="3428">"0"</f>
        <v>0</v>
      </c>
      <c r="K6034" s="1" t="str">
        <f t="shared" si="3394"/>
        <v>103</v>
      </c>
      <c r="L6034" s="1" t="str">
        <f t="shared" si="3395"/>
        <v>47</v>
      </c>
      <c r="M6034" s="1" t="str">
        <f t="shared" si="3428"/>
        <v>0</v>
      </c>
      <c r="N6034" s="1" t="str">
        <f t="shared" si="3428"/>
        <v>0</v>
      </c>
      <c r="O6034" s="1" t="str">
        <f>"10.43"</f>
        <v>10.43</v>
      </c>
    </row>
    <row r="6035" s="1" customFormat="1" spans="1:15">
      <c r="A6035" s="1" t="str">
        <f t="shared" si="3408"/>
        <v>202406</v>
      </c>
      <c r="B6035" s="1" t="str">
        <f t="shared" si="3409"/>
        <v>150525100</v>
      </c>
      <c r="C6035" s="1" t="str">
        <f>"1040653436"</f>
        <v>1040653436</v>
      </c>
      <c r="D6035" s="1" t="str">
        <f>"152326195509283320"</f>
        <v>152326195509283320</v>
      </c>
      <c r="E6035" s="1" t="s">
        <v>5909</v>
      </c>
      <c r="F6035" s="1" t="s">
        <v>16</v>
      </c>
      <c r="G6035" s="1" t="s">
        <v>17</v>
      </c>
      <c r="H6035" s="1" t="str">
        <f>"69"</f>
        <v>69</v>
      </c>
      <c r="I6035" s="1" t="str">
        <f>"154.52"</f>
        <v>154.52</v>
      </c>
      <c r="J6035" s="1" t="str">
        <f t="shared" ref="J6035:N6035" si="3429">"0"</f>
        <v>0</v>
      </c>
      <c r="K6035" s="1" t="str">
        <f t="shared" si="3394"/>
        <v>103</v>
      </c>
      <c r="L6035" s="1" t="str">
        <f t="shared" si="3395"/>
        <v>47</v>
      </c>
      <c r="M6035" s="1" t="str">
        <f t="shared" si="3429"/>
        <v>0</v>
      </c>
      <c r="N6035" s="1" t="str">
        <f t="shared" si="3429"/>
        <v>0</v>
      </c>
      <c r="O6035" s="1" t="str">
        <f>"4.52"</f>
        <v>4.52</v>
      </c>
    </row>
    <row r="6036" s="1" customFormat="1" spans="1:15">
      <c r="A6036" s="1" t="str">
        <f t="shared" si="3408"/>
        <v>202406</v>
      </c>
      <c r="B6036" s="1" t="str">
        <f t="shared" si="3409"/>
        <v>150525100</v>
      </c>
      <c r="C6036" s="1" t="str">
        <f>"1040653442"</f>
        <v>1040653442</v>
      </c>
      <c r="D6036" s="1" t="str">
        <f>"152326195603053337"</f>
        <v>152326195603053337</v>
      </c>
      <c r="E6036" s="1" t="s">
        <v>5910</v>
      </c>
      <c r="F6036" s="1" t="s">
        <v>25</v>
      </c>
      <c r="G6036" s="1" t="s">
        <v>19</v>
      </c>
      <c r="H6036" s="1" t="str">
        <f>"68"</f>
        <v>68</v>
      </c>
      <c r="I6036" s="1" t="str">
        <f>"155.43"</f>
        <v>155.43</v>
      </c>
      <c r="J6036" s="1" t="str">
        <f t="shared" ref="J6036:N6036" si="3430">"0"</f>
        <v>0</v>
      </c>
      <c r="K6036" s="1" t="str">
        <f t="shared" si="3394"/>
        <v>103</v>
      </c>
      <c r="L6036" s="1" t="str">
        <f t="shared" si="3395"/>
        <v>47</v>
      </c>
      <c r="M6036" s="1" t="str">
        <f t="shared" si="3430"/>
        <v>0</v>
      </c>
      <c r="N6036" s="1" t="str">
        <f t="shared" si="3430"/>
        <v>0</v>
      </c>
      <c r="O6036" s="1" t="str">
        <f>"5.43"</f>
        <v>5.43</v>
      </c>
    </row>
    <row r="6037" s="1" customFormat="1" spans="1:15">
      <c r="A6037" s="1" t="str">
        <f t="shared" si="3408"/>
        <v>202406</v>
      </c>
      <c r="B6037" s="1" t="str">
        <f t="shared" si="3409"/>
        <v>150525100</v>
      </c>
      <c r="C6037" s="1" t="str">
        <f>"1040653499"</f>
        <v>1040653499</v>
      </c>
      <c r="D6037" s="1" t="str">
        <f>"152326195811233316"</f>
        <v>152326195811233316</v>
      </c>
      <c r="E6037" s="1" t="s">
        <v>5911</v>
      </c>
      <c r="F6037" s="1" t="s">
        <v>25</v>
      </c>
      <c r="G6037" s="1" t="s">
        <v>19</v>
      </c>
      <c r="H6037" s="1" t="str">
        <f>"66"</f>
        <v>66</v>
      </c>
      <c r="I6037" s="1" t="str">
        <f>"156.56"</f>
        <v>156.56</v>
      </c>
      <c r="J6037" s="1" t="str">
        <f t="shared" ref="J6037:N6037" si="3431">"0"</f>
        <v>0</v>
      </c>
      <c r="K6037" s="1" t="str">
        <f t="shared" si="3394"/>
        <v>103</v>
      </c>
      <c r="L6037" s="1" t="str">
        <f t="shared" si="3395"/>
        <v>47</v>
      </c>
      <c r="M6037" s="1" t="str">
        <f t="shared" si="3431"/>
        <v>0</v>
      </c>
      <c r="N6037" s="1" t="str">
        <f t="shared" si="3431"/>
        <v>0</v>
      </c>
      <c r="O6037" s="1" t="str">
        <f>"6.56"</f>
        <v>6.56</v>
      </c>
    </row>
    <row r="6038" s="1" customFormat="1" spans="1:15">
      <c r="A6038" s="1" t="str">
        <f t="shared" si="3408"/>
        <v>202406</v>
      </c>
      <c r="B6038" s="1" t="str">
        <f t="shared" si="3409"/>
        <v>150525100</v>
      </c>
      <c r="C6038" s="1" t="str">
        <f>"1040758893"</f>
        <v>1040758893</v>
      </c>
      <c r="D6038" s="1" t="str">
        <f>"152326196001200461"</f>
        <v>152326196001200461</v>
      </c>
      <c r="E6038" s="1" t="s">
        <v>5912</v>
      </c>
      <c r="F6038" s="1" t="s">
        <v>16</v>
      </c>
      <c r="G6038" s="1" t="s">
        <v>17</v>
      </c>
      <c r="H6038" s="1" t="str">
        <f>"64"</f>
        <v>64</v>
      </c>
      <c r="I6038" s="1" t="str">
        <f>"157.63"</f>
        <v>157.63</v>
      </c>
      <c r="J6038" s="1" t="str">
        <f t="shared" ref="J6038:N6038" si="3432">"0"</f>
        <v>0</v>
      </c>
      <c r="K6038" s="1" t="str">
        <f t="shared" si="3394"/>
        <v>103</v>
      </c>
      <c r="L6038" s="1" t="str">
        <f t="shared" si="3395"/>
        <v>47</v>
      </c>
      <c r="M6038" s="1" t="str">
        <f t="shared" si="3432"/>
        <v>0</v>
      </c>
      <c r="N6038" s="1" t="str">
        <f t="shared" si="3432"/>
        <v>0</v>
      </c>
      <c r="O6038" s="1" t="str">
        <f>"7.63"</f>
        <v>7.63</v>
      </c>
    </row>
    <row r="6039" s="1" customFormat="1" spans="1:15">
      <c r="A6039" s="1" t="str">
        <f t="shared" si="3408"/>
        <v>202406</v>
      </c>
      <c r="B6039" s="1" t="str">
        <f t="shared" si="3409"/>
        <v>150525100</v>
      </c>
      <c r="C6039" s="1" t="str">
        <f>"1040767092"</f>
        <v>1040767092</v>
      </c>
      <c r="D6039" s="1" t="str">
        <f>"152326196205010694"</f>
        <v>152326196205010694</v>
      </c>
      <c r="E6039" s="1" t="s">
        <v>5913</v>
      </c>
      <c r="F6039" s="1" t="s">
        <v>25</v>
      </c>
      <c r="G6039" s="1" t="s">
        <v>19</v>
      </c>
      <c r="H6039" s="1" t="str">
        <f>"62"</f>
        <v>62</v>
      </c>
      <c r="I6039" s="1" t="str">
        <f>"161.37"</f>
        <v>161.37</v>
      </c>
      <c r="J6039" s="1" t="str">
        <f t="shared" ref="J6039:N6039" si="3433">"0"</f>
        <v>0</v>
      </c>
      <c r="K6039" s="1" t="str">
        <f t="shared" si="3394"/>
        <v>103</v>
      </c>
      <c r="L6039" s="1" t="str">
        <f t="shared" si="3395"/>
        <v>47</v>
      </c>
      <c r="M6039" s="1" t="str">
        <f t="shared" si="3433"/>
        <v>0</v>
      </c>
      <c r="N6039" s="1" t="str">
        <f t="shared" si="3433"/>
        <v>0</v>
      </c>
      <c r="O6039" s="1" t="str">
        <f>"11.37"</f>
        <v>11.37</v>
      </c>
    </row>
    <row r="6040" s="1" customFormat="1" spans="1:15">
      <c r="A6040" s="1" t="str">
        <f t="shared" si="3408"/>
        <v>202406</v>
      </c>
      <c r="B6040" s="1" t="str">
        <f t="shared" si="3409"/>
        <v>150525100</v>
      </c>
      <c r="C6040" s="1" t="str">
        <f>"1040771084"</f>
        <v>1040771084</v>
      </c>
      <c r="D6040" s="1" t="str">
        <f>"152326195401100668"</f>
        <v>152326195401100668</v>
      </c>
      <c r="E6040" s="1" t="s">
        <v>5914</v>
      </c>
      <c r="F6040" s="1" t="s">
        <v>16</v>
      </c>
      <c r="G6040" s="1" t="s">
        <v>19</v>
      </c>
      <c r="H6040" s="1" t="str">
        <f>"70"</f>
        <v>70</v>
      </c>
      <c r="I6040" s="1" t="str">
        <f>"162.89"</f>
        <v>162.89</v>
      </c>
      <c r="J6040" s="1" t="str">
        <f t="shared" ref="J6040:N6040" si="3434">"0"</f>
        <v>0</v>
      </c>
      <c r="K6040" s="1" t="str">
        <f t="shared" si="3394"/>
        <v>103</v>
      </c>
      <c r="L6040" s="1" t="str">
        <f t="shared" si="3395"/>
        <v>47</v>
      </c>
      <c r="M6040" s="1" t="str">
        <f t="shared" si="3434"/>
        <v>0</v>
      </c>
      <c r="N6040" s="1" t="str">
        <f t="shared" si="3434"/>
        <v>0</v>
      </c>
      <c r="O6040" s="1" t="str">
        <f>"2.89"</f>
        <v>2.89</v>
      </c>
    </row>
    <row r="6041" s="1" customFormat="1" spans="1:15">
      <c r="A6041" s="1" t="str">
        <f t="shared" si="3408"/>
        <v>202406</v>
      </c>
      <c r="B6041" s="1" t="str">
        <f t="shared" si="3409"/>
        <v>150525100</v>
      </c>
      <c r="C6041" s="1" t="str">
        <f>"1040653517"</f>
        <v>1040653517</v>
      </c>
      <c r="D6041" s="1" t="str">
        <f>"152326195605173316"</f>
        <v>152326195605173316</v>
      </c>
      <c r="E6041" s="1" t="s">
        <v>5915</v>
      </c>
      <c r="F6041" s="1" t="s">
        <v>25</v>
      </c>
      <c r="G6041" s="1" t="s">
        <v>17</v>
      </c>
      <c r="H6041" s="1" t="str">
        <f>"68"</f>
        <v>68</v>
      </c>
      <c r="I6041" s="1" t="str">
        <f>"155.43"</f>
        <v>155.43</v>
      </c>
      <c r="J6041" s="1" t="str">
        <f t="shared" ref="J6041:N6041" si="3435">"0"</f>
        <v>0</v>
      </c>
      <c r="K6041" s="1" t="str">
        <f t="shared" si="3394"/>
        <v>103</v>
      </c>
      <c r="L6041" s="1" t="str">
        <f t="shared" si="3395"/>
        <v>47</v>
      </c>
      <c r="M6041" s="1" t="str">
        <f t="shared" si="3435"/>
        <v>0</v>
      </c>
      <c r="N6041" s="1" t="str">
        <f t="shared" si="3435"/>
        <v>0</v>
      </c>
      <c r="O6041" s="1" t="str">
        <f>"5.43"</f>
        <v>5.43</v>
      </c>
    </row>
    <row r="6042" s="1" customFormat="1" spans="1:15">
      <c r="A6042" s="1" t="str">
        <f t="shared" si="3408"/>
        <v>202406</v>
      </c>
      <c r="B6042" s="1" t="str">
        <f t="shared" si="3409"/>
        <v>150525100</v>
      </c>
      <c r="C6042" s="1" t="str">
        <f>"1040653559"</f>
        <v>1040653559</v>
      </c>
      <c r="D6042" s="1" t="s">
        <v>5916</v>
      </c>
      <c r="E6042" s="1" t="s">
        <v>1300</v>
      </c>
      <c r="F6042" s="1" t="s">
        <v>16</v>
      </c>
      <c r="G6042" s="1" t="s">
        <v>17</v>
      </c>
      <c r="H6042" s="1" t="str">
        <f>"68"</f>
        <v>68</v>
      </c>
      <c r="I6042" s="1" t="str">
        <f>"155.43"</f>
        <v>155.43</v>
      </c>
      <c r="J6042" s="1" t="str">
        <f t="shared" ref="J6042:N6042" si="3436">"0"</f>
        <v>0</v>
      </c>
      <c r="K6042" s="1" t="str">
        <f t="shared" si="3394"/>
        <v>103</v>
      </c>
      <c r="L6042" s="1" t="str">
        <f t="shared" si="3395"/>
        <v>47</v>
      </c>
      <c r="M6042" s="1" t="str">
        <f t="shared" si="3436"/>
        <v>0</v>
      </c>
      <c r="N6042" s="1" t="str">
        <f t="shared" si="3436"/>
        <v>0</v>
      </c>
      <c r="O6042" s="1" t="str">
        <f>"5.43"</f>
        <v>5.43</v>
      </c>
    </row>
    <row r="6043" s="1" customFormat="1" spans="1:15">
      <c r="A6043" s="1" t="str">
        <f t="shared" si="3408"/>
        <v>202406</v>
      </c>
      <c r="B6043" s="1" t="str">
        <f t="shared" si="3409"/>
        <v>150525100</v>
      </c>
      <c r="C6043" s="1" t="str">
        <f>"1040641862"</f>
        <v>1040641862</v>
      </c>
      <c r="D6043" s="1" t="str">
        <f>"152326195706233322"</f>
        <v>152326195706233322</v>
      </c>
      <c r="E6043" s="1" t="s">
        <v>508</v>
      </c>
      <c r="F6043" s="1" t="s">
        <v>16</v>
      </c>
      <c r="G6043" s="1" t="s">
        <v>19</v>
      </c>
      <c r="H6043" s="1" t="str">
        <f>"67"</f>
        <v>67</v>
      </c>
      <c r="I6043" s="1" t="str">
        <f>"154.58"</f>
        <v>154.58</v>
      </c>
      <c r="J6043" s="1" t="str">
        <f t="shared" ref="J6043:N6043" si="3437">"0"</f>
        <v>0</v>
      </c>
      <c r="K6043" s="1" t="str">
        <f t="shared" si="3394"/>
        <v>103</v>
      </c>
      <c r="L6043" s="1" t="str">
        <f t="shared" si="3395"/>
        <v>47</v>
      </c>
      <c r="M6043" s="1" t="str">
        <f t="shared" si="3437"/>
        <v>0</v>
      </c>
      <c r="N6043" s="1" t="str">
        <f t="shared" si="3437"/>
        <v>0</v>
      </c>
      <c r="O6043" s="1" t="str">
        <f>"4.58"</f>
        <v>4.58</v>
      </c>
    </row>
    <row r="6044" s="1" customFormat="1" spans="1:15">
      <c r="A6044" s="1" t="str">
        <f t="shared" si="3408"/>
        <v>202406</v>
      </c>
      <c r="B6044" s="1" t="str">
        <f t="shared" si="3409"/>
        <v>150525100</v>
      </c>
      <c r="C6044" s="1" t="str">
        <f>"1040691115"</f>
        <v>1040691115</v>
      </c>
      <c r="D6044" s="1" t="s">
        <v>5917</v>
      </c>
      <c r="E6044" s="1" t="s">
        <v>5918</v>
      </c>
      <c r="F6044" s="1" t="s">
        <v>16</v>
      </c>
      <c r="G6044" s="1" t="s">
        <v>17</v>
      </c>
      <c r="H6044" s="1" t="str">
        <f>"62"</f>
        <v>62</v>
      </c>
      <c r="I6044" s="1" t="str">
        <f>"161.32"</f>
        <v>161.32</v>
      </c>
      <c r="J6044" s="1" t="str">
        <f t="shared" ref="J6044:N6044" si="3438">"0"</f>
        <v>0</v>
      </c>
      <c r="K6044" s="1" t="str">
        <f t="shared" si="3394"/>
        <v>103</v>
      </c>
      <c r="L6044" s="1" t="str">
        <f t="shared" si="3395"/>
        <v>47</v>
      </c>
      <c r="M6044" s="1" t="str">
        <f t="shared" si="3438"/>
        <v>0</v>
      </c>
      <c r="N6044" s="1" t="str">
        <f t="shared" si="3438"/>
        <v>0</v>
      </c>
      <c r="O6044" s="1" t="str">
        <f>"11.32"</f>
        <v>11.32</v>
      </c>
    </row>
    <row r="6045" s="1" customFormat="1" spans="1:15">
      <c r="A6045" s="1" t="str">
        <f t="shared" si="3408"/>
        <v>202406</v>
      </c>
      <c r="B6045" s="1" t="str">
        <f t="shared" si="3409"/>
        <v>150525100</v>
      </c>
      <c r="C6045" s="1" t="str">
        <f>"1040647044"</f>
        <v>1040647044</v>
      </c>
      <c r="D6045" s="1" t="str">
        <f>"152326196305093829"</f>
        <v>152326196305093829</v>
      </c>
      <c r="E6045" s="1" t="s">
        <v>5919</v>
      </c>
      <c r="F6045" s="1" t="s">
        <v>16</v>
      </c>
      <c r="G6045" s="1" t="s">
        <v>17</v>
      </c>
      <c r="H6045" s="1" t="str">
        <f t="shared" ref="H6045:H6048" si="3439">"61"</f>
        <v>61</v>
      </c>
      <c r="I6045" s="1" t="str">
        <f>"164.34"</f>
        <v>164.34</v>
      </c>
      <c r="J6045" s="1" t="str">
        <f t="shared" ref="J6045:N6045" si="3440">"0"</f>
        <v>0</v>
      </c>
      <c r="K6045" s="1" t="str">
        <f t="shared" si="3394"/>
        <v>103</v>
      </c>
      <c r="L6045" s="1" t="str">
        <f t="shared" si="3395"/>
        <v>47</v>
      </c>
      <c r="M6045" s="1" t="str">
        <f t="shared" si="3440"/>
        <v>0</v>
      </c>
      <c r="N6045" s="1" t="str">
        <f t="shared" si="3440"/>
        <v>0</v>
      </c>
      <c r="O6045" s="1" t="str">
        <f>"14.34"</f>
        <v>14.34</v>
      </c>
    </row>
    <row r="6046" s="1" customFormat="1" spans="1:15">
      <c r="A6046" s="1" t="str">
        <f t="shared" si="3408"/>
        <v>202406</v>
      </c>
      <c r="B6046" s="1" t="str">
        <f t="shared" si="3409"/>
        <v>150525100</v>
      </c>
      <c r="C6046" s="1" t="str">
        <f>"1040647063"</f>
        <v>1040647063</v>
      </c>
      <c r="D6046" s="1" t="str">
        <f>"152326196302093815"</f>
        <v>152326196302093815</v>
      </c>
      <c r="E6046" s="1" t="s">
        <v>5920</v>
      </c>
      <c r="F6046" s="1" t="s">
        <v>25</v>
      </c>
      <c r="G6046" s="1" t="s">
        <v>17</v>
      </c>
      <c r="H6046" s="1" t="str">
        <f t="shared" si="3439"/>
        <v>61</v>
      </c>
      <c r="I6046" s="1" t="str">
        <f>"164.29"</f>
        <v>164.29</v>
      </c>
      <c r="J6046" s="1" t="str">
        <f t="shared" ref="J6046:N6046" si="3441">"0"</f>
        <v>0</v>
      </c>
      <c r="K6046" s="1" t="str">
        <f t="shared" si="3394"/>
        <v>103</v>
      </c>
      <c r="L6046" s="1" t="str">
        <f t="shared" si="3395"/>
        <v>47</v>
      </c>
      <c r="M6046" s="1" t="str">
        <f t="shared" si="3441"/>
        <v>0</v>
      </c>
      <c r="N6046" s="1" t="str">
        <f t="shared" si="3441"/>
        <v>0</v>
      </c>
      <c r="O6046" s="1" t="str">
        <f>"14.29"</f>
        <v>14.29</v>
      </c>
    </row>
    <row r="6047" s="1" customFormat="1" spans="1:15">
      <c r="A6047" s="1" t="str">
        <f t="shared" si="3408"/>
        <v>202406</v>
      </c>
      <c r="B6047" s="1" t="str">
        <f t="shared" si="3409"/>
        <v>150525100</v>
      </c>
      <c r="C6047" s="1" t="str">
        <f>"1040646359"</f>
        <v>1040646359</v>
      </c>
      <c r="D6047" s="1" t="str">
        <f>"152326195905080410"</f>
        <v>152326195905080410</v>
      </c>
      <c r="E6047" s="1" t="s">
        <v>5921</v>
      </c>
      <c r="F6047" s="1" t="s">
        <v>25</v>
      </c>
      <c r="G6047" s="1" t="s">
        <v>19</v>
      </c>
      <c r="H6047" s="1" t="str">
        <f>"65"</f>
        <v>65</v>
      </c>
      <c r="I6047" s="1" t="str">
        <f>"157.54"</f>
        <v>157.54</v>
      </c>
      <c r="J6047" s="1" t="str">
        <f t="shared" ref="J6047:N6047" si="3442">"0"</f>
        <v>0</v>
      </c>
      <c r="K6047" s="1" t="str">
        <f t="shared" si="3394"/>
        <v>103</v>
      </c>
      <c r="L6047" s="1" t="str">
        <f t="shared" si="3395"/>
        <v>47</v>
      </c>
      <c r="M6047" s="1" t="str">
        <f t="shared" si="3442"/>
        <v>0</v>
      </c>
      <c r="N6047" s="1" t="str">
        <f t="shared" si="3442"/>
        <v>0</v>
      </c>
      <c r="O6047" s="1" t="str">
        <f>"7.54"</f>
        <v>7.54</v>
      </c>
    </row>
    <row r="6048" s="1" customFormat="1" spans="1:15">
      <c r="A6048" s="1" t="str">
        <f t="shared" si="3408"/>
        <v>202406</v>
      </c>
      <c r="B6048" s="1" t="str">
        <f t="shared" si="3409"/>
        <v>150525100</v>
      </c>
      <c r="C6048" s="1" t="str">
        <f>"1040646374"</f>
        <v>1040646374</v>
      </c>
      <c r="D6048" s="1" t="str">
        <f>"152326196301210418"</f>
        <v>152326196301210418</v>
      </c>
      <c r="E6048" s="1" t="s">
        <v>5922</v>
      </c>
      <c r="F6048" s="1" t="s">
        <v>25</v>
      </c>
      <c r="G6048" s="1" t="s">
        <v>19</v>
      </c>
      <c r="H6048" s="1" t="str">
        <f t="shared" si="3439"/>
        <v>61</v>
      </c>
      <c r="I6048" s="1" t="str">
        <f>"181.92"</f>
        <v>181.92</v>
      </c>
      <c r="J6048" s="1" t="str">
        <f t="shared" ref="J6048:N6048" si="3443">"0"</f>
        <v>0</v>
      </c>
      <c r="K6048" s="1" t="str">
        <f t="shared" si="3394"/>
        <v>103</v>
      </c>
      <c r="L6048" s="1" t="str">
        <f t="shared" si="3395"/>
        <v>47</v>
      </c>
      <c r="M6048" s="1" t="str">
        <f t="shared" si="3443"/>
        <v>0</v>
      </c>
      <c r="N6048" s="1" t="str">
        <f t="shared" si="3443"/>
        <v>0</v>
      </c>
      <c r="O6048" s="1" t="str">
        <f>"31.92"</f>
        <v>31.92</v>
      </c>
    </row>
    <row r="6049" s="1" customFormat="1" spans="1:15">
      <c r="A6049" s="1" t="str">
        <f t="shared" si="3408"/>
        <v>202406</v>
      </c>
      <c r="B6049" s="1" t="str">
        <f t="shared" si="3409"/>
        <v>150525100</v>
      </c>
      <c r="C6049" s="1" t="str">
        <f>"1040646388"</f>
        <v>1040646388</v>
      </c>
      <c r="D6049" s="1" t="str">
        <f>"152326195711280422"</f>
        <v>152326195711280422</v>
      </c>
      <c r="E6049" s="1" t="s">
        <v>363</v>
      </c>
      <c r="F6049" s="1" t="s">
        <v>16</v>
      </c>
      <c r="G6049" s="1" t="s">
        <v>19</v>
      </c>
      <c r="H6049" s="1" t="str">
        <f>"67"</f>
        <v>67</v>
      </c>
      <c r="I6049" s="1" t="str">
        <f>"155.51"</f>
        <v>155.51</v>
      </c>
      <c r="J6049" s="1" t="str">
        <f t="shared" ref="J6049:N6049" si="3444">"0"</f>
        <v>0</v>
      </c>
      <c r="K6049" s="1" t="str">
        <f t="shared" si="3394"/>
        <v>103</v>
      </c>
      <c r="L6049" s="1" t="str">
        <f t="shared" si="3395"/>
        <v>47</v>
      </c>
      <c r="M6049" s="1" t="str">
        <f t="shared" si="3444"/>
        <v>0</v>
      </c>
      <c r="N6049" s="1" t="str">
        <f t="shared" si="3444"/>
        <v>0</v>
      </c>
      <c r="O6049" s="1" t="str">
        <f>"5.51"</f>
        <v>5.51</v>
      </c>
    </row>
    <row r="6050" s="1" customFormat="1" spans="1:15">
      <c r="A6050" s="1" t="str">
        <f t="shared" si="3408"/>
        <v>202406</v>
      </c>
      <c r="B6050" s="1" t="str">
        <f t="shared" si="3409"/>
        <v>150525100</v>
      </c>
      <c r="C6050" s="1" t="str">
        <f>"1040646402"</f>
        <v>1040646402</v>
      </c>
      <c r="D6050" s="1" t="str">
        <f>"152326195404070417"</f>
        <v>152326195404070417</v>
      </c>
      <c r="E6050" s="1" t="s">
        <v>5923</v>
      </c>
      <c r="F6050" s="1" t="s">
        <v>25</v>
      </c>
      <c r="G6050" s="1" t="s">
        <v>19</v>
      </c>
      <c r="H6050" s="1" t="str">
        <f>"70"</f>
        <v>70</v>
      </c>
      <c r="I6050" s="1" t="str">
        <f>"163.56"</f>
        <v>163.56</v>
      </c>
      <c r="J6050" s="1" t="str">
        <f t="shared" ref="J6050:N6050" si="3445">"0"</f>
        <v>0</v>
      </c>
      <c r="K6050" s="1" t="str">
        <f t="shared" si="3394"/>
        <v>103</v>
      </c>
      <c r="L6050" s="1" t="str">
        <f t="shared" si="3395"/>
        <v>47</v>
      </c>
      <c r="M6050" s="1" t="str">
        <f t="shared" si="3445"/>
        <v>0</v>
      </c>
      <c r="N6050" s="1" t="str">
        <f t="shared" si="3445"/>
        <v>0</v>
      </c>
      <c r="O6050" s="1" t="str">
        <f>"3.56"</f>
        <v>3.56</v>
      </c>
    </row>
    <row r="6051" s="1" customFormat="1" spans="1:15">
      <c r="A6051" s="1" t="str">
        <f t="shared" si="3408"/>
        <v>202406</v>
      </c>
      <c r="B6051" s="1" t="str">
        <f t="shared" si="3409"/>
        <v>150525100</v>
      </c>
      <c r="C6051" s="1" t="str">
        <f>"1040646408"</f>
        <v>1040646408</v>
      </c>
      <c r="D6051" s="1" t="str">
        <f>"152326195806130419"</f>
        <v>152326195806130419</v>
      </c>
      <c r="E6051" s="1" t="s">
        <v>5924</v>
      </c>
      <c r="F6051" s="1" t="s">
        <v>25</v>
      </c>
      <c r="G6051" s="1" t="s">
        <v>17</v>
      </c>
      <c r="H6051" s="1" t="str">
        <f>"66"</f>
        <v>66</v>
      </c>
      <c r="I6051" s="1" t="str">
        <f>"162.07"</f>
        <v>162.07</v>
      </c>
      <c r="J6051" s="1" t="str">
        <f t="shared" ref="J6051:N6051" si="3446">"0"</f>
        <v>0</v>
      </c>
      <c r="K6051" s="1" t="str">
        <f t="shared" si="3394"/>
        <v>103</v>
      </c>
      <c r="L6051" s="1" t="str">
        <f t="shared" si="3395"/>
        <v>47</v>
      </c>
      <c r="M6051" s="1" t="str">
        <f t="shared" si="3446"/>
        <v>0</v>
      </c>
      <c r="N6051" s="1" t="str">
        <f t="shared" si="3446"/>
        <v>0</v>
      </c>
      <c r="O6051" s="1" t="str">
        <f>"12.07"</f>
        <v>12.07</v>
      </c>
    </row>
    <row r="6052" s="1" customFormat="1" spans="1:15">
      <c r="A6052" s="1" t="str">
        <f t="shared" si="3408"/>
        <v>202406</v>
      </c>
      <c r="B6052" s="1" t="str">
        <f t="shared" si="3409"/>
        <v>150525100</v>
      </c>
      <c r="C6052" s="1" t="str">
        <f>"1040646420"</f>
        <v>1040646420</v>
      </c>
      <c r="D6052" s="1" t="str">
        <f>"152326195610160421"</f>
        <v>152326195610160421</v>
      </c>
      <c r="E6052" s="1" t="s">
        <v>5925</v>
      </c>
      <c r="F6052" s="1" t="s">
        <v>16</v>
      </c>
      <c r="G6052" s="1" t="s">
        <v>19</v>
      </c>
      <c r="H6052" s="1" t="str">
        <f>"68"</f>
        <v>68</v>
      </c>
      <c r="I6052" s="1" t="str">
        <f>"155.43"</f>
        <v>155.43</v>
      </c>
      <c r="J6052" s="1" t="str">
        <f t="shared" ref="J6052:N6052" si="3447">"0"</f>
        <v>0</v>
      </c>
      <c r="K6052" s="1" t="str">
        <f t="shared" si="3394"/>
        <v>103</v>
      </c>
      <c r="L6052" s="1" t="str">
        <f t="shared" si="3395"/>
        <v>47</v>
      </c>
      <c r="M6052" s="1" t="str">
        <f t="shared" si="3447"/>
        <v>0</v>
      </c>
      <c r="N6052" s="1" t="str">
        <f t="shared" si="3447"/>
        <v>0</v>
      </c>
      <c r="O6052" s="1" t="str">
        <f>"5.43"</f>
        <v>5.43</v>
      </c>
    </row>
    <row r="6053" s="1" customFormat="1" spans="1:15">
      <c r="A6053" s="1" t="str">
        <f t="shared" si="3408"/>
        <v>202406</v>
      </c>
      <c r="B6053" s="1" t="str">
        <f t="shared" si="3409"/>
        <v>150525100</v>
      </c>
      <c r="C6053" s="1" t="str">
        <f>"1040653603"</f>
        <v>1040653603</v>
      </c>
      <c r="D6053" s="1" t="str">
        <f>"152326195409083321"</f>
        <v>152326195409083321</v>
      </c>
      <c r="E6053" s="1" t="s">
        <v>5926</v>
      </c>
      <c r="F6053" s="1" t="s">
        <v>16</v>
      </c>
      <c r="G6053" s="1" t="s">
        <v>17</v>
      </c>
      <c r="H6053" s="1" t="str">
        <f>"70"</f>
        <v>70</v>
      </c>
      <c r="I6053" s="1" t="str">
        <f>"154.13"</f>
        <v>154.13</v>
      </c>
      <c r="J6053" s="1" t="str">
        <f t="shared" ref="J6053:N6053" si="3448">"0"</f>
        <v>0</v>
      </c>
      <c r="K6053" s="1" t="str">
        <f t="shared" si="3394"/>
        <v>103</v>
      </c>
      <c r="L6053" s="1" t="str">
        <f t="shared" si="3395"/>
        <v>47</v>
      </c>
      <c r="M6053" s="1" t="str">
        <f t="shared" si="3448"/>
        <v>0</v>
      </c>
      <c r="N6053" s="1" t="str">
        <f t="shared" si="3448"/>
        <v>0</v>
      </c>
      <c r="O6053" s="1" t="str">
        <f>"4.13"</f>
        <v>4.13</v>
      </c>
    </row>
    <row r="6054" s="1" customFormat="1" spans="1:15">
      <c r="A6054" s="1" t="str">
        <f t="shared" si="3408"/>
        <v>202406</v>
      </c>
      <c r="B6054" s="1" t="str">
        <f t="shared" si="3409"/>
        <v>150525100</v>
      </c>
      <c r="C6054" s="1" t="str">
        <f>"1040646429"</f>
        <v>1040646429</v>
      </c>
      <c r="D6054" s="1" t="str">
        <f>"152326195610190428"</f>
        <v>152326195610190428</v>
      </c>
      <c r="E6054" s="1" t="s">
        <v>5927</v>
      </c>
      <c r="F6054" s="1" t="s">
        <v>16</v>
      </c>
      <c r="G6054" s="1" t="s">
        <v>19</v>
      </c>
      <c r="H6054" s="1" t="str">
        <f>"68"</f>
        <v>68</v>
      </c>
      <c r="I6054" s="1" t="str">
        <f>"160.12"</f>
        <v>160.12</v>
      </c>
      <c r="J6054" s="1" t="str">
        <f t="shared" ref="J6054:N6054" si="3449">"0"</f>
        <v>0</v>
      </c>
      <c r="K6054" s="1" t="str">
        <f t="shared" si="3394"/>
        <v>103</v>
      </c>
      <c r="L6054" s="1" t="str">
        <f t="shared" si="3395"/>
        <v>47</v>
      </c>
      <c r="M6054" s="1" t="str">
        <f t="shared" si="3449"/>
        <v>0</v>
      </c>
      <c r="N6054" s="1" t="str">
        <f t="shared" si="3449"/>
        <v>0</v>
      </c>
      <c r="O6054" s="1" t="str">
        <f>"10.12"</f>
        <v>10.12</v>
      </c>
    </row>
    <row r="6055" s="1" customFormat="1" spans="1:15">
      <c r="A6055" s="1" t="str">
        <f t="shared" si="3408"/>
        <v>202406</v>
      </c>
      <c r="B6055" s="1" t="str">
        <f t="shared" si="3409"/>
        <v>150525100</v>
      </c>
      <c r="C6055" s="1" t="str">
        <f>"1040646430"</f>
        <v>1040646430</v>
      </c>
      <c r="D6055" s="1" t="str">
        <f>"152326196302030435"</f>
        <v>152326196302030435</v>
      </c>
      <c r="E6055" s="1" t="s">
        <v>5928</v>
      </c>
      <c r="F6055" s="1" t="s">
        <v>25</v>
      </c>
      <c r="G6055" s="1" t="s">
        <v>19</v>
      </c>
      <c r="H6055" s="1" t="str">
        <f>"61"</f>
        <v>61</v>
      </c>
      <c r="I6055" s="1" t="str">
        <f>"164.29"</f>
        <v>164.29</v>
      </c>
      <c r="J6055" s="1" t="str">
        <f t="shared" ref="J6055:N6055" si="3450">"0"</f>
        <v>0</v>
      </c>
      <c r="K6055" s="1" t="str">
        <f t="shared" si="3394"/>
        <v>103</v>
      </c>
      <c r="L6055" s="1" t="str">
        <f t="shared" si="3395"/>
        <v>47</v>
      </c>
      <c r="M6055" s="1" t="str">
        <f t="shared" si="3450"/>
        <v>0</v>
      </c>
      <c r="N6055" s="1" t="str">
        <f t="shared" si="3450"/>
        <v>0</v>
      </c>
      <c r="O6055" s="1" t="str">
        <f>"14.29"</f>
        <v>14.29</v>
      </c>
    </row>
    <row r="6056" s="1" customFormat="1" spans="1:15">
      <c r="A6056" s="1" t="str">
        <f t="shared" si="3408"/>
        <v>202406</v>
      </c>
      <c r="B6056" s="1" t="str">
        <f t="shared" si="3409"/>
        <v>150525100</v>
      </c>
      <c r="C6056" s="1" t="str">
        <f>"1040647279"</f>
        <v>1040647279</v>
      </c>
      <c r="D6056" s="1" t="str">
        <f>"152326195305290924"</f>
        <v>152326195305290924</v>
      </c>
      <c r="E6056" s="1" t="s">
        <v>5929</v>
      </c>
      <c r="F6056" s="1" t="s">
        <v>16</v>
      </c>
      <c r="G6056" s="1" t="s">
        <v>19</v>
      </c>
      <c r="H6056" s="1" t="str">
        <f>"71"</f>
        <v>71</v>
      </c>
      <c r="I6056" s="1" t="str">
        <f>"162.54"</f>
        <v>162.54</v>
      </c>
      <c r="J6056" s="1" t="str">
        <f t="shared" ref="J6056:N6056" si="3451">"0"</f>
        <v>0</v>
      </c>
      <c r="K6056" s="1" t="str">
        <f t="shared" si="3394"/>
        <v>103</v>
      </c>
      <c r="L6056" s="1" t="str">
        <f t="shared" si="3395"/>
        <v>47</v>
      </c>
      <c r="M6056" s="1" t="str">
        <f t="shared" si="3451"/>
        <v>0</v>
      </c>
      <c r="N6056" s="1" t="str">
        <f t="shared" si="3451"/>
        <v>0</v>
      </c>
      <c r="O6056" s="1" t="str">
        <f>"2.54"</f>
        <v>2.54</v>
      </c>
    </row>
    <row r="6057" s="1" customFormat="1" spans="1:15">
      <c r="A6057" s="1" t="str">
        <f t="shared" si="3408"/>
        <v>202406</v>
      </c>
      <c r="B6057" s="1" t="str">
        <f t="shared" si="3409"/>
        <v>150525100</v>
      </c>
      <c r="C6057" s="1" t="str">
        <f>"1040647284"</f>
        <v>1040647284</v>
      </c>
      <c r="D6057" s="1" t="str">
        <f>"152326195311070928"</f>
        <v>152326195311070928</v>
      </c>
      <c r="E6057" s="1" t="s">
        <v>5930</v>
      </c>
      <c r="F6057" s="1" t="s">
        <v>16</v>
      </c>
      <c r="G6057" s="1" t="s">
        <v>19</v>
      </c>
      <c r="H6057" s="1" t="str">
        <f>"71"</f>
        <v>71</v>
      </c>
      <c r="I6057" s="1" t="str">
        <f>"162.54"</f>
        <v>162.54</v>
      </c>
      <c r="J6057" s="1" t="str">
        <f t="shared" ref="J6057:N6057" si="3452">"0"</f>
        <v>0</v>
      </c>
      <c r="K6057" s="1" t="str">
        <f t="shared" si="3394"/>
        <v>103</v>
      </c>
      <c r="L6057" s="1" t="str">
        <f t="shared" si="3395"/>
        <v>47</v>
      </c>
      <c r="M6057" s="1" t="str">
        <f t="shared" si="3452"/>
        <v>0</v>
      </c>
      <c r="N6057" s="1" t="str">
        <f t="shared" si="3452"/>
        <v>0</v>
      </c>
      <c r="O6057" s="1" t="str">
        <f>"2.54"</f>
        <v>2.54</v>
      </c>
    </row>
    <row r="6058" s="1" customFormat="1" spans="1:15">
      <c r="A6058" s="1" t="str">
        <f t="shared" si="3408"/>
        <v>202406</v>
      </c>
      <c r="B6058" s="1" t="str">
        <f t="shared" si="3409"/>
        <v>150525100</v>
      </c>
      <c r="C6058" s="1" t="str">
        <f>"1040647292"</f>
        <v>1040647292</v>
      </c>
      <c r="D6058" s="1" t="str">
        <f>"152326195810130921"</f>
        <v>152326195810130921</v>
      </c>
      <c r="E6058" s="1" t="s">
        <v>5931</v>
      </c>
      <c r="F6058" s="1" t="s">
        <v>16</v>
      </c>
      <c r="G6058" s="1" t="s">
        <v>19</v>
      </c>
      <c r="H6058" s="1" t="str">
        <f>"66"</f>
        <v>66</v>
      </c>
      <c r="I6058" s="1" t="str">
        <f>"156.53"</f>
        <v>156.53</v>
      </c>
      <c r="J6058" s="1" t="str">
        <f t="shared" ref="J6058:N6058" si="3453">"0"</f>
        <v>0</v>
      </c>
      <c r="K6058" s="1" t="str">
        <f t="shared" si="3394"/>
        <v>103</v>
      </c>
      <c r="L6058" s="1" t="str">
        <f t="shared" si="3395"/>
        <v>47</v>
      </c>
      <c r="M6058" s="1" t="str">
        <f t="shared" si="3453"/>
        <v>0</v>
      </c>
      <c r="N6058" s="1" t="str">
        <f t="shared" si="3453"/>
        <v>0</v>
      </c>
      <c r="O6058" s="1" t="str">
        <f>"6.53"</f>
        <v>6.53</v>
      </c>
    </row>
    <row r="6059" s="1" customFormat="1" spans="1:15">
      <c r="A6059" s="1" t="str">
        <f t="shared" si="3408"/>
        <v>202406</v>
      </c>
      <c r="B6059" s="1" t="str">
        <f t="shared" si="3409"/>
        <v>150525100</v>
      </c>
      <c r="C6059" s="1" t="str">
        <f>"1040647294"</f>
        <v>1040647294</v>
      </c>
      <c r="D6059" s="1" t="str">
        <f>"152326195905100928"</f>
        <v>152326195905100928</v>
      </c>
      <c r="E6059" s="1" t="s">
        <v>5932</v>
      </c>
      <c r="F6059" s="1" t="s">
        <v>16</v>
      </c>
      <c r="G6059" s="1" t="s">
        <v>19</v>
      </c>
      <c r="H6059" s="1" t="str">
        <f>"65"</f>
        <v>65</v>
      </c>
      <c r="I6059" s="1" t="str">
        <f>"157.84"</f>
        <v>157.84</v>
      </c>
      <c r="J6059" s="1" t="str">
        <f t="shared" ref="J6059:N6059" si="3454">"0"</f>
        <v>0</v>
      </c>
      <c r="K6059" s="1" t="str">
        <f t="shared" si="3394"/>
        <v>103</v>
      </c>
      <c r="L6059" s="1" t="str">
        <f t="shared" si="3395"/>
        <v>47</v>
      </c>
      <c r="M6059" s="1" t="str">
        <f t="shared" si="3454"/>
        <v>0</v>
      </c>
      <c r="N6059" s="1" t="str">
        <f t="shared" si="3454"/>
        <v>0</v>
      </c>
      <c r="O6059" s="1" t="str">
        <f>"7.84"</f>
        <v>7.84</v>
      </c>
    </row>
    <row r="6060" s="1" customFormat="1" spans="1:15">
      <c r="A6060" s="1" t="str">
        <f t="shared" si="3408"/>
        <v>202406</v>
      </c>
      <c r="B6060" s="1" t="str">
        <f t="shared" si="3409"/>
        <v>150525100</v>
      </c>
      <c r="C6060" s="1" t="str">
        <f>"1040647297"</f>
        <v>1040647297</v>
      </c>
      <c r="D6060" s="1" t="str">
        <f>"152326195909050913"</f>
        <v>152326195909050913</v>
      </c>
      <c r="E6060" s="1" t="s">
        <v>5933</v>
      </c>
      <c r="F6060" s="1" t="s">
        <v>25</v>
      </c>
      <c r="G6060" s="1" t="s">
        <v>19</v>
      </c>
      <c r="H6060" s="1" t="str">
        <f>"65"</f>
        <v>65</v>
      </c>
      <c r="I6060" s="1" t="str">
        <f>"158.13"</f>
        <v>158.13</v>
      </c>
      <c r="J6060" s="1" t="str">
        <f t="shared" ref="J6060:N6060" si="3455">"0"</f>
        <v>0</v>
      </c>
      <c r="K6060" s="1" t="str">
        <f t="shared" si="3394"/>
        <v>103</v>
      </c>
      <c r="L6060" s="1" t="str">
        <f t="shared" si="3395"/>
        <v>47</v>
      </c>
      <c r="M6060" s="1" t="str">
        <f t="shared" si="3455"/>
        <v>0</v>
      </c>
      <c r="N6060" s="1" t="str">
        <f t="shared" si="3455"/>
        <v>0</v>
      </c>
      <c r="O6060" s="1" t="str">
        <f>"8.13"</f>
        <v>8.13</v>
      </c>
    </row>
    <row r="6061" s="1" customFormat="1" spans="1:15">
      <c r="A6061" s="1" t="str">
        <f t="shared" si="3408"/>
        <v>202406</v>
      </c>
      <c r="B6061" s="1" t="str">
        <f t="shared" si="3409"/>
        <v>150525100</v>
      </c>
      <c r="C6061" s="1" t="str">
        <f>"1040647307"</f>
        <v>1040647307</v>
      </c>
      <c r="D6061" s="1" t="str">
        <f>"152326195705250913"</f>
        <v>152326195705250913</v>
      </c>
      <c r="E6061" s="1" t="s">
        <v>5934</v>
      </c>
      <c r="F6061" s="1" t="s">
        <v>25</v>
      </c>
      <c r="G6061" s="1" t="s">
        <v>19</v>
      </c>
      <c r="H6061" s="1" t="str">
        <f>"67"</f>
        <v>67</v>
      </c>
      <c r="I6061" s="1" t="str">
        <f>"155.44"</f>
        <v>155.44</v>
      </c>
      <c r="J6061" s="1" t="str">
        <f t="shared" ref="J6061:N6061" si="3456">"0"</f>
        <v>0</v>
      </c>
      <c r="K6061" s="1" t="str">
        <f t="shared" si="3394"/>
        <v>103</v>
      </c>
      <c r="L6061" s="1" t="str">
        <f t="shared" si="3395"/>
        <v>47</v>
      </c>
      <c r="M6061" s="1" t="str">
        <f t="shared" si="3456"/>
        <v>0</v>
      </c>
      <c r="N6061" s="1" t="str">
        <f t="shared" si="3456"/>
        <v>0</v>
      </c>
      <c r="O6061" s="1" t="str">
        <f>"5.44"</f>
        <v>5.44</v>
      </c>
    </row>
    <row r="6062" s="1" customFormat="1" spans="1:15">
      <c r="A6062" s="1" t="str">
        <f t="shared" si="3408"/>
        <v>202406</v>
      </c>
      <c r="B6062" s="1" t="str">
        <f t="shared" si="3409"/>
        <v>150525100</v>
      </c>
      <c r="C6062" s="1" t="str">
        <f>"1040647374"</f>
        <v>1040647374</v>
      </c>
      <c r="D6062" s="1" t="str">
        <f>"152326196004203828"</f>
        <v>152326196004203828</v>
      </c>
      <c r="E6062" s="1" t="s">
        <v>1309</v>
      </c>
      <c r="F6062" s="1" t="s">
        <v>16</v>
      </c>
      <c r="G6062" s="1" t="s">
        <v>17</v>
      </c>
      <c r="H6062" s="1" t="str">
        <f>"64"</f>
        <v>64</v>
      </c>
      <c r="I6062" s="1" t="str">
        <f>"159.61"</f>
        <v>159.61</v>
      </c>
      <c r="J6062" s="1" t="str">
        <f t="shared" ref="J6062:N6062" si="3457">"0"</f>
        <v>0</v>
      </c>
      <c r="K6062" s="1" t="str">
        <f t="shared" si="3394"/>
        <v>103</v>
      </c>
      <c r="L6062" s="1" t="str">
        <f t="shared" si="3395"/>
        <v>47</v>
      </c>
      <c r="M6062" s="1" t="str">
        <f t="shared" si="3457"/>
        <v>0</v>
      </c>
      <c r="N6062" s="1" t="str">
        <f t="shared" si="3457"/>
        <v>0</v>
      </c>
      <c r="O6062" s="1" t="str">
        <f>"9.61"</f>
        <v>9.61</v>
      </c>
    </row>
    <row r="6063" s="1" customFormat="1" spans="1:15">
      <c r="A6063" s="1" t="str">
        <f t="shared" si="3408"/>
        <v>202406</v>
      </c>
      <c r="B6063" s="1" t="str">
        <f t="shared" si="3409"/>
        <v>150525100</v>
      </c>
      <c r="C6063" s="1" t="str">
        <f>"1040647378"</f>
        <v>1040647378</v>
      </c>
      <c r="D6063" s="1" t="str">
        <f>"152326196302103833"</f>
        <v>152326196302103833</v>
      </c>
      <c r="E6063" s="1" t="s">
        <v>5935</v>
      </c>
      <c r="F6063" s="1" t="s">
        <v>25</v>
      </c>
      <c r="G6063" s="1" t="s">
        <v>19</v>
      </c>
      <c r="H6063" s="1" t="str">
        <f>"61"</f>
        <v>61</v>
      </c>
      <c r="I6063" s="1" t="str">
        <f>"164.06"</f>
        <v>164.06</v>
      </c>
      <c r="J6063" s="1" t="str">
        <f t="shared" ref="J6063:N6063" si="3458">"0"</f>
        <v>0</v>
      </c>
      <c r="K6063" s="1" t="str">
        <f t="shared" si="3394"/>
        <v>103</v>
      </c>
      <c r="L6063" s="1" t="str">
        <f t="shared" si="3395"/>
        <v>47</v>
      </c>
      <c r="M6063" s="1" t="str">
        <f t="shared" si="3458"/>
        <v>0</v>
      </c>
      <c r="N6063" s="1" t="str">
        <f t="shared" si="3458"/>
        <v>0</v>
      </c>
      <c r="O6063" s="1" t="str">
        <f>"14.06"</f>
        <v>14.06</v>
      </c>
    </row>
    <row r="6064" s="1" customFormat="1" spans="1:15">
      <c r="A6064" s="1" t="str">
        <f t="shared" si="3408"/>
        <v>202406</v>
      </c>
      <c r="B6064" s="1" t="str">
        <f t="shared" si="3409"/>
        <v>150525100</v>
      </c>
      <c r="C6064" s="1" t="str">
        <f>"1040647379"</f>
        <v>1040647379</v>
      </c>
      <c r="D6064" s="1" t="str">
        <f>"152326196205143868"</f>
        <v>152326196205143868</v>
      </c>
      <c r="E6064" s="1" t="s">
        <v>5936</v>
      </c>
      <c r="F6064" s="1" t="s">
        <v>16</v>
      </c>
      <c r="G6064" s="1" t="s">
        <v>19</v>
      </c>
      <c r="H6064" s="1" t="str">
        <f>"62"</f>
        <v>62</v>
      </c>
      <c r="I6064" s="1" t="str">
        <f>"162.12"</f>
        <v>162.12</v>
      </c>
      <c r="J6064" s="1" t="str">
        <f t="shared" ref="J6064:N6064" si="3459">"0"</f>
        <v>0</v>
      </c>
      <c r="K6064" s="1" t="str">
        <f t="shared" si="3394"/>
        <v>103</v>
      </c>
      <c r="L6064" s="1" t="str">
        <f t="shared" si="3395"/>
        <v>47</v>
      </c>
      <c r="M6064" s="1" t="str">
        <f t="shared" si="3459"/>
        <v>0</v>
      </c>
      <c r="N6064" s="1" t="str">
        <f t="shared" si="3459"/>
        <v>0</v>
      </c>
      <c r="O6064" s="1" t="str">
        <f>"12.12"</f>
        <v>12.12</v>
      </c>
    </row>
    <row r="6065" s="1" customFormat="1" spans="1:15">
      <c r="A6065" s="1" t="str">
        <f t="shared" si="3408"/>
        <v>202406</v>
      </c>
      <c r="B6065" s="1" t="str">
        <f t="shared" si="3409"/>
        <v>150525100</v>
      </c>
      <c r="C6065" s="1" t="str">
        <f>"1040647381"</f>
        <v>1040647381</v>
      </c>
      <c r="D6065" s="1" t="str">
        <f>"152326195709283827"</f>
        <v>152326195709283827</v>
      </c>
      <c r="E6065" s="1" t="s">
        <v>5937</v>
      </c>
      <c r="F6065" s="1" t="s">
        <v>16</v>
      </c>
      <c r="G6065" s="1" t="s">
        <v>17</v>
      </c>
      <c r="H6065" s="1" t="str">
        <f>"67"</f>
        <v>67</v>
      </c>
      <c r="I6065" s="1" t="str">
        <f>"155.5"</f>
        <v>155.5</v>
      </c>
      <c r="J6065" s="1" t="str">
        <f t="shared" ref="J6065:N6065" si="3460">"0"</f>
        <v>0</v>
      </c>
      <c r="K6065" s="1" t="str">
        <f t="shared" si="3394"/>
        <v>103</v>
      </c>
      <c r="L6065" s="1" t="str">
        <f t="shared" si="3395"/>
        <v>47</v>
      </c>
      <c r="M6065" s="1" t="str">
        <f t="shared" si="3460"/>
        <v>0</v>
      </c>
      <c r="N6065" s="1" t="str">
        <f t="shared" si="3460"/>
        <v>0</v>
      </c>
      <c r="O6065" s="1" t="str">
        <f>"5.5"</f>
        <v>5.5</v>
      </c>
    </row>
    <row r="6066" s="1" customFormat="1" spans="1:15">
      <c r="A6066" s="1" t="str">
        <f t="shared" si="3408"/>
        <v>202406</v>
      </c>
      <c r="B6066" s="1" t="str">
        <f t="shared" si="3409"/>
        <v>150525100</v>
      </c>
      <c r="C6066" s="1" t="str">
        <f>"1040647421"</f>
        <v>1040647421</v>
      </c>
      <c r="D6066" s="1" t="str">
        <f>"152326196304236381"</f>
        <v>152326196304236381</v>
      </c>
      <c r="E6066" s="1" t="s">
        <v>5938</v>
      </c>
      <c r="F6066" s="1" t="s">
        <v>16</v>
      </c>
      <c r="G6066" s="1" t="s">
        <v>19</v>
      </c>
      <c r="H6066" s="1" t="str">
        <f>"61"</f>
        <v>61</v>
      </c>
      <c r="I6066" s="1" t="str">
        <f>"163.91"</f>
        <v>163.91</v>
      </c>
      <c r="J6066" s="1" t="str">
        <f t="shared" ref="J6066:N6066" si="3461">"0"</f>
        <v>0</v>
      </c>
      <c r="K6066" s="1" t="str">
        <f t="shared" si="3394"/>
        <v>103</v>
      </c>
      <c r="L6066" s="1" t="str">
        <f t="shared" si="3395"/>
        <v>47</v>
      </c>
      <c r="M6066" s="1" t="str">
        <f t="shared" si="3461"/>
        <v>0</v>
      </c>
      <c r="N6066" s="1" t="str">
        <f t="shared" si="3461"/>
        <v>0</v>
      </c>
      <c r="O6066" s="1" t="str">
        <f>"13.91"</f>
        <v>13.91</v>
      </c>
    </row>
    <row r="6067" s="1" customFormat="1" spans="1:15">
      <c r="A6067" s="1" t="str">
        <f t="shared" si="3408"/>
        <v>202406</v>
      </c>
      <c r="B6067" s="1" t="str">
        <f t="shared" si="3409"/>
        <v>150525100</v>
      </c>
      <c r="C6067" s="1" t="str">
        <f>"1040647496"</f>
        <v>1040647496</v>
      </c>
      <c r="D6067" s="1" t="str">
        <f>"152326195910200675"</f>
        <v>152326195910200675</v>
      </c>
      <c r="E6067" s="1" t="s">
        <v>5939</v>
      </c>
      <c r="F6067" s="1" t="s">
        <v>25</v>
      </c>
      <c r="G6067" s="1" t="s">
        <v>17</v>
      </c>
      <c r="H6067" s="1" t="str">
        <f>"65"</f>
        <v>65</v>
      </c>
      <c r="I6067" s="1" t="str">
        <f>"157.59"</f>
        <v>157.59</v>
      </c>
      <c r="J6067" s="1" t="str">
        <f t="shared" ref="J6067:N6067" si="3462">"0"</f>
        <v>0</v>
      </c>
      <c r="K6067" s="1" t="str">
        <f t="shared" si="3394"/>
        <v>103</v>
      </c>
      <c r="L6067" s="1" t="str">
        <f t="shared" si="3395"/>
        <v>47</v>
      </c>
      <c r="M6067" s="1" t="str">
        <f t="shared" si="3462"/>
        <v>0</v>
      </c>
      <c r="N6067" s="1" t="str">
        <f t="shared" si="3462"/>
        <v>0</v>
      </c>
      <c r="O6067" s="1" t="str">
        <f>"7.59"</f>
        <v>7.59</v>
      </c>
    </row>
    <row r="6068" s="1" customFormat="1" spans="1:15">
      <c r="A6068" s="1" t="str">
        <f t="shared" si="3408"/>
        <v>202406</v>
      </c>
      <c r="B6068" s="1" t="str">
        <f t="shared" si="3409"/>
        <v>150525100</v>
      </c>
      <c r="C6068" s="1" t="str">
        <f>"1040647535"</f>
        <v>1040647535</v>
      </c>
      <c r="D6068" s="1" t="str">
        <f>"152326196109250663"</f>
        <v>152326196109250663</v>
      </c>
      <c r="E6068" s="1" t="s">
        <v>5940</v>
      </c>
      <c r="F6068" s="1" t="s">
        <v>16</v>
      </c>
      <c r="G6068" s="1" t="s">
        <v>19</v>
      </c>
      <c r="H6068" s="1" t="str">
        <f>"63"</f>
        <v>63</v>
      </c>
      <c r="I6068" s="1" t="str">
        <f>"160.48"</f>
        <v>160.48</v>
      </c>
      <c r="J6068" s="1" t="str">
        <f t="shared" ref="J6068:N6068" si="3463">"0"</f>
        <v>0</v>
      </c>
      <c r="K6068" s="1" t="str">
        <f t="shared" si="3394"/>
        <v>103</v>
      </c>
      <c r="L6068" s="1" t="str">
        <f t="shared" si="3395"/>
        <v>47</v>
      </c>
      <c r="M6068" s="1" t="str">
        <f t="shared" si="3463"/>
        <v>0</v>
      </c>
      <c r="N6068" s="1" t="str">
        <f t="shared" si="3463"/>
        <v>0</v>
      </c>
      <c r="O6068" s="1" t="str">
        <f>"10.48"</f>
        <v>10.48</v>
      </c>
    </row>
    <row r="6069" s="1" customFormat="1" spans="1:15">
      <c r="A6069" s="1" t="str">
        <f t="shared" si="3408"/>
        <v>202406</v>
      </c>
      <c r="B6069" s="1" t="str">
        <f t="shared" si="3409"/>
        <v>150525100</v>
      </c>
      <c r="C6069" s="1" t="str">
        <f>"1040687539"</f>
        <v>1040687539</v>
      </c>
      <c r="D6069" s="1" t="str">
        <f>"152326195908020675"</f>
        <v>152326195908020675</v>
      </c>
      <c r="E6069" s="1" t="s">
        <v>5941</v>
      </c>
      <c r="F6069" s="1" t="s">
        <v>25</v>
      </c>
      <c r="G6069" s="1" t="s">
        <v>17</v>
      </c>
      <c r="H6069" s="1" t="str">
        <f>"65"</f>
        <v>65</v>
      </c>
      <c r="I6069" s="1" t="str">
        <f>"945.36"</f>
        <v>945.36</v>
      </c>
      <c r="J6069" s="1" t="str">
        <f>"787.8"</f>
        <v>787.8</v>
      </c>
      <c r="K6069" s="1" t="str">
        <f>"618"</f>
        <v>618</v>
      </c>
      <c r="L6069" s="1" t="str">
        <f>"282"</f>
        <v>282</v>
      </c>
      <c r="M6069" s="1" t="str">
        <f>"0"</f>
        <v>0</v>
      </c>
      <c r="N6069" s="1" t="str">
        <f>"0"</f>
        <v>0</v>
      </c>
      <c r="O6069" s="1" t="str">
        <f>"45.36"</f>
        <v>45.36</v>
      </c>
    </row>
    <row r="6070" s="1" customFormat="1" spans="1:15">
      <c r="A6070" s="1" t="str">
        <f t="shared" si="3408"/>
        <v>202406</v>
      </c>
      <c r="B6070" s="1" t="str">
        <f t="shared" si="3409"/>
        <v>150525100</v>
      </c>
      <c r="C6070" s="1" t="str">
        <f>"1040687559"</f>
        <v>1040687559</v>
      </c>
      <c r="D6070" s="1" t="str">
        <f>"152326195611090664"</f>
        <v>152326195611090664</v>
      </c>
      <c r="E6070" s="1" t="s">
        <v>5942</v>
      </c>
      <c r="F6070" s="1" t="s">
        <v>16</v>
      </c>
      <c r="G6070" s="1" t="s">
        <v>17</v>
      </c>
      <c r="H6070" s="1" t="str">
        <f t="shared" ref="H6070:H6073" si="3464">"68"</f>
        <v>68</v>
      </c>
      <c r="I6070" s="1" t="str">
        <f>"155.14"</f>
        <v>155.14</v>
      </c>
      <c r="J6070" s="1" t="str">
        <f t="shared" ref="J6070:N6070" si="3465">"0"</f>
        <v>0</v>
      </c>
      <c r="K6070" s="1" t="str">
        <f t="shared" ref="K6070:K6122" si="3466">"103"</f>
        <v>103</v>
      </c>
      <c r="L6070" s="1" t="str">
        <f t="shared" ref="L6070:L6122" si="3467">"47"</f>
        <v>47</v>
      </c>
      <c r="M6070" s="1" t="str">
        <f t="shared" si="3465"/>
        <v>0</v>
      </c>
      <c r="N6070" s="1" t="str">
        <f t="shared" si="3465"/>
        <v>0</v>
      </c>
      <c r="O6070" s="1" t="str">
        <f>"5.14"</f>
        <v>5.14</v>
      </c>
    </row>
    <row r="6071" s="1" customFormat="1" spans="1:15">
      <c r="A6071" s="1" t="str">
        <f t="shared" si="3408"/>
        <v>202406</v>
      </c>
      <c r="B6071" s="1" t="str">
        <f t="shared" si="3409"/>
        <v>150525100</v>
      </c>
      <c r="C6071" s="1" t="str">
        <f>"1040687563"</f>
        <v>1040687563</v>
      </c>
      <c r="D6071" s="1" t="str">
        <f>"152326195412160666"</f>
        <v>152326195412160666</v>
      </c>
      <c r="E6071" s="1" t="s">
        <v>2723</v>
      </c>
      <c r="F6071" s="1" t="s">
        <v>16</v>
      </c>
      <c r="G6071" s="1" t="s">
        <v>17</v>
      </c>
      <c r="H6071" s="1" t="str">
        <f>"70"</f>
        <v>70</v>
      </c>
      <c r="I6071" s="1" t="str">
        <f>"153.26"</f>
        <v>153.26</v>
      </c>
      <c r="J6071" s="1" t="str">
        <f t="shared" ref="J6071:N6071" si="3468">"0"</f>
        <v>0</v>
      </c>
      <c r="K6071" s="1" t="str">
        <f t="shared" si="3466"/>
        <v>103</v>
      </c>
      <c r="L6071" s="1" t="str">
        <f t="shared" si="3467"/>
        <v>47</v>
      </c>
      <c r="M6071" s="1" t="str">
        <f t="shared" si="3468"/>
        <v>0</v>
      </c>
      <c r="N6071" s="1" t="str">
        <f t="shared" si="3468"/>
        <v>0</v>
      </c>
      <c r="O6071" s="1" t="str">
        <f>"3.26"</f>
        <v>3.26</v>
      </c>
    </row>
    <row r="6072" s="1" customFormat="1" spans="1:15">
      <c r="A6072" s="1" t="str">
        <f t="shared" si="3408"/>
        <v>202406</v>
      </c>
      <c r="B6072" s="1" t="str">
        <f t="shared" si="3409"/>
        <v>150525100</v>
      </c>
      <c r="C6072" s="1" t="str">
        <f>"1040647537"</f>
        <v>1040647537</v>
      </c>
      <c r="D6072" s="1" t="str">
        <f>"152326195606060663"</f>
        <v>152326195606060663</v>
      </c>
      <c r="E6072" s="1" t="s">
        <v>5943</v>
      </c>
      <c r="F6072" s="1" t="s">
        <v>16</v>
      </c>
      <c r="G6072" s="1" t="s">
        <v>17</v>
      </c>
      <c r="H6072" s="1" t="str">
        <f t="shared" si="3464"/>
        <v>68</v>
      </c>
      <c r="I6072" s="1" t="str">
        <f>"155.43"</f>
        <v>155.43</v>
      </c>
      <c r="J6072" s="1" t="str">
        <f t="shared" ref="J6072:N6072" si="3469">"0"</f>
        <v>0</v>
      </c>
      <c r="K6072" s="1" t="str">
        <f t="shared" si="3466"/>
        <v>103</v>
      </c>
      <c r="L6072" s="1" t="str">
        <f t="shared" si="3467"/>
        <v>47</v>
      </c>
      <c r="M6072" s="1" t="str">
        <f t="shared" si="3469"/>
        <v>0</v>
      </c>
      <c r="N6072" s="1" t="str">
        <f t="shared" si="3469"/>
        <v>0</v>
      </c>
      <c r="O6072" s="1" t="str">
        <f>"5.43"</f>
        <v>5.43</v>
      </c>
    </row>
    <row r="6073" s="1" customFormat="1" spans="1:15">
      <c r="A6073" s="1" t="str">
        <f t="shared" si="3408"/>
        <v>202406</v>
      </c>
      <c r="B6073" s="1" t="str">
        <f t="shared" si="3409"/>
        <v>150525100</v>
      </c>
      <c r="C6073" s="1" t="str">
        <f>"1040647561"</f>
        <v>1040647561</v>
      </c>
      <c r="D6073" s="1" t="str">
        <f>"152326195602056376"</f>
        <v>152326195602056376</v>
      </c>
      <c r="E6073" s="1" t="s">
        <v>5944</v>
      </c>
      <c r="F6073" s="1" t="s">
        <v>25</v>
      </c>
      <c r="G6073" s="1" t="s">
        <v>17</v>
      </c>
      <c r="H6073" s="1" t="str">
        <f t="shared" si="3464"/>
        <v>68</v>
      </c>
      <c r="I6073" s="1" t="str">
        <f>"155.37"</f>
        <v>155.37</v>
      </c>
      <c r="J6073" s="1" t="str">
        <f t="shared" ref="J6073:N6073" si="3470">"0"</f>
        <v>0</v>
      </c>
      <c r="K6073" s="1" t="str">
        <f t="shared" si="3466"/>
        <v>103</v>
      </c>
      <c r="L6073" s="1" t="str">
        <f t="shared" si="3467"/>
        <v>47</v>
      </c>
      <c r="M6073" s="1" t="str">
        <f t="shared" si="3470"/>
        <v>0</v>
      </c>
      <c r="N6073" s="1" t="str">
        <f t="shared" si="3470"/>
        <v>0</v>
      </c>
      <c r="O6073" s="1" t="str">
        <f>"5.37"</f>
        <v>5.37</v>
      </c>
    </row>
    <row r="6074" s="1" customFormat="1" spans="1:15">
      <c r="A6074" s="1" t="str">
        <f t="shared" si="3408"/>
        <v>202406</v>
      </c>
      <c r="B6074" s="1" t="str">
        <f t="shared" si="3409"/>
        <v>150525100</v>
      </c>
      <c r="C6074" s="1" t="str">
        <f>"1040647608"</f>
        <v>1040647608</v>
      </c>
      <c r="D6074" s="1" t="str">
        <f>"152326195510166148"</f>
        <v>152326195510166148</v>
      </c>
      <c r="E6074" s="1" t="s">
        <v>1550</v>
      </c>
      <c r="F6074" s="1" t="s">
        <v>16</v>
      </c>
      <c r="G6074" s="1" t="s">
        <v>19</v>
      </c>
      <c r="H6074" s="1" t="str">
        <f t="shared" ref="H6074:H6079" si="3471">"69"</f>
        <v>69</v>
      </c>
      <c r="I6074" s="1" t="str">
        <f>"154.51"</f>
        <v>154.51</v>
      </c>
      <c r="J6074" s="1" t="str">
        <f t="shared" ref="J6074:N6074" si="3472">"0"</f>
        <v>0</v>
      </c>
      <c r="K6074" s="1" t="str">
        <f t="shared" si="3466"/>
        <v>103</v>
      </c>
      <c r="L6074" s="1" t="str">
        <f t="shared" si="3467"/>
        <v>47</v>
      </c>
      <c r="M6074" s="1" t="str">
        <f t="shared" si="3472"/>
        <v>0</v>
      </c>
      <c r="N6074" s="1" t="str">
        <f t="shared" si="3472"/>
        <v>0</v>
      </c>
      <c r="O6074" s="1" t="str">
        <f>"4.51"</f>
        <v>4.51</v>
      </c>
    </row>
    <row r="6075" s="1" customFormat="1" spans="1:15">
      <c r="A6075" s="1" t="str">
        <f t="shared" si="3408"/>
        <v>202406</v>
      </c>
      <c r="B6075" s="1" t="str">
        <f t="shared" si="3409"/>
        <v>150525100</v>
      </c>
      <c r="C6075" s="1" t="str">
        <f>"1040687608"</f>
        <v>1040687608</v>
      </c>
      <c r="D6075" s="1" t="str">
        <f>"152326196304230668"</f>
        <v>152326196304230668</v>
      </c>
      <c r="E6075" s="1" t="s">
        <v>3851</v>
      </c>
      <c r="F6075" s="1" t="s">
        <v>16</v>
      </c>
      <c r="G6075" s="1" t="s">
        <v>17</v>
      </c>
      <c r="H6075" s="1" t="str">
        <f>"61"</f>
        <v>61</v>
      </c>
      <c r="I6075" s="1" t="str">
        <f>"163.42"</f>
        <v>163.42</v>
      </c>
      <c r="J6075" s="1" t="str">
        <f t="shared" ref="J6075:N6075" si="3473">"0"</f>
        <v>0</v>
      </c>
      <c r="K6075" s="1" t="str">
        <f t="shared" si="3466"/>
        <v>103</v>
      </c>
      <c r="L6075" s="1" t="str">
        <f t="shared" si="3467"/>
        <v>47</v>
      </c>
      <c r="M6075" s="1" t="str">
        <f t="shared" si="3473"/>
        <v>0</v>
      </c>
      <c r="N6075" s="1" t="str">
        <f t="shared" si="3473"/>
        <v>0</v>
      </c>
      <c r="O6075" s="1" t="str">
        <f>"13.42"</f>
        <v>13.42</v>
      </c>
    </row>
    <row r="6076" s="1" customFormat="1" spans="1:15">
      <c r="A6076" s="1" t="str">
        <f t="shared" si="3408"/>
        <v>202406</v>
      </c>
      <c r="B6076" s="1" t="str">
        <f t="shared" si="3409"/>
        <v>150525100</v>
      </c>
      <c r="C6076" s="1" t="str">
        <f>"1040647753"</f>
        <v>1040647753</v>
      </c>
      <c r="D6076" s="1" t="str">
        <f>"152326196204163349"</f>
        <v>152326196204163349</v>
      </c>
      <c r="E6076" s="1" t="s">
        <v>5945</v>
      </c>
      <c r="F6076" s="1" t="s">
        <v>16</v>
      </c>
      <c r="G6076" s="1" t="s">
        <v>17</v>
      </c>
      <c r="H6076" s="1" t="str">
        <f>"62"</f>
        <v>62</v>
      </c>
      <c r="I6076" s="1" t="str">
        <f>"162.61"</f>
        <v>162.61</v>
      </c>
      <c r="J6076" s="1" t="str">
        <f t="shared" ref="J6076:N6076" si="3474">"0"</f>
        <v>0</v>
      </c>
      <c r="K6076" s="1" t="str">
        <f t="shared" si="3466"/>
        <v>103</v>
      </c>
      <c r="L6076" s="1" t="str">
        <f t="shared" si="3467"/>
        <v>47</v>
      </c>
      <c r="M6076" s="1" t="str">
        <f t="shared" si="3474"/>
        <v>0</v>
      </c>
      <c r="N6076" s="1" t="str">
        <f t="shared" si="3474"/>
        <v>0</v>
      </c>
      <c r="O6076" s="1" t="str">
        <f>"12.61"</f>
        <v>12.61</v>
      </c>
    </row>
    <row r="6077" s="1" customFormat="1" spans="1:15">
      <c r="A6077" s="1" t="str">
        <f t="shared" si="3408"/>
        <v>202406</v>
      </c>
      <c r="B6077" s="1" t="str">
        <f t="shared" si="3409"/>
        <v>150525100</v>
      </c>
      <c r="C6077" s="1" t="str">
        <f>"1040647764"</f>
        <v>1040647764</v>
      </c>
      <c r="D6077" s="1" t="str">
        <f>"152326196011103323"</f>
        <v>152326196011103323</v>
      </c>
      <c r="E6077" s="1" t="s">
        <v>5946</v>
      </c>
      <c r="F6077" s="1" t="s">
        <v>16</v>
      </c>
      <c r="G6077" s="1" t="s">
        <v>17</v>
      </c>
      <c r="H6077" s="1" t="str">
        <f>"64"</f>
        <v>64</v>
      </c>
      <c r="I6077" s="1" t="str">
        <f>"158.66"</f>
        <v>158.66</v>
      </c>
      <c r="J6077" s="1" t="str">
        <f t="shared" ref="J6077:N6077" si="3475">"0"</f>
        <v>0</v>
      </c>
      <c r="K6077" s="1" t="str">
        <f t="shared" si="3466"/>
        <v>103</v>
      </c>
      <c r="L6077" s="1" t="str">
        <f t="shared" si="3467"/>
        <v>47</v>
      </c>
      <c r="M6077" s="1" t="str">
        <f t="shared" si="3475"/>
        <v>0</v>
      </c>
      <c r="N6077" s="1" t="str">
        <f t="shared" si="3475"/>
        <v>0</v>
      </c>
      <c r="O6077" s="1" t="str">
        <f>"8.66"</f>
        <v>8.66</v>
      </c>
    </row>
    <row r="6078" s="1" customFormat="1" spans="1:15">
      <c r="A6078" s="1" t="str">
        <f t="shared" si="3408"/>
        <v>202406</v>
      </c>
      <c r="B6078" s="1" t="str">
        <f t="shared" si="3409"/>
        <v>150525100</v>
      </c>
      <c r="C6078" s="1" t="str">
        <f>"1040687712"</f>
        <v>1040687712</v>
      </c>
      <c r="D6078" s="1" t="str">
        <f>"152326195511120416"</f>
        <v>152326195511120416</v>
      </c>
      <c r="E6078" s="1" t="s">
        <v>5947</v>
      </c>
      <c r="F6078" s="1" t="s">
        <v>25</v>
      </c>
      <c r="G6078" s="1" t="s">
        <v>17</v>
      </c>
      <c r="H6078" s="1" t="str">
        <f t="shared" si="3471"/>
        <v>69</v>
      </c>
      <c r="I6078" s="1" t="str">
        <f>"154.21"</f>
        <v>154.21</v>
      </c>
      <c r="J6078" s="1" t="str">
        <f t="shared" ref="J6078:N6078" si="3476">"0"</f>
        <v>0</v>
      </c>
      <c r="K6078" s="1" t="str">
        <f t="shared" si="3466"/>
        <v>103</v>
      </c>
      <c r="L6078" s="1" t="str">
        <f t="shared" si="3467"/>
        <v>47</v>
      </c>
      <c r="M6078" s="1" t="str">
        <f t="shared" si="3476"/>
        <v>0</v>
      </c>
      <c r="N6078" s="1" t="str">
        <f t="shared" si="3476"/>
        <v>0</v>
      </c>
      <c r="O6078" s="1" t="str">
        <f>"4.21"</f>
        <v>4.21</v>
      </c>
    </row>
    <row r="6079" s="1" customFormat="1" spans="1:15">
      <c r="A6079" s="1" t="str">
        <f t="shared" si="3408"/>
        <v>202406</v>
      </c>
      <c r="B6079" s="1" t="str">
        <f t="shared" si="3409"/>
        <v>150525100</v>
      </c>
      <c r="C6079" s="1" t="str">
        <f>"1040687721"</f>
        <v>1040687721</v>
      </c>
      <c r="D6079" s="1" t="str">
        <f>"152326195502103868"</f>
        <v>152326195502103868</v>
      </c>
      <c r="E6079" s="1" t="s">
        <v>5948</v>
      </c>
      <c r="F6079" s="1" t="s">
        <v>16</v>
      </c>
      <c r="G6079" s="1" t="s">
        <v>19</v>
      </c>
      <c r="H6079" s="1" t="str">
        <f t="shared" si="3471"/>
        <v>69</v>
      </c>
      <c r="I6079" s="1" t="str">
        <f>"154.21"</f>
        <v>154.21</v>
      </c>
      <c r="J6079" s="1" t="str">
        <f t="shared" ref="J6079:N6079" si="3477">"0"</f>
        <v>0</v>
      </c>
      <c r="K6079" s="1" t="str">
        <f t="shared" si="3466"/>
        <v>103</v>
      </c>
      <c r="L6079" s="1" t="str">
        <f t="shared" si="3467"/>
        <v>47</v>
      </c>
      <c r="M6079" s="1" t="str">
        <f t="shared" si="3477"/>
        <v>0</v>
      </c>
      <c r="N6079" s="1" t="str">
        <f t="shared" si="3477"/>
        <v>0</v>
      </c>
      <c r="O6079" s="1" t="str">
        <f>"4.21"</f>
        <v>4.21</v>
      </c>
    </row>
    <row r="6080" s="1" customFormat="1" spans="1:15">
      <c r="A6080" s="1" t="str">
        <f t="shared" si="3408"/>
        <v>202406</v>
      </c>
      <c r="B6080" s="1" t="str">
        <f t="shared" si="3409"/>
        <v>150525100</v>
      </c>
      <c r="C6080" s="1" t="str">
        <f>"1040687733"</f>
        <v>1040687733</v>
      </c>
      <c r="D6080" s="1" t="str">
        <f>"152326196303243328"</f>
        <v>152326196303243328</v>
      </c>
      <c r="E6080" s="1" t="s">
        <v>5949</v>
      </c>
      <c r="F6080" s="1" t="s">
        <v>16</v>
      </c>
      <c r="G6080" s="1" t="s">
        <v>19</v>
      </c>
      <c r="H6080" s="1" t="str">
        <f>"61"</f>
        <v>61</v>
      </c>
      <c r="I6080" s="1" t="str">
        <f>"163.96"</f>
        <v>163.96</v>
      </c>
      <c r="J6080" s="1" t="str">
        <f t="shared" ref="J6080:N6080" si="3478">"0"</f>
        <v>0</v>
      </c>
      <c r="K6080" s="1" t="str">
        <f t="shared" si="3466"/>
        <v>103</v>
      </c>
      <c r="L6080" s="1" t="str">
        <f t="shared" si="3467"/>
        <v>47</v>
      </c>
      <c r="M6080" s="1" t="str">
        <f t="shared" si="3478"/>
        <v>0</v>
      </c>
      <c r="N6080" s="1" t="str">
        <f t="shared" si="3478"/>
        <v>0</v>
      </c>
      <c r="O6080" s="1" t="str">
        <f>"13.96"</f>
        <v>13.96</v>
      </c>
    </row>
    <row r="6081" s="1" customFormat="1" spans="1:15">
      <c r="A6081" s="1" t="str">
        <f t="shared" si="3408"/>
        <v>202406</v>
      </c>
      <c r="B6081" s="1" t="str">
        <f t="shared" si="3409"/>
        <v>150525100</v>
      </c>
      <c r="C6081" s="1" t="str">
        <f>"1040687738"</f>
        <v>1040687738</v>
      </c>
      <c r="D6081" s="1" t="str">
        <f>"152326195703153343"</f>
        <v>152326195703153343</v>
      </c>
      <c r="E6081" s="1" t="s">
        <v>5950</v>
      </c>
      <c r="F6081" s="1" t="s">
        <v>16</v>
      </c>
      <c r="G6081" s="1" t="s">
        <v>19</v>
      </c>
      <c r="H6081" s="1" t="str">
        <f>"67"</f>
        <v>67</v>
      </c>
      <c r="I6081" s="1" t="str">
        <f>"155.15"</f>
        <v>155.15</v>
      </c>
      <c r="J6081" s="1" t="str">
        <f t="shared" ref="J6081:N6081" si="3479">"0"</f>
        <v>0</v>
      </c>
      <c r="K6081" s="1" t="str">
        <f t="shared" si="3466"/>
        <v>103</v>
      </c>
      <c r="L6081" s="1" t="str">
        <f t="shared" si="3467"/>
        <v>47</v>
      </c>
      <c r="M6081" s="1" t="str">
        <f t="shared" si="3479"/>
        <v>0</v>
      </c>
      <c r="N6081" s="1" t="str">
        <f t="shared" si="3479"/>
        <v>0</v>
      </c>
      <c r="O6081" s="1" t="str">
        <f>"5.15"</f>
        <v>5.15</v>
      </c>
    </row>
    <row r="6082" s="1" customFormat="1" spans="1:15">
      <c r="A6082" s="1" t="str">
        <f t="shared" ref="A6082:A6145" si="3480">"202406"</f>
        <v>202406</v>
      </c>
      <c r="B6082" s="1" t="str">
        <f t="shared" ref="B6082:B6145" si="3481">"150525100"</f>
        <v>150525100</v>
      </c>
      <c r="C6082" s="1" t="str">
        <f>"1040648132"</f>
        <v>1040648132</v>
      </c>
      <c r="D6082" s="1" t="str">
        <f>"152326195702090416"</f>
        <v>152326195702090416</v>
      </c>
      <c r="E6082" s="1" t="s">
        <v>5951</v>
      </c>
      <c r="F6082" s="1" t="s">
        <v>25</v>
      </c>
      <c r="G6082" s="1" t="s">
        <v>19</v>
      </c>
      <c r="H6082" s="1" t="str">
        <f>"67"</f>
        <v>67</v>
      </c>
      <c r="I6082" s="1" t="str">
        <f>"155.2"</f>
        <v>155.2</v>
      </c>
      <c r="J6082" s="1" t="str">
        <f t="shared" ref="J6082:N6082" si="3482">"0"</f>
        <v>0</v>
      </c>
      <c r="K6082" s="1" t="str">
        <f t="shared" si="3466"/>
        <v>103</v>
      </c>
      <c r="L6082" s="1" t="str">
        <f t="shared" si="3467"/>
        <v>47</v>
      </c>
      <c r="M6082" s="1" t="str">
        <f t="shared" si="3482"/>
        <v>0</v>
      </c>
      <c r="N6082" s="1" t="str">
        <f t="shared" si="3482"/>
        <v>0</v>
      </c>
      <c r="O6082" s="1" t="str">
        <f>"5.2"</f>
        <v>5.2</v>
      </c>
    </row>
    <row r="6083" s="1" customFormat="1" spans="1:15">
      <c r="A6083" s="1" t="str">
        <f t="shared" si="3480"/>
        <v>202406</v>
      </c>
      <c r="B6083" s="1" t="str">
        <f t="shared" si="3481"/>
        <v>150525100</v>
      </c>
      <c r="C6083" s="1" t="str">
        <f>"1040648161"</f>
        <v>1040648161</v>
      </c>
      <c r="D6083" s="1" t="str">
        <f>"152326196211200427"</f>
        <v>152326196211200427</v>
      </c>
      <c r="E6083" s="1" t="s">
        <v>5952</v>
      </c>
      <c r="F6083" s="1" t="s">
        <v>16</v>
      </c>
      <c r="G6083" s="1" t="s">
        <v>17</v>
      </c>
      <c r="H6083" s="1" t="str">
        <f>"62"</f>
        <v>62</v>
      </c>
      <c r="I6083" s="1" t="str">
        <f>"162.54"</f>
        <v>162.54</v>
      </c>
      <c r="J6083" s="1" t="str">
        <f t="shared" ref="J6083:N6083" si="3483">"0"</f>
        <v>0</v>
      </c>
      <c r="K6083" s="1" t="str">
        <f t="shared" si="3466"/>
        <v>103</v>
      </c>
      <c r="L6083" s="1" t="str">
        <f t="shared" si="3467"/>
        <v>47</v>
      </c>
      <c r="M6083" s="1" t="str">
        <f t="shared" si="3483"/>
        <v>0</v>
      </c>
      <c r="N6083" s="1" t="str">
        <f t="shared" si="3483"/>
        <v>0</v>
      </c>
      <c r="O6083" s="1" t="str">
        <f>"12.54"</f>
        <v>12.54</v>
      </c>
    </row>
    <row r="6084" s="1" customFormat="1" spans="1:15">
      <c r="A6084" s="1" t="str">
        <f t="shared" si="3480"/>
        <v>202406</v>
      </c>
      <c r="B6084" s="1" t="str">
        <f t="shared" si="3481"/>
        <v>150525100</v>
      </c>
      <c r="C6084" s="1" t="str">
        <f>"1040687755"</f>
        <v>1040687755</v>
      </c>
      <c r="D6084" s="1" t="s">
        <v>5953</v>
      </c>
      <c r="E6084" s="1" t="s">
        <v>2452</v>
      </c>
      <c r="F6084" s="1" t="s">
        <v>16</v>
      </c>
      <c r="G6084" s="1" t="s">
        <v>17</v>
      </c>
      <c r="H6084" s="1" t="str">
        <f>"69"</f>
        <v>69</v>
      </c>
      <c r="I6084" s="1" t="str">
        <f>"153.95"</f>
        <v>153.95</v>
      </c>
      <c r="J6084" s="1" t="str">
        <f t="shared" ref="J6084:N6084" si="3484">"0"</f>
        <v>0</v>
      </c>
      <c r="K6084" s="1" t="str">
        <f t="shared" si="3466"/>
        <v>103</v>
      </c>
      <c r="L6084" s="1" t="str">
        <f t="shared" si="3467"/>
        <v>47</v>
      </c>
      <c r="M6084" s="1" t="str">
        <f t="shared" si="3484"/>
        <v>0</v>
      </c>
      <c r="N6084" s="1" t="str">
        <f t="shared" si="3484"/>
        <v>0</v>
      </c>
      <c r="O6084" s="1" t="str">
        <f>"3.95"</f>
        <v>3.95</v>
      </c>
    </row>
    <row r="6085" s="1" customFormat="1" spans="1:15">
      <c r="A6085" s="1" t="str">
        <f t="shared" si="3480"/>
        <v>202406</v>
      </c>
      <c r="B6085" s="1" t="str">
        <f t="shared" si="3481"/>
        <v>150525100</v>
      </c>
      <c r="C6085" s="1" t="str">
        <f>"1040687777"</f>
        <v>1040687777</v>
      </c>
      <c r="D6085" s="1" t="str">
        <f>"152326196106020678"</f>
        <v>152326196106020678</v>
      </c>
      <c r="E6085" s="1" t="s">
        <v>5954</v>
      </c>
      <c r="F6085" s="1" t="s">
        <v>25</v>
      </c>
      <c r="G6085" s="1" t="s">
        <v>17</v>
      </c>
      <c r="H6085" s="1" t="str">
        <f>"63"</f>
        <v>63</v>
      </c>
      <c r="I6085" s="1" t="str">
        <f>"160.14"</f>
        <v>160.14</v>
      </c>
      <c r="J6085" s="1" t="str">
        <f t="shared" ref="J6085:N6085" si="3485">"0"</f>
        <v>0</v>
      </c>
      <c r="K6085" s="1" t="str">
        <f t="shared" si="3466"/>
        <v>103</v>
      </c>
      <c r="L6085" s="1" t="str">
        <f t="shared" si="3467"/>
        <v>47</v>
      </c>
      <c r="M6085" s="1" t="str">
        <f t="shared" si="3485"/>
        <v>0</v>
      </c>
      <c r="N6085" s="1" t="str">
        <f t="shared" si="3485"/>
        <v>0</v>
      </c>
      <c r="O6085" s="1" t="str">
        <f>"10.14"</f>
        <v>10.14</v>
      </c>
    </row>
    <row r="6086" s="1" customFormat="1" spans="1:15">
      <c r="A6086" s="1" t="str">
        <f t="shared" si="3480"/>
        <v>202406</v>
      </c>
      <c r="B6086" s="1" t="str">
        <f t="shared" si="3481"/>
        <v>150525100</v>
      </c>
      <c r="C6086" s="1" t="str">
        <f>"1040687784"</f>
        <v>1040687784</v>
      </c>
      <c r="D6086" s="1" t="str">
        <f>"152326195908070680"</f>
        <v>152326195908070680</v>
      </c>
      <c r="E6086" s="1" t="s">
        <v>5955</v>
      </c>
      <c r="F6086" s="1" t="s">
        <v>16</v>
      </c>
      <c r="G6086" s="1" t="s">
        <v>19</v>
      </c>
      <c r="H6086" s="1" t="str">
        <f>"65"</f>
        <v>65</v>
      </c>
      <c r="I6086" s="1" t="str">
        <f>"157.24"</f>
        <v>157.24</v>
      </c>
      <c r="J6086" s="1" t="str">
        <f t="shared" ref="J6086:N6086" si="3486">"0"</f>
        <v>0</v>
      </c>
      <c r="K6086" s="1" t="str">
        <f t="shared" si="3466"/>
        <v>103</v>
      </c>
      <c r="L6086" s="1" t="str">
        <f t="shared" si="3467"/>
        <v>47</v>
      </c>
      <c r="M6086" s="1" t="str">
        <f t="shared" si="3486"/>
        <v>0</v>
      </c>
      <c r="N6086" s="1" t="str">
        <f t="shared" si="3486"/>
        <v>0</v>
      </c>
      <c r="O6086" s="1" t="str">
        <f>"7.24"</f>
        <v>7.24</v>
      </c>
    </row>
    <row r="6087" s="1" customFormat="1" spans="1:15">
      <c r="A6087" s="1" t="str">
        <f t="shared" si="3480"/>
        <v>202406</v>
      </c>
      <c r="B6087" s="1" t="str">
        <f t="shared" si="3481"/>
        <v>150525100</v>
      </c>
      <c r="C6087" s="1" t="str">
        <f>"1040687786"</f>
        <v>1040687786</v>
      </c>
      <c r="D6087" s="1" t="str">
        <f>"152326196206190674"</f>
        <v>152326196206190674</v>
      </c>
      <c r="E6087" s="1" t="s">
        <v>5956</v>
      </c>
      <c r="F6087" s="1" t="s">
        <v>25</v>
      </c>
      <c r="G6087" s="1" t="s">
        <v>17</v>
      </c>
      <c r="H6087" s="1" t="str">
        <f>"62"</f>
        <v>62</v>
      </c>
      <c r="I6087" s="1" t="str">
        <f>"163.01"</f>
        <v>163.01</v>
      </c>
      <c r="J6087" s="1" t="str">
        <f t="shared" ref="J6087:N6087" si="3487">"0"</f>
        <v>0</v>
      </c>
      <c r="K6087" s="1" t="str">
        <f t="shared" si="3466"/>
        <v>103</v>
      </c>
      <c r="L6087" s="1" t="str">
        <f t="shared" si="3467"/>
        <v>47</v>
      </c>
      <c r="M6087" s="1" t="str">
        <f t="shared" si="3487"/>
        <v>0</v>
      </c>
      <c r="N6087" s="1" t="str">
        <f t="shared" si="3487"/>
        <v>0</v>
      </c>
      <c r="O6087" s="1" t="str">
        <f>"13.01"</f>
        <v>13.01</v>
      </c>
    </row>
    <row r="6088" s="1" customFormat="1" spans="1:15">
      <c r="A6088" s="1" t="str">
        <f t="shared" si="3480"/>
        <v>202406</v>
      </c>
      <c r="B6088" s="1" t="str">
        <f t="shared" si="3481"/>
        <v>150525100</v>
      </c>
      <c r="C6088" s="1" t="str">
        <f>"1040687790"</f>
        <v>1040687790</v>
      </c>
      <c r="D6088" s="1" t="str">
        <f>"152326196105030671"</f>
        <v>152326196105030671</v>
      </c>
      <c r="E6088" s="1" t="s">
        <v>5957</v>
      </c>
      <c r="F6088" s="1" t="s">
        <v>25</v>
      </c>
      <c r="G6088" s="1" t="s">
        <v>17</v>
      </c>
      <c r="H6088" s="1" t="str">
        <f>"63"</f>
        <v>63</v>
      </c>
      <c r="I6088" s="1" t="str">
        <f>"159.42"</f>
        <v>159.42</v>
      </c>
      <c r="J6088" s="1" t="str">
        <f t="shared" ref="J6088:N6088" si="3488">"0"</f>
        <v>0</v>
      </c>
      <c r="K6088" s="1" t="str">
        <f t="shared" si="3466"/>
        <v>103</v>
      </c>
      <c r="L6088" s="1" t="str">
        <f t="shared" si="3467"/>
        <v>47</v>
      </c>
      <c r="M6088" s="1" t="str">
        <f t="shared" si="3488"/>
        <v>0</v>
      </c>
      <c r="N6088" s="1" t="str">
        <f t="shared" si="3488"/>
        <v>0</v>
      </c>
      <c r="O6088" s="1" t="str">
        <f>"9.42"</f>
        <v>9.42</v>
      </c>
    </row>
    <row r="6089" s="1" customFormat="1" spans="1:15">
      <c r="A6089" s="1" t="str">
        <f t="shared" si="3480"/>
        <v>202406</v>
      </c>
      <c r="B6089" s="1" t="str">
        <f t="shared" si="3481"/>
        <v>150525100</v>
      </c>
      <c r="C6089" s="1" t="str">
        <f>"1040648183"</f>
        <v>1040648183</v>
      </c>
      <c r="D6089" s="1" t="s">
        <v>5958</v>
      </c>
      <c r="E6089" s="1" t="s">
        <v>4807</v>
      </c>
      <c r="F6089" s="1" t="s">
        <v>16</v>
      </c>
      <c r="G6089" s="1" t="s">
        <v>17</v>
      </c>
      <c r="H6089" s="1" t="str">
        <f>"64"</f>
        <v>64</v>
      </c>
      <c r="I6089" s="1" t="str">
        <f>"158.64"</f>
        <v>158.64</v>
      </c>
      <c r="J6089" s="1" t="str">
        <f t="shared" ref="J6089:N6089" si="3489">"0"</f>
        <v>0</v>
      </c>
      <c r="K6089" s="1" t="str">
        <f t="shared" si="3466"/>
        <v>103</v>
      </c>
      <c r="L6089" s="1" t="str">
        <f t="shared" si="3467"/>
        <v>47</v>
      </c>
      <c r="M6089" s="1" t="str">
        <f t="shared" si="3489"/>
        <v>0</v>
      </c>
      <c r="N6089" s="1" t="str">
        <f t="shared" si="3489"/>
        <v>0</v>
      </c>
      <c r="O6089" s="1" t="str">
        <f>"8.64"</f>
        <v>8.64</v>
      </c>
    </row>
    <row r="6090" s="1" customFormat="1" spans="1:15">
      <c r="A6090" s="1" t="str">
        <f t="shared" si="3480"/>
        <v>202406</v>
      </c>
      <c r="B6090" s="1" t="str">
        <f t="shared" si="3481"/>
        <v>150525100</v>
      </c>
      <c r="C6090" s="1" t="str">
        <f>"1040687839"</f>
        <v>1040687839</v>
      </c>
      <c r="D6090" s="1" t="str">
        <f>"152326195506063824"</f>
        <v>152326195506063824</v>
      </c>
      <c r="E6090" s="1" t="s">
        <v>2452</v>
      </c>
      <c r="F6090" s="1" t="s">
        <v>16</v>
      </c>
      <c r="G6090" s="1" t="s">
        <v>17</v>
      </c>
      <c r="H6090" s="1" t="str">
        <f>"69"</f>
        <v>69</v>
      </c>
      <c r="I6090" s="1" t="str">
        <f>"154.2"</f>
        <v>154.2</v>
      </c>
      <c r="J6090" s="1" t="str">
        <f t="shared" ref="J6090:N6090" si="3490">"0"</f>
        <v>0</v>
      </c>
      <c r="K6090" s="1" t="str">
        <f t="shared" si="3466"/>
        <v>103</v>
      </c>
      <c r="L6090" s="1" t="str">
        <f t="shared" si="3467"/>
        <v>47</v>
      </c>
      <c r="M6090" s="1" t="str">
        <f t="shared" si="3490"/>
        <v>0</v>
      </c>
      <c r="N6090" s="1" t="str">
        <f t="shared" si="3490"/>
        <v>0</v>
      </c>
      <c r="O6090" s="1" t="str">
        <f>"4.2"</f>
        <v>4.2</v>
      </c>
    </row>
    <row r="6091" s="1" customFormat="1" spans="1:15">
      <c r="A6091" s="1" t="str">
        <f t="shared" si="3480"/>
        <v>202406</v>
      </c>
      <c r="B6091" s="1" t="str">
        <f t="shared" si="3481"/>
        <v>150525100</v>
      </c>
      <c r="C6091" s="1" t="str">
        <f>"1040687841"</f>
        <v>1040687841</v>
      </c>
      <c r="D6091" s="1" t="str">
        <f>"152326196211273829"</f>
        <v>152326196211273829</v>
      </c>
      <c r="E6091" s="1" t="s">
        <v>5959</v>
      </c>
      <c r="F6091" s="1" t="s">
        <v>16</v>
      </c>
      <c r="G6091" s="1" t="s">
        <v>17</v>
      </c>
      <c r="H6091" s="1" t="str">
        <f>"62"</f>
        <v>62</v>
      </c>
      <c r="I6091" s="1" t="str">
        <f>"162.2"</f>
        <v>162.2</v>
      </c>
      <c r="J6091" s="1" t="str">
        <f t="shared" ref="J6091:N6091" si="3491">"0"</f>
        <v>0</v>
      </c>
      <c r="K6091" s="1" t="str">
        <f t="shared" si="3466"/>
        <v>103</v>
      </c>
      <c r="L6091" s="1" t="str">
        <f t="shared" si="3467"/>
        <v>47</v>
      </c>
      <c r="M6091" s="1" t="str">
        <f t="shared" si="3491"/>
        <v>0</v>
      </c>
      <c r="N6091" s="1" t="str">
        <f t="shared" si="3491"/>
        <v>0</v>
      </c>
      <c r="O6091" s="1" t="str">
        <f>"12.2"</f>
        <v>12.2</v>
      </c>
    </row>
    <row r="6092" s="1" customFormat="1" spans="1:15">
      <c r="A6092" s="1" t="str">
        <f t="shared" si="3480"/>
        <v>202406</v>
      </c>
      <c r="B6092" s="1" t="str">
        <f t="shared" si="3481"/>
        <v>150525100</v>
      </c>
      <c r="C6092" s="1" t="str">
        <f>"1040687845"</f>
        <v>1040687845</v>
      </c>
      <c r="D6092" s="1" t="str">
        <f>"152326195503283813"</f>
        <v>152326195503283813</v>
      </c>
      <c r="E6092" s="1" t="s">
        <v>5960</v>
      </c>
      <c r="F6092" s="1" t="s">
        <v>25</v>
      </c>
      <c r="G6092" s="1" t="s">
        <v>17</v>
      </c>
      <c r="H6092" s="1" t="str">
        <f>"69"</f>
        <v>69</v>
      </c>
      <c r="I6092" s="1" t="str">
        <f>"154.2"</f>
        <v>154.2</v>
      </c>
      <c r="J6092" s="1" t="str">
        <f t="shared" ref="J6092:N6092" si="3492">"0"</f>
        <v>0</v>
      </c>
      <c r="K6092" s="1" t="str">
        <f t="shared" si="3466"/>
        <v>103</v>
      </c>
      <c r="L6092" s="1" t="str">
        <f t="shared" si="3467"/>
        <v>47</v>
      </c>
      <c r="M6092" s="1" t="str">
        <f t="shared" si="3492"/>
        <v>0</v>
      </c>
      <c r="N6092" s="1" t="str">
        <f t="shared" si="3492"/>
        <v>0</v>
      </c>
      <c r="O6092" s="1" t="str">
        <f>"4.2"</f>
        <v>4.2</v>
      </c>
    </row>
    <row r="6093" s="1" customFormat="1" spans="1:15">
      <c r="A6093" s="1" t="str">
        <f t="shared" si="3480"/>
        <v>202406</v>
      </c>
      <c r="B6093" s="1" t="str">
        <f t="shared" si="3481"/>
        <v>150525100</v>
      </c>
      <c r="C6093" s="1" t="str">
        <f>"1040687888"</f>
        <v>1040687888</v>
      </c>
      <c r="D6093" s="1" t="str">
        <f>"152326195704210426"</f>
        <v>152326195704210426</v>
      </c>
      <c r="E6093" s="1" t="s">
        <v>1752</v>
      </c>
      <c r="F6093" s="1" t="s">
        <v>16</v>
      </c>
      <c r="G6093" s="1" t="s">
        <v>17</v>
      </c>
      <c r="H6093" s="1" t="str">
        <f t="shared" ref="H6093:H6097" si="3493">"67"</f>
        <v>67</v>
      </c>
      <c r="I6093" s="1" t="str">
        <f>"155.15"</f>
        <v>155.15</v>
      </c>
      <c r="J6093" s="1" t="str">
        <f t="shared" ref="J6093:N6093" si="3494">"0"</f>
        <v>0</v>
      </c>
      <c r="K6093" s="1" t="str">
        <f t="shared" si="3466"/>
        <v>103</v>
      </c>
      <c r="L6093" s="1" t="str">
        <f t="shared" si="3467"/>
        <v>47</v>
      </c>
      <c r="M6093" s="1" t="str">
        <f t="shared" si="3494"/>
        <v>0</v>
      </c>
      <c r="N6093" s="1" t="str">
        <f t="shared" si="3494"/>
        <v>0</v>
      </c>
      <c r="O6093" s="1" t="str">
        <f>"5.15"</f>
        <v>5.15</v>
      </c>
    </row>
    <row r="6094" s="1" customFormat="1" spans="1:15">
      <c r="A6094" s="1" t="str">
        <f t="shared" si="3480"/>
        <v>202406</v>
      </c>
      <c r="B6094" s="1" t="str">
        <f t="shared" si="3481"/>
        <v>150525100</v>
      </c>
      <c r="C6094" s="1" t="str">
        <f>"1040653673"</f>
        <v>1040653673</v>
      </c>
      <c r="D6094" s="1" t="str">
        <f>"152326195703273070"</f>
        <v>152326195703273070</v>
      </c>
      <c r="E6094" s="1" t="s">
        <v>5961</v>
      </c>
      <c r="F6094" s="1" t="s">
        <v>25</v>
      </c>
      <c r="G6094" s="1" t="s">
        <v>19</v>
      </c>
      <c r="H6094" s="1" t="str">
        <f t="shared" si="3493"/>
        <v>67</v>
      </c>
      <c r="I6094" s="1" t="str">
        <f>"155.69"</f>
        <v>155.69</v>
      </c>
      <c r="J6094" s="1" t="str">
        <f t="shared" ref="J6094:N6094" si="3495">"0"</f>
        <v>0</v>
      </c>
      <c r="K6094" s="1" t="str">
        <f t="shared" si="3466"/>
        <v>103</v>
      </c>
      <c r="L6094" s="1" t="str">
        <f t="shared" si="3467"/>
        <v>47</v>
      </c>
      <c r="M6094" s="1" t="str">
        <f t="shared" si="3495"/>
        <v>0</v>
      </c>
      <c r="N6094" s="1" t="str">
        <f t="shared" si="3495"/>
        <v>0</v>
      </c>
      <c r="O6094" s="1" t="str">
        <f>"5.69"</f>
        <v>5.69</v>
      </c>
    </row>
    <row r="6095" s="1" customFormat="1" spans="1:15">
      <c r="A6095" s="1" t="str">
        <f t="shared" si="3480"/>
        <v>202406</v>
      </c>
      <c r="B6095" s="1" t="str">
        <f t="shared" si="3481"/>
        <v>150525100</v>
      </c>
      <c r="C6095" s="1" t="str">
        <f>"1040653686"</f>
        <v>1040653686</v>
      </c>
      <c r="D6095" s="1" t="str">
        <f>"152326196104273073"</f>
        <v>152326196104273073</v>
      </c>
      <c r="E6095" s="1" t="s">
        <v>5962</v>
      </c>
      <c r="F6095" s="1" t="s">
        <v>25</v>
      </c>
      <c r="G6095" s="1" t="s">
        <v>19</v>
      </c>
      <c r="H6095" s="1" t="str">
        <f>"63"</f>
        <v>63</v>
      </c>
      <c r="I6095" s="1" t="str">
        <f>"160.68"</f>
        <v>160.68</v>
      </c>
      <c r="J6095" s="1" t="str">
        <f t="shared" ref="J6095:N6095" si="3496">"0"</f>
        <v>0</v>
      </c>
      <c r="K6095" s="1" t="str">
        <f t="shared" si="3466"/>
        <v>103</v>
      </c>
      <c r="L6095" s="1" t="str">
        <f t="shared" si="3467"/>
        <v>47</v>
      </c>
      <c r="M6095" s="1" t="str">
        <f t="shared" si="3496"/>
        <v>0</v>
      </c>
      <c r="N6095" s="1" t="str">
        <f t="shared" si="3496"/>
        <v>0</v>
      </c>
      <c r="O6095" s="1" t="str">
        <f>"10.68"</f>
        <v>10.68</v>
      </c>
    </row>
    <row r="6096" s="1" customFormat="1" spans="1:15">
      <c r="A6096" s="1" t="str">
        <f t="shared" si="3480"/>
        <v>202406</v>
      </c>
      <c r="B6096" s="1" t="str">
        <f t="shared" si="3481"/>
        <v>150525100</v>
      </c>
      <c r="C6096" s="1" t="str">
        <f>"1040687938"</f>
        <v>1040687938</v>
      </c>
      <c r="D6096" s="1" t="str">
        <f>"152326195611173320"</f>
        <v>152326195611173320</v>
      </c>
      <c r="E6096" s="1" t="s">
        <v>2269</v>
      </c>
      <c r="F6096" s="1" t="s">
        <v>16</v>
      </c>
      <c r="G6096" s="1" t="s">
        <v>17</v>
      </c>
      <c r="H6096" s="1" t="str">
        <f>"68"</f>
        <v>68</v>
      </c>
      <c r="I6096" s="1" t="str">
        <f>"155.12"</f>
        <v>155.12</v>
      </c>
      <c r="J6096" s="1" t="str">
        <f t="shared" ref="J6096:N6096" si="3497">"0"</f>
        <v>0</v>
      </c>
      <c r="K6096" s="1" t="str">
        <f t="shared" si="3466"/>
        <v>103</v>
      </c>
      <c r="L6096" s="1" t="str">
        <f t="shared" si="3467"/>
        <v>47</v>
      </c>
      <c r="M6096" s="1" t="str">
        <f t="shared" si="3497"/>
        <v>0</v>
      </c>
      <c r="N6096" s="1" t="str">
        <f t="shared" si="3497"/>
        <v>0</v>
      </c>
      <c r="O6096" s="1" t="str">
        <f>"5.12"</f>
        <v>5.12</v>
      </c>
    </row>
    <row r="6097" s="1" customFormat="1" spans="1:15">
      <c r="A6097" s="1" t="str">
        <f t="shared" si="3480"/>
        <v>202406</v>
      </c>
      <c r="B6097" s="1" t="str">
        <f t="shared" si="3481"/>
        <v>150525100</v>
      </c>
      <c r="C6097" s="1" t="str">
        <f>"1040729119"</f>
        <v>1040729119</v>
      </c>
      <c r="D6097" s="1" t="str">
        <f>"152326195709273813"</f>
        <v>152326195709273813</v>
      </c>
      <c r="E6097" s="1" t="s">
        <v>5963</v>
      </c>
      <c r="F6097" s="1" t="s">
        <v>25</v>
      </c>
      <c r="G6097" s="1" t="s">
        <v>17</v>
      </c>
      <c r="H6097" s="1" t="str">
        <f t="shared" si="3493"/>
        <v>67</v>
      </c>
      <c r="I6097" s="1" t="str">
        <f>"155.51"</f>
        <v>155.51</v>
      </c>
      <c r="J6097" s="1" t="str">
        <f t="shared" ref="J6097:N6097" si="3498">"0"</f>
        <v>0</v>
      </c>
      <c r="K6097" s="1" t="str">
        <f t="shared" si="3466"/>
        <v>103</v>
      </c>
      <c r="L6097" s="1" t="str">
        <f t="shared" si="3467"/>
        <v>47</v>
      </c>
      <c r="M6097" s="1" t="str">
        <f t="shared" si="3498"/>
        <v>0</v>
      </c>
      <c r="N6097" s="1" t="str">
        <f t="shared" si="3498"/>
        <v>0</v>
      </c>
      <c r="O6097" s="1" t="str">
        <f>"5.51"</f>
        <v>5.51</v>
      </c>
    </row>
    <row r="6098" s="1" customFormat="1" spans="1:15">
      <c r="A6098" s="1" t="str">
        <f t="shared" si="3480"/>
        <v>202406</v>
      </c>
      <c r="B6098" s="1" t="str">
        <f t="shared" si="3481"/>
        <v>150525100</v>
      </c>
      <c r="C6098" s="1" t="str">
        <f>"1040688137"</f>
        <v>1040688137</v>
      </c>
      <c r="D6098" s="1" t="str">
        <f>"152326196211090432"</f>
        <v>152326196211090432</v>
      </c>
      <c r="E6098" s="1" t="s">
        <v>5964</v>
      </c>
      <c r="F6098" s="1" t="s">
        <v>25</v>
      </c>
      <c r="G6098" s="1" t="s">
        <v>17</v>
      </c>
      <c r="H6098" s="1" t="str">
        <f>"62"</f>
        <v>62</v>
      </c>
      <c r="I6098" s="1" t="str">
        <f>"197.68"</f>
        <v>197.68</v>
      </c>
      <c r="J6098" s="1" t="str">
        <f t="shared" ref="J6098:N6098" si="3499">"0"</f>
        <v>0</v>
      </c>
      <c r="K6098" s="1" t="str">
        <f t="shared" si="3466"/>
        <v>103</v>
      </c>
      <c r="L6098" s="1" t="str">
        <f t="shared" si="3467"/>
        <v>47</v>
      </c>
      <c r="M6098" s="1" t="str">
        <f t="shared" si="3499"/>
        <v>0</v>
      </c>
      <c r="N6098" s="1" t="str">
        <f t="shared" si="3499"/>
        <v>0</v>
      </c>
      <c r="O6098" s="1" t="str">
        <f>"47.68"</f>
        <v>47.68</v>
      </c>
    </row>
    <row r="6099" s="1" customFormat="1" spans="1:15">
      <c r="A6099" s="1" t="str">
        <f t="shared" si="3480"/>
        <v>202406</v>
      </c>
      <c r="B6099" s="1" t="str">
        <f t="shared" si="3481"/>
        <v>150525100</v>
      </c>
      <c r="C6099" s="1" t="str">
        <f>"1040688138"</f>
        <v>1040688138</v>
      </c>
      <c r="D6099" s="1" t="str">
        <f>"152326195512020417"</f>
        <v>152326195512020417</v>
      </c>
      <c r="E6099" s="1" t="s">
        <v>5965</v>
      </c>
      <c r="F6099" s="1" t="s">
        <v>25</v>
      </c>
      <c r="G6099" s="1" t="s">
        <v>17</v>
      </c>
      <c r="H6099" s="1" t="str">
        <f>"69"</f>
        <v>69</v>
      </c>
      <c r="I6099" s="1" t="str">
        <f>"154.2"</f>
        <v>154.2</v>
      </c>
      <c r="J6099" s="1" t="str">
        <f t="shared" ref="J6099:N6099" si="3500">"0"</f>
        <v>0</v>
      </c>
      <c r="K6099" s="1" t="str">
        <f t="shared" si="3466"/>
        <v>103</v>
      </c>
      <c r="L6099" s="1" t="str">
        <f t="shared" si="3467"/>
        <v>47</v>
      </c>
      <c r="M6099" s="1" t="str">
        <f t="shared" si="3500"/>
        <v>0</v>
      </c>
      <c r="N6099" s="1" t="str">
        <f t="shared" si="3500"/>
        <v>0</v>
      </c>
      <c r="O6099" s="1" t="str">
        <f>"4.2"</f>
        <v>4.2</v>
      </c>
    </row>
    <row r="6100" s="1" customFormat="1" spans="1:15">
      <c r="A6100" s="1" t="str">
        <f t="shared" si="3480"/>
        <v>202406</v>
      </c>
      <c r="B6100" s="1" t="str">
        <f t="shared" si="3481"/>
        <v>150525100</v>
      </c>
      <c r="C6100" s="1" t="str">
        <f>"1040688143"</f>
        <v>1040688143</v>
      </c>
      <c r="D6100" s="1" t="str">
        <f>"152326196208020425"</f>
        <v>152326196208020425</v>
      </c>
      <c r="E6100" s="1" t="s">
        <v>5966</v>
      </c>
      <c r="F6100" s="1" t="s">
        <v>16</v>
      </c>
      <c r="G6100" s="1" t="s">
        <v>17</v>
      </c>
      <c r="H6100" s="1" t="str">
        <f>"62"</f>
        <v>62</v>
      </c>
      <c r="I6100" s="1" t="str">
        <f>"170.86"</f>
        <v>170.86</v>
      </c>
      <c r="J6100" s="1" t="str">
        <f t="shared" ref="J6100:N6100" si="3501">"0"</f>
        <v>0</v>
      </c>
      <c r="K6100" s="1" t="str">
        <f t="shared" si="3466"/>
        <v>103</v>
      </c>
      <c r="L6100" s="1" t="str">
        <f t="shared" si="3467"/>
        <v>47</v>
      </c>
      <c r="M6100" s="1" t="str">
        <f t="shared" si="3501"/>
        <v>0</v>
      </c>
      <c r="N6100" s="1" t="str">
        <f t="shared" si="3501"/>
        <v>0</v>
      </c>
      <c r="O6100" s="1" t="str">
        <f>"20.86"</f>
        <v>20.86</v>
      </c>
    </row>
    <row r="6101" s="1" customFormat="1" spans="1:15">
      <c r="A6101" s="1" t="str">
        <f t="shared" si="3480"/>
        <v>202406</v>
      </c>
      <c r="B6101" s="1" t="str">
        <f t="shared" si="3481"/>
        <v>150525100</v>
      </c>
      <c r="C6101" s="1" t="str">
        <f>"1040688147"</f>
        <v>1040688147</v>
      </c>
      <c r="D6101" s="1" t="str">
        <f>"152326195307150415"</f>
        <v>152326195307150415</v>
      </c>
      <c r="E6101" s="1" t="s">
        <v>5967</v>
      </c>
      <c r="F6101" s="1" t="s">
        <v>25</v>
      </c>
      <c r="G6101" s="1" t="s">
        <v>17</v>
      </c>
      <c r="H6101" s="1" t="str">
        <f>"71"</f>
        <v>71</v>
      </c>
      <c r="I6101" s="1" t="str">
        <f>"162.26"</f>
        <v>162.26</v>
      </c>
      <c r="J6101" s="1" t="str">
        <f t="shared" ref="J6101:N6101" si="3502">"0"</f>
        <v>0</v>
      </c>
      <c r="K6101" s="1" t="str">
        <f t="shared" si="3466"/>
        <v>103</v>
      </c>
      <c r="L6101" s="1" t="str">
        <f t="shared" si="3467"/>
        <v>47</v>
      </c>
      <c r="M6101" s="1" t="str">
        <f t="shared" si="3502"/>
        <v>0</v>
      </c>
      <c r="N6101" s="1" t="str">
        <f t="shared" si="3502"/>
        <v>0</v>
      </c>
      <c r="O6101" s="1" t="str">
        <f>"2.26"</f>
        <v>2.26</v>
      </c>
    </row>
    <row r="6102" s="1" customFormat="1" spans="1:15">
      <c r="A6102" s="1" t="str">
        <f t="shared" si="3480"/>
        <v>202406</v>
      </c>
      <c r="B6102" s="1" t="str">
        <f t="shared" si="3481"/>
        <v>150525100</v>
      </c>
      <c r="C6102" s="1" t="str">
        <f>"1040688212"</f>
        <v>1040688212</v>
      </c>
      <c r="D6102" s="1" t="str">
        <f>"152326195807060029"</f>
        <v>152326195807060029</v>
      </c>
      <c r="E6102" s="1" t="s">
        <v>5968</v>
      </c>
      <c r="F6102" s="1" t="s">
        <v>16</v>
      </c>
      <c r="G6102" s="1" t="s">
        <v>19</v>
      </c>
      <c r="H6102" s="1" t="str">
        <f>"66"</f>
        <v>66</v>
      </c>
      <c r="I6102" s="1" t="str">
        <f>"157.13"</f>
        <v>157.13</v>
      </c>
      <c r="J6102" s="1" t="str">
        <f t="shared" ref="J6102:N6102" si="3503">"0"</f>
        <v>0</v>
      </c>
      <c r="K6102" s="1" t="str">
        <f t="shared" si="3466"/>
        <v>103</v>
      </c>
      <c r="L6102" s="1" t="str">
        <f t="shared" si="3467"/>
        <v>47</v>
      </c>
      <c r="M6102" s="1" t="str">
        <f t="shared" si="3503"/>
        <v>0</v>
      </c>
      <c r="N6102" s="1" t="str">
        <f t="shared" si="3503"/>
        <v>0</v>
      </c>
      <c r="O6102" s="1" t="str">
        <f>"7.13"</f>
        <v>7.13</v>
      </c>
    </row>
    <row r="6103" s="1" customFormat="1" spans="1:15">
      <c r="A6103" s="1" t="str">
        <f t="shared" si="3480"/>
        <v>202406</v>
      </c>
      <c r="B6103" s="1" t="str">
        <f t="shared" si="3481"/>
        <v>150525100</v>
      </c>
      <c r="C6103" s="1" t="str">
        <f>"1040935344"</f>
        <v>1040935344</v>
      </c>
      <c r="D6103" s="1" t="str">
        <f>"152326196301110425"</f>
        <v>152326196301110425</v>
      </c>
      <c r="E6103" s="1" t="s">
        <v>2060</v>
      </c>
      <c r="F6103" s="1" t="s">
        <v>16</v>
      </c>
      <c r="G6103" s="1" t="s">
        <v>17</v>
      </c>
      <c r="H6103" s="1" t="str">
        <f>"61"</f>
        <v>61</v>
      </c>
      <c r="I6103" s="1" t="str">
        <f>"164.31"</f>
        <v>164.31</v>
      </c>
      <c r="J6103" s="1" t="str">
        <f t="shared" ref="J6103:N6103" si="3504">"0"</f>
        <v>0</v>
      </c>
      <c r="K6103" s="1" t="str">
        <f t="shared" si="3466"/>
        <v>103</v>
      </c>
      <c r="L6103" s="1" t="str">
        <f t="shared" si="3467"/>
        <v>47</v>
      </c>
      <c r="M6103" s="1" t="str">
        <f t="shared" si="3504"/>
        <v>0</v>
      </c>
      <c r="N6103" s="1" t="str">
        <f t="shared" si="3504"/>
        <v>0</v>
      </c>
      <c r="O6103" s="1" t="str">
        <f>"14.31"</f>
        <v>14.31</v>
      </c>
    </row>
    <row r="6104" s="1" customFormat="1" spans="1:15">
      <c r="A6104" s="1" t="str">
        <f t="shared" si="3480"/>
        <v>202406</v>
      </c>
      <c r="B6104" s="1" t="str">
        <f t="shared" si="3481"/>
        <v>150525100</v>
      </c>
      <c r="C6104" s="1" t="str">
        <f>"1040935347"</f>
        <v>1040935347</v>
      </c>
      <c r="D6104" s="1" t="str">
        <f>"152326195602023347"</f>
        <v>152326195602023347</v>
      </c>
      <c r="E6104" s="1" t="s">
        <v>5969</v>
      </c>
      <c r="F6104" s="1" t="s">
        <v>16</v>
      </c>
      <c r="G6104" s="1" t="s">
        <v>19</v>
      </c>
      <c r="H6104" s="1" t="str">
        <f>"68"</f>
        <v>68</v>
      </c>
      <c r="I6104" s="1" t="str">
        <f>"155.19"</f>
        <v>155.19</v>
      </c>
      <c r="J6104" s="1" t="str">
        <f t="shared" ref="J6104:N6104" si="3505">"0"</f>
        <v>0</v>
      </c>
      <c r="K6104" s="1" t="str">
        <f t="shared" si="3466"/>
        <v>103</v>
      </c>
      <c r="L6104" s="1" t="str">
        <f t="shared" si="3467"/>
        <v>47</v>
      </c>
      <c r="M6104" s="1" t="str">
        <f t="shared" si="3505"/>
        <v>0</v>
      </c>
      <c r="N6104" s="1" t="str">
        <f t="shared" si="3505"/>
        <v>0</v>
      </c>
      <c r="O6104" s="1" t="str">
        <f>"5.19"</f>
        <v>5.19</v>
      </c>
    </row>
    <row r="6105" s="1" customFormat="1" spans="1:15">
      <c r="A6105" s="1" t="str">
        <f t="shared" si="3480"/>
        <v>202406</v>
      </c>
      <c r="B6105" s="1" t="str">
        <f t="shared" si="3481"/>
        <v>150525100</v>
      </c>
      <c r="C6105" s="1" t="str">
        <f>"1040935358"</f>
        <v>1040935358</v>
      </c>
      <c r="D6105" s="1" t="str">
        <f>"152326195505113818"</f>
        <v>152326195505113818</v>
      </c>
      <c r="E6105" s="1" t="s">
        <v>5970</v>
      </c>
      <c r="F6105" s="1" t="s">
        <v>25</v>
      </c>
      <c r="G6105" s="1" t="s">
        <v>19</v>
      </c>
      <c r="H6105" s="1" t="str">
        <f>"69"</f>
        <v>69</v>
      </c>
      <c r="I6105" s="1" t="str">
        <f>"153.6"</f>
        <v>153.6</v>
      </c>
      <c r="J6105" s="1" t="str">
        <f t="shared" ref="J6105:N6105" si="3506">"0"</f>
        <v>0</v>
      </c>
      <c r="K6105" s="1" t="str">
        <f t="shared" si="3466"/>
        <v>103</v>
      </c>
      <c r="L6105" s="1" t="str">
        <f t="shared" si="3467"/>
        <v>47</v>
      </c>
      <c r="M6105" s="1" t="str">
        <f t="shared" si="3506"/>
        <v>0</v>
      </c>
      <c r="N6105" s="1" t="str">
        <f t="shared" si="3506"/>
        <v>0</v>
      </c>
      <c r="O6105" s="1" t="str">
        <f>"3.6"</f>
        <v>3.6</v>
      </c>
    </row>
    <row r="6106" s="1" customFormat="1" spans="1:15">
      <c r="A6106" s="1" t="str">
        <f t="shared" si="3480"/>
        <v>202406</v>
      </c>
      <c r="B6106" s="1" t="str">
        <f t="shared" si="3481"/>
        <v>150525100</v>
      </c>
      <c r="C6106" s="1" t="str">
        <f>"1040935362"</f>
        <v>1040935362</v>
      </c>
      <c r="D6106" s="1" t="str">
        <f>"152326195708023847"</f>
        <v>152326195708023847</v>
      </c>
      <c r="E6106" s="1" t="s">
        <v>1240</v>
      </c>
      <c r="F6106" s="1" t="s">
        <v>16</v>
      </c>
      <c r="G6106" s="1" t="s">
        <v>19</v>
      </c>
      <c r="H6106" s="1" t="str">
        <f>"67"</f>
        <v>67</v>
      </c>
      <c r="I6106" s="1" t="str">
        <f>"154.59"</f>
        <v>154.59</v>
      </c>
      <c r="J6106" s="1" t="str">
        <f t="shared" ref="J6106:N6106" si="3507">"0"</f>
        <v>0</v>
      </c>
      <c r="K6106" s="1" t="str">
        <f t="shared" si="3466"/>
        <v>103</v>
      </c>
      <c r="L6106" s="1" t="str">
        <f t="shared" si="3467"/>
        <v>47</v>
      </c>
      <c r="M6106" s="1" t="str">
        <f t="shared" si="3507"/>
        <v>0</v>
      </c>
      <c r="N6106" s="1" t="str">
        <f t="shared" si="3507"/>
        <v>0</v>
      </c>
      <c r="O6106" s="1" t="str">
        <f>"4.59"</f>
        <v>4.59</v>
      </c>
    </row>
    <row r="6107" s="1" customFormat="1" spans="1:15">
      <c r="A6107" s="1" t="str">
        <f t="shared" si="3480"/>
        <v>202406</v>
      </c>
      <c r="B6107" s="1" t="str">
        <f t="shared" si="3481"/>
        <v>150525100</v>
      </c>
      <c r="C6107" s="1" t="str">
        <f>"1040935388"</f>
        <v>1040935388</v>
      </c>
      <c r="D6107" s="1" t="str">
        <f>"152326195805040032"</f>
        <v>152326195805040032</v>
      </c>
      <c r="E6107" s="1" t="s">
        <v>5971</v>
      </c>
      <c r="F6107" s="1" t="s">
        <v>25</v>
      </c>
      <c r="G6107" s="1" t="s">
        <v>17</v>
      </c>
      <c r="H6107" s="1" t="str">
        <f>"66"</f>
        <v>66</v>
      </c>
      <c r="I6107" s="1" t="str">
        <f>"156.49"</f>
        <v>156.49</v>
      </c>
      <c r="J6107" s="1" t="str">
        <f t="shared" ref="J6107:N6107" si="3508">"0"</f>
        <v>0</v>
      </c>
      <c r="K6107" s="1" t="str">
        <f t="shared" si="3466"/>
        <v>103</v>
      </c>
      <c r="L6107" s="1" t="str">
        <f t="shared" si="3467"/>
        <v>47</v>
      </c>
      <c r="M6107" s="1" t="str">
        <f t="shared" si="3508"/>
        <v>0</v>
      </c>
      <c r="N6107" s="1" t="str">
        <f t="shared" si="3508"/>
        <v>0</v>
      </c>
      <c r="O6107" s="1" t="str">
        <f>"6.49"</f>
        <v>6.49</v>
      </c>
    </row>
    <row r="6108" s="1" customFormat="1" spans="1:15">
      <c r="A6108" s="1" t="str">
        <f t="shared" si="3480"/>
        <v>202406</v>
      </c>
      <c r="B6108" s="1" t="str">
        <f t="shared" si="3481"/>
        <v>150525100</v>
      </c>
      <c r="C6108" s="1" t="str">
        <f>"1040935395"</f>
        <v>1040935395</v>
      </c>
      <c r="D6108" s="1" t="str">
        <f>"152326195909170077"</f>
        <v>152326195909170077</v>
      </c>
      <c r="E6108" s="1" t="s">
        <v>5972</v>
      </c>
      <c r="F6108" s="1" t="s">
        <v>25</v>
      </c>
      <c r="G6108" s="1" t="s">
        <v>17</v>
      </c>
      <c r="H6108" s="1" t="str">
        <f>"65"</f>
        <v>65</v>
      </c>
      <c r="I6108" s="1" t="str">
        <f>"157.58"</f>
        <v>157.58</v>
      </c>
      <c r="J6108" s="1" t="str">
        <f t="shared" ref="J6108:N6108" si="3509">"0"</f>
        <v>0</v>
      </c>
      <c r="K6108" s="1" t="str">
        <f t="shared" si="3466"/>
        <v>103</v>
      </c>
      <c r="L6108" s="1" t="str">
        <f t="shared" si="3467"/>
        <v>47</v>
      </c>
      <c r="M6108" s="1" t="str">
        <f t="shared" si="3509"/>
        <v>0</v>
      </c>
      <c r="N6108" s="1" t="str">
        <f t="shared" si="3509"/>
        <v>0</v>
      </c>
      <c r="O6108" s="1" t="str">
        <f>"7.58"</f>
        <v>7.58</v>
      </c>
    </row>
    <row r="6109" s="1" customFormat="1" spans="1:15">
      <c r="A6109" s="1" t="str">
        <f t="shared" si="3480"/>
        <v>202406</v>
      </c>
      <c r="B6109" s="1" t="str">
        <f t="shared" si="3481"/>
        <v>150525100</v>
      </c>
      <c r="C6109" s="1" t="str">
        <f>"1040935396"</f>
        <v>1040935396</v>
      </c>
      <c r="D6109" s="1" t="str">
        <f>"152326195911050031"</f>
        <v>152326195911050031</v>
      </c>
      <c r="E6109" s="1" t="s">
        <v>5973</v>
      </c>
      <c r="F6109" s="1" t="s">
        <v>25</v>
      </c>
      <c r="G6109" s="1" t="s">
        <v>17</v>
      </c>
      <c r="H6109" s="1" t="str">
        <f>"65"</f>
        <v>65</v>
      </c>
      <c r="I6109" s="1" t="str">
        <f>"157.58"</f>
        <v>157.58</v>
      </c>
      <c r="J6109" s="1" t="str">
        <f t="shared" ref="J6109:N6109" si="3510">"0"</f>
        <v>0</v>
      </c>
      <c r="K6109" s="1" t="str">
        <f t="shared" si="3466"/>
        <v>103</v>
      </c>
      <c r="L6109" s="1" t="str">
        <f t="shared" si="3467"/>
        <v>47</v>
      </c>
      <c r="M6109" s="1" t="str">
        <f t="shared" si="3510"/>
        <v>0</v>
      </c>
      <c r="N6109" s="1" t="str">
        <f t="shared" si="3510"/>
        <v>0</v>
      </c>
      <c r="O6109" s="1" t="str">
        <f>"7.58"</f>
        <v>7.58</v>
      </c>
    </row>
    <row r="6110" s="1" customFormat="1" spans="1:15">
      <c r="A6110" s="1" t="str">
        <f t="shared" si="3480"/>
        <v>202406</v>
      </c>
      <c r="B6110" s="1" t="str">
        <f t="shared" si="3481"/>
        <v>150525100</v>
      </c>
      <c r="C6110" s="1" t="str">
        <f>"1040935403"</f>
        <v>1040935403</v>
      </c>
      <c r="D6110" s="1" t="str">
        <f>"152326196010090014"</f>
        <v>152326196010090014</v>
      </c>
      <c r="E6110" s="1" t="s">
        <v>1756</v>
      </c>
      <c r="F6110" s="1" t="s">
        <v>25</v>
      </c>
      <c r="G6110" s="1" t="s">
        <v>17</v>
      </c>
      <c r="H6110" s="1" t="str">
        <f t="shared" ref="H6110:H6114" si="3511">"64"</f>
        <v>64</v>
      </c>
      <c r="I6110" s="1" t="str">
        <f>"158.64"</f>
        <v>158.64</v>
      </c>
      <c r="J6110" s="1" t="str">
        <f t="shared" ref="J6110:N6110" si="3512">"0"</f>
        <v>0</v>
      </c>
      <c r="K6110" s="1" t="str">
        <f t="shared" si="3466"/>
        <v>103</v>
      </c>
      <c r="L6110" s="1" t="str">
        <f t="shared" si="3467"/>
        <v>47</v>
      </c>
      <c r="M6110" s="1" t="str">
        <f t="shared" si="3512"/>
        <v>0</v>
      </c>
      <c r="N6110" s="1" t="str">
        <f t="shared" si="3512"/>
        <v>0</v>
      </c>
      <c r="O6110" s="1" t="str">
        <f>"8.64"</f>
        <v>8.64</v>
      </c>
    </row>
    <row r="6111" s="1" customFormat="1" spans="1:15">
      <c r="A6111" s="1" t="str">
        <f t="shared" si="3480"/>
        <v>202406</v>
      </c>
      <c r="B6111" s="1" t="str">
        <f t="shared" si="3481"/>
        <v>150525100</v>
      </c>
      <c r="C6111" s="1" t="str">
        <f>"1040935404"</f>
        <v>1040935404</v>
      </c>
      <c r="D6111" s="1" t="str">
        <f>"152326196011150023"</f>
        <v>152326196011150023</v>
      </c>
      <c r="E6111" s="1" t="s">
        <v>5974</v>
      </c>
      <c r="F6111" s="1" t="s">
        <v>16</v>
      </c>
      <c r="G6111" s="1" t="s">
        <v>17</v>
      </c>
      <c r="H6111" s="1" t="str">
        <f t="shared" si="3511"/>
        <v>64</v>
      </c>
      <c r="I6111" s="1" t="str">
        <f>"158.65"</f>
        <v>158.65</v>
      </c>
      <c r="J6111" s="1" t="str">
        <f t="shared" ref="J6111:N6111" si="3513">"0"</f>
        <v>0</v>
      </c>
      <c r="K6111" s="1" t="str">
        <f t="shared" si="3466"/>
        <v>103</v>
      </c>
      <c r="L6111" s="1" t="str">
        <f t="shared" si="3467"/>
        <v>47</v>
      </c>
      <c r="M6111" s="1" t="str">
        <f t="shared" si="3513"/>
        <v>0</v>
      </c>
      <c r="N6111" s="1" t="str">
        <f t="shared" si="3513"/>
        <v>0</v>
      </c>
      <c r="O6111" s="1" t="str">
        <f>"8.65"</f>
        <v>8.65</v>
      </c>
    </row>
    <row r="6112" s="1" customFormat="1" spans="1:15">
      <c r="A6112" s="1" t="str">
        <f t="shared" si="3480"/>
        <v>202406</v>
      </c>
      <c r="B6112" s="1" t="str">
        <f t="shared" si="3481"/>
        <v>150525100</v>
      </c>
      <c r="C6112" s="1" t="str">
        <f>"1040935486"</f>
        <v>1040935486</v>
      </c>
      <c r="D6112" s="1" t="str">
        <f>"152326195611050427"</f>
        <v>152326195611050427</v>
      </c>
      <c r="E6112" s="1" t="s">
        <v>5975</v>
      </c>
      <c r="F6112" s="1" t="s">
        <v>16</v>
      </c>
      <c r="G6112" s="1" t="s">
        <v>17</v>
      </c>
      <c r="H6112" s="1" t="str">
        <f>"68"</f>
        <v>68</v>
      </c>
      <c r="I6112" s="1" t="str">
        <f>"155.43"</f>
        <v>155.43</v>
      </c>
      <c r="J6112" s="1" t="str">
        <f t="shared" ref="J6112:N6112" si="3514">"0"</f>
        <v>0</v>
      </c>
      <c r="K6112" s="1" t="str">
        <f t="shared" si="3466"/>
        <v>103</v>
      </c>
      <c r="L6112" s="1" t="str">
        <f t="shared" si="3467"/>
        <v>47</v>
      </c>
      <c r="M6112" s="1" t="str">
        <f t="shared" si="3514"/>
        <v>0</v>
      </c>
      <c r="N6112" s="1" t="str">
        <f t="shared" si="3514"/>
        <v>0</v>
      </c>
      <c r="O6112" s="1" t="str">
        <f>"5.43"</f>
        <v>5.43</v>
      </c>
    </row>
    <row r="6113" s="1" customFormat="1" spans="1:15">
      <c r="A6113" s="1" t="str">
        <f t="shared" si="3480"/>
        <v>202406</v>
      </c>
      <c r="B6113" s="1" t="str">
        <f t="shared" si="3481"/>
        <v>150525100</v>
      </c>
      <c r="C6113" s="1" t="str">
        <f>"1040935514"</f>
        <v>1040935514</v>
      </c>
      <c r="D6113" s="1" t="str">
        <f>"152326195801163342"</f>
        <v>152326195801163342</v>
      </c>
      <c r="E6113" s="1" t="s">
        <v>5976</v>
      </c>
      <c r="F6113" s="1" t="s">
        <v>16</v>
      </c>
      <c r="G6113" s="1" t="s">
        <v>96</v>
      </c>
      <c r="H6113" s="1" t="str">
        <f>"66"</f>
        <v>66</v>
      </c>
      <c r="I6113" s="1" t="str">
        <f>"157.38"</f>
        <v>157.38</v>
      </c>
      <c r="J6113" s="1" t="str">
        <f t="shared" ref="J6113:N6113" si="3515">"0"</f>
        <v>0</v>
      </c>
      <c r="K6113" s="1" t="str">
        <f t="shared" si="3466"/>
        <v>103</v>
      </c>
      <c r="L6113" s="1" t="str">
        <f t="shared" si="3467"/>
        <v>47</v>
      </c>
      <c r="M6113" s="1" t="str">
        <f t="shared" si="3515"/>
        <v>0</v>
      </c>
      <c r="N6113" s="1" t="str">
        <f t="shared" si="3515"/>
        <v>0</v>
      </c>
      <c r="O6113" s="1" t="str">
        <f>"7.38"</f>
        <v>7.38</v>
      </c>
    </row>
    <row r="6114" s="1" customFormat="1" spans="1:15">
      <c r="A6114" s="1" t="str">
        <f t="shared" si="3480"/>
        <v>202406</v>
      </c>
      <c r="B6114" s="1" t="str">
        <f t="shared" si="3481"/>
        <v>150525100</v>
      </c>
      <c r="C6114" s="1" t="str">
        <f>"1040935524"</f>
        <v>1040935524</v>
      </c>
      <c r="D6114" s="1" t="str">
        <f>"152326196009013310"</f>
        <v>152326196009013310</v>
      </c>
      <c r="E6114" s="1" t="s">
        <v>5977</v>
      </c>
      <c r="F6114" s="1" t="s">
        <v>25</v>
      </c>
      <c r="G6114" s="1" t="s">
        <v>96</v>
      </c>
      <c r="H6114" s="1" t="str">
        <f t="shared" si="3511"/>
        <v>64</v>
      </c>
      <c r="I6114" s="1" t="str">
        <f>"158.65"</f>
        <v>158.65</v>
      </c>
      <c r="J6114" s="1" t="str">
        <f t="shared" ref="J6114:N6114" si="3516">"0"</f>
        <v>0</v>
      </c>
      <c r="K6114" s="1" t="str">
        <f t="shared" si="3466"/>
        <v>103</v>
      </c>
      <c r="L6114" s="1" t="str">
        <f t="shared" si="3467"/>
        <v>47</v>
      </c>
      <c r="M6114" s="1" t="str">
        <f t="shared" si="3516"/>
        <v>0</v>
      </c>
      <c r="N6114" s="1" t="str">
        <f t="shared" si="3516"/>
        <v>0</v>
      </c>
      <c r="O6114" s="1" t="str">
        <f>"8.65"</f>
        <v>8.65</v>
      </c>
    </row>
    <row r="6115" s="1" customFormat="1" spans="1:15">
      <c r="A6115" s="1" t="str">
        <f t="shared" si="3480"/>
        <v>202406</v>
      </c>
      <c r="B6115" s="1" t="str">
        <f t="shared" si="3481"/>
        <v>150525100</v>
      </c>
      <c r="C6115" s="1" t="str">
        <f>"1040924338"</f>
        <v>1040924338</v>
      </c>
      <c r="D6115" s="1" t="str">
        <f>"152326195502103323"</f>
        <v>152326195502103323</v>
      </c>
      <c r="E6115" s="1" t="s">
        <v>5978</v>
      </c>
      <c r="F6115" s="1" t="s">
        <v>16</v>
      </c>
      <c r="G6115" s="1" t="s">
        <v>19</v>
      </c>
      <c r="H6115" s="1" t="str">
        <f>"69"</f>
        <v>69</v>
      </c>
      <c r="I6115" s="1" t="str">
        <f>"153.6"</f>
        <v>153.6</v>
      </c>
      <c r="J6115" s="1" t="str">
        <f t="shared" ref="J6115:N6115" si="3517">"0"</f>
        <v>0</v>
      </c>
      <c r="K6115" s="1" t="str">
        <f t="shared" si="3466"/>
        <v>103</v>
      </c>
      <c r="L6115" s="1" t="str">
        <f t="shared" si="3467"/>
        <v>47</v>
      </c>
      <c r="M6115" s="1" t="str">
        <f t="shared" si="3517"/>
        <v>0</v>
      </c>
      <c r="N6115" s="1" t="str">
        <f t="shared" si="3517"/>
        <v>0</v>
      </c>
      <c r="O6115" s="1" t="str">
        <f>"3.6"</f>
        <v>3.6</v>
      </c>
    </row>
    <row r="6116" s="1" customFormat="1" spans="1:15">
      <c r="A6116" s="1" t="str">
        <f t="shared" si="3480"/>
        <v>202406</v>
      </c>
      <c r="B6116" s="1" t="str">
        <f t="shared" si="3481"/>
        <v>150525100</v>
      </c>
      <c r="C6116" s="1" t="str">
        <f>"1040914928"</f>
        <v>1040914928</v>
      </c>
      <c r="D6116" s="1" t="str">
        <f>"152326195911220424"</f>
        <v>152326195911220424</v>
      </c>
      <c r="E6116" s="1" t="s">
        <v>5979</v>
      </c>
      <c r="F6116" s="1" t="s">
        <v>16</v>
      </c>
      <c r="G6116" s="1" t="s">
        <v>17</v>
      </c>
      <c r="H6116" s="1" t="str">
        <f>"65"</f>
        <v>65</v>
      </c>
      <c r="I6116" s="1" t="str">
        <f>"162.38"</f>
        <v>162.38</v>
      </c>
      <c r="J6116" s="1" t="str">
        <f t="shared" ref="J6116:N6116" si="3518">"0"</f>
        <v>0</v>
      </c>
      <c r="K6116" s="1" t="str">
        <f t="shared" si="3466"/>
        <v>103</v>
      </c>
      <c r="L6116" s="1" t="str">
        <f t="shared" si="3467"/>
        <v>47</v>
      </c>
      <c r="M6116" s="1" t="str">
        <f t="shared" si="3518"/>
        <v>0</v>
      </c>
      <c r="N6116" s="1" t="str">
        <f t="shared" si="3518"/>
        <v>0</v>
      </c>
      <c r="O6116" s="1" t="str">
        <f>"12.38"</f>
        <v>12.38</v>
      </c>
    </row>
    <row r="6117" s="1" customFormat="1" spans="1:15">
      <c r="A6117" s="1" t="str">
        <f t="shared" si="3480"/>
        <v>202406</v>
      </c>
      <c r="B6117" s="1" t="str">
        <f t="shared" si="3481"/>
        <v>150525100</v>
      </c>
      <c r="C6117" s="1" t="str">
        <f>"1040938658"</f>
        <v>1040938658</v>
      </c>
      <c r="D6117" s="1" t="str">
        <f>"152326195801153822"</f>
        <v>152326195801153822</v>
      </c>
      <c r="E6117" s="1" t="s">
        <v>5980</v>
      </c>
      <c r="F6117" s="1" t="s">
        <v>16</v>
      </c>
      <c r="G6117" s="1" t="s">
        <v>17</v>
      </c>
      <c r="H6117" s="1" t="str">
        <f>"66"</f>
        <v>66</v>
      </c>
      <c r="I6117" s="1" t="str">
        <f>"155.28"</f>
        <v>155.28</v>
      </c>
      <c r="J6117" s="1" t="str">
        <f t="shared" ref="J6117:N6117" si="3519">"0"</f>
        <v>0</v>
      </c>
      <c r="K6117" s="1" t="str">
        <f t="shared" si="3466"/>
        <v>103</v>
      </c>
      <c r="L6117" s="1" t="str">
        <f t="shared" si="3467"/>
        <v>47</v>
      </c>
      <c r="M6117" s="1" t="str">
        <f t="shared" si="3519"/>
        <v>0</v>
      </c>
      <c r="N6117" s="1" t="str">
        <f t="shared" si="3519"/>
        <v>0</v>
      </c>
      <c r="O6117" s="1" t="str">
        <f>"5.28"</f>
        <v>5.28</v>
      </c>
    </row>
    <row r="6118" s="1" customFormat="1" spans="1:15">
      <c r="A6118" s="1" t="str">
        <f t="shared" si="3480"/>
        <v>202406</v>
      </c>
      <c r="B6118" s="1" t="str">
        <f t="shared" si="3481"/>
        <v>150525100</v>
      </c>
      <c r="C6118" s="1" t="str">
        <f>"1040906874"</f>
        <v>1040906874</v>
      </c>
      <c r="D6118" s="1" t="str">
        <f>"152326196208213323"</f>
        <v>152326196208213323</v>
      </c>
      <c r="E6118" s="1" t="s">
        <v>5981</v>
      </c>
      <c r="F6118" s="1" t="s">
        <v>16</v>
      </c>
      <c r="G6118" s="1" t="s">
        <v>17</v>
      </c>
      <c r="H6118" s="1" t="str">
        <f>"62"</f>
        <v>62</v>
      </c>
      <c r="I6118" s="1" t="str">
        <f>"162.94"</f>
        <v>162.94</v>
      </c>
      <c r="J6118" s="1" t="str">
        <f t="shared" ref="J6118:N6118" si="3520">"0"</f>
        <v>0</v>
      </c>
      <c r="K6118" s="1" t="str">
        <f t="shared" si="3466"/>
        <v>103</v>
      </c>
      <c r="L6118" s="1" t="str">
        <f t="shared" si="3467"/>
        <v>47</v>
      </c>
      <c r="M6118" s="1" t="str">
        <f t="shared" si="3520"/>
        <v>0</v>
      </c>
      <c r="N6118" s="1" t="str">
        <f t="shared" si="3520"/>
        <v>0</v>
      </c>
      <c r="O6118" s="1" t="str">
        <f>"12.94"</f>
        <v>12.94</v>
      </c>
    </row>
    <row r="6119" s="1" customFormat="1" spans="1:15">
      <c r="A6119" s="1" t="str">
        <f t="shared" si="3480"/>
        <v>202406</v>
      </c>
      <c r="B6119" s="1" t="str">
        <f t="shared" si="3481"/>
        <v>150525100</v>
      </c>
      <c r="C6119" s="1" t="str">
        <f>"1040912945"</f>
        <v>1040912945</v>
      </c>
      <c r="D6119" s="1" t="str">
        <f>"152326195804043821"</f>
        <v>152326195804043821</v>
      </c>
      <c r="E6119" s="1" t="s">
        <v>5982</v>
      </c>
      <c r="F6119" s="1" t="s">
        <v>16</v>
      </c>
      <c r="G6119" s="1" t="s">
        <v>19</v>
      </c>
      <c r="H6119" s="1" t="str">
        <f>"66"</f>
        <v>66</v>
      </c>
      <c r="I6119" s="1" t="str">
        <f>"155.3"</f>
        <v>155.3</v>
      </c>
      <c r="J6119" s="1" t="str">
        <f t="shared" ref="J6119:N6119" si="3521">"0"</f>
        <v>0</v>
      </c>
      <c r="K6119" s="1" t="str">
        <f t="shared" si="3466"/>
        <v>103</v>
      </c>
      <c r="L6119" s="1" t="str">
        <f t="shared" si="3467"/>
        <v>47</v>
      </c>
      <c r="M6119" s="1" t="str">
        <f t="shared" si="3521"/>
        <v>0</v>
      </c>
      <c r="N6119" s="1" t="str">
        <f t="shared" si="3521"/>
        <v>0</v>
      </c>
      <c r="O6119" s="1" t="str">
        <f>"5.3"</f>
        <v>5.3</v>
      </c>
    </row>
    <row r="6120" s="1" customFormat="1" spans="1:15">
      <c r="A6120" s="1" t="str">
        <f t="shared" si="3480"/>
        <v>202406</v>
      </c>
      <c r="B6120" s="1" t="str">
        <f t="shared" si="3481"/>
        <v>150525100</v>
      </c>
      <c r="C6120" s="1" t="str">
        <f>"1040940159"</f>
        <v>1040940159</v>
      </c>
      <c r="D6120" s="1" t="str">
        <f>"152326195708253335"</f>
        <v>152326195708253335</v>
      </c>
      <c r="E6120" s="1" t="s">
        <v>5983</v>
      </c>
      <c r="F6120" s="1" t="s">
        <v>25</v>
      </c>
      <c r="G6120" s="1" t="s">
        <v>17</v>
      </c>
      <c r="H6120" s="1" t="str">
        <f>"67"</f>
        <v>67</v>
      </c>
      <c r="I6120" s="1" t="str">
        <f>"154.32"</f>
        <v>154.32</v>
      </c>
      <c r="J6120" s="1" t="str">
        <f t="shared" ref="J6120:N6120" si="3522">"0"</f>
        <v>0</v>
      </c>
      <c r="K6120" s="1" t="str">
        <f t="shared" si="3466"/>
        <v>103</v>
      </c>
      <c r="L6120" s="1" t="str">
        <f t="shared" si="3467"/>
        <v>47</v>
      </c>
      <c r="M6120" s="1" t="str">
        <f t="shared" si="3522"/>
        <v>0</v>
      </c>
      <c r="N6120" s="1" t="str">
        <f t="shared" si="3522"/>
        <v>0</v>
      </c>
      <c r="O6120" s="1" t="str">
        <f>"4.32"</f>
        <v>4.32</v>
      </c>
    </row>
    <row r="6121" s="1" customFormat="1" spans="1:15">
      <c r="A6121" s="1" t="str">
        <f t="shared" si="3480"/>
        <v>202406</v>
      </c>
      <c r="B6121" s="1" t="str">
        <f t="shared" si="3481"/>
        <v>150525100</v>
      </c>
      <c r="C6121" s="1" t="str">
        <f>"1040906651"</f>
        <v>1040906651</v>
      </c>
      <c r="D6121" s="1" t="str">
        <f>"152326196001063313"</f>
        <v>152326196001063313</v>
      </c>
      <c r="E6121" s="1" t="s">
        <v>5984</v>
      </c>
      <c r="F6121" s="1" t="s">
        <v>25</v>
      </c>
      <c r="G6121" s="1" t="s">
        <v>17</v>
      </c>
      <c r="H6121" s="1" t="str">
        <f>"65"</f>
        <v>65</v>
      </c>
      <c r="I6121" s="1" t="str">
        <f>"157.33"</f>
        <v>157.33</v>
      </c>
      <c r="J6121" s="1" t="str">
        <f t="shared" ref="J6121:N6121" si="3523">"0"</f>
        <v>0</v>
      </c>
      <c r="K6121" s="1" t="str">
        <f t="shared" si="3466"/>
        <v>103</v>
      </c>
      <c r="L6121" s="1" t="str">
        <f t="shared" si="3467"/>
        <v>47</v>
      </c>
      <c r="M6121" s="1" t="str">
        <f t="shared" si="3523"/>
        <v>0</v>
      </c>
      <c r="N6121" s="1" t="str">
        <f t="shared" si="3523"/>
        <v>0</v>
      </c>
      <c r="O6121" s="1" t="str">
        <f>"7.33"</f>
        <v>7.33</v>
      </c>
    </row>
    <row r="6122" s="1" customFormat="1" spans="1:15">
      <c r="A6122" s="1" t="str">
        <f t="shared" si="3480"/>
        <v>202406</v>
      </c>
      <c r="B6122" s="1" t="str">
        <f t="shared" si="3481"/>
        <v>150525100</v>
      </c>
      <c r="C6122" s="1" t="str">
        <f>"1040910899"</f>
        <v>1040910899</v>
      </c>
      <c r="D6122" s="1" t="str">
        <f>"152326196310253321"</f>
        <v>152326196310253321</v>
      </c>
      <c r="E6122" s="1" t="s">
        <v>5985</v>
      </c>
      <c r="F6122" s="1" t="s">
        <v>16</v>
      </c>
      <c r="G6122" s="1" t="s">
        <v>17</v>
      </c>
      <c r="H6122" s="1" t="str">
        <f>"61"</f>
        <v>61</v>
      </c>
      <c r="I6122" s="1" t="str">
        <f>"164.58"</f>
        <v>164.58</v>
      </c>
      <c r="J6122" s="1" t="str">
        <f t="shared" ref="J6122:N6122" si="3524">"0"</f>
        <v>0</v>
      </c>
      <c r="K6122" s="1" t="str">
        <f t="shared" si="3466"/>
        <v>103</v>
      </c>
      <c r="L6122" s="1" t="str">
        <f t="shared" si="3467"/>
        <v>47</v>
      </c>
      <c r="M6122" s="1" t="str">
        <f t="shared" si="3524"/>
        <v>0</v>
      </c>
      <c r="N6122" s="1" t="str">
        <f t="shared" si="3524"/>
        <v>0</v>
      </c>
      <c r="O6122" s="1" t="str">
        <f>"14.58"</f>
        <v>14.58</v>
      </c>
    </row>
    <row r="6123" s="1" customFormat="1" spans="1:15">
      <c r="A6123" s="1" t="str">
        <f t="shared" si="3480"/>
        <v>202406</v>
      </c>
      <c r="B6123" s="1" t="str">
        <f t="shared" si="3481"/>
        <v>150525100</v>
      </c>
      <c r="C6123" s="1" t="str">
        <f>"1040991385"</f>
        <v>1040991385</v>
      </c>
      <c r="D6123" s="1" t="str">
        <f>"152326196303190449"</f>
        <v>152326196303190449</v>
      </c>
      <c r="E6123" s="1" t="s">
        <v>5986</v>
      </c>
      <c r="F6123" s="1" t="s">
        <v>16</v>
      </c>
      <c r="G6123" s="1" t="s">
        <v>17</v>
      </c>
      <c r="H6123" s="1" t="str">
        <f>"61"</f>
        <v>61</v>
      </c>
      <c r="I6123" s="1" t="str">
        <f>"2114.13"</f>
        <v>2114.13</v>
      </c>
      <c r="J6123" s="1" t="str">
        <f>"1951.12"</f>
        <v>1951.12</v>
      </c>
      <c r="K6123" s="1" t="str">
        <f>"1334"</f>
        <v>1334</v>
      </c>
      <c r="L6123" s="1" t="str">
        <f>"611"</f>
        <v>611</v>
      </c>
      <c r="M6123" s="1" t="str">
        <f>"0"</f>
        <v>0</v>
      </c>
      <c r="N6123" s="1" t="str">
        <f>"0"</f>
        <v>0</v>
      </c>
      <c r="O6123" s="1" t="str">
        <f>"169.13"</f>
        <v>169.13</v>
      </c>
    </row>
    <row r="6124" s="1" customFormat="1" spans="1:15">
      <c r="A6124" s="1" t="str">
        <f t="shared" si="3480"/>
        <v>202406</v>
      </c>
      <c r="B6124" s="1" t="str">
        <f t="shared" si="3481"/>
        <v>150525100</v>
      </c>
      <c r="C6124" s="1" t="str">
        <f>"1041145944"</f>
        <v>1041145944</v>
      </c>
      <c r="D6124" s="1" t="str">
        <f>"152326195807133080"</f>
        <v>152326195807133080</v>
      </c>
      <c r="E6124" s="1" t="s">
        <v>1285</v>
      </c>
      <c r="F6124" s="1" t="s">
        <v>16</v>
      </c>
      <c r="G6124" s="1" t="s">
        <v>17</v>
      </c>
      <c r="H6124" s="1" t="str">
        <f>"66"</f>
        <v>66</v>
      </c>
      <c r="I6124" s="1" t="str">
        <f>"155.74"</f>
        <v>155.74</v>
      </c>
      <c r="J6124" s="1" t="str">
        <f t="shared" ref="J6124:N6124" si="3525">"0"</f>
        <v>0</v>
      </c>
      <c r="K6124" s="1" t="str">
        <f t="shared" ref="K6124:K6153" si="3526">"103"</f>
        <v>103</v>
      </c>
      <c r="L6124" s="1" t="str">
        <f t="shared" ref="L6124:L6153" si="3527">"47"</f>
        <v>47</v>
      </c>
      <c r="M6124" s="1" t="str">
        <f t="shared" si="3525"/>
        <v>0</v>
      </c>
      <c r="N6124" s="1" t="str">
        <f t="shared" si="3525"/>
        <v>0</v>
      </c>
      <c r="O6124" s="1" t="str">
        <f>"5.74"</f>
        <v>5.74</v>
      </c>
    </row>
    <row r="6125" s="1" customFormat="1" spans="1:15">
      <c r="A6125" s="1" t="str">
        <f t="shared" si="3480"/>
        <v>202406</v>
      </c>
      <c r="B6125" s="1" t="str">
        <f t="shared" si="3481"/>
        <v>150525100</v>
      </c>
      <c r="C6125" s="1" t="str">
        <f>"1040832527"</f>
        <v>1040832527</v>
      </c>
      <c r="D6125" s="1" t="str">
        <f>"152326195010010024"</f>
        <v>152326195010010024</v>
      </c>
      <c r="E6125" s="1" t="s">
        <v>5987</v>
      </c>
      <c r="F6125" s="1" t="s">
        <v>16</v>
      </c>
      <c r="G6125" s="1" t="s">
        <v>17</v>
      </c>
      <c r="H6125" s="1" t="str">
        <f>"74"</f>
        <v>74</v>
      </c>
      <c r="I6125" s="1" t="str">
        <f>"960"</f>
        <v>960</v>
      </c>
      <c r="J6125" s="1" t="str">
        <f>"800"</f>
        <v>800</v>
      </c>
      <c r="K6125" s="1" t="str">
        <f>"618"</f>
        <v>618</v>
      </c>
      <c r="L6125" s="1" t="str">
        <f>"282"</f>
        <v>282</v>
      </c>
      <c r="M6125" s="1" t="str">
        <f t="shared" ref="M6125:O6125" si="3528">"0"</f>
        <v>0</v>
      </c>
      <c r="N6125" s="1" t="str">
        <f t="shared" si="3528"/>
        <v>0</v>
      </c>
      <c r="O6125" s="1" t="str">
        <f t="shared" si="3528"/>
        <v>0</v>
      </c>
    </row>
    <row r="6126" s="1" customFormat="1" spans="1:15">
      <c r="A6126" s="1" t="str">
        <f t="shared" si="3480"/>
        <v>202406</v>
      </c>
      <c r="B6126" s="1" t="str">
        <f t="shared" si="3481"/>
        <v>150525100</v>
      </c>
      <c r="C6126" s="1" t="str">
        <f>"1040832532"</f>
        <v>1040832532</v>
      </c>
      <c r="D6126" s="1" t="str">
        <f>"152326194010080028"</f>
        <v>152326194010080028</v>
      </c>
      <c r="E6126" s="1" t="s">
        <v>5988</v>
      </c>
      <c r="F6126" s="1" t="s">
        <v>16</v>
      </c>
      <c r="G6126" s="1" t="s">
        <v>17</v>
      </c>
      <c r="H6126" s="1" t="str">
        <f>"84"</f>
        <v>84</v>
      </c>
      <c r="I6126" s="1" t="str">
        <f>"170"</f>
        <v>170</v>
      </c>
      <c r="J6126" s="1" t="str">
        <f t="shared" ref="J6126:O6126" si="3529">"0"</f>
        <v>0</v>
      </c>
      <c r="K6126" s="1" t="str">
        <f t="shared" si="3526"/>
        <v>103</v>
      </c>
      <c r="L6126" s="1" t="str">
        <f t="shared" si="3527"/>
        <v>47</v>
      </c>
      <c r="M6126" s="1" t="str">
        <f t="shared" si="3529"/>
        <v>0</v>
      </c>
      <c r="N6126" s="1" t="str">
        <f t="shared" si="3529"/>
        <v>0</v>
      </c>
      <c r="O6126" s="1" t="str">
        <f t="shared" si="3529"/>
        <v>0</v>
      </c>
    </row>
    <row r="6127" s="1" customFormat="1" spans="1:15">
      <c r="A6127" s="1" t="str">
        <f t="shared" si="3480"/>
        <v>202406</v>
      </c>
      <c r="B6127" s="1" t="str">
        <f t="shared" si="3481"/>
        <v>150525100</v>
      </c>
      <c r="C6127" s="1" t="str">
        <f>"1040832645"</f>
        <v>1040832645</v>
      </c>
      <c r="D6127" s="1" t="str">
        <f>"152326194206040028"</f>
        <v>152326194206040028</v>
      </c>
      <c r="E6127" s="1" t="s">
        <v>5989</v>
      </c>
      <c r="F6127" s="1" t="s">
        <v>16</v>
      </c>
      <c r="G6127" s="1" t="s">
        <v>17</v>
      </c>
      <c r="H6127" s="1" t="str">
        <f>"82"</f>
        <v>82</v>
      </c>
      <c r="I6127" s="1" t="str">
        <f>"2205"</f>
        <v>2205</v>
      </c>
      <c r="J6127" s="1" t="str">
        <f>"2035"</f>
        <v>2035</v>
      </c>
      <c r="K6127" s="1" t="str">
        <f>"1334"</f>
        <v>1334</v>
      </c>
      <c r="L6127" s="1" t="str">
        <f>"611"</f>
        <v>611</v>
      </c>
      <c r="M6127" s="1" t="str">
        <f t="shared" ref="M6127:O6127" si="3530">"0"</f>
        <v>0</v>
      </c>
      <c r="N6127" s="1" t="str">
        <f t="shared" si="3530"/>
        <v>0</v>
      </c>
      <c r="O6127" s="1" t="str">
        <f t="shared" si="3530"/>
        <v>0</v>
      </c>
    </row>
    <row r="6128" s="1" customFormat="1" spans="1:15">
      <c r="A6128" s="1" t="str">
        <f t="shared" si="3480"/>
        <v>202406</v>
      </c>
      <c r="B6128" s="1" t="str">
        <f t="shared" si="3481"/>
        <v>150525100</v>
      </c>
      <c r="C6128" s="1" t="str">
        <f>"1040832686"</f>
        <v>1040832686</v>
      </c>
      <c r="D6128" s="1" t="str">
        <f>"152326194702176127"</f>
        <v>152326194702176127</v>
      </c>
      <c r="E6128" s="1" t="s">
        <v>5990</v>
      </c>
      <c r="F6128" s="1" t="s">
        <v>16</v>
      </c>
      <c r="G6128" s="1" t="s">
        <v>17</v>
      </c>
      <c r="H6128" s="1" t="str">
        <f>"77"</f>
        <v>77</v>
      </c>
      <c r="I6128" s="1" t="str">
        <f t="shared" ref="I6128:I6130" si="3531">"160"</f>
        <v>160</v>
      </c>
      <c r="J6128" s="1" t="str">
        <f t="shared" ref="J6128:O6128" si="3532">"0"</f>
        <v>0</v>
      </c>
      <c r="K6128" s="1" t="str">
        <f t="shared" si="3526"/>
        <v>103</v>
      </c>
      <c r="L6128" s="1" t="str">
        <f t="shared" si="3527"/>
        <v>47</v>
      </c>
      <c r="M6128" s="1" t="str">
        <f t="shared" si="3532"/>
        <v>0</v>
      </c>
      <c r="N6128" s="1" t="str">
        <f t="shared" si="3532"/>
        <v>0</v>
      </c>
      <c r="O6128" s="1" t="str">
        <f t="shared" si="3532"/>
        <v>0</v>
      </c>
    </row>
    <row r="6129" s="1" customFormat="1" spans="1:15">
      <c r="A6129" s="1" t="str">
        <f t="shared" si="3480"/>
        <v>202406</v>
      </c>
      <c r="B6129" s="1" t="str">
        <f t="shared" si="3481"/>
        <v>150525100</v>
      </c>
      <c r="C6129" s="1" t="str">
        <f>"1040832692"</f>
        <v>1040832692</v>
      </c>
      <c r="D6129" s="1" t="str">
        <f>"152326194709011181"</f>
        <v>152326194709011181</v>
      </c>
      <c r="E6129" s="1" t="s">
        <v>5991</v>
      </c>
      <c r="F6129" s="1" t="s">
        <v>16</v>
      </c>
      <c r="G6129" s="1" t="s">
        <v>17</v>
      </c>
      <c r="H6129" s="1" t="str">
        <f>"77"</f>
        <v>77</v>
      </c>
      <c r="I6129" s="1" t="str">
        <f t="shared" si="3531"/>
        <v>160</v>
      </c>
      <c r="J6129" s="1" t="str">
        <f t="shared" ref="J6129:O6129" si="3533">"0"</f>
        <v>0</v>
      </c>
      <c r="K6129" s="1" t="str">
        <f t="shared" si="3526"/>
        <v>103</v>
      </c>
      <c r="L6129" s="1" t="str">
        <f t="shared" si="3527"/>
        <v>47</v>
      </c>
      <c r="M6129" s="1" t="str">
        <f t="shared" si="3533"/>
        <v>0</v>
      </c>
      <c r="N6129" s="1" t="str">
        <f t="shared" si="3533"/>
        <v>0</v>
      </c>
      <c r="O6129" s="1" t="str">
        <f t="shared" si="3533"/>
        <v>0</v>
      </c>
    </row>
    <row r="6130" s="1" customFormat="1" spans="1:15">
      <c r="A6130" s="1" t="str">
        <f t="shared" si="3480"/>
        <v>202406</v>
      </c>
      <c r="B6130" s="1" t="str">
        <f t="shared" si="3481"/>
        <v>150525100</v>
      </c>
      <c r="C6130" s="1" t="str">
        <f>"1040832701"</f>
        <v>1040832701</v>
      </c>
      <c r="D6130" s="1" t="str">
        <f>"152326194807062820"</f>
        <v>152326194807062820</v>
      </c>
      <c r="E6130" s="1" t="s">
        <v>4497</v>
      </c>
      <c r="F6130" s="1" t="s">
        <v>16</v>
      </c>
      <c r="G6130" s="1" t="s">
        <v>17</v>
      </c>
      <c r="H6130" s="1" t="str">
        <f>"76"</f>
        <v>76</v>
      </c>
      <c r="I6130" s="1" t="str">
        <f t="shared" si="3531"/>
        <v>160</v>
      </c>
      <c r="J6130" s="1" t="str">
        <f t="shared" ref="J6130:O6130" si="3534">"0"</f>
        <v>0</v>
      </c>
      <c r="K6130" s="1" t="str">
        <f t="shared" si="3526"/>
        <v>103</v>
      </c>
      <c r="L6130" s="1" t="str">
        <f t="shared" si="3527"/>
        <v>47</v>
      </c>
      <c r="M6130" s="1" t="str">
        <f t="shared" si="3534"/>
        <v>0</v>
      </c>
      <c r="N6130" s="1" t="str">
        <f t="shared" si="3534"/>
        <v>0</v>
      </c>
      <c r="O6130" s="1" t="str">
        <f t="shared" si="3534"/>
        <v>0</v>
      </c>
    </row>
    <row r="6131" s="1" customFormat="1" spans="1:15">
      <c r="A6131" s="1" t="str">
        <f t="shared" si="3480"/>
        <v>202406</v>
      </c>
      <c r="B6131" s="1" t="str">
        <f t="shared" si="3481"/>
        <v>150525100</v>
      </c>
      <c r="C6131" s="1" t="str">
        <f>"1041005930"</f>
        <v>1041005930</v>
      </c>
      <c r="D6131" s="1" t="str">
        <f>"152326196208176139"</f>
        <v>152326196208176139</v>
      </c>
      <c r="E6131" s="1" t="s">
        <v>5992</v>
      </c>
      <c r="F6131" s="1" t="s">
        <v>25</v>
      </c>
      <c r="G6131" s="1" t="s">
        <v>17</v>
      </c>
      <c r="H6131" s="1" t="str">
        <f>"62"</f>
        <v>62</v>
      </c>
      <c r="I6131" s="1" t="str">
        <f>"165.15"</f>
        <v>165.15</v>
      </c>
      <c r="J6131" s="1" t="str">
        <f t="shared" ref="J6131:N6131" si="3535">"0"</f>
        <v>0</v>
      </c>
      <c r="K6131" s="1" t="str">
        <f t="shared" si="3526"/>
        <v>103</v>
      </c>
      <c r="L6131" s="1" t="str">
        <f t="shared" si="3527"/>
        <v>47</v>
      </c>
      <c r="M6131" s="1" t="str">
        <f t="shared" si="3535"/>
        <v>0</v>
      </c>
      <c r="N6131" s="1" t="str">
        <f t="shared" si="3535"/>
        <v>0</v>
      </c>
      <c r="O6131" s="1" t="str">
        <f>"15.15"</f>
        <v>15.15</v>
      </c>
    </row>
    <row r="6132" s="1" customFormat="1" spans="1:15">
      <c r="A6132" s="1" t="str">
        <f t="shared" si="3480"/>
        <v>202406</v>
      </c>
      <c r="B6132" s="1" t="str">
        <f t="shared" si="3481"/>
        <v>150525100</v>
      </c>
      <c r="C6132" s="1" t="str">
        <f>"1040965514"</f>
        <v>1040965514</v>
      </c>
      <c r="D6132" s="1" t="str">
        <f>"152326196405090422"</f>
        <v>152326196405090422</v>
      </c>
      <c r="E6132" s="1" t="s">
        <v>5993</v>
      </c>
      <c r="F6132" s="1" t="s">
        <v>16</v>
      </c>
      <c r="G6132" s="1" t="s">
        <v>17</v>
      </c>
      <c r="H6132" s="1" t="str">
        <f>"60"</f>
        <v>60</v>
      </c>
      <c r="I6132" s="1" t="str">
        <f>"164.84"</f>
        <v>164.84</v>
      </c>
      <c r="J6132" s="1" t="str">
        <f t="shared" ref="J6132:N6132" si="3536">"0"</f>
        <v>0</v>
      </c>
      <c r="K6132" s="1" t="str">
        <f t="shared" si="3526"/>
        <v>103</v>
      </c>
      <c r="L6132" s="1" t="str">
        <f t="shared" si="3527"/>
        <v>47</v>
      </c>
      <c r="M6132" s="1" t="str">
        <f t="shared" si="3536"/>
        <v>0</v>
      </c>
      <c r="N6132" s="1" t="str">
        <f t="shared" si="3536"/>
        <v>0</v>
      </c>
      <c r="O6132" s="1" t="str">
        <f>"14.84"</f>
        <v>14.84</v>
      </c>
    </row>
    <row r="6133" s="1" customFormat="1" spans="1:15">
      <c r="A6133" s="1" t="str">
        <f t="shared" si="3480"/>
        <v>202406</v>
      </c>
      <c r="B6133" s="1" t="str">
        <f t="shared" si="3481"/>
        <v>150525100</v>
      </c>
      <c r="C6133" s="1" t="str">
        <f>"1040832711"</f>
        <v>1040832711</v>
      </c>
      <c r="D6133" s="1" t="str">
        <f>"152326194812230024"</f>
        <v>152326194812230024</v>
      </c>
      <c r="E6133" s="1" t="s">
        <v>4200</v>
      </c>
      <c r="F6133" s="1" t="s">
        <v>16</v>
      </c>
      <c r="G6133" s="1" t="s">
        <v>17</v>
      </c>
      <c r="H6133" s="1" t="str">
        <f>"76"</f>
        <v>76</v>
      </c>
      <c r="I6133" s="1" t="str">
        <f t="shared" ref="I6133:I6138" si="3537">"160"</f>
        <v>160</v>
      </c>
      <c r="J6133" s="1" t="str">
        <f t="shared" ref="J6133:O6133" si="3538">"0"</f>
        <v>0</v>
      </c>
      <c r="K6133" s="1" t="str">
        <f t="shared" si="3526"/>
        <v>103</v>
      </c>
      <c r="L6133" s="1" t="str">
        <f t="shared" si="3527"/>
        <v>47</v>
      </c>
      <c r="M6133" s="1" t="str">
        <f t="shared" si="3538"/>
        <v>0</v>
      </c>
      <c r="N6133" s="1" t="str">
        <f t="shared" si="3538"/>
        <v>0</v>
      </c>
      <c r="O6133" s="1" t="str">
        <f t="shared" si="3538"/>
        <v>0</v>
      </c>
    </row>
    <row r="6134" s="1" customFormat="1" spans="1:15">
      <c r="A6134" s="1" t="str">
        <f t="shared" si="3480"/>
        <v>202406</v>
      </c>
      <c r="B6134" s="1" t="str">
        <f t="shared" si="3481"/>
        <v>150525100</v>
      </c>
      <c r="C6134" s="1" t="str">
        <f>"1040832727"</f>
        <v>1040832727</v>
      </c>
      <c r="D6134" s="1" t="str">
        <f>"152326194910140022"</f>
        <v>152326194910140022</v>
      </c>
      <c r="E6134" s="1" t="s">
        <v>374</v>
      </c>
      <c r="F6134" s="1" t="s">
        <v>16</v>
      </c>
      <c r="G6134" s="1" t="s">
        <v>17</v>
      </c>
      <c r="H6134" s="1" t="str">
        <f>"75"</f>
        <v>75</v>
      </c>
      <c r="I6134" s="1" t="str">
        <f t="shared" si="3537"/>
        <v>160</v>
      </c>
      <c r="J6134" s="1" t="str">
        <f t="shared" ref="J6134:O6134" si="3539">"0"</f>
        <v>0</v>
      </c>
      <c r="K6134" s="1" t="str">
        <f t="shared" si="3526"/>
        <v>103</v>
      </c>
      <c r="L6134" s="1" t="str">
        <f t="shared" si="3527"/>
        <v>47</v>
      </c>
      <c r="M6134" s="1" t="str">
        <f t="shared" si="3539"/>
        <v>0</v>
      </c>
      <c r="N6134" s="1" t="str">
        <f t="shared" si="3539"/>
        <v>0</v>
      </c>
      <c r="O6134" s="1" t="str">
        <f t="shared" si="3539"/>
        <v>0</v>
      </c>
    </row>
    <row r="6135" s="1" customFormat="1" spans="1:15">
      <c r="A6135" s="1" t="str">
        <f t="shared" si="3480"/>
        <v>202406</v>
      </c>
      <c r="B6135" s="1" t="str">
        <f t="shared" si="3481"/>
        <v>150525100</v>
      </c>
      <c r="C6135" s="1" t="str">
        <f>"1040832735"</f>
        <v>1040832735</v>
      </c>
      <c r="D6135" s="1" t="s">
        <v>5994</v>
      </c>
      <c r="E6135" s="1" t="s">
        <v>5995</v>
      </c>
      <c r="F6135" s="1" t="s">
        <v>16</v>
      </c>
      <c r="G6135" s="1" t="s">
        <v>17</v>
      </c>
      <c r="H6135" s="1" t="str">
        <f>"74"</f>
        <v>74</v>
      </c>
      <c r="I6135" s="1" t="str">
        <f t="shared" si="3537"/>
        <v>160</v>
      </c>
      <c r="J6135" s="1" t="str">
        <f t="shared" ref="J6135:O6135" si="3540">"0"</f>
        <v>0</v>
      </c>
      <c r="K6135" s="1" t="str">
        <f t="shared" si="3526"/>
        <v>103</v>
      </c>
      <c r="L6135" s="1" t="str">
        <f t="shared" si="3527"/>
        <v>47</v>
      </c>
      <c r="M6135" s="1" t="str">
        <f t="shared" si="3540"/>
        <v>0</v>
      </c>
      <c r="N6135" s="1" t="str">
        <f t="shared" si="3540"/>
        <v>0</v>
      </c>
      <c r="O6135" s="1" t="str">
        <f t="shared" si="3540"/>
        <v>0</v>
      </c>
    </row>
    <row r="6136" s="1" customFormat="1" spans="1:15">
      <c r="A6136" s="1" t="str">
        <f t="shared" si="3480"/>
        <v>202406</v>
      </c>
      <c r="B6136" s="1" t="str">
        <f t="shared" si="3481"/>
        <v>150525100</v>
      </c>
      <c r="C6136" s="1" t="str">
        <f>"1040832743"</f>
        <v>1040832743</v>
      </c>
      <c r="D6136" s="1" t="str">
        <f>"152326195101160036"</f>
        <v>152326195101160036</v>
      </c>
      <c r="E6136" s="1" t="s">
        <v>5996</v>
      </c>
      <c r="F6136" s="1" t="s">
        <v>25</v>
      </c>
      <c r="G6136" s="1" t="s">
        <v>17</v>
      </c>
      <c r="H6136" s="1" t="str">
        <f>"73"</f>
        <v>73</v>
      </c>
      <c r="I6136" s="1" t="str">
        <f t="shared" si="3537"/>
        <v>160</v>
      </c>
      <c r="J6136" s="1" t="str">
        <f t="shared" ref="J6136:O6136" si="3541">"0"</f>
        <v>0</v>
      </c>
      <c r="K6136" s="1" t="str">
        <f t="shared" si="3526"/>
        <v>103</v>
      </c>
      <c r="L6136" s="1" t="str">
        <f t="shared" si="3527"/>
        <v>47</v>
      </c>
      <c r="M6136" s="1" t="str">
        <f t="shared" si="3541"/>
        <v>0</v>
      </c>
      <c r="N6136" s="1" t="str">
        <f t="shared" si="3541"/>
        <v>0</v>
      </c>
      <c r="O6136" s="1" t="str">
        <f t="shared" si="3541"/>
        <v>0</v>
      </c>
    </row>
    <row r="6137" s="1" customFormat="1" spans="1:15">
      <c r="A6137" s="1" t="str">
        <f t="shared" si="3480"/>
        <v>202406</v>
      </c>
      <c r="B6137" s="1" t="str">
        <f t="shared" si="3481"/>
        <v>150525100</v>
      </c>
      <c r="C6137" s="1" t="str">
        <f>"1040832760"</f>
        <v>1040832760</v>
      </c>
      <c r="D6137" s="1" t="str">
        <f>"152326195103190028"</f>
        <v>152326195103190028</v>
      </c>
      <c r="E6137" s="1" t="s">
        <v>1307</v>
      </c>
      <c r="F6137" s="1" t="s">
        <v>16</v>
      </c>
      <c r="G6137" s="1" t="s">
        <v>17</v>
      </c>
      <c r="H6137" s="1" t="str">
        <f>"73"</f>
        <v>73</v>
      </c>
      <c r="I6137" s="1" t="str">
        <f t="shared" si="3537"/>
        <v>160</v>
      </c>
      <c r="J6137" s="1" t="str">
        <f t="shared" ref="J6137:O6137" si="3542">"0"</f>
        <v>0</v>
      </c>
      <c r="K6137" s="1" t="str">
        <f t="shared" si="3526"/>
        <v>103</v>
      </c>
      <c r="L6137" s="1" t="str">
        <f t="shared" si="3527"/>
        <v>47</v>
      </c>
      <c r="M6137" s="1" t="str">
        <f t="shared" si="3542"/>
        <v>0</v>
      </c>
      <c r="N6137" s="1" t="str">
        <f t="shared" si="3542"/>
        <v>0</v>
      </c>
      <c r="O6137" s="1" t="str">
        <f t="shared" si="3542"/>
        <v>0</v>
      </c>
    </row>
    <row r="6138" s="1" customFormat="1" spans="1:15">
      <c r="A6138" s="1" t="str">
        <f t="shared" si="3480"/>
        <v>202406</v>
      </c>
      <c r="B6138" s="1" t="str">
        <f t="shared" si="3481"/>
        <v>150525100</v>
      </c>
      <c r="C6138" s="1" t="str">
        <f>"1040832769"</f>
        <v>1040832769</v>
      </c>
      <c r="D6138" s="1" t="str">
        <f>"152326194706231728"</f>
        <v>152326194706231728</v>
      </c>
      <c r="E6138" s="1" t="s">
        <v>36</v>
      </c>
      <c r="F6138" s="1" t="s">
        <v>16</v>
      </c>
      <c r="G6138" s="1" t="s">
        <v>17</v>
      </c>
      <c r="H6138" s="1" t="str">
        <f>"77"</f>
        <v>77</v>
      </c>
      <c r="I6138" s="1" t="str">
        <f t="shared" si="3537"/>
        <v>160</v>
      </c>
      <c r="J6138" s="1" t="str">
        <f t="shared" ref="J6138:O6138" si="3543">"0"</f>
        <v>0</v>
      </c>
      <c r="K6138" s="1" t="str">
        <f t="shared" si="3526"/>
        <v>103</v>
      </c>
      <c r="L6138" s="1" t="str">
        <f t="shared" si="3527"/>
        <v>47</v>
      </c>
      <c r="M6138" s="1" t="str">
        <f t="shared" si="3543"/>
        <v>0</v>
      </c>
      <c r="N6138" s="1" t="str">
        <f t="shared" si="3543"/>
        <v>0</v>
      </c>
      <c r="O6138" s="1" t="str">
        <f t="shared" si="3543"/>
        <v>0</v>
      </c>
    </row>
    <row r="6139" s="1" customFormat="1" spans="1:15">
      <c r="A6139" s="1" t="str">
        <f t="shared" si="3480"/>
        <v>202406</v>
      </c>
      <c r="B6139" s="1" t="str">
        <f t="shared" si="3481"/>
        <v>150525100</v>
      </c>
      <c r="C6139" s="1" t="str">
        <f>"1040948617"</f>
        <v>1040948617</v>
      </c>
      <c r="D6139" s="1" t="str">
        <f>"152326195709290445"</f>
        <v>152326195709290445</v>
      </c>
      <c r="E6139" s="1" t="s">
        <v>5997</v>
      </c>
      <c r="F6139" s="1" t="s">
        <v>16</v>
      </c>
      <c r="G6139" s="1" t="s">
        <v>17</v>
      </c>
      <c r="H6139" s="1" t="str">
        <f>"67"</f>
        <v>67</v>
      </c>
      <c r="I6139" s="1" t="str">
        <f>"154.32"</f>
        <v>154.32</v>
      </c>
      <c r="J6139" s="1" t="str">
        <f t="shared" ref="J6139:N6139" si="3544">"0"</f>
        <v>0</v>
      </c>
      <c r="K6139" s="1" t="str">
        <f t="shared" si="3526"/>
        <v>103</v>
      </c>
      <c r="L6139" s="1" t="str">
        <f t="shared" si="3527"/>
        <v>47</v>
      </c>
      <c r="M6139" s="1" t="str">
        <f t="shared" si="3544"/>
        <v>0</v>
      </c>
      <c r="N6139" s="1" t="str">
        <f t="shared" si="3544"/>
        <v>0</v>
      </c>
      <c r="O6139" s="1" t="str">
        <f>"4.32"</f>
        <v>4.32</v>
      </c>
    </row>
    <row r="6140" s="1" customFormat="1" spans="1:15">
      <c r="A6140" s="1" t="str">
        <f t="shared" si="3480"/>
        <v>202406</v>
      </c>
      <c r="B6140" s="1" t="str">
        <f t="shared" si="3481"/>
        <v>150525100</v>
      </c>
      <c r="C6140" s="1" t="str">
        <f>"1040953640"</f>
        <v>1040953640</v>
      </c>
      <c r="D6140" s="1" t="str">
        <f>"152326195801240926"</f>
        <v>152326195801240926</v>
      </c>
      <c r="E6140" s="1" t="s">
        <v>5998</v>
      </c>
      <c r="F6140" s="1" t="s">
        <v>16</v>
      </c>
      <c r="G6140" s="1" t="s">
        <v>19</v>
      </c>
      <c r="H6140" s="1" t="str">
        <f>"66"</f>
        <v>66</v>
      </c>
      <c r="I6140" s="1" t="str">
        <f>"155.26"</f>
        <v>155.26</v>
      </c>
      <c r="J6140" s="1" t="str">
        <f t="shared" ref="J6140:N6140" si="3545">"0"</f>
        <v>0</v>
      </c>
      <c r="K6140" s="1" t="str">
        <f t="shared" si="3526"/>
        <v>103</v>
      </c>
      <c r="L6140" s="1" t="str">
        <f t="shared" si="3527"/>
        <v>47</v>
      </c>
      <c r="M6140" s="1" t="str">
        <f t="shared" si="3545"/>
        <v>0</v>
      </c>
      <c r="N6140" s="1" t="str">
        <f t="shared" si="3545"/>
        <v>0</v>
      </c>
      <c r="O6140" s="1" t="str">
        <f>"5.26"</f>
        <v>5.26</v>
      </c>
    </row>
    <row r="6141" s="1" customFormat="1" spans="1:15">
      <c r="A6141" s="1" t="str">
        <f t="shared" si="3480"/>
        <v>202406</v>
      </c>
      <c r="B6141" s="1" t="str">
        <f t="shared" si="3481"/>
        <v>150525100</v>
      </c>
      <c r="C6141" s="1" t="str">
        <f>"1040988843"</f>
        <v>1040988843</v>
      </c>
      <c r="D6141" s="1" t="str">
        <f>"152326196311110664"</f>
        <v>152326196311110664</v>
      </c>
      <c r="E6141" s="1" t="s">
        <v>5999</v>
      </c>
      <c r="F6141" s="1" t="s">
        <v>16</v>
      </c>
      <c r="G6141" s="1" t="s">
        <v>17</v>
      </c>
      <c r="H6141" s="1" t="str">
        <f>"61"</f>
        <v>61</v>
      </c>
      <c r="I6141" s="1" t="str">
        <f>"169.94"</f>
        <v>169.94</v>
      </c>
      <c r="J6141" s="1" t="str">
        <f t="shared" ref="J6141:N6141" si="3546">"0"</f>
        <v>0</v>
      </c>
      <c r="K6141" s="1" t="str">
        <f t="shared" si="3526"/>
        <v>103</v>
      </c>
      <c r="L6141" s="1" t="str">
        <f t="shared" si="3527"/>
        <v>47</v>
      </c>
      <c r="M6141" s="1" t="str">
        <f t="shared" si="3546"/>
        <v>0</v>
      </c>
      <c r="N6141" s="1" t="str">
        <f t="shared" si="3546"/>
        <v>0</v>
      </c>
      <c r="O6141" s="1" t="str">
        <f>"19.94"</f>
        <v>19.94</v>
      </c>
    </row>
    <row r="6142" s="1" customFormat="1" spans="1:15">
      <c r="A6142" s="1" t="str">
        <f t="shared" si="3480"/>
        <v>202406</v>
      </c>
      <c r="B6142" s="1" t="str">
        <f t="shared" si="3481"/>
        <v>150525100</v>
      </c>
      <c r="C6142" s="1" t="str">
        <f>"1041153518"</f>
        <v>1041153518</v>
      </c>
      <c r="D6142" s="1" t="str">
        <f>"152326195703030036"</f>
        <v>152326195703030036</v>
      </c>
      <c r="E6142" s="1" t="s">
        <v>6000</v>
      </c>
      <c r="F6142" s="1" t="s">
        <v>25</v>
      </c>
      <c r="G6142" s="1" t="s">
        <v>17</v>
      </c>
      <c r="H6142" s="1" t="str">
        <f>"67"</f>
        <v>67</v>
      </c>
      <c r="I6142" s="1" t="str">
        <f>"155.45"</f>
        <v>155.45</v>
      </c>
      <c r="J6142" s="1" t="str">
        <f t="shared" ref="J6142:N6142" si="3547">"0"</f>
        <v>0</v>
      </c>
      <c r="K6142" s="1" t="str">
        <f t="shared" si="3526"/>
        <v>103</v>
      </c>
      <c r="L6142" s="1" t="str">
        <f t="shared" si="3527"/>
        <v>47</v>
      </c>
      <c r="M6142" s="1" t="str">
        <f t="shared" si="3547"/>
        <v>0</v>
      </c>
      <c r="N6142" s="1" t="str">
        <f t="shared" si="3547"/>
        <v>0</v>
      </c>
      <c r="O6142" s="1" t="str">
        <f>"5.45"</f>
        <v>5.45</v>
      </c>
    </row>
    <row r="6143" s="1" customFormat="1" spans="1:15">
      <c r="A6143" s="1" t="str">
        <f t="shared" si="3480"/>
        <v>202406</v>
      </c>
      <c r="B6143" s="1" t="str">
        <f t="shared" si="3481"/>
        <v>150525100</v>
      </c>
      <c r="C6143" s="1" t="str">
        <f>"1040937269"</f>
        <v>1040937269</v>
      </c>
      <c r="D6143" s="1" t="str">
        <f>"152326195602160667"</f>
        <v>152326195602160667</v>
      </c>
      <c r="E6143" s="1" t="s">
        <v>3219</v>
      </c>
      <c r="F6143" s="1" t="s">
        <v>16</v>
      </c>
      <c r="G6143" s="1" t="s">
        <v>17</v>
      </c>
      <c r="H6143" s="1" t="str">
        <f t="shared" ref="H6143:H6145" si="3548">"68"</f>
        <v>68</v>
      </c>
      <c r="I6143" s="1" t="str">
        <f t="shared" ref="I6143:I6145" si="3549">"155.43"</f>
        <v>155.43</v>
      </c>
      <c r="J6143" s="1" t="str">
        <f t="shared" ref="J6143:N6143" si="3550">"0"</f>
        <v>0</v>
      </c>
      <c r="K6143" s="1" t="str">
        <f t="shared" si="3526"/>
        <v>103</v>
      </c>
      <c r="L6143" s="1" t="str">
        <f t="shared" si="3527"/>
        <v>47</v>
      </c>
      <c r="M6143" s="1" t="str">
        <f t="shared" si="3550"/>
        <v>0</v>
      </c>
      <c r="N6143" s="1" t="str">
        <f t="shared" si="3550"/>
        <v>0</v>
      </c>
      <c r="O6143" s="1" t="str">
        <f t="shared" ref="O6143:O6145" si="3551">"5.43"</f>
        <v>5.43</v>
      </c>
    </row>
    <row r="6144" s="1" customFormat="1" spans="1:15">
      <c r="A6144" s="1" t="str">
        <f t="shared" si="3480"/>
        <v>202406</v>
      </c>
      <c r="B6144" s="1" t="str">
        <f t="shared" si="3481"/>
        <v>150525100</v>
      </c>
      <c r="C6144" s="1" t="str">
        <f>"1040937274"</f>
        <v>1040937274</v>
      </c>
      <c r="D6144" s="1" t="str">
        <f>"152326195601200663"</f>
        <v>152326195601200663</v>
      </c>
      <c r="E6144" s="1" t="s">
        <v>6001</v>
      </c>
      <c r="F6144" s="1" t="s">
        <v>16</v>
      </c>
      <c r="G6144" s="1" t="s">
        <v>17</v>
      </c>
      <c r="H6144" s="1" t="str">
        <f t="shared" si="3548"/>
        <v>68</v>
      </c>
      <c r="I6144" s="1" t="str">
        <f t="shared" si="3549"/>
        <v>155.43</v>
      </c>
      <c r="J6144" s="1" t="str">
        <f t="shared" ref="J6144:N6144" si="3552">"0"</f>
        <v>0</v>
      </c>
      <c r="K6144" s="1" t="str">
        <f t="shared" si="3526"/>
        <v>103</v>
      </c>
      <c r="L6144" s="1" t="str">
        <f t="shared" si="3527"/>
        <v>47</v>
      </c>
      <c r="M6144" s="1" t="str">
        <f t="shared" si="3552"/>
        <v>0</v>
      </c>
      <c r="N6144" s="1" t="str">
        <f t="shared" si="3552"/>
        <v>0</v>
      </c>
      <c r="O6144" s="1" t="str">
        <f t="shared" si="3551"/>
        <v>5.43</v>
      </c>
    </row>
    <row r="6145" s="1" customFormat="1" spans="1:15">
      <c r="A6145" s="1" t="str">
        <f t="shared" si="3480"/>
        <v>202406</v>
      </c>
      <c r="B6145" s="1" t="str">
        <f t="shared" si="3481"/>
        <v>150525100</v>
      </c>
      <c r="C6145" s="1" t="str">
        <f>"1040937280"</f>
        <v>1040937280</v>
      </c>
      <c r="D6145" s="1" t="str">
        <f>"152326195603160677"</f>
        <v>152326195603160677</v>
      </c>
      <c r="E6145" s="1" t="s">
        <v>6002</v>
      </c>
      <c r="F6145" s="1" t="s">
        <v>25</v>
      </c>
      <c r="G6145" s="1" t="s">
        <v>17</v>
      </c>
      <c r="H6145" s="1" t="str">
        <f t="shared" si="3548"/>
        <v>68</v>
      </c>
      <c r="I6145" s="1" t="str">
        <f t="shared" si="3549"/>
        <v>155.43</v>
      </c>
      <c r="J6145" s="1" t="str">
        <f t="shared" ref="J6145:N6145" si="3553">"0"</f>
        <v>0</v>
      </c>
      <c r="K6145" s="1" t="str">
        <f t="shared" si="3526"/>
        <v>103</v>
      </c>
      <c r="L6145" s="1" t="str">
        <f t="shared" si="3527"/>
        <v>47</v>
      </c>
      <c r="M6145" s="1" t="str">
        <f t="shared" si="3553"/>
        <v>0</v>
      </c>
      <c r="N6145" s="1" t="str">
        <f t="shared" si="3553"/>
        <v>0</v>
      </c>
      <c r="O6145" s="1" t="str">
        <f t="shared" si="3551"/>
        <v>5.43</v>
      </c>
    </row>
    <row r="6146" s="1" customFormat="1" spans="1:15">
      <c r="A6146" s="1" t="str">
        <f t="shared" ref="A6146:A6209" si="3554">"202406"</f>
        <v>202406</v>
      </c>
      <c r="B6146" s="1" t="str">
        <f t="shared" ref="B6146:B6209" si="3555">"150525100"</f>
        <v>150525100</v>
      </c>
      <c r="C6146" s="1" t="str">
        <f>"1040979550"</f>
        <v>1040979550</v>
      </c>
      <c r="D6146" s="1" t="str">
        <f>"152326195904040927"</f>
        <v>152326195904040927</v>
      </c>
      <c r="E6146" s="1" t="s">
        <v>6003</v>
      </c>
      <c r="F6146" s="1" t="s">
        <v>16</v>
      </c>
      <c r="G6146" s="1" t="s">
        <v>19</v>
      </c>
      <c r="H6146" s="1" t="str">
        <f>"65"</f>
        <v>65</v>
      </c>
      <c r="I6146" s="1" t="str">
        <f>"156.32"</f>
        <v>156.32</v>
      </c>
      <c r="J6146" s="1" t="str">
        <f t="shared" ref="J6146:N6146" si="3556">"0"</f>
        <v>0</v>
      </c>
      <c r="K6146" s="1" t="str">
        <f t="shared" si="3526"/>
        <v>103</v>
      </c>
      <c r="L6146" s="1" t="str">
        <f t="shared" si="3527"/>
        <v>47</v>
      </c>
      <c r="M6146" s="1" t="str">
        <f t="shared" si="3556"/>
        <v>0</v>
      </c>
      <c r="N6146" s="1" t="str">
        <f t="shared" si="3556"/>
        <v>0</v>
      </c>
      <c r="O6146" s="1" t="str">
        <f>"6.32"</f>
        <v>6.32</v>
      </c>
    </row>
    <row r="6147" s="1" customFormat="1" spans="1:15">
      <c r="A6147" s="1" t="str">
        <f t="shared" si="3554"/>
        <v>202406</v>
      </c>
      <c r="B6147" s="1" t="str">
        <f t="shared" si="3555"/>
        <v>150525100</v>
      </c>
      <c r="C6147" s="1" t="str">
        <f>"1040953557"</f>
        <v>1040953557</v>
      </c>
      <c r="D6147" s="1" t="str">
        <f>"152326195910060422"</f>
        <v>152326195910060422</v>
      </c>
      <c r="E6147" s="1" t="s">
        <v>6004</v>
      </c>
      <c r="F6147" s="1" t="s">
        <v>16</v>
      </c>
      <c r="G6147" s="1" t="s">
        <v>17</v>
      </c>
      <c r="H6147" s="1" t="str">
        <f>"65"</f>
        <v>65</v>
      </c>
      <c r="I6147" s="1" t="str">
        <f>"156.37"</f>
        <v>156.37</v>
      </c>
      <c r="J6147" s="1" t="str">
        <f t="shared" ref="J6147:N6147" si="3557">"0"</f>
        <v>0</v>
      </c>
      <c r="K6147" s="1" t="str">
        <f t="shared" si="3526"/>
        <v>103</v>
      </c>
      <c r="L6147" s="1" t="str">
        <f t="shared" si="3527"/>
        <v>47</v>
      </c>
      <c r="M6147" s="1" t="str">
        <f t="shared" si="3557"/>
        <v>0</v>
      </c>
      <c r="N6147" s="1" t="str">
        <f t="shared" si="3557"/>
        <v>0</v>
      </c>
      <c r="O6147" s="1" t="str">
        <f>"6.37"</f>
        <v>6.37</v>
      </c>
    </row>
    <row r="6148" s="1" customFormat="1" spans="1:15">
      <c r="A6148" s="1" t="str">
        <f t="shared" si="3554"/>
        <v>202406</v>
      </c>
      <c r="B6148" s="1" t="str">
        <f t="shared" si="3555"/>
        <v>150525100</v>
      </c>
      <c r="C6148" s="1" t="str">
        <f>"1040965544"</f>
        <v>1040965544</v>
      </c>
      <c r="D6148" s="1" t="str">
        <f>"152326195901040411"</f>
        <v>152326195901040411</v>
      </c>
      <c r="E6148" s="1" t="s">
        <v>6005</v>
      </c>
      <c r="F6148" s="1" t="s">
        <v>25</v>
      </c>
      <c r="G6148" s="1" t="s">
        <v>17</v>
      </c>
      <c r="H6148" s="1" t="str">
        <f>"66"</f>
        <v>66</v>
      </c>
      <c r="I6148" s="1" t="str">
        <f>"156.3"</f>
        <v>156.3</v>
      </c>
      <c r="J6148" s="1" t="str">
        <f t="shared" ref="J6148:N6148" si="3558">"0"</f>
        <v>0</v>
      </c>
      <c r="K6148" s="1" t="str">
        <f t="shared" si="3526"/>
        <v>103</v>
      </c>
      <c r="L6148" s="1" t="str">
        <f t="shared" si="3527"/>
        <v>47</v>
      </c>
      <c r="M6148" s="1" t="str">
        <f t="shared" si="3558"/>
        <v>0</v>
      </c>
      <c r="N6148" s="1" t="str">
        <f t="shared" si="3558"/>
        <v>0</v>
      </c>
      <c r="O6148" s="1" t="str">
        <f>"6.3"</f>
        <v>6.3</v>
      </c>
    </row>
    <row r="6149" s="1" customFormat="1" spans="1:15">
      <c r="A6149" s="1" t="str">
        <f t="shared" si="3554"/>
        <v>202406</v>
      </c>
      <c r="B6149" s="1" t="str">
        <f t="shared" si="3555"/>
        <v>150525100</v>
      </c>
      <c r="C6149" s="1" t="str">
        <f>"1040965536"</f>
        <v>1040965536</v>
      </c>
      <c r="D6149" s="1" t="str">
        <f>"152326196312200426"</f>
        <v>152326196312200426</v>
      </c>
      <c r="E6149" s="1" t="s">
        <v>6006</v>
      </c>
      <c r="F6149" s="1" t="s">
        <v>16</v>
      </c>
      <c r="G6149" s="1" t="s">
        <v>17</v>
      </c>
      <c r="H6149" s="1" t="str">
        <f>"61"</f>
        <v>61</v>
      </c>
      <c r="I6149" s="1" t="str">
        <f>"163.14"</f>
        <v>163.14</v>
      </c>
      <c r="J6149" s="1" t="str">
        <f t="shared" ref="J6149:N6149" si="3559">"0"</f>
        <v>0</v>
      </c>
      <c r="K6149" s="1" t="str">
        <f t="shared" si="3526"/>
        <v>103</v>
      </c>
      <c r="L6149" s="1" t="str">
        <f t="shared" si="3527"/>
        <v>47</v>
      </c>
      <c r="M6149" s="1" t="str">
        <f t="shared" si="3559"/>
        <v>0</v>
      </c>
      <c r="N6149" s="1" t="str">
        <f t="shared" si="3559"/>
        <v>0</v>
      </c>
      <c r="O6149" s="1" t="str">
        <f>"13.14"</f>
        <v>13.14</v>
      </c>
    </row>
    <row r="6150" s="1" customFormat="1" spans="1:15">
      <c r="A6150" s="1" t="str">
        <f t="shared" si="3554"/>
        <v>202406</v>
      </c>
      <c r="B6150" s="1" t="str">
        <f t="shared" si="3555"/>
        <v>150525100</v>
      </c>
      <c r="C6150" s="1" t="str">
        <f>"1041242797"</f>
        <v>1041242797</v>
      </c>
      <c r="D6150" s="1" t="str">
        <f>"152326195702060049"</f>
        <v>152326195702060049</v>
      </c>
      <c r="E6150" s="1" t="s">
        <v>6007</v>
      </c>
      <c r="F6150" s="1" t="s">
        <v>16</v>
      </c>
      <c r="G6150" s="1" t="s">
        <v>19</v>
      </c>
      <c r="H6150" s="1" t="str">
        <f>"67"</f>
        <v>67</v>
      </c>
      <c r="I6150" s="1" t="str">
        <f>"154.32"</f>
        <v>154.32</v>
      </c>
      <c r="J6150" s="1" t="str">
        <f t="shared" ref="J6150:N6150" si="3560">"0"</f>
        <v>0</v>
      </c>
      <c r="K6150" s="1" t="str">
        <f t="shared" si="3526"/>
        <v>103</v>
      </c>
      <c r="L6150" s="1" t="str">
        <f t="shared" si="3527"/>
        <v>47</v>
      </c>
      <c r="M6150" s="1" t="str">
        <f t="shared" si="3560"/>
        <v>0</v>
      </c>
      <c r="N6150" s="1" t="str">
        <f t="shared" si="3560"/>
        <v>0</v>
      </c>
      <c r="O6150" s="1" t="str">
        <f>"4.32"</f>
        <v>4.32</v>
      </c>
    </row>
    <row r="6151" s="1" customFormat="1" spans="1:15">
      <c r="A6151" s="1" t="str">
        <f t="shared" si="3554"/>
        <v>202406</v>
      </c>
      <c r="B6151" s="1" t="str">
        <f t="shared" si="3555"/>
        <v>150525100</v>
      </c>
      <c r="C6151" s="1" t="str">
        <f>"1040953639"</f>
        <v>1040953639</v>
      </c>
      <c r="D6151" s="1" t="str">
        <f>"152326196302110929"</f>
        <v>152326196302110929</v>
      </c>
      <c r="E6151" s="1" t="s">
        <v>6008</v>
      </c>
      <c r="F6151" s="1" t="s">
        <v>16</v>
      </c>
      <c r="G6151" s="1" t="s">
        <v>19</v>
      </c>
      <c r="H6151" s="1" t="str">
        <f>"61"</f>
        <v>61</v>
      </c>
      <c r="I6151" s="1" t="str">
        <f>"164.56"</f>
        <v>164.56</v>
      </c>
      <c r="J6151" s="1" t="str">
        <f t="shared" ref="J6151:N6151" si="3561">"0"</f>
        <v>0</v>
      </c>
      <c r="K6151" s="1" t="str">
        <f t="shared" si="3526"/>
        <v>103</v>
      </c>
      <c r="L6151" s="1" t="str">
        <f t="shared" si="3527"/>
        <v>47</v>
      </c>
      <c r="M6151" s="1" t="str">
        <f t="shared" si="3561"/>
        <v>0</v>
      </c>
      <c r="N6151" s="1" t="str">
        <f t="shared" si="3561"/>
        <v>0</v>
      </c>
      <c r="O6151" s="1" t="str">
        <f>"14.56"</f>
        <v>14.56</v>
      </c>
    </row>
    <row r="6152" s="1" customFormat="1" spans="1:15">
      <c r="A6152" s="1" t="str">
        <f t="shared" si="3554"/>
        <v>202406</v>
      </c>
      <c r="B6152" s="1" t="str">
        <f t="shared" si="3555"/>
        <v>150525100</v>
      </c>
      <c r="C6152" s="1" t="str">
        <f>"1041168956"</f>
        <v>1041168956</v>
      </c>
      <c r="D6152" s="1" t="str">
        <f>"152326195710100688"</f>
        <v>152326195710100688</v>
      </c>
      <c r="E6152" s="1" t="s">
        <v>6009</v>
      </c>
      <c r="F6152" s="1" t="s">
        <v>16</v>
      </c>
      <c r="G6152" s="1" t="s">
        <v>19</v>
      </c>
      <c r="H6152" s="1" t="str">
        <f>"67"</f>
        <v>67</v>
      </c>
      <c r="I6152" s="1" t="str">
        <f>"154.32"</f>
        <v>154.32</v>
      </c>
      <c r="J6152" s="1" t="str">
        <f t="shared" ref="J6152:N6152" si="3562">"0"</f>
        <v>0</v>
      </c>
      <c r="K6152" s="1" t="str">
        <f t="shared" si="3526"/>
        <v>103</v>
      </c>
      <c r="L6152" s="1" t="str">
        <f t="shared" si="3527"/>
        <v>47</v>
      </c>
      <c r="M6152" s="1" t="str">
        <f t="shared" si="3562"/>
        <v>0</v>
      </c>
      <c r="N6152" s="1" t="str">
        <f t="shared" si="3562"/>
        <v>0</v>
      </c>
      <c r="O6152" s="1" t="str">
        <f>"4.32"</f>
        <v>4.32</v>
      </c>
    </row>
    <row r="6153" s="1" customFormat="1" spans="1:15">
      <c r="A6153" s="1" t="str">
        <f t="shared" si="3554"/>
        <v>202406</v>
      </c>
      <c r="B6153" s="1" t="str">
        <f t="shared" si="3555"/>
        <v>150525100</v>
      </c>
      <c r="C6153" s="1" t="str">
        <f>"1040833826"</f>
        <v>1040833826</v>
      </c>
      <c r="D6153" s="1" t="s">
        <v>6010</v>
      </c>
      <c r="E6153" s="1" t="s">
        <v>1602</v>
      </c>
      <c r="F6153" s="1" t="s">
        <v>25</v>
      </c>
      <c r="G6153" s="1" t="s">
        <v>17</v>
      </c>
      <c r="H6153" s="1" t="str">
        <f>"72"</f>
        <v>72</v>
      </c>
      <c r="I6153" s="1" t="str">
        <f>"161.56"</f>
        <v>161.56</v>
      </c>
      <c r="J6153" s="1" t="str">
        <f t="shared" ref="J6153:N6153" si="3563">"0"</f>
        <v>0</v>
      </c>
      <c r="K6153" s="1" t="str">
        <f t="shared" si="3526"/>
        <v>103</v>
      </c>
      <c r="L6153" s="1" t="str">
        <f t="shared" si="3527"/>
        <v>47</v>
      </c>
      <c r="M6153" s="1" t="str">
        <f t="shared" si="3563"/>
        <v>0</v>
      </c>
      <c r="N6153" s="1" t="str">
        <f t="shared" si="3563"/>
        <v>0</v>
      </c>
      <c r="O6153" s="1" t="str">
        <f>"1.56"</f>
        <v>1.56</v>
      </c>
    </row>
    <row r="6154" s="1" customFormat="1" spans="1:15">
      <c r="A6154" s="1" t="str">
        <f t="shared" si="3554"/>
        <v>202406</v>
      </c>
      <c r="B6154" s="1" t="str">
        <f t="shared" si="3555"/>
        <v>150525100</v>
      </c>
      <c r="C6154" s="1" t="str">
        <f>"1040966053"</f>
        <v>1040966053</v>
      </c>
      <c r="D6154" s="1" t="str">
        <f>"152326195904200425"</f>
        <v>152326195904200425</v>
      </c>
      <c r="E6154" s="1" t="s">
        <v>2297</v>
      </c>
      <c r="F6154" s="1" t="s">
        <v>16</v>
      </c>
      <c r="G6154" s="1" t="s">
        <v>17</v>
      </c>
      <c r="H6154" s="1" t="str">
        <f>"65"</f>
        <v>65</v>
      </c>
      <c r="I6154" s="1" t="str">
        <f>"629.08"</f>
        <v>629.08</v>
      </c>
      <c r="J6154" s="1" t="str">
        <f>"471.81"</f>
        <v>471.81</v>
      </c>
      <c r="K6154" s="1" t="str">
        <f>"412"</f>
        <v>412</v>
      </c>
      <c r="L6154" s="1" t="str">
        <f>"188"</f>
        <v>188</v>
      </c>
      <c r="M6154" s="1" t="str">
        <f>"0"</f>
        <v>0</v>
      </c>
      <c r="N6154" s="1" t="str">
        <f>"0"</f>
        <v>0</v>
      </c>
      <c r="O6154" s="1" t="str">
        <f>"29.08"</f>
        <v>29.08</v>
      </c>
    </row>
    <row r="6155" s="1" customFormat="1" spans="1:15">
      <c r="A6155" s="1" t="str">
        <f t="shared" si="3554"/>
        <v>202406</v>
      </c>
      <c r="B6155" s="1" t="str">
        <f t="shared" si="3555"/>
        <v>150525100</v>
      </c>
      <c r="C6155" s="1" t="str">
        <f>"1041077455"</f>
        <v>1041077455</v>
      </c>
      <c r="D6155" s="1" t="str">
        <f>"152326196011130671"</f>
        <v>152326196011130671</v>
      </c>
      <c r="E6155" s="1" t="s">
        <v>6011</v>
      </c>
      <c r="F6155" s="1" t="s">
        <v>25</v>
      </c>
      <c r="G6155" s="1" t="s">
        <v>17</v>
      </c>
      <c r="H6155" s="1" t="str">
        <f>"64"</f>
        <v>64</v>
      </c>
      <c r="I6155" s="1" t="str">
        <f>"158.7"</f>
        <v>158.7</v>
      </c>
      <c r="J6155" s="1" t="str">
        <f t="shared" ref="J6155:N6155" si="3564">"0"</f>
        <v>0</v>
      </c>
      <c r="K6155" s="1" t="str">
        <f t="shared" ref="K6155:K6180" si="3565">"103"</f>
        <v>103</v>
      </c>
      <c r="L6155" s="1" t="str">
        <f t="shared" ref="L6155:L6180" si="3566">"47"</f>
        <v>47</v>
      </c>
      <c r="M6155" s="1" t="str">
        <f t="shared" si="3564"/>
        <v>0</v>
      </c>
      <c r="N6155" s="1" t="str">
        <f t="shared" si="3564"/>
        <v>0</v>
      </c>
      <c r="O6155" s="1" t="str">
        <f>"8.7"</f>
        <v>8.7</v>
      </c>
    </row>
    <row r="6156" s="1" customFormat="1" spans="1:15">
      <c r="A6156" s="1" t="str">
        <f t="shared" si="3554"/>
        <v>202406</v>
      </c>
      <c r="B6156" s="1" t="str">
        <f t="shared" si="3555"/>
        <v>150525100</v>
      </c>
      <c r="C6156" s="1" t="str">
        <f>"1041232644"</f>
        <v>1041232644</v>
      </c>
      <c r="D6156" s="1" t="str">
        <f>"152326195706010081"</f>
        <v>152326195706010081</v>
      </c>
      <c r="E6156" s="1" t="s">
        <v>6012</v>
      </c>
      <c r="F6156" s="1" t="s">
        <v>16</v>
      </c>
      <c r="G6156" s="1" t="s">
        <v>17</v>
      </c>
      <c r="H6156" s="1" t="str">
        <f>"67"</f>
        <v>67</v>
      </c>
      <c r="I6156" s="1" t="str">
        <f>"154.58"</f>
        <v>154.58</v>
      </c>
      <c r="J6156" s="1" t="str">
        <f t="shared" ref="J6156:N6156" si="3567">"0"</f>
        <v>0</v>
      </c>
      <c r="K6156" s="1" t="str">
        <f t="shared" si="3565"/>
        <v>103</v>
      </c>
      <c r="L6156" s="1" t="str">
        <f t="shared" si="3566"/>
        <v>47</v>
      </c>
      <c r="M6156" s="1" t="str">
        <f t="shared" si="3567"/>
        <v>0</v>
      </c>
      <c r="N6156" s="1" t="str">
        <f t="shared" si="3567"/>
        <v>0</v>
      </c>
      <c r="O6156" s="1" t="str">
        <f>"4.58"</f>
        <v>4.58</v>
      </c>
    </row>
    <row r="6157" s="1" customFormat="1" spans="1:15">
      <c r="A6157" s="1" t="str">
        <f t="shared" si="3554"/>
        <v>202406</v>
      </c>
      <c r="B6157" s="1" t="str">
        <f t="shared" si="3555"/>
        <v>150525100</v>
      </c>
      <c r="C6157" s="1" t="str">
        <f>"1041007827"</f>
        <v>1041007827</v>
      </c>
      <c r="D6157" s="1" t="s">
        <v>6013</v>
      </c>
      <c r="E6157" s="1" t="s">
        <v>6014</v>
      </c>
      <c r="F6157" s="1" t="s">
        <v>25</v>
      </c>
      <c r="G6157" s="1" t="s">
        <v>19</v>
      </c>
      <c r="H6157" s="1" t="str">
        <f>"68"</f>
        <v>68</v>
      </c>
      <c r="I6157" s="1" t="str">
        <f>"154.32"</f>
        <v>154.32</v>
      </c>
      <c r="J6157" s="1" t="str">
        <f t="shared" ref="J6157:N6157" si="3568">"0"</f>
        <v>0</v>
      </c>
      <c r="K6157" s="1" t="str">
        <f t="shared" si="3565"/>
        <v>103</v>
      </c>
      <c r="L6157" s="1" t="str">
        <f t="shared" si="3566"/>
        <v>47</v>
      </c>
      <c r="M6157" s="1" t="str">
        <f t="shared" si="3568"/>
        <v>0</v>
      </c>
      <c r="N6157" s="1" t="str">
        <f t="shared" si="3568"/>
        <v>0</v>
      </c>
      <c r="O6157" s="1" t="str">
        <f>"4.32"</f>
        <v>4.32</v>
      </c>
    </row>
    <row r="6158" s="1" customFormat="1" spans="1:15">
      <c r="A6158" s="1" t="str">
        <f t="shared" si="3554"/>
        <v>202406</v>
      </c>
      <c r="B6158" s="1" t="str">
        <f t="shared" si="3555"/>
        <v>150525100</v>
      </c>
      <c r="C6158" s="1" t="str">
        <f>"1041005532"</f>
        <v>1041005532</v>
      </c>
      <c r="D6158" s="1" t="str">
        <f>"152326196011290915"</f>
        <v>152326196011290915</v>
      </c>
      <c r="E6158" s="1" t="s">
        <v>6015</v>
      </c>
      <c r="F6158" s="1" t="s">
        <v>25</v>
      </c>
      <c r="G6158" s="1" t="s">
        <v>19</v>
      </c>
      <c r="H6158" s="1" t="str">
        <f>"64"</f>
        <v>64</v>
      </c>
      <c r="I6158" s="1" t="str">
        <f>"157.43"</f>
        <v>157.43</v>
      </c>
      <c r="J6158" s="1" t="str">
        <f t="shared" ref="J6158:N6158" si="3569">"0"</f>
        <v>0</v>
      </c>
      <c r="K6158" s="1" t="str">
        <f t="shared" si="3565"/>
        <v>103</v>
      </c>
      <c r="L6158" s="1" t="str">
        <f t="shared" si="3566"/>
        <v>47</v>
      </c>
      <c r="M6158" s="1" t="str">
        <f t="shared" si="3569"/>
        <v>0</v>
      </c>
      <c r="N6158" s="1" t="str">
        <f t="shared" si="3569"/>
        <v>0</v>
      </c>
      <c r="O6158" s="1" t="str">
        <f>"7.43"</f>
        <v>7.43</v>
      </c>
    </row>
    <row r="6159" s="1" customFormat="1" spans="1:15">
      <c r="A6159" s="1" t="str">
        <f t="shared" si="3554"/>
        <v>202406</v>
      </c>
      <c r="B6159" s="1" t="str">
        <f t="shared" si="3555"/>
        <v>150525100</v>
      </c>
      <c r="C6159" s="1" t="str">
        <f>"1040937030"</f>
        <v>1040937030</v>
      </c>
      <c r="D6159" s="1" t="str">
        <f>"152326195610240915"</f>
        <v>152326195610240915</v>
      </c>
      <c r="E6159" s="1" t="s">
        <v>6016</v>
      </c>
      <c r="F6159" s="1" t="s">
        <v>25</v>
      </c>
      <c r="G6159" s="1" t="s">
        <v>19</v>
      </c>
      <c r="H6159" s="1" t="str">
        <f>"68"</f>
        <v>68</v>
      </c>
      <c r="I6159" s="1" t="str">
        <f>"154.54"</f>
        <v>154.54</v>
      </c>
      <c r="J6159" s="1" t="str">
        <f t="shared" ref="J6159:N6159" si="3570">"0"</f>
        <v>0</v>
      </c>
      <c r="K6159" s="1" t="str">
        <f t="shared" si="3565"/>
        <v>103</v>
      </c>
      <c r="L6159" s="1" t="str">
        <f t="shared" si="3566"/>
        <v>47</v>
      </c>
      <c r="M6159" s="1" t="str">
        <f t="shared" si="3570"/>
        <v>0</v>
      </c>
      <c r="N6159" s="1" t="str">
        <f t="shared" si="3570"/>
        <v>0</v>
      </c>
      <c r="O6159" s="1" t="str">
        <f>"4.54"</f>
        <v>4.54</v>
      </c>
    </row>
    <row r="6160" s="1" customFormat="1" spans="1:15">
      <c r="A6160" s="1" t="str">
        <f t="shared" si="3554"/>
        <v>202406</v>
      </c>
      <c r="B6160" s="1" t="str">
        <f t="shared" si="3555"/>
        <v>150525100</v>
      </c>
      <c r="C6160" s="1" t="str">
        <f>"1040937076"</f>
        <v>1040937076</v>
      </c>
      <c r="D6160" s="1" t="str">
        <f>"152326195907200666"</f>
        <v>152326195907200666</v>
      </c>
      <c r="E6160" s="1" t="s">
        <v>6017</v>
      </c>
      <c r="F6160" s="1" t="s">
        <v>16</v>
      </c>
      <c r="G6160" s="1" t="s">
        <v>17</v>
      </c>
      <c r="H6160" s="1" t="str">
        <f t="shared" ref="H6160:H6165" si="3571">"65"</f>
        <v>65</v>
      </c>
      <c r="I6160" s="1" t="str">
        <f>"157.56"</f>
        <v>157.56</v>
      </c>
      <c r="J6160" s="1" t="str">
        <f t="shared" ref="J6160:N6160" si="3572">"0"</f>
        <v>0</v>
      </c>
      <c r="K6160" s="1" t="str">
        <f t="shared" si="3565"/>
        <v>103</v>
      </c>
      <c r="L6160" s="1" t="str">
        <f t="shared" si="3566"/>
        <v>47</v>
      </c>
      <c r="M6160" s="1" t="str">
        <f t="shared" si="3572"/>
        <v>0</v>
      </c>
      <c r="N6160" s="1" t="str">
        <f t="shared" si="3572"/>
        <v>0</v>
      </c>
      <c r="O6160" s="1" t="str">
        <f>"7.56"</f>
        <v>7.56</v>
      </c>
    </row>
    <row r="6161" s="1" customFormat="1" spans="1:15">
      <c r="A6161" s="1" t="str">
        <f t="shared" si="3554"/>
        <v>202406</v>
      </c>
      <c r="B6161" s="1" t="str">
        <f t="shared" si="3555"/>
        <v>150525100</v>
      </c>
      <c r="C6161" s="1" t="str">
        <f>"1040937089"</f>
        <v>1040937089</v>
      </c>
      <c r="D6161" s="1" t="str">
        <f>"152326195803130675"</f>
        <v>152326195803130675</v>
      </c>
      <c r="E6161" s="1" t="s">
        <v>6018</v>
      </c>
      <c r="F6161" s="1" t="s">
        <v>25</v>
      </c>
      <c r="G6161" s="1" t="s">
        <v>17</v>
      </c>
      <c r="H6161" s="1" t="str">
        <f>"66"</f>
        <v>66</v>
      </c>
      <c r="I6161" s="1" t="str">
        <f>"156.49"</f>
        <v>156.49</v>
      </c>
      <c r="J6161" s="1" t="str">
        <f t="shared" ref="J6161:N6161" si="3573">"0"</f>
        <v>0</v>
      </c>
      <c r="K6161" s="1" t="str">
        <f t="shared" si="3565"/>
        <v>103</v>
      </c>
      <c r="L6161" s="1" t="str">
        <f t="shared" si="3566"/>
        <v>47</v>
      </c>
      <c r="M6161" s="1" t="str">
        <f t="shared" si="3573"/>
        <v>0</v>
      </c>
      <c r="N6161" s="1" t="str">
        <f t="shared" si="3573"/>
        <v>0</v>
      </c>
      <c r="O6161" s="1" t="str">
        <f>"6.49"</f>
        <v>6.49</v>
      </c>
    </row>
    <row r="6162" s="1" customFormat="1" spans="1:15">
      <c r="A6162" s="1" t="str">
        <f t="shared" si="3554"/>
        <v>202406</v>
      </c>
      <c r="B6162" s="1" t="str">
        <f t="shared" si="3555"/>
        <v>150525100</v>
      </c>
      <c r="C6162" s="1" t="str">
        <f>"1040937169"</f>
        <v>1040937169</v>
      </c>
      <c r="D6162" s="1" t="str">
        <f>"152326195910100738"</f>
        <v>152326195910100738</v>
      </c>
      <c r="E6162" s="1" t="s">
        <v>6019</v>
      </c>
      <c r="F6162" s="1" t="s">
        <v>25</v>
      </c>
      <c r="G6162" s="1" t="s">
        <v>17</v>
      </c>
      <c r="H6162" s="1" t="str">
        <f t="shared" si="3571"/>
        <v>65</v>
      </c>
      <c r="I6162" s="1" t="str">
        <f>"157.59"</f>
        <v>157.59</v>
      </c>
      <c r="J6162" s="1" t="str">
        <f t="shared" ref="J6162:N6162" si="3574">"0"</f>
        <v>0</v>
      </c>
      <c r="K6162" s="1" t="str">
        <f t="shared" si="3565"/>
        <v>103</v>
      </c>
      <c r="L6162" s="1" t="str">
        <f t="shared" si="3566"/>
        <v>47</v>
      </c>
      <c r="M6162" s="1" t="str">
        <f t="shared" si="3574"/>
        <v>0</v>
      </c>
      <c r="N6162" s="1" t="str">
        <f t="shared" si="3574"/>
        <v>0</v>
      </c>
      <c r="O6162" s="1" t="str">
        <f>"7.59"</f>
        <v>7.59</v>
      </c>
    </row>
    <row r="6163" s="1" customFormat="1" spans="1:15">
      <c r="A6163" s="1" t="str">
        <f t="shared" si="3554"/>
        <v>202406</v>
      </c>
      <c r="B6163" s="1" t="str">
        <f t="shared" si="3555"/>
        <v>150525100</v>
      </c>
      <c r="C6163" s="1" t="str">
        <f>"1040998936"</f>
        <v>1040998936</v>
      </c>
      <c r="D6163" s="1" t="str">
        <f>"152326195204053815"</f>
        <v>152326195204053815</v>
      </c>
      <c r="E6163" s="1" t="s">
        <v>6020</v>
      </c>
      <c r="F6163" s="1" t="s">
        <v>25</v>
      </c>
      <c r="G6163" s="1" t="s">
        <v>19</v>
      </c>
      <c r="H6163" s="1" t="str">
        <f>"72"</f>
        <v>72</v>
      </c>
      <c r="I6163" s="1" t="str">
        <f>"161.44"</f>
        <v>161.44</v>
      </c>
      <c r="J6163" s="1" t="str">
        <f t="shared" ref="J6163:N6163" si="3575">"0"</f>
        <v>0</v>
      </c>
      <c r="K6163" s="1" t="str">
        <f t="shared" si="3565"/>
        <v>103</v>
      </c>
      <c r="L6163" s="1" t="str">
        <f t="shared" si="3566"/>
        <v>47</v>
      </c>
      <c r="M6163" s="1" t="str">
        <f t="shared" si="3575"/>
        <v>0</v>
      </c>
      <c r="N6163" s="1" t="str">
        <f t="shared" si="3575"/>
        <v>0</v>
      </c>
      <c r="O6163" s="1" t="str">
        <f>"1.44"</f>
        <v>1.44</v>
      </c>
    </row>
    <row r="6164" s="1" customFormat="1" spans="1:15">
      <c r="A6164" s="1" t="str">
        <f t="shared" si="3554"/>
        <v>202406</v>
      </c>
      <c r="B6164" s="1" t="str">
        <f t="shared" si="3555"/>
        <v>150525100</v>
      </c>
      <c r="C6164" s="1" t="str">
        <f>"1040937200"</f>
        <v>1040937200</v>
      </c>
      <c r="D6164" s="1" t="str">
        <f>"152326196011200692"</f>
        <v>152326196011200692</v>
      </c>
      <c r="E6164" s="1" t="s">
        <v>6021</v>
      </c>
      <c r="F6164" s="1" t="s">
        <v>25</v>
      </c>
      <c r="G6164" s="1" t="s">
        <v>17</v>
      </c>
      <c r="H6164" s="1" t="str">
        <f>"64"</f>
        <v>64</v>
      </c>
      <c r="I6164" s="1" t="str">
        <f>"158.68"</f>
        <v>158.68</v>
      </c>
      <c r="J6164" s="1" t="str">
        <f t="shared" ref="J6164:N6164" si="3576">"0"</f>
        <v>0</v>
      </c>
      <c r="K6164" s="1" t="str">
        <f t="shared" si="3565"/>
        <v>103</v>
      </c>
      <c r="L6164" s="1" t="str">
        <f t="shared" si="3566"/>
        <v>47</v>
      </c>
      <c r="M6164" s="1" t="str">
        <f t="shared" si="3576"/>
        <v>0</v>
      </c>
      <c r="N6164" s="1" t="str">
        <f t="shared" si="3576"/>
        <v>0</v>
      </c>
      <c r="O6164" s="1" t="str">
        <f>"8.68"</f>
        <v>8.68</v>
      </c>
    </row>
    <row r="6165" s="1" customFormat="1" spans="1:15">
      <c r="A6165" s="1" t="str">
        <f t="shared" si="3554"/>
        <v>202406</v>
      </c>
      <c r="B6165" s="1" t="str">
        <f t="shared" si="3555"/>
        <v>150525100</v>
      </c>
      <c r="C6165" s="1" t="str">
        <f>"1040937209"</f>
        <v>1040937209</v>
      </c>
      <c r="D6165" s="1" t="str">
        <f>"152326195905280690"</f>
        <v>152326195905280690</v>
      </c>
      <c r="E6165" s="1" t="s">
        <v>6022</v>
      </c>
      <c r="F6165" s="1" t="s">
        <v>25</v>
      </c>
      <c r="G6165" s="1" t="s">
        <v>17</v>
      </c>
      <c r="H6165" s="1" t="str">
        <f t="shared" si="3571"/>
        <v>65</v>
      </c>
      <c r="I6165" s="1" t="str">
        <f>"157.54"</f>
        <v>157.54</v>
      </c>
      <c r="J6165" s="1" t="str">
        <f t="shared" ref="J6165:N6165" si="3577">"0"</f>
        <v>0</v>
      </c>
      <c r="K6165" s="1" t="str">
        <f t="shared" si="3565"/>
        <v>103</v>
      </c>
      <c r="L6165" s="1" t="str">
        <f t="shared" si="3566"/>
        <v>47</v>
      </c>
      <c r="M6165" s="1" t="str">
        <f t="shared" si="3577"/>
        <v>0</v>
      </c>
      <c r="N6165" s="1" t="str">
        <f t="shared" si="3577"/>
        <v>0</v>
      </c>
      <c r="O6165" s="1" t="str">
        <f>"7.54"</f>
        <v>7.54</v>
      </c>
    </row>
    <row r="6166" s="1" customFormat="1" spans="1:15">
      <c r="A6166" s="1" t="str">
        <f t="shared" si="3554"/>
        <v>202406</v>
      </c>
      <c r="B6166" s="1" t="str">
        <f t="shared" si="3555"/>
        <v>150525100</v>
      </c>
      <c r="C6166" s="1" t="str">
        <f>"1040937211"</f>
        <v>1040937211</v>
      </c>
      <c r="D6166" s="1" t="str">
        <f>"152326196208150684"</f>
        <v>152326196208150684</v>
      </c>
      <c r="E6166" s="1" t="s">
        <v>6023</v>
      </c>
      <c r="F6166" s="1" t="s">
        <v>16</v>
      </c>
      <c r="G6166" s="1" t="s">
        <v>19</v>
      </c>
      <c r="H6166" s="1" t="str">
        <f>"62"</f>
        <v>62</v>
      </c>
      <c r="I6166" s="1" t="str">
        <f>"162.46"</f>
        <v>162.46</v>
      </c>
      <c r="J6166" s="1" t="str">
        <f t="shared" ref="J6166:N6166" si="3578">"0"</f>
        <v>0</v>
      </c>
      <c r="K6166" s="1" t="str">
        <f t="shared" si="3565"/>
        <v>103</v>
      </c>
      <c r="L6166" s="1" t="str">
        <f t="shared" si="3566"/>
        <v>47</v>
      </c>
      <c r="M6166" s="1" t="str">
        <f t="shared" si="3578"/>
        <v>0</v>
      </c>
      <c r="N6166" s="1" t="str">
        <f t="shared" si="3578"/>
        <v>0</v>
      </c>
      <c r="O6166" s="1" t="str">
        <f>"12.46"</f>
        <v>12.46</v>
      </c>
    </row>
    <row r="6167" s="1" customFormat="1" spans="1:15">
      <c r="A6167" s="1" t="str">
        <f t="shared" si="3554"/>
        <v>202406</v>
      </c>
      <c r="B6167" s="1" t="str">
        <f t="shared" si="3555"/>
        <v>150525100</v>
      </c>
      <c r="C6167" s="1" t="str">
        <f>"1040937218"</f>
        <v>1040937218</v>
      </c>
      <c r="D6167" s="1" t="str">
        <f>"152326196207220687"</f>
        <v>152326196207220687</v>
      </c>
      <c r="E6167" s="1" t="s">
        <v>6024</v>
      </c>
      <c r="F6167" s="1" t="s">
        <v>16</v>
      </c>
      <c r="G6167" s="1" t="s">
        <v>17</v>
      </c>
      <c r="H6167" s="1" t="str">
        <f>"62"</f>
        <v>62</v>
      </c>
      <c r="I6167" s="1" t="str">
        <f>"162.43"</f>
        <v>162.43</v>
      </c>
      <c r="J6167" s="1" t="str">
        <f t="shared" ref="J6167:N6167" si="3579">"0"</f>
        <v>0</v>
      </c>
      <c r="K6167" s="1" t="str">
        <f t="shared" si="3565"/>
        <v>103</v>
      </c>
      <c r="L6167" s="1" t="str">
        <f t="shared" si="3566"/>
        <v>47</v>
      </c>
      <c r="M6167" s="1" t="str">
        <f t="shared" si="3579"/>
        <v>0</v>
      </c>
      <c r="N6167" s="1" t="str">
        <f t="shared" si="3579"/>
        <v>0</v>
      </c>
      <c r="O6167" s="1" t="str">
        <f>"12.43"</f>
        <v>12.43</v>
      </c>
    </row>
    <row r="6168" s="1" customFormat="1" spans="1:15">
      <c r="A6168" s="1" t="str">
        <f t="shared" si="3554"/>
        <v>202406</v>
      </c>
      <c r="B6168" s="1" t="str">
        <f t="shared" si="3555"/>
        <v>150525100</v>
      </c>
      <c r="C6168" s="1" t="str">
        <f>"1040937226"</f>
        <v>1040937226</v>
      </c>
      <c r="D6168" s="1" t="str">
        <f>"152326196302180660"</f>
        <v>152326196302180660</v>
      </c>
      <c r="E6168" s="1" t="s">
        <v>6025</v>
      </c>
      <c r="F6168" s="1" t="s">
        <v>16</v>
      </c>
      <c r="G6168" s="1" t="s">
        <v>17</v>
      </c>
      <c r="H6168" s="1" t="str">
        <f>"61"</f>
        <v>61</v>
      </c>
      <c r="I6168" s="1" t="str">
        <f>"164.31"</f>
        <v>164.31</v>
      </c>
      <c r="J6168" s="1" t="str">
        <f t="shared" ref="J6168:N6168" si="3580">"0"</f>
        <v>0</v>
      </c>
      <c r="K6168" s="1" t="str">
        <f t="shared" si="3565"/>
        <v>103</v>
      </c>
      <c r="L6168" s="1" t="str">
        <f t="shared" si="3566"/>
        <v>47</v>
      </c>
      <c r="M6168" s="1" t="str">
        <f t="shared" si="3580"/>
        <v>0</v>
      </c>
      <c r="N6168" s="1" t="str">
        <f t="shared" si="3580"/>
        <v>0</v>
      </c>
      <c r="O6168" s="1" t="str">
        <f>"14.31"</f>
        <v>14.31</v>
      </c>
    </row>
    <row r="6169" s="1" customFormat="1" spans="1:15">
      <c r="A6169" s="1" t="str">
        <f t="shared" si="3554"/>
        <v>202406</v>
      </c>
      <c r="B6169" s="1" t="str">
        <f t="shared" si="3555"/>
        <v>150525100</v>
      </c>
      <c r="C6169" s="1" t="str">
        <f>"1040937237"</f>
        <v>1040937237</v>
      </c>
      <c r="D6169" s="1" t="str">
        <f>"152326196003230680"</f>
        <v>152326196003230680</v>
      </c>
      <c r="E6169" s="1" t="s">
        <v>4747</v>
      </c>
      <c r="F6169" s="1" t="s">
        <v>16</v>
      </c>
      <c r="G6169" s="1" t="s">
        <v>19</v>
      </c>
      <c r="H6169" s="1" t="str">
        <f t="shared" ref="H6169:H6175" si="3581">"64"</f>
        <v>64</v>
      </c>
      <c r="I6169" s="1" t="str">
        <f>"158.58"</f>
        <v>158.58</v>
      </c>
      <c r="J6169" s="1" t="str">
        <f t="shared" ref="J6169:N6169" si="3582">"0"</f>
        <v>0</v>
      </c>
      <c r="K6169" s="1" t="str">
        <f t="shared" si="3565"/>
        <v>103</v>
      </c>
      <c r="L6169" s="1" t="str">
        <f t="shared" si="3566"/>
        <v>47</v>
      </c>
      <c r="M6169" s="1" t="str">
        <f t="shared" si="3582"/>
        <v>0</v>
      </c>
      <c r="N6169" s="1" t="str">
        <f t="shared" si="3582"/>
        <v>0</v>
      </c>
      <c r="O6169" s="1" t="str">
        <f>"8.58"</f>
        <v>8.58</v>
      </c>
    </row>
    <row r="6170" s="1" customFormat="1" spans="1:15">
      <c r="A6170" s="1" t="str">
        <f t="shared" si="3554"/>
        <v>202406</v>
      </c>
      <c r="B6170" s="1" t="str">
        <f t="shared" si="3555"/>
        <v>150525100</v>
      </c>
      <c r="C6170" s="1" t="str">
        <f>"1040937688"</f>
        <v>1040937688</v>
      </c>
      <c r="D6170" s="1" t="str">
        <f>"152326195508160417"</f>
        <v>152326195508160417</v>
      </c>
      <c r="E6170" s="1" t="s">
        <v>6026</v>
      </c>
      <c r="F6170" s="1" t="s">
        <v>25</v>
      </c>
      <c r="G6170" s="1" t="s">
        <v>17</v>
      </c>
      <c r="H6170" s="1" t="str">
        <f>"69"</f>
        <v>69</v>
      </c>
      <c r="I6170" s="1" t="str">
        <f>"153.6"</f>
        <v>153.6</v>
      </c>
      <c r="J6170" s="1" t="str">
        <f t="shared" ref="J6170:N6170" si="3583">"0"</f>
        <v>0</v>
      </c>
      <c r="K6170" s="1" t="str">
        <f t="shared" si="3565"/>
        <v>103</v>
      </c>
      <c r="L6170" s="1" t="str">
        <f t="shared" si="3566"/>
        <v>47</v>
      </c>
      <c r="M6170" s="1" t="str">
        <f t="shared" si="3583"/>
        <v>0</v>
      </c>
      <c r="N6170" s="1" t="str">
        <f t="shared" si="3583"/>
        <v>0</v>
      </c>
      <c r="O6170" s="1" t="str">
        <f>"3.6"</f>
        <v>3.6</v>
      </c>
    </row>
    <row r="6171" s="1" customFormat="1" spans="1:15">
      <c r="A6171" s="1" t="str">
        <f t="shared" si="3554"/>
        <v>202406</v>
      </c>
      <c r="B6171" s="1" t="str">
        <f t="shared" si="3555"/>
        <v>150525100</v>
      </c>
      <c r="C6171" s="1" t="str">
        <f>"1040937239"</f>
        <v>1040937239</v>
      </c>
      <c r="D6171" s="1" t="str">
        <f>"152326195708080681"</f>
        <v>152326195708080681</v>
      </c>
      <c r="E6171" s="1" t="s">
        <v>2637</v>
      </c>
      <c r="F6171" s="1" t="s">
        <v>16</v>
      </c>
      <c r="G6171" s="1" t="s">
        <v>17</v>
      </c>
      <c r="H6171" s="1" t="str">
        <f>"67"</f>
        <v>67</v>
      </c>
      <c r="I6171" s="1" t="str">
        <f>"155.5"</f>
        <v>155.5</v>
      </c>
      <c r="J6171" s="1" t="str">
        <f t="shared" ref="J6171:N6171" si="3584">"0"</f>
        <v>0</v>
      </c>
      <c r="K6171" s="1" t="str">
        <f t="shared" si="3565"/>
        <v>103</v>
      </c>
      <c r="L6171" s="1" t="str">
        <f t="shared" si="3566"/>
        <v>47</v>
      </c>
      <c r="M6171" s="1" t="str">
        <f t="shared" si="3584"/>
        <v>0</v>
      </c>
      <c r="N6171" s="1" t="str">
        <f t="shared" si="3584"/>
        <v>0</v>
      </c>
      <c r="O6171" s="1" t="str">
        <f>"5.5"</f>
        <v>5.5</v>
      </c>
    </row>
    <row r="6172" s="1" customFormat="1" spans="1:15">
      <c r="A6172" s="1" t="str">
        <f t="shared" si="3554"/>
        <v>202406</v>
      </c>
      <c r="B6172" s="1" t="str">
        <f t="shared" si="3555"/>
        <v>150525100</v>
      </c>
      <c r="C6172" s="1" t="str">
        <f>"1040937243"</f>
        <v>1040937243</v>
      </c>
      <c r="D6172" s="1" t="str">
        <f>"152326196310130671"</f>
        <v>152326196310130671</v>
      </c>
      <c r="E6172" s="1" t="s">
        <v>6027</v>
      </c>
      <c r="F6172" s="1" t="s">
        <v>25</v>
      </c>
      <c r="G6172" s="1" t="s">
        <v>17</v>
      </c>
      <c r="H6172" s="1" t="str">
        <f>"61"</f>
        <v>61</v>
      </c>
      <c r="I6172" s="1" t="str">
        <f>"164.45"</f>
        <v>164.45</v>
      </c>
      <c r="J6172" s="1" t="str">
        <f t="shared" ref="J6172:N6172" si="3585">"0"</f>
        <v>0</v>
      </c>
      <c r="K6172" s="1" t="str">
        <f t="shared" si="3565"/>
        <v>103</v>
      </c>
      <c r="L6172" s="1" t="str">
        <f t="shared" si="3566"/>
        <v>47</v>
      </c>
      <c r="M6172" s="1" t="str">
        <f t="shared" si="3585"/>
        <v>0</v>
      </c>
      <c r="N6172" s="1" t="str">
        <f t="shared" si="3585"/>
        <v>0</v>
      </c>
      <c r="O6172" s="1" t="str">
        <f>"14.45"</f>
        <v>14.45</v>
      </c>
    </row>
    <row r="6173" s="1" customFormat="1" spans="1:15">
      <c r="A6173" s="1" t="str">
        <f t="shared" si="3554"/>
        <v>202406</v>
      </c>
      <c r="B6173" s="1" t="str">
        <f t="shared" si="3555"/>
        <v>150525100</v>
      </c>
      <c r="C6173" s="1" t="str">
        <f>"1040937244"</f>
        <v>1040937244</v>
      </c>
      <c r="D6173" s="1" t="str">
        <f>"152326196010180677"</f>
        <v>152326196010180677</v>
      </c>
      <c r="E6173" s="1" t="s">
        <v>6028</v>
      </c>
      <c r="F6173" s="1" t="s">
        <v>25</v>
      </c>
      <c r="G6173" s="1" t="s">
        <v>17</v>
      </c>
      <c r="H6173" s="1" t="str">
        <f t="shared" si="3581"/>
        <v>64</v>
      </c>
      <c r="I6173" s="1" t="str">
        <f>"158.65"</f>
        <v>158.65</v>
      </c>
      <c r="J6173" s="1" t="str">
        <f t="shared" ref="J6173:N6173" si="3586">"0"</f>
        <v>0</v>
      </c>
      <c r="K6173" s="1" t="str">
        <f t="shared" si="3565"/>
        <v>103</v>
      </c>
      <c r="L6173" s="1" t="str">
        <f t="shared" si="3566"/>
        <v>47</v>
      </c>
      <c r="M6173" s="1" t="str">
        <f t="shared" si="3586"/>
        <v>0</v>
      </c>
      <c r="N6173" s="1" t="str">
        <f t="shared" si="3586"/>
        <v>0</v>
      </c>
      <c r="O6173" s="1" t="str">
        <f>"8.65"</f>
        <v>8.65</v>
      </c>
    </row>
    <row r="6174" s="1" customFormat="1" spans="1:15">
      <c r="A6174" s="1" t="str">
        <f t="shared" si="3554"/>
        <v>202406</v>
      </c>
      <c r="B6174" s="1" t="str">
        <f t="shared" si="3555"/>
        <v>150525100</v>
      </c>
      <c r="C6174" s="1" t="str">
        <f>"1040937253"</f>
        <v>1040937253</v>
      </c>
      <c r="D6174" s="1" t="str">
        <f>"152326196004100669"</f>
        <v>152326196004100669</v>
      </c>
      <c r="E6174" s="1" t="s">
        <v>6029</v>
      </c>
      <c r="F6174" s="1" t="s">
        <v>16</v>
      </c>
      <c r="G6174" s="1" t="s">
        <v>17</v>
      </c>
      <c r="H6174" s="1" t="str">
        <f t="shared" si="3581"/>
        <v>64</v>
      </c>
      <c r="I6174" s="1" t="str">
        <f>"158.59"</f>
        <v>158.59</v>
      </c>
      <c r="J6174" s="1" t="str">
        <f t="shared" ref="J6174:N6174" si="3587">"0"</f>
        <v>0</v>
      </c>
      <c r="K6174" s="1" t="str">
        <f t="shared" si="3565"/>
        <v>103</v>
      </c>
      <c r="L6174" s="1" t="str">
        <f t="shared" si="3566"/>
        <v>47</v>
      </c>
      <c r="M6174" s="1" t="str">
        <f t="shared" si="3587"/>
        <v>0</v>
      </c>
      <c r="N6174" s="1" t="str">
        <f t="shared" si="3587"/>
        <v>0</v>
      </c>
      <c r="O6174" s="1" t="str">
        <f>"8.59"</f>
        <v>8.59</v>
      </c>
    </row>
    <row r="6175" s="1" customFormat="1" spans="1:15">
      <c r="A6175" s="1" t="str">
        <f t="shared" si="3554"/>
        <v>202406</v>
      </c>
      <c r="B6175" s="1" t="str">
        <f t="shared" si="3555"/>
        <v>150525100</v>
      </c>
      <c r="C6175" s="1" t="str">
        <f>"1040937311"</f>
        <v>1040937311</v>
      </c>
      <c r="D6175" s="1" t="str">
        <f>"152326196002073820"</f>
        <v>152326196002073820</v>
      </c>
      <c r="E6175" s="1" t="s">
        <v>2452</v>
      </c>
      <c r="F6175" s="1" t="s">
        <v>16</v>
      </c>
      <c r="G6175" s="1" t="s">
        <v>17</v>
      </c>
      <c r="H6175" s="1" t="str">
        <f t="shared" si="3581"/>
        <v>64</v>
      </c>
      <c r="I6175" s="1" t="str">
        <f>"158.07"</f>
        <v>158.07</v>
      </c>
      <c r="J6175" s="1" t="str">
        <f t="shared" ref="J6175:N6175" si="3588">"0"</f>
        <v>0</v>
      </c>
      <c r="K6175" s="1" t="str">
        <f t="shared" si="3565"/>
        <v>103</v>
      </c>
      <c r="L6175" s="1" t="str">
        <f t="shared" si="3566"/>
        <v>47</v>
      </c>
      <c r="M6175" s="1" t="str">
        <f t="shared" si="3588"/>
        <v>0</v>
      </c>
      <c r="N6175" s="1" t="str">
        <f t="shared" si="3588"/>
        <v>0</v>
      </c>
      <c r="O6175" s="1" t="str">
        <f>"8.07"</f>
        <v>8.07</v>
      </c>
    </row>
    <row r="6176" s="1" customFormat="1" spans="1:15">
      <c r="A6176" s="1" t="str">
        <f t="shared" si="3554"/>
        <v>202406</v>
      </c>
      <c r="B6176" s="1" t="str">
        <f t="shared" si="3555"/>
        <v>150525100</v>
      </c>
      <c r="C6176" s="1" t="str">
        <f>"1040937653"</f>
        <v>1040937653</v>
      </c>
      <c r="D6176" s="1" t="str">
        <f>"152326195710190679"</f>
        <v>152326195710190679</v>
      </c>
      <c r="E6176" s="1" t="s">
        <v>6030</v>
      </c>
      <c r="F6176" s="1" t="s">
        <v>25</v>
      </c>
      <c r="G6176" s="1" t="s">
        <v>96</v>
      </c>
      <c r="H6176" s="1" t="str">
        <f>"67"</f>
        <v>67</v>
      </c>
      <c r="I6176" s="1" t="str">
        <f>"169.77"</f>
        <v>169.77</v>
      </c>
      <c r="J6176" s="1" t="str">
        <f t="shared" ref="J6176:N6176" si="3589">"0"</f>
        <v>0</v>
      </c>
      <c r="K6176" s="1" t="str">
        <f t="shared" si="3565"/>
        <v>103</v>
      </c>
      <c r="L6176" s="1" t="str">
        <f t="shared" si="3566"/>
        <v>47</v>
      </c>
      <c r="M6176" s="1" t="str">
        <f t="shared" si="3589"/>
        <v>0</v>
      </c>
      <c r="N6176" s="1" t="str">
        <f t="shared" si="3589"/>
        <v>0</v>
      </c>
      <c r="O6176" s="1" t="str">
        <f>"19.77"</f>
        <v>19.77</v>
      </c>
    </row>
    <row r="6177" s="1" customFormat="1" spans="1:15">
      <c r="A6177" s="1" t="str">
        <f t="shared" si="3554"/>
        <v>202406</v>
      </c>
      <c r="B6177" s="1" t="str">
        <f t="shared" si="3555"/>
        <v>150525100</v>
      </c>
      <c r="C6177" s="1" t="str">
        <f>"1041260260"</f>
        <v>1041260260</v>
      </c>
      <c r="D6177" s="1" t="str">
        <f>"152326193703143082"</f>
        <v>152326193703143082</v>
      </c>
      <c r="E6177" s="1" t="s">
        <v>374</v>
      </c>
      <c r="F6177" s="1" t="s">
        <v>16</v>
      </c>
      <c r="G6177" s="1" t="s">
        <v>17</v>
      </c>
      <c r="H6177" s="1" t="str">
        <f>"87"</f>
        <v>87</v>
      </c>
      <c r="I6177" s="1" t="str">
        <f>"170"</f>
        <v>170</v>
      </c>
      <c r="J6177" s="1" t="str">
        <f t="shared" ref="J6177:O6177" si="3590">"0"</f>
        <v>0</v>
      </c>
      <c r="K6177" s="1" t="str">
        <f t="shared" si="3565"/>
        <v>103</v>
      </c>
      <c r="L6177" s="1" t="str">
        <f t="shared" si="3566"/>
        <v>47</v>
      </c>
      <c r="M6177" s="1" t="str">
        <f t="shared" si="3590"/>
        <v>0</v>
      </c>
      <c r="N6177" s="1" t="str">
        <f t="shared" si="3590"/>
        <v>0</v>
      </c>
      <c r="O6177" s="1" t="str">
        <f t="shared" si="3590"/>
        <v>0</v>
      </c>
    </row>
    <row r="6178" s="1" customFormat="1" spans="1:15">
      <c r="A6178" s="1" t="str">
        <f t="shared" si="3554"/>
        <v>202406</v>
      </c>
      <c r="B6178" s="1" t="str">
        <f t="shared" si="3555"/>
        <v>150525100</v>
      </c>
      <c r="C6178" s="1" t="str">
        <f>"1041363087"</f>
        <v>1041363087</v>
      </c>
      <c r="D6178" s="1" t="str">
        <f>"152326195804080040"</f>
        <v>152326195804080040</v>
      </c>
      <c r="E6178" s="1" t="s">
        <v>6031</v>
      </c>
      <c r="F6178" s="1" t="s">
        <v>16</v>
      </c>
      <c r="G6178" s="1" t="s">
        <v>17</v>
      </c>
      <c r="H6178" s="1" t="str">
        <f>"66"</f>
        <v>66</v>
      </c>
      <c r="I6178" s="1" t="str">
        <f>"206.56"</f>
        <v>206.56</v>
      </c>
      <c r="J6178" s="1" t="str">
        <f t="shared" ref="J6178:N6178" si="3591">"0"</f>
        <v>0</v>
      </c>
      <c r="K6178" s="1" t="str">
        <f t="shared" si="3565"/>
        <v>103</v>
      </c>
      <c r="L6178" s="1" t="str">
        <f t="shared" si="3566"/>
        <v>47</v>
      </c>
      <c r="M6178" s="1" t="str">
        <f t="shared" si="3591"/>
        <v>0</v>
      </c>
      <c r="N6178" s="1" t="str">
        <f t="shared" si="3591"/>
        <v>0</v>
      </c>
      <c r="O6178" s="1" t="str">
        <f>"56.56"</f>
        <v>56.56</v>
      </c>
    </row>
    <row r="6179" s="1" customFormat="1" spans="1:15">
      <c r="A6179" s="1" t="str">
        <f t="shared" si="3554"/>
        <v>202406</v>
      </c>
      <c r="B6179" s="1" t="str">
        <f t="shared" si="3555"/>
        <v>150525100</v>
      </c>
      <c r="C6179" s="1" t="str">
        <f>"1041352067"</f>
        <v>1041352067</v>
      </c>
      <c r="D6179" s="1" t="str">
        <f>"152326196211270417"</f>
        <v>152326196211270417</v>
      </c>
      <c r="E6179" s="1" t="s">
        <v>6032</v>
      </c>
      <c r="F6179" s="1" t="s">
        <v>25</v>
      </c>
      <c r="G6179" s="1" t="s">
        <v>96</v>
      </c>
      <c r="H6179" s="1" t="str">
        <f>"62"</f>
        <v>62</v>
      </c>
      <c r="I6179" s="1" t="str">
        <f>"160.92"</f>
        <v>160.92</v>
      </c>
      <c r="J6179" s="1" t="str">
        <f t="shared" ref="J6179:N6179" si="3592">"0"</f>
        <v>0</v>
      </c>
      <c r="K6179" s="1" t="str">
        <f t="shared" si="3565"/>
        <v>103</v>
      </c>
      <c r="L6179" s="1" t="str">
        <f t="shared" si="3566"/>
        <v>47</v>
      </c>
      <c r="M6179" s="1" t="str">
        <f t="shared" si="3592"/>
        <v>0</v>
      </c>
      <c r="N6179" s="1" t="str">
        <f t="shared" si="3592"/>
        <v>0</v>
      </c>
      <c r="O6179" s="1" t="str">
        <f>"10.92"</f>
        <v>10.92</v>
      </c>
    </row>
    <row r="6180" s="1" customFormat="1" spans="1:15">
      <c r="A6180" s="1" t="str">
        <f t="shared" si="3554"/>
        <v>202406</v>
      </c>
      <c r="B6180" s="1" t="str">
        <f t="shared" si="3555"/>
        <v>150525100</v>
      </c>
      <c r="C6180" s="1" t="str">
        <f>"1041310706"</f>
        <v>1041310706</v>
      </c>
      <c r="D6180" s="1" t="str">
        <f>"152326195805253337"</f>
        <v>152326195805253337</v>
      </c>
      <c r="E6180" s="1" t="s">
        <v>6033</v>
      </c>
      <c r="F6180" s="1" t="s">
        <v>25</v>
      </c>
      <c r="G6180" s="1" t="s">
        <v>17</v>
      </c>
      <c r="H6180" s="1" t="str">
        <f>"66"</f>
        <v>66</v>
      </c>
      <c r="I6180" s="1" t="str">
        <f>"157.08"</f>
        <v>157.08</v>
      </c>
      <c r="J6180" s="1" t="str">
        <f t="shared" ref="J6180:N6180" si="3593">"0"</f>
        <v>0</v>
      </c>
      <c r="K6180" s="1" t="str">
        <f t="shared" si="3565"/>
        <v>103</v>
      </c>
      <c r="L6180" s="1" t="str">
        <f t="shared" si="3566"/>
        <v>47</v>
      </c>
      <c r="M6180" s="1" t="str">
        <f t="shared" si="3593"/>
        <v>0</v>
      </c>
      <c r="N6180" s="1" t="str">
        <f t="shared" si="3593"/>
        <v>0</v>
      </c>
      <c r="O6180" s="1" t="str">
        <f>"7.08"</f>
        <v>7.08</v>
      </c>
    </row>
    <row r="6181" s="1" customFormat="1" spans="1:15">
      <c r="A6181" s="1" t="str">
        <f t="shared" si="3554"/>
        <v>202406</v>
      </c>
      <c r="B6181" s="1" t="str">
        <f t="shared" si="3555"/>
        <v>150525100</v>
      </c>
      <c r="C6181" s="1" t="str">
        <f>"1041317068"</f>
        <v>1041317068</v>
      </c>
      <c r="D6181" s="1" t="str">
        <f>"152326196305123813"</f>
        <v>152326196305123813</v>
      </c>
      <c r="E6181" s="1" t="s">
        <v>6034</v>
      </c>
      <c r="F6181" s="1" t="s">
        <v>25</v>
      </c>
      <c r="G6181" s="1" t="s">
        <v>17</v>
      </c>
      <c r="H6181" s="1" t="str">
        <f t="shared" ref="H6181:H6186" si="3594">"61"</f>
        <v>61</v>
      </c>
      <c r="I6181" s="1" t="str">
        <f>"1051.38"</f>
        <v>1051.38</v>
      </c>
      <c r="J6181" s="1" t="str">
        <f>"876.15"</f>
        <v>876.15</v>
      </c>
      <c r="K6181" s="1" t="str">
        <f>"618"</f>
        <v>618</v>
      </c>
      <c r="L6181" s="1" t="str">
        <f>"282"</f>
        <v>282</v>
      </c>
      <c r="M6181" s="1" t="str">
        <f>"0"</f>
        <v>0</v>
      </c>
      <c r="N6181" s="1" t="str">
        <f>"0"</f>
        <v>0</v>
      </c>
      <c r="O6181" s="1" t="str">
        <f>"151.38"</f>
        <v>151.38</v>
      </c>
    </row>
    <row r="6182" s="1" customFormat="1" spans="1:15">
      <c r="A6182" s="1" t="str">
        <f t="shared" si="3554"/>
        <v>202406</v>
      </c>
      <c r="B6182" s="1" t="str">
        <f t="shared" si="3555"/>
        <v>150525100</v>
      </c>
      <c r="C6182" s="1" t="str">
        <f>"1041290074"</f>
        <v>1041290074</v>
      </c>
      <c r="D6182" s="1" t="str">
        <f>"152326196310073822"</f>
        <v>152326196310073822</v>
      </c>
      <c r="E6182" s="1" t="s">
        <v>1304</v>
      </c>
      <c r="F6182" s="1" t="s">
        <v>16</v>
      </c>
      <c r="G6182" s="1" t="s">
        <v>17</v>
      </c>
      <c r="H6182" s="1" t="str">
        <f t="shared" si="3594"/>
        <v>61</v>
      </c>
      <c r="I6182" s="1" t="str">
        <f>"164.13"</f>
        <v>164.13</v>
      </c>
      <c r="J6182" s="1" t="str">
        <f t="shared" ref="J6182:N6182" si="3595">"0"</f>
        <v>0</v>
      </c>
      <c r="K6182" s="1" t="str">
        <f t="shared" ref="K6182:K6217" si="3596">"103"</f>
        <v>103</v>
      </c>
      <c r="L6182" s="1" t="str">
        <f t="shared" ref="L6182:L6217" si="3597">"47"</f>
        <v>47</v>
      </c>
      <c r="M6182" s="1" t="str">
        <f t="shared" si="3595"/>
        <v>0</v>
      </c>
      <c r="N6182" s="1" t="str">
        <f t="shared" si="3595"/>
        <v>0</v>
      </c>
      <c r="O6182" s="1" t="str">
        <f>"14.13"</f>
        <v>14.13</v>
      </c>
    </row>
    <row r="6183" s="1" customFormat="1" spans="1:15">
      <c r="A6183" s="1" t="str">
        <f t="shared" si="3554"/>
        <v>202406</v>
      </c>
      <c r="B6183" s="1" t="str">
        <f t="shared" si="3555"/>
        <v>150525100</v>
      </c>
      <c r="C6183" s="1" t="str">
        <f>"1041403057"</f>
        <v>1041403057</v>
      </c>
      <c r="D6183" s="1" t="str">
        <f>"152326195906023821"</f>
        <v>152326195906023821</v>
      </c>
      <c r="E6183" s="1" t="s">
        <v>820</v>
      </c>
      <c r="F6183" s="1" t="s">
        <v>16</v>
      </c>
      <c r="G6183" s="1" t="s">
        <v>17</v>
      </c>
      <c r="H6183" s="1" t="str">
        <f>"65"</f>
        <v>65</v>
      </c>
      <c r="I6183" s="1" t="str">
        <f>"157.74"</f>
        <v>157.74</v>
      </c>
      <c r="J6183" s="1" t="str">
        <f t="shared" ref="J6183:N6183" si="3598">"0"</f>
        <v>0</v>
      </c>
      <c r="K6183" s="1" t="str">
        <f t="shared" si="3596"/>
        <v>103</v>
      </c>
      <c r="L6183" s="1" t="str">
        <f t="shared" si="3597"/>
        <v>47</v>
      </c>
      <c r="M6183" s="1" t="str">
        <f t="shared" si="3598"/>
        <v>0</v>
      </c>
      <c r="N6183" s="1" t="str">
        <f t="shared" si="3598"/>
        <v>0</v>
      </c>
      <c r="O6183" s="1" t="str">
        <f>"7.74"</f>
        <v>7.74</v>
      </c>
    </row>
    <row r="6184" s="1" customFormat="1" spans="1:15">
      <c r="A6184" s="1" t="str">
        <f t="shared" si="3554"/>
        <v>202406</v>
      </c>
      <c r="B6184" s="1" t="str">
        <f t="shared" si="3555"/>
        <v>150525100</v>
      </c>
      <c r="C6184" s="1" t="str">
        <f>"1041403064"</f>
        <v>1041403064</v>
      </c>
      <c r="D6184" s="1" t="str">
        <f>"152326195911110663"</f>
        <v>152326195911110663</v>
      </c>
      <c r="E6184" s="1" t="s">
        <v>6035</v>
      </c>
      <c r="F6184" s="1" t="s">
        <v>16</v>
      </c>
      <c r="G6184" s="1" t="s">
        <v>19</v>
      </c>
      <c r="H6184" s="1" t="str">
        <f>"65"</f>
        <v>65</v>
      </c>
      <c r="I6184" s="1" t="str">
        <f>"150.95"</f>
        <v>150.95</v>
      </c>
      <c r="J6184" s="1" t="str">
        <f t="shared" ref="J6184:N6184" si="3599">"0"</f>
        <v>0</v>
      </c>
      <c r="K6184" s="1" t="str">
        <f t="shared" si="3596"/>
        <v>103</v>
      </c>
      <c r="L6184" s="1" t="str">
        <f t="shared" si="3597"/>
        <v>47</v>
      </c>
      <c r="M6184" s="1" t="str">
        <f t="shared" si="3599"/>
        <v>0</v>
      </c>
      <c r="N6184" s="1" t="str">
        <f t="shared" si="3599"/>
        <v>0</v>
      </c>
      <c r="O6184" s="1" t="str">
        <f>"0.95"</f>
        <v>0.95</v>
      </c>
    </row>
    <row r="6185" s="1" customFormat="1" spans="1:15">
      <c r="A6185" s="1" t="str">
        <f t="shared" si="3554"/>
        <v>202406</v>
      </c>
      <c r="B6185" s="1" t="str">
        <f t="shared" si="3555"/>
        <v>150525100</v>
      </c>
      <c r="C6185" s="1" t="str">
        <f>"1041285421"</f>
        <v>1041285421</v>
      </c>
      <c r="D6185" s="1" t="s">
        <v>6036</v>
      </c>
      <c r="E6185" s="1" t="s">
        <v>6037</v>
      </c>
      <c r="F6185" s="1" t="s">
        <v>25</v>
      </c>
      <c r="G6185" s="1" t="s">
        <v>19</v>
      </c>
      <c r="H6185" s="1" t="str">
        <f>"64"</f>
        <v>64</v>
      </c>
      <c r="I6185" s="1" t="str">
        <f>"157.32"</f>
        <v>157.32</v>
      </c>
      <c r="J6185" s="1" t="str">
        <f t="shared" ref="J6185:N6185" si="3600">"0"</f>
        <v>0</v>
      </c>
      <c r="K6185" s="1" t="str">
        <f t="shared" si="3596"/>
        <v>103</v>
      </c>
      <c r="L6185" s="1" t="str">
        <f t="shared" si="3597"/>
        <v>47</v>
      </c>
      <c r="M6185" s="1" t="str">
        <f t="shared" si="3600"/>
        <v>0</v>
      </c>
      <c r="N6185" s="1" t="str">
        <f t="shared" si="3600"/>
        <v>0</v>
      </c>
      <c r="O6185" s="1" t="str">
        <f>"7.32"</f>
        <v>7.32</v>
      </c>
    </row>
    <row r="6186" s="1" customFormat="1" spans="1:15">
      <c r="A6186" s="1" t="str">
        <f t="shared" si="3554"/>
        <v>202406</v>
      </c>
      <c r="B6186" s="1" t="str">
        <f t="shared" si="3555"/>
        <v>150525100</v>
      </c>
      <c r="C6186" s="1" t="str">
        <f>"1041403218"</f>
        <v>1041403218</v>
      </c>
      <c r="D6186" s="1" t="str">
        <f>"152326196305103329"</f>
        <v>152326196305103329</v>
      </c>
      <c r="E6186" s="1" t="s">
        <v>1064</v>
      </c>
      <c r="F6186" s="1" t="s">
        <v>16</v>
      </c>
      <c r="G6186" s="1" t="s">
        <v>19</v>
      </c>
      <c r="H6186" s="1" t="str">
        <f t="shared" si="3594"/>
        <v>61</v>
      </c>
      <c r="I6186" s="1" t="str">
        <f>"162.25"</f>
        <v>162.25</v>
      </c>
      <c r="J6186" s="1" t="str">
        <f t="shared" ref="J6186:N6186" si="3601">"0"</f>
        <v>0</v>
      </c>
      <c r="K6186" s="1" t="str">
        <f t="shared" si="3596"/>
        <v>103</v>
      </c>
      <c r="L6186" s="1" t="str">
        <f t="shared" si="3597"/>
        <v>47</v>
      </c>
      <c r="M6186" s="1" t="str">
        <f t="shared" si="3601"/>
        <v>0</v>
      </c>
      <c r="N6186" s="1" t="str">
        <f t="shared" si="3601"/>
        <v>0</v>
      </c>
      <c r="O6186" s="1" t="str">
        <f>"12.25"</f>
        <v>12.25</v>
      </c>
    </row>
    <row r="6187" s="1" customFormat="1" spans="1:15">
      <c r="A6187" s="1" t="str">
        <f t="shared" si="3554"/>
        <v>202406</v>
      </c>
      <c r="B6187" s="1" t="str">
        <f t="shared" si="3555"/>
        <v>150525100</v>
      </c>
      <c r="C6187" s="1" t="str">
        <f>"1041403441"</f>
        <v>1041403441</v>
      </c>
      <c r="D6187" s="1" t="str">
        <f>"152326196009103826"</f>
        <v>152326196009103826</v>
      </c>
      <c r="E6187" s="1" t="s">
        <v>6038</v>
      </c>
      <c r="F6187" s="1" t="s">
        <v>16</v>
      </c>
      <c r="G6187" s="1" t="s">
        <v>17</v>
      </c>
      <c r="H6187" s="1" t="str">
        <f>"64"</f>
        <v>64</v>
      </c>
      <c r="I6187" s="1" t="str">
        <f>"163.94"</f>
        <v>163.94</v>
      </c>
      <c r="J6187" s="1" t="str">
        <f t="shared" ref="J6187:N6187" si="3602">"0"</f>
        <v>0</v>
      </c>
      <c r="K6187" s="1" t="str">
        <f t="shared" si="3596"/>
        <v>103</v>
      </c>
      <c r="L6187" s="1" t="str">
        <f t="shared" si="3597"/>
        <v>47</v>
      </c>
      <c r="M6187" s="1" t="str">
        <f t="shared" si="3602"/>
        <v>0</v>
      </c>
      <c r="N6187" s="1" t="str">
        <f t="shared" si="3602"/>
        <v>0</v>
      </c>
      <c r="O6187" s="1" t="str">
        <f>"13.94"</f>
        <v>13.94</v>
      </c>
    </row>
    <row r="6188" s="1" customFormat="1" spans="1:15">
      <c r="A6188" s="1" t="str">
        <f t="shared" si="3554"/>
        <v>202406</v>
      </c>
      <c r="B6188" s="1" t="str">
        <f t="shared" si="3555"/>
        <v>150525100</v>
      </c>
      <c r="C6188" s="1" t="str">
        <f>"1041306516"</f>
        <v>1041306516</v>
      </c>
      <c r="D6188" s="1" t="str">
        <f>"152326196307170672"</f>
        <v>152326196307170672</v>
      </c>
      <c r="E6188" s="1" t="s">
        <v>5452</v>
      </c>
      <c r="F6188" s="1" t="s">
        <v>25</v>
      </c>
      <c r="G6188" s="1" t="s">
        <v>17</v>
      </c>
      <c r="H6188" s="1" t="str">
        <f>"61"</f>
        <v>61</v>
      </c>
      <c r="I6188" s="1" t="str">
        <f>"162.99"</f>
        <v>162.99</v>
      </c>
      <c r="J6188" s="1" t="str">
        <f t="shared" ref="J6188:N6188" si="3603">"0"</f>
        <v>0</v>
      </c>
      <c r="K6188" s="1" t="str">
        <f t="shared" si="3596"/>
        <v>103</v>
      </c>
      <c r="L6188" s="1" t="str">
        <f t="shared" si="3597"/>
        <v>47</v>
      </c>
      <c r="M6188" s="1" t="str">
        <f t="shared" si="3603"/>
        <v>0</v>
      </c>
      <c r="N6188" s="1" t="str">
        <f t="shared" si="3603"/>
        <v>0</v>
      </c>
      <c r="O6188" s="1" t="str">
        <f>"12.99"</f>
        <v>12.99</v>
      </c>
    </row>
    <row r="6189" s="1" customFormat="1" spans="1:15">
      <c r="A6189" s="1" t="str">
        <f t="shared" si="3554"/>
        <v>202406</v>
      </c>
      <c r="B6189" s="1" t="str">
        <f t="shared" si="3555"/>
        <v>150525100</v>
      </c>
      <c r="C6189" s="1" t="str">
        <f>"1041306523"</f>
        <v>1041306523</v>
      </c>
      <c r="D6189" s="1" t="str">
        <f>"152326196309250692"</f>
        <v>152326196309250692</v>
      </c>
      <c r="E6189" s="1" t="s">
        <v>6039</v>
      </c>
      <c r="F6189" s="1" t="s">
        <v>25</v>
      </c>
      <c r="G6189" s="1" t="s">
        <v>17</v>
      </c>
      <c r="H6189" s="1" t="str">
        <f>"61"</f>
        <v>61</v>
      </c>
      <c r="I6189" s="1" t="str">
        <f>"163.11"</f>
        <v>163.11</v>
      </c>
      <c r="J6189" s="1" t="str">
        <f t="shared" ref="J6189:N6189" si="3604">"0"</f>
        <v>0</v>
      </c>
      <c r="K6189" s="1" t="str">
        <f t="shared" si="3596"/>
        <v>103</v>
      </c>
      <c r="L6189" s="1" t="str">
        <f t="shared" si="3597"/>
        <v>47</v>
      </c>
      <c r="M6189" s="1" t="str">
        <f t="shared" si="3604"/>
        <v>0</v>
      </c>
      <c r="N6189" s="1" t="str">
        <f t="shared" si="3604"/>
        <v>0</v>
      </c>
      <c r="O6189" s="1" t="str">
        <f>"13.11"</f>
        <v>13.11</v>
      </c>
    </row>
    <row r="6190" s="1" customFormat="1" spans="1:15">
      <c r="A6190" s="1" t="str">
        <f t="shared" si="3554"/>
        <v>202406</v>
      </c>
      <c r="B6190" s="1" t="str">
        <f t="shared" si="3555"/>
        <v>150525100</v>
      </c>
      <c r="C6190" s="1" t="str">
        <f>"1041306539"</f>
        <v>1041306539</v>
      </c>
      <c r="D6190" s="1" t="str">
        <f>"152326196402240915"</f>
        <v>152326196402240915</v>
      </c>
      <c r="E6190" s="1" t="s">
        <v>6040</v>
      </c>
      <c r="F6190" s="1" t="s">
        <v>25</v>
      </c>
      <c r="G6190" s="1" t="s">
        <v>17</v>
      </c>
      <c r="H6190" s="1" t="str">
        <f>"60"</f>
        <v>60</v>
      </c>
      <c r="I6190" s="1" t="str">
        <f>"164.31"</f>
        <v>164.31</v>
      </c>
      <c r="J6190" s="1" t="str">
        <f t="shared" ref="J6190:N6190" si="3605">"0"</f>
        <v>0</v>
      </c>
      <c r="K6190" s="1" t="str">
        <f t="shared" si="3596"/>
        <v>103</v>
      </c>
      <c r="L6190" s="1" t="str">
        <f t="shared" si="3597"/>
        <v>47</v>
      </c>
      <c r="M6190" s="1" t="str">
        <f t="shared" si="3605"/>
        <v>0</v>
      </c>
      <c r="N6190" s="1" t="str">
        <f t="shared" si="3605"/>
        <v>0</v>
      </c>
      <c r="O6190" s="1" t="str">
        <f>"14.31"</f>
        <v>14.31</v>
      </c>
    </row>
    <row r="6191" s="1" customFormat="1" spans="1:15">
      <c r="A6191" s="1" t="str">
        <f t="shared" si="3554"/>
        <v>202406</v>
      </c>
      <c r="B6191" s="1" t="str">
        <f t="shared" si="3555"/>
        <v>150525100</v>
      </c>
      <c r="C6191" s="1" t="str">
        <f>"1041307803"</f>
        <v>1041307803</v>
      </c>
      <c r="D6191" s="1" t="str">
        <f>"152326195807250666"</f>
        <v>152326195807250666</v>
      </c>
      <c r="E6191" s="1" t="s">
        <v>333</v>
      </c>
      <c r="F6191" s="1" t="s">
        <v>16</v>
      </c>
      <c r="G6191" s="1" t="s">
        <v>17</v>
      </c>
      <c r="H6191" s="1" t="str">
        <f>"66"</f>
        <v>66</v>
      </c>
      <c r="I6191" s="1" t="str">
        <f>"155.3"</f>
        <v>155.3</v>
      </c>
      <c r="J6191" s="1" t="str">
        <f t="shared" ref="J6191:N6191" si="3606">"0"</f>
        <v>0</v>
      </c>
      <c r="K6191" s="1" t="str">
        <f t="shared" si="3596"/>
        <v>103</v>
      </c>
      <c r="L6191" s="1" t="str">
        <f t="shared" si="3597"/>
        <v>47</v>
      </c>
      <c r="M6191" s="1" t="str">
        <f t="shared" si="3606"/>
        <v>0</v>
      </c>
      <c r="N6191" s="1" t="str">
        <f t="shared" si="3606"/>
        <v>0</v>
      </c>
      <c r="O6191" s="1" t="str">
        <f>"5.3"</f>
        <v>5.3</v>
      </c>
    </row>
    <row r="6192" s="1" customFormat="1" spans="1:15">
      <c r="A6192" s="1" t="str">
        <f t="shared" si="3554"/>
        <v>202406</v>
      </c>
      <c r="B6192" s="1" t="str">
        <f t="shared" si="3555"/>
        <v>150525100</v>
      </c>
      <c r="C6192" s="1" t="str">
        <f>"1041307828"</f>
        <v>1041307828</v>
      </c>
      <c r="D6192" s="1" t="str">
        <f>"152326195905150917"</f>
        <v>152326195905150917</v>
      </c>
      <c r="E6192" s="1" t="s">
        <v>6041</v>
      </c>
      <c r="F6192" s="1" t="s">
        <v>25</v>
      </c>
      <c r="G6192" s="1" t="s">
        <v>17</v>
      </c>
      <c r="H6192" s="1" t="str">
        <f>"65"</f>
        <v>65</v>
      </c>
      <c r="I6192" s="1" t="str">
        <f>"156.31"</f>
        <v>156.31</v>
      </c>
      <c r="J6192" s="1" t="str">
        <f t="shared" ref="J6192:N6192" si="3607">"0"</f>
        <v>0</v>
      </c>
      <c r="K6192" s="1" t="str">
        <f t="shared" si="3596"/>
        <v>103</v>
      </c>
      <c r="L6192" s="1" t="str">
        <f t="shared" si="3597"/>
        <v>47</v>
      </c>
      <c r="M6192" s="1" t="str">
        <f t="shared" si="3607"/>
        <v>0</v>
      </c>
      <c r="N6192" s="1" t="str">
        <f t="shared" si="3607"/>
        <v>0</v>
      </c>
      <c r="O6192" s="1" t="str">
        <f>"6.31"</f>
        <v>6.31</v>
      </c>
    </row>
    <row r="6193" s="1" customFormat="1" spans="1:15">
      <c r="A6193" s="1" t="str">
        <f t="shared" si="3554"/>
        <v>202406</v>
      </c>
      <c r="B6193" s="1" t="str">
        <f t="shared" si="3555"/>
        <v>150525100</v>
      </c>
      <c r="C6193" s="1" t="str">
        <f>"1041300394"</f>
        <v>1041300394</v>
      </c>
      <c r="D6193" s="1" t="str">
        <f>"152326196211033825"</f>
        <v>152326196211033825</v>
      </c>
      <c r="E6193" s="1" t="s">
        <v>195</v>
      </c>
      <c r="F6193" s="1" t="s">
        <v>16</v>
      </c>
      <c r="G6193" s="1" t="s">
        <v>17</v>
      </c>
      <c r="H6193" s="1" t="str">
        <f t="shared" ref="H6193:H6196" si="3608">"62"</f>
        <v>62</v>
      </c>
      <c r="I6193" s="1" t="str">
        <f>"161.55"</f>
        <v>161.55</v>
      </c>
      <c r="J6193" s="1" t="str">
        <f t="shared" ref="J6193:N6193" si="3609">"0"</f>
        <v>0</v>
      </c>
      <c r="K6193" s="1" t="str">
        <f t="shared" si="3596"/>
        <v>103</v>
      </c>
      <c r="L6193" s="1" t="str">
        <f t="shared" si="3597"/>
        <v>47</v>
      </c>
      <c r="M6193" s="1" t="str">
        <f t="shared" si="3609"/>
        <v>0</v>
      </c>
      <c r="N6193" s="1" t="str">
        <f t="shared" si="3609"/>
        <v>0</v>
      </c>
      <c r="O6193" s="1" t="str">
        <f>"11.55"</f>
        <v>11.55</v>
      </c>
    </row>
    <row r="6194" s="1" customFormat="1" spans="1:15">
      <c r="A6194" s="1" t="str">
        <f t="shared" si="3554"/>
        <v>202406</v>
      </c>
      <c r="B6194" s="1" t="str">
        <f t="shared" si="3555"/>
        <v>150525100</v>
      </c>
      <c r="C6194" s="1" t="str">
        <f>"1041306721"</f>
        <v>1041306721</v>
      </c>
      <c r="D6194" s="1" t="str">
        <f>"152326196201260928"</f>
        <v>152326196201260928</v>
      </c>
      <c r="E6194" s="1" t="s">
        <v>6042</v>
      </c>
      <c r="F6194" s="1" t="s">
        <v>16</v>
      </c>
      <c r="G6194" s="1" t="s">
        <v>17</v>
      </c>
      <c r="H6194" s="1" t="str">
        <f t="shared" si="3608"/>
        <v>62</v>
      </c>
      <c r="I6194" s="1" t="str">
        <f>"161.31"</f>
        <v>161.31</v>
      </c>
      <c r="J6194" s="1" t="str">
        <f t="shared" ref="J6194:N6194" si="3610">"0"</f>
        <v>0</v>
      </c>
      <c r="K6194" s="1" t="str">
        <f t="shared" si="3596"/>
        <v>103</v>
      </c>
      <c r="L6194" s="1" t="str">
        <f t="shared" si="3597"/>
        <v>47</v>
      </c>
      <c r="M6194" s="1" t="str">
        <f t="shared" si="3610"/>
        <v>0</v>
      </c>
      <c r="N6194" s="1" t="str">
        <f t="shared" si="3610"/>
        <v>0</v>
      </c>
      <c r="O6194" s="1" t="str">
        <f>"11.31"</f>
        <v>11.31</v>
      </c>
    </row>
    <row r="6195" s="1" customFormat="1" spans="1:15">
      <c r="A6195" s="1" t="str">
        <f t="shared" si="3554"/>
        <v>202406</v>
      </c>
      <c r="B6195" s="1" t="str">
        <f t="shared" si="3555"/>
        <v>150525100</v>
      </c>
      <c r="C6195" s="1" t="str">
        <f>"1041306731"</f>
        <v>1041306731</v>
      </c>
      <c r="D6195" s="1" t="str">
        <f>"152326196203280041"</f>
        <v>152326196203280041</v>
      </c>
      <c r="E6195" s="1" t="s">
        <v>6043</v>
      </c>
      <c r="F6195" s="1" t="s">
        <v>16</v>
      </c>
      <c r="G6195" s="1" t="s">
        <v>17</v>
      </c>
      <c r="H6195" s="1" t="str">
        <f t="shared" si="3608"/>
        <v>62</v>
      </c>
      <c r="I6195" s="1" t="str">
        <f>"161.55"</f>
        <v>161.55</v>
      </c>
      <c r="J6195" s="1" t="str">
        <f t="shared" ref="J6195:N6195" si="3611">"0"</f>
        <v>0</v>
      </c>
      <c r="K6195" s="1" t="str">
        <f t="shared" si="3596"/>
        <v>103</v>
      </c>
      <c r="L6195" s="1" t="str">
        <f t="shared" si="3597"/>
        <v>47</v>
      </c>
      <c r="M6195" s="1" t="str">
        <f t="shared" si="3611"/>
        <v>0</v>
      </c>
      <c r="N6195" s="1" t="str">
        <f t="shared" si="3611"/>
        <v>0</v>
      </c>
      <c r="O6195" s="1" t="str">
        <f>"11.55"</f>
        <v>11.55</v>
      </c>
    </row>
    <row r="6196" s="1" customFormat="1" spans="1:15">
      <c r="A6196" s="1" t="str">
        <f t="shared" si="3554"/>
        <v>202406</v>
      </c>
      <c r="B6196" s="1" t="str">
        <f t="shared" si="3555"/>
        <v>150525100</v>
      </c>
      <c r="C6196" s="1" t="str">
        <f>"1041280559"</f>
        <v>1041280559</v>
      </c>
      <c r="D6196" s="1" t="str">
        <f>"152326196209093829"</f>
        <v>152326196209093829</v>
      </c>
      <c r="E6196" s="1" t="s">
        <v>6044</v>
      </c>
      <c r="F6196" s="1" t="s">
        <v>16</v>
      </c>
      <c r="G6196" s="1" t="s">
        <v>19</v>
      </c>
      <c r="H6196" s="1" t="str">
        <f t="shared" si="3608"/>
        <v>62</v>
      </c>
      <c r="I6196" s="1" t="str">
        <f>"160.87"</f>
        <v>160.87</v>
      </c>
      <c r="J6196" s="1" t="str">
        <f t="shared" ref="J6196:N6196" si="3612">"0"</f>
        <v>0</v>
      </c>
      <c r="K6196" s="1" t="str">
        <f t="shared" si="3596"/>
        <v>103</v>
      </c>
      <c r="L6196" s="1" t="str">
        <f t="shared" si="3597"/>
        <v>47</v>
      </c>
      <c r="M6196" s="1" t="str">
        <f t="shared" si="3612"/>
        <v>0</v>
      </c>
      <c r="N6196" s="1" t="str">
        <f t="shared" si="3612"/>
        <v>0</v>
      </c>
      <c r="O6196" s="1" t="str">
        <f>"10.87"</f>
        <v>10.87</v>
      </c>
    </row>
    <row r="6197" s="1" customFormat="1" spans="1:15">
      <c r="A6197" s="1" t="str">
        <f t="shared" si="3554"/>
        <v>202406</v>
      </c>
      <c r="B6197" s="1" t="str">
        <f t="shared" si="3555"/>
        <v>150525100</v>
      </c>
      <c r="C6197" s="1" t="str">
        <f>"1041305751"</f>
        <v>1041305751</v>
      </c>
      <c r="D6197" s="1" t="str">
        <f>"152326196007220922"</f>
        <v>152326196007220922</v>
      </c>
      <c r="E6197" s="1" t="s">
        <v>6045</v>
      </c>
      <c r="F6197" s="1" t="s">
        <v>16</v>
      </c>
      <c r="G6197" s="1" t="s">
        <v>17</v>
      </c>
      <c r="H6197" s="1" t="str">
        <f t="shared" ref="H6197:H6199" si="3613">"64"</f>
        <v>64</v>
      </c>
      <c r="I6197" s="1" t="str">
        <f>"157.37"</f>
        <v>157.37</v>
      </c>
      <c r="J6197" s="1" t="str">
        <f t="shared" ref="J6197:N6197" si="3614">"0"</f>
        <v>0</v>
      </c>
      <c r="K6197" s="1" t="str">
        <f t="shared" si="3596"/>
        <v>103</v>
      </c>
      <c r="L6197" s="1" t="str">
        <f t="shared" si="3597"/>
        <v>47</v>
      </c>
      <c r="M6197" s="1" t="str">
        <f t="shared" si="3614"/>
        <v>0</v>
      </c>
      <c r="N6197" s="1" t="str">
        <f t="shared" si="3614"/>
        <v>0</v>
      </c>
      <c r="O6197" s="1" t="str">
        <f>"7.37"</f>
        <v>7.37</v>
      </c>
    </row>
    <row r="6198" s="1" customFormat="1" spans="1:15">
      <c r="A6198" s="1" t="str">
        <f t="shared" si="3554"/>
        <v>202406</v>
      </c>
      <c r="B6198" s="1" t="str">
        <f t="shared" si="3555"/>
        <v>150525100</v>
      </c>
      <c r="C6198" s="1" t="str">
        <f>"1041305761"</f>
        <v>1041305761</v>
      </c>
      <c r="D6198" s="1" t="str">
        <f>"152326196010090911"</f>
        <v>152326196010090911</v>
      </c>
      <c r="E6198" s="1" t="s">
        <v>6046</v>
      </c>
      <c r="F6198" s="1" t="s">
        <v>25</v>
      </c>
      <c r="G6198" s="1" t="s">
        <v>17</v>
      </c>
      <c r="H6198" s="1" t="str">
        <f t="shared" si="3613"/>
        <v>64</v>
      </c>
      <c r="I6198" s="1" t="str">
        <f>"157.39"</f>
        <v>157.39</v>
      </c>
      <c r="J6198" s="1" t="str">
        <f t="shared" ref="J6198:N6198" si="3615">"0"</f>
        <v>0</v>
      </c>
      <c r="K6198" s="1" t="str">
        <f t="shared" si="3596"/>
        <v>103</v>
      </c>
      <c r="L6198" s="1" t="str">
        <f t="shared" si="3597"/>
        <v>47</v>
      </c>
      <c r="M6198" s="1" t="str">
        <f t="shared" si="3615"/>
        <v>0</v>
      </c>
      <c r="N6198" s="1" t="str">
        <f t="shared" si="3615"/>
        <v>0</v>
      </c>
      <c r="O6198" s="1" t="str">
        <f>"7.39"</f>
        <v>7.39</v>
      </c>
    </row>
    <row r="6199" s="1" customFormat="1" spans="1:15">
      <c r="A6199" s="1" t="str">
        <f t="shared" si="3554"/>
        <v>202406</v>
      </c>
      <c r="B6199" s="1" t="str">
        <f t="shared" si="3555"/>
        <v>150525100</v>
      </c>
      <c r="C6199" s="1" t="str">
        <f>"1041300673"</f>
        <v>1041300673</v>
      </c>
      <c r="D6199" s="1" t="str">
        <f>"152326196010100665"</f>
        <v>152326196010100665</v>
      </c>
      <c r="E6199" s="1" t="s">
        <v>6047</v>
      </c>
      <c r="F6199" s="1" t="s">
        <v>16</v>
      </c>
      <c r="G6199" s="1" t="s">
        <v>17</v>
      </c>
      <c r="H6199" s="1" t="str">
        <f t="shared" si="3613"/>
        <v>64</v>
      </c>
      <c r="I6199" s="1" t="str">
        <f>"158.76"</f>
        <v>158.76</v>
      </c>
      <c r="J6199" s="1" t="str">
        <f t="shared" ref="J6199:N6199" si="3616">"0"</f>
        <v>0</v>
      </c>
      <c r="K6199" s="1" t="str">
        <f t="shared" si="3596"/>
        <v>103</v>
      </c>
      <c r="L6199" s="1" t="str">
        <f t="shared" si="3597"/>
        <v>47</v>
      </c>
      <c r="M6199" s="1" t="str">
        <f t="shared" si="3616"/>
        <v>0</v>
      </c>
      <c r="N6199" s="1" t="str">
        <f t="shared" si="3616"/>
        <v>0</v>
      </c>
      <c r="O6199" s="1" t="str">
        <f>"8.76"</f>
        <v>8.76</v>
      </c>
    </row>
    <row r="6200" s="1" customFormat="1" spans="1:15">
      <c r="A6200" s="1" t="str">
        <f t="shared" si="3554"/>
        <v>202406</v>
      </c>
      <c r="B6200" s="1" t="str">
        <f t="shared" si="3555"/>
        <v>150525100</v>
      </c>
      <c r="C6200" s="1" t="str">
        <f>"1041300849"</f>
        <v>1041300849</v>
      </c>
      <c r="D6200" s="1" t="str">
        <f>"152326195911243108"</f>
        <v>152326195911243108</v>
      </c>
      <c r="E6200" s="1" t="s">
        <v>6048</v>
      </c>
      <c r="F6200" s="1" t="s">
        <v>16</v>
      </c>
      <c r="G6200" s="1" t="s">
        <v>17</v>
      </c>
      <c r="H6200" s="1" t="str">
        <f>"65"</f>
        <v>65</v>
      </c>
      <c r="I6200" s="1" t="str">
        <f>"157.7"</f>
        <v>157.7</v>
      </c>
      <c r="J6200" s="1" t="str">
        <f t="shared" ref="J6200:N6200" si="3617">"0"</f>
        <v>0</v>
      </c>
      <c r="K6200" s="1" t="str">
        <f t="shared" si="3596"/>
        <v>103</v>
      </c>
      <c r="L6200" s="1" t="str">
        <f t="shared" si="3597"/>
        <v>47</v>
      </c>
      <c r="M6200" s="1" t="str">
        <f t="shared" si="3617"/>
        <v>0</v>
      </c>
      <c r="N6200" s="1" t="str">
        <f t="shared" si="3617"/>
        <v>0</v>
      </c>
      <c r="O6200" s="1" t="str">
        <f>"7.7"</f>
        <v>7.7</v>
      </c>
    </row>
    <row r="6201" s="1" customFormat="1" spans="1:15">
      <c r="A6201" s="1" t="str">
        <f t="shared" si="3554"/>
        <v>202406</v>
      </c>
      <c r="B6201" s="1" t="str">
        <f t="shared" si="3555"/>
        <v>150525100</v>
      </c>
      <c r="C6201" s="1" t="str">
        <f>"1041307365"</f>
        <v>1041307365</v>
      </c>
      <c r="D6201" s="1" t="str">
        <f>"152326196209040911"</f>
        <v>152326196209040911</v>
      </c>
      <c r="E6201" s="1" t="s">
        <v>6049</v>
      </c>
      <c r="F6201" s="1" t="s">
        <v>25</v>
      </c>
      <c r="G6201" s="1" t="s">
        <v>17</v>
      </c>
      <c r="H6201" s="1" t="str">
        <f>"62"</f>
        <v>62</v>
      </c>
      <c r="I6201" s="1" t="str">
        <f>"161.23"</f>
        <v>161.23</v>
      </c>
      <c r="J6201" s="1" t="str">
        <f t="shared" ref="J6201:N6201" si="3618">"0"</f>
        <v>0</v>
      </c>
      <c r="K6201" s="1" t="str">
        <f t="shared" si="3596"/>
        <v>103</v>
      </c>
      <c r="L6201" s="1" t="str">
        <f t="shared" si="3597"/>
        <v>47</v>
      </c>
      <c r="M6201" s="1" t="str">
        <f t="shared" si="3618"/>
        <v>0</v>
      </c>
      <c r="N6201" s="1" t="str">
        <f t="shared" si="3618"/>
        <v>0</v>
      </c>
      <c r="O6201" s="1" t="str">
        <f>"11.23"</f>
        <v>11.23</v>
      </c>
    </row>
    <row r="6202" s="1" customFormat="1" spans="1:15">
      <c r="A6202" s="1" t="str">
        <f t="shared" si="3554"/>
        <v>202406</v>
      </c>
      <c r="B6202" s="1" t="str">
        <f t="shared" si="3555"/>
        <v>150525100</v>
      </c>
      <c r="C6202" s="1" t="str">
        <f>"1041305039"</f>
        <v>1041305039</v>
      </c>
      <c r="D6202" s="1" t="str">
        <f>"152326196103230012"</f>
        <v>152326196103230012</v>
      </c>
      <c r="E6202" s="1" t="s">
        <v>6050</v>
      </c>
      <c r="F6202" s="1" t="s">
        <v>25</v>
      </c>
      <c r="G6202" s="1" t="s">
        <v>17</v>
      </c>
      <c r="H6202" s="1" t="str">
        <f>"63"</f>
        <v>63</v>
      </c>
      <c r="I6202" s="1" t="str">
        <f>"189.24"</f>
        <v>189.24</v>
      </c>
      <c r="J6202" s="1" t="str">
        <f t="shared" ref="J6202:N6202" si="3619">"0"</f>
        <v>0</v>
      </c>
      <c r="K6202" s="1" t="str">
        <f t="shared" si="3596"/>
        <v>103</v>
      </c>
      <c r="L6202" s="1" t="str">
        <f t="shared" si="3597"/>
        <v>47</v>
      </c>
      <c r="M6202" s="1" t="str">
        <f t="shared" si="3619"/>
        <v>0</v>
      </c>
      <c r="N6202" s="1" t="str">
        <f t="shared" si="3619"/>
        <v>0</v>
      </c>
      <c r="O6202" s="1" t="str">
        <f>"39.24"</f>
        <v>39.24</v>
      </c>
    </row>
    <row r="6203" s="1" customFormat="1" spans="1:15">
      <c r="A6203" s="1" t="str">
        <f t="shared" si="3554"/>
        <v>202406</v>
      </c>
      <c r="B6203" s="1" t="str">
        <f t="shared" si="3555"/>
        <v>150525100</v>
      </c>
      <c r="C6203" s="1" t="str">
        <f>"1041307384"</f>
        <v>1041307384</v>
      </c>
      <c r="D6203" s="1" t="str">
        <f>"152326196301290681"</f>
        <v>152326196301290681</v>
      </c>
      <c r="E6203" s="1" t="s">
        <v>6051</v>
      </c>
      <c r="F6203" s="1" t="s">
        <v>16</v>
      </c>
      <c r="G6203" s="1" t="s">
        <v>17</v>
      </c>
      <c r="H6203" s="1" t="str">
        <f>"61"</f>
        <v>61</v>
      </c>
      <c r="I6203" s="1" t="str">
        <f>"162.96"</f>
        <v>162.96</v>
      </c>
      <c r="J6203" s="1" t="str">
        <f t="shared" ref="J6203:N6203" si="3620">"0"</f>
        <v>0</v>
      </c>
      <c r="K6203" s="1" t="str">
        <f t="shared" si="3596"/>
        <v>103</v>
      </c>
      <c r="L6203" s="1" t="str">
        <f t="shared" si="3597"/>
        <v>47</v>
      </c>
      <c r="M6203" s="1" t="str">
        <f t="shared" si="3620"/>
        <v>0</v>
      </c>
      <c r="N6203" s="1" t="str">
        <f t="shared" si="3620"/>
        <v>0</v>
      </c>
      <c r="O6203" s="1" t="str">
        <f>"12.96"</f>
        <v>12.96</v>
      </c>
    </row>
    <row r="6204" s="1" customFormat="1" spans="1:15">
      <c r="A6204" s="1" t="str">
        <f t="shared" si="3554"/>
        <v>202406</v>
      </c>
      <c r="B6204" s="1" t="str">
        <f t="shared" si="3555"/>
        <v>150525100</v>
      </c>
      <c r="C6204" s="1" t="str">
        <f>"1041307435"</f>
        <v>1041307435</v>
      </c>
      <c r="D6204" s="1" t="str">
        <f>"152326196405200417"</f>
        <v>152326196405200417</v>
      </c>
      <c r="E6204" s="1" t="s">
        <v>6052</v>
      </c>
      <c r="F6204" s="1" t="s">
        <v>25</v>
      </c>
      <c r="G6204" s="1" t="s">
        <v>17</v>
      </c>
      <c r="H6204" s="1" t="str">
        <f>"60"</f>
        <v>60</v>
      </c>
      <c r="I6204" s="1" t="str">
        <f>"203.77"</f>
        <v>203.77</v>
      </c>
      <c r="J6204" s="1" t="str">
        <f t="shared" ref="J6204:N6204" si="3621">"0"</f>
        <v>0</v>
      </c>
      <c r="K6204" s="1" t="str">
        <f t="shared" si="3596"/>
        <v>103</v>
      </c>
      <c r="L6204" s="1" t="str">
        <f t="shared" si="3597"/>
        <v>47</v>
      </c>
      <c r="M6204" s="1" t="str">
        <f t="shared" si="3621"/>
        <v>0</v>
      </c>
      <c r="N6204" s="1" t="str">
        <f t="shared" si="3621"/>
        <v>0</v>
      </c>
      <c r="O6204" s="1" t="str">
        <f>"53.77"</f>
        <v>53.77</v>
      </c>
    </row>
    <row r="6205" s="1" customFormat="1" spans="1:15">
      <c r="A6205" s="1" t="str">
        <f t="shared" si="3554"/>
        <v>202406</v>
      </c>
      <c r="B6205" s="1" t="str">
        <f t="shared" si="3555"/>
        <v>150525100</v>
      </c>
      <c r="C6205" s="1" t="str">
        <f>"1041305090"</f>
        <v>1041305090</v>
      </c>
      <c r="D6205" s="1" t="str">
        <f>"152326195910100711"</f>
        <v>152326195910100711</v>
      </c>
      <c r="E6205" s="1" t="s">
        <v>6053</v>
      </c>
      <c r="F6205" s="1" t="s">
        <v>25</v>
      </c>
      <c r="G6205" s="1" t="s">
        <v>17</v>
      </c>
      <c r="H6205" s="1" t="str">
        <f>"65"</f>
        <v>65</v>
      </c>
      <c r="I6205" s="1" t="str">
        <f>"158.3"</f>
        <v>158.3</v>
      </c>
      <c r="J6205" s="1" t="str">
        <f t="shared" ref="J6205:N6205" si="3622">"0"</f>
        <v>0</v>
      </c>
      <c r="K6205" s="1" t="str">
        <f t="shared" si="3596"/>
        <v>103</v>
      </c>
      <c r="L6205" s="1" t="str">
        <f t="shared" si="3597"/>
        <v>47</v>
      </c>
      <c r="M6205" s="1" t="str">
        <f t="shared" si="3622"/>
        <v>0</v>
      </c>
      <c r="N6205" s="1" t="str">
        <f t="shared" si="3622"/>
        <v>0</v>
      </c>
      <c r="O6205" s="1" t="str">
        <f>"8.3"</f>
        <v>8.3</v>
      </c>
    </row>
    <row r="6206" s="1" customFormat="1" spans="1:15">
      <c r="A6206" s="1" t="str">
        <f t="shared" si="3554"/>
        <v>202406</v>
      </c>
      <c r="B6206" s="1" t="str">
        <f t="shared" si="3555"/>
        <v>150525100</v>
      </c>
      <c r="C6206" s="1" t="str">
        <f>"1041305092"</f>
        <v>1041305092</v>
      </c>
      <c r="D6206" s="1" t="str">
        <f>"152326196001100663"</f>
        <v>152326196001100663</v>
      </c>
      <c r="E6206" s="1" t="s">
        <v>2207</v>
      </c>
      <c r="F6206" s="1" t="s">
        <v>16</v>
      </c>
      <c r="G6206" s="1" t="s">
        <v>17</v>
      </c>
      <c r="H6206" s="1" t="str">
        <f>"64"</f>
        <v>64</v>
      </c>
      <c r="I6206" s="1" t="str">
        <f>"157.33"</f>
        <v>157.33</v>
      </c>
      <c r="J6206" s="1" t="str">
        <f t="shared" ref="J6206:N6206" si="3623">"0"</f>
        <v>0</v>
      </c>
      <c r="K6206" s="1" t="str">
        <f t="shared" si="3596"/>
        <v>103</v>
      </c>
      <c r="L6206" s="1" t="str">
        <f t="shared" si="3597"/>
        <v>47</v>
      </c>
      <c r="M6206" s="1" t="str">
        <f t="shared" si="3623"/>
        <v>0</v>
      </c>
      <c r="N6206" s="1" t="str">
        <f t="shared" si="3623"/>
        <v>0</v>
      </c>
      <c r="O6206" s="1" t="str">
        <f>"7.33"</f>
        <v>7.33</v>
      </c>
    </row>
    <row r="6207" s="1" customFormat="1" spans="1:15">
      <c r="A6207" s="1" t="str">
        <f t="shared" si="3554"/>
        <v>202406</v>
      </c>
      <c r="B6207" s="1" t="str">
        <f t="shared" si="3555"/>
        <v>150525100</v>
      </c>
      <c r="C6207" s="1" t="str">
        <f>"1041305152"</f>
        <v>1041305152</v>
      </c>
      <c r="D6207" s="1" t="str">
        <f>"152326196310130911"</f>
        <v>152326196310130911</v>
      </c>
      <c r="E6207" s="1" t="s">
        <v>6054</v>
      </c>
      <c r="F6207" s="1" t="s">
        <v>25</v>
      </c>
      <c r="G6207" s="1" t="s">
        <v>17</v>
      </c>
      <c r="H6207" s="1" t="str">
        <f>"61"</f>
        <v>61</v>
      </c>
      <c r="I6207" s="1" t="str">
        <f>"165.49"</f>
        <v>165.49</v>
      </c>
      <c r="J6207" s="1" t="str">
        <f t="shared" ref="J6207:N6207" si="3624">"0"</f>
        <v>0</v>
      </c>
      <c r="K6207" s="1" t="str">
        <f t="shared" si="3596"/>
        <v>103</v>
      </c>
      <c r="L6207" s="1" t="str">
        <f t="shared" si="3597"/>
        <v>47</v>
      </c>
      <c r="M6207" s="1" t="str">
        <f t="shared" si="3624"/>
        <v>0</v>
      </c>
      <c r="N6207" s="1" t="str">
        <f t="shared" si="3624"/>
        <v>0</v>
      </c>
      <c r="O6207" s="1" t="str">
        <f>"15.49"</f>
        <v>15.49</v>
      </c>
    </row>
    <row r="6208" s="1" customFormat="1" spans="1:15">
      <c r="A6208" s="1" t="str">
        <f t="shared" si="3554"/>
        <v>202406</v>
      </c>
      <c r="B6208" s="1" t="str">
        <f t="shared" si="3555"/>
        <v>150525100</v>
      </c>
      <c r="C6208" s="1" t="str">
        <f>"1041305228"</f>
        <v>1041305228</v>
      </c>
      <c r="D6208" s="1" t="str">
        <f>"152326196005200469"</f>
        <v>152326196005200469</v>
      </c>
      <c r="E6208" s="1" t="s">
        <v>6055</v>
      </c>
      <c r="F6208" s="1" t="s">
        <v>16</v>
      </c>
      <c r="G6208" s="1" t="s">
        <v>17</v>
      </c>
      <c r="H6208" s="1" t="str">
        <f>"64"</f>
        <v>64</v>
      </c>
      <c r="I6208" s="1" t="str">
        <f>"157.67"</f>
        <v>157.67</v>
      </c>
      <c r="J6208" s="1" t="str">
        <f t="shared" ref="J6208:N6208" si="3625">"0"</f>
        <v>0</v>
      </c>
      <c r="K6208" s="1" t="str">
        <f t="shared" si="3596"/>
        <v>103</v>
      </c>
      <c r="L6208" s="1" t="str">
        <f t="shared" si="3597"/>
        <v>47</v>
      </c>
      <c r="M6208" s="1" t="str">
        <f t="shared" si="3625"/>
        <v>0</v>
      </c>
      <c r="N6208" s="1" t="str">
        <f t="shared" si="3625"/>
        <v>0</v>
      </c>
      <c r="O6208" s="1" t="str">
        <f>"7.67"</f>
        <v>7.67</v>
      </c>
    </row>
    <row r="6209" s="1" customFormat="1" spans="1:15">
      <c r="A6209" s="1" t="str">
        <f t="shared" si="3554"/>
        <v>202406</v>
      </c>
      <c r="B6209" s="1" t="str">
        <f t="shared" si="3555"/>
        <v>150525100</v>
      </c>
      <c r="C6209" s="1" t="str">
        <f>"1041454581"</f>
        <v>1041454581</v>
      </c>
      <c r="D6209" s="1" t="str">
        <f>"152326195708143822"</f>
        <v>152326195708143822</v>
      </c>
      <c r="E6209" s="1" t="s">
        <v>3189</v>
      </c>
      <c r="F6209" s="1" t="s">
        <v>16</v>
      </c>
      <c r="G6209" s="1" t="s">
        <v>17</v>
      </c>
      <c r="H6209" s="1" t="str">
        <f>"67"</f>
        <v>67</v>
      </c>
      <c r="I6209" s="1" t="str">
        <f>"154.6"</f>
        <v>154.6</v>
      </c>
      <c r="J6209" s="1" t="str">
        <f t="shared" ref="J6209:N6209" si="3626">"0"</f>
        <v>0</v>
      </c>
      <c r="K6209" s="1" t="str">
        <f t="shared" si="3596"/>
        <v>103</v>
      </c>
      <c r="L6209" s="1" t="str">
        <f t="shared" si="3597"/>
        <v>47</v>
      </c>
      <c r="M6209" s="1" t="str">
        <f t="shared" si="3626"/>
        <v>0</v>
      </c>
      <c r="N6209" s="1" t="str">
        <f t="shared" si="3626"/>
        <v>0</v>
      </c>
      <c r="O6209" s="1" t="str">
        <f>"4.6"</f>
        <v>4.6</v>
      </c>
    </row>
    <row r="6210" s="1" customFormat="1" spans="1:15">
      <c r="A6210" s="1" t="str">
        <f t="shared" ref="A6210:A6273" si="3627">"202406"</f>
        <v>202406</v>
      </c>
      <c r="B6210" s="1" t="str">
        <f t="shared" ref="B6210:B6273" si="3628">"150525100"</f>
        <v>150525100</v>
      </c>
      <c r="C6210" s="1" t="str">
        <f>"1041652392"</f>
        <v>1041652392</v>
      </c>
      <c r="D6210" s="1" t="str">
        <f>"152326195808150915"</f>
        <v>152326195808150915</v>
      </c>
      <c r="E6210" s="1" t="s">
        <v>6056</v>
      </c>
      <c r="F6210" s="1" t="s">
        <v>25</v>
      </c>
      <c r="G6210" s="1" t="s">
        <v>19</v>
      </c>
      <c r="H6210" s="1" t="str">
        <f>"66"</f>
        <v>66</v>
      </c>
      <c r="I6210" s="1" t="str">
        <f>"155.04"</f>
        <v>155.04</v>
      </c>
      <c r="J6210" s="1" t="str">
        <f t="shared" ref="J6210:N6210" si="3629">"0"</f>
        <v>0</v>
      </c>
      <c r="K6210" s="1" t="str">
        <f t="shared" si="3596"/>
        <v>103</v>
      </c>
      <c r="L6210" s="1" t="str">
        <f t="shared" si="3597"/>
        <v>47</v>
      </c>
      <c r="M6210" s="1" t="str">
        <f t="shared" si="3629"/>
        <v>0</v>
      </c>
      <c r="N6210" s="1" t="str">
        <f t="shared" si="3629"/>
        <v>0</v>
      </c>
      <c r="O6210" s="1" t="str">
        <f>"5.04"</f>
        <v>5.04</v>
      </c>
    </row>
    <row r="6211" s="1" customFormat="1" spans="1:15">
      <c r="A6211" s="1" t="str">
        <f t="shared" si="3627"/>
        <v>202406</v>
      </c>
      <c r="B6211" s="1" t="str">
        <f t="shared" si="3628"/>
        <v>150525100</v>
      </c>
      <c r="C6211" s="1" t="str">
        <f>"1041681068"</f>
        <v>1041681068</v>
      </c>
      <c r="D6211" s="1" t="str">
        <f>"152326195503270676"</f>
        <v>152326195503270676</v>
      </c>
      <c r="E6211" s="1" t="s">
        <v>6057</v>
      </c>
      <c r="F6211" s="1" t="s">
        <v>25</v>
      </c>
      <c r="G6211" s="1" t="s">
        <v>19</v>
      </c>
      <c r="H6211" s="1" t="str">
        <f>"69"</f>
        <v>69</v>
      </c>
      <c r="I6211" s="1" t="str">
        <f>"153.6"</f>
        <v>153.6</v>
      </c>
      <c r="J6211" s="1" t="str">
        <f t="shared" ref="J6211:N6211" si="3630">"0"</f>
        <v>0</v>
      </c>
      <c r="K6211" s="1" t="str">
        <f t="shared" si="3596"/>
        <v>103</v>
      </c>
      <c r="L6211" s="1" t="str">
        <f t="shared" si="3597"/>
        <v>47</v>
      </c>
      <c r="M6211" s="1" t="str">
        <f t="shared" si="3630"/>
        <v>0</v>
      </c>
      <c r="N6211" s="1" t="str">
        <f t="shared" si="3630"/>
        <v>0</v>
      </c>
      <c r="O6211" s="1" t="str">
        <f>"3.6"</f>
        <v>3.6</v>
      </c>
    </row>
    <row r="6212" s="1" customFormat="1" spans="1:15">
      <c r="A6212" s="1" t="str">
        <f t="shared" si="3627"/>
        <v>202406</v>
      </c>
      <c r="B6212" s="1" t="str">
        <f t="shared" si="3628"/>
        <v>150525100</v>
      </c>
      <c r="C6212" s="1" t="str">
        <f>"1041775380"</f>
        <v>1041775380</v>
      </c>
      <c r="D6212" s="1" t="str">
        <f>"152326196006110924"</f>
        <v>152326196006110924</v>
      </c>
      <c r="E6212" s="1" t="s">
        <v>6058</v>
      </c>
      <c r="F6212" s="1" t="s">
        <v>16</v>
      </c>
      <c r="G6212" s="1" t="s">
        <v>17</v>
      </c>
      <c r="H6212" s="1" t="str">
        <f>"64"</f>
        <v>64</v>
      </c>
      <c r="I6212" s="1" t="str">
        <f>"151.9"</f>
        <v>151.9</v>
      </c>
      <c r="J6212" s="1" t="str">
        <f t="shared" ref="J6212:N6212" si="3631">"0"</f>
        <v>0</v>
      </c>
      <c r="K6212" s="1" t="str">
        <f t="shared" si="3596"/>
        <v>103</v>
      </c>
      <c r="L6212" s="1" t="str">
        <f t="shared" si="3597"/>
        <v>47</v>
      </c>
      <c r="M6212" s="1" t="str">
        <f t="shared" si="3631"/>
        <v>0</v>
      </c>
      <c r="N6212" s="1" t="str">
        <f t="shared" si="3631"/>
        <v>0</v>
      </c>
      <c r="O6212" s="1" t="str">
        <f>"1.9"</f>
        <v>1.9</v>
      </c>
    </row>
    <row r="6213" s="1" customFormat="1" spans="1:15">
      <c r="A6213" s="1" t="str">
        <f t="shared" si="3627"/>
        <v>202406</v>
      </c>
      <c r="B6213" s="1" t="str">
        <f t="shared" si="3628"/>
        <v>150525100</v>
      </c>
      <c r="C6213" s="1" t="str">
        <f>"1041833217"</f>
        <v>1041833217</v>
      </c>
      <c r="D6213" s="1" t="str">
        <f>"152326195902040915"</f>
        <v>152326195902040915</v>
      </c>
      <c r="E6213" s="1" t="s">
        <v>6059</v>
      </c>
      <c r="F6213" s="1" t="s">
        <v>25</v>
      </c>
      <c r="G6213" s="1" t="s">
        <v>19</v>
      </c>
      <c r="H6213" s="1" t="str">
        <f t="shared" ref="H6213:H6217" si="3632">"65"</f>
        <v>65</v>
      </c>
      <c r="I6213" s="1" t="str">
        <f>"155.76"</f>
        <v>155.76</v>
      </c>
      <c r="J6213" s="1" t="str">
        <f t="shared" ref="J6213:N6213" si="3633">"0"</f>
        <v>0</v>
      </c>
      <c r="K6213" s="1" t="str">
        <f t="shared" si="3596"/>
        <v>103</v>
      </c>
      <c r="L6213" s="1" t="str">
        <f t="shared" si="3597"/>
        <v>47</v>
      </c>
      <c r="M6213" s="1" t="str">
        <f t="shared" si="3633"/>
        <v>0</v>
      </c>
      <c r="N6213" s="1" t="str">
        <f t="shared" si="3633"/>
        <v>0</v>
      </c>
      <c r="O6213" s="1" t="str">
        <f>"5.76"</f>
        <v>5.76</v>
      </c>
    </row>
    <row r="6214" s="1" customFormat="1" spans="1:15">
      <c r="A6214" s="1" t="str">
        <f t="shared" si="3627"/>
        <v>202406</v>
      </c>
      <c r="B6214" s="1" t="str">
        <f t="shared" si="3628"/>
        <v>150525100</v>
      </c>
      <c r="C6214" s="1" t="str">
        <f>"1042093322"</f>
        <v>1042093322</v>
      </c>
      <c r="D6214" s="1" t="s">
        <v>6060</v>
      </c>
      <c r="E6214" s="1" t="s">
        <v>6061</v>
      </c>
      <c r="F6214" s="1" t="s">
        <v>25</v>
      </c>
      <c r="G6214" s="1" t="s">
        <v>19</v>
      </c>
      <c r="H6214" s="1" t="str">
        <f>"70"</f>
        <v>70</v>
      </c>
      <c r="I6214" s="1" t="str">
        <f>"152.88"</f>
        <v>152.88</v>
      </c>
      <c r="J6214" s="1" t="str">
        <f t="shared" ref="J6214:N6214" si="3634">"0"</f>
        <v>0</v>
      </c>
      <c r="K6214" s="1" t="str">
        <f t="shared" si="3596"/>
        <v>103</v>
      </c>
      <c r="L6214" s="1" t="str">
        <f t="shared" si="3597"/>
        <v>47</v>
      </c>
      <c r="M6214" s="1" t="str">
        <f t="shared" si="3634"/>
        <v>0</v>
      </c>
      <c r="N6214" s="1" t="str">
        <f t="shared" si="3634"/>
        <v>0</v>
      </c>
      <c r="O6214" s="1" t="str">
        <f>"2.88"</f>
        <v>2.88</v>
      </c>
    </row>
    <row r="6215" s="1" customFormat="1" spans="1:15">
      <c r="A6215" s="1" t="str">
        <f t="shared" si="3627"/>
        <v>202406</v>
      </c>
      <c r="B6215" s="1" t="str">
        <f t="shared" si="3628"/>
        <v>150525100</v>
      </c>
      <c r="C6215" s="1" t="str">
        <f>"1042106874"</f>
        <v>1042106874</v>
      </c>
      <c r="D6215" s="1" t="str">
        <f>"152326195910010919"</f>
        <v>152326195910010919</v>
      </c>
      <c r="E6215" s="1" t="s">
        <v>6062</v>
      </c>
      <c r="F6215" s="1" t="s">
        <v>25</v>
      </c>
      <c r="G6215" s="1" t="s">
        <v>19</v>
      </c>
      <c r="H6215" s="1" t="str">
        <f t="shared" si="3632"/>
        <v>65</v>
      </c>
      <c r="I6215" s="1" t="str">
        <f>"186.68"</f>
        <v>186.68</v>
      </c>
      <c r="J6215" s="1" t="str">
        <f t="shared" ref="J6215:N6215" si="3635">"0"</f>
        <v>0</v>
      </c>
      <c r="K6215" s="1" t="str">
        <f t="shared" si="3596"/>
        <v>103</v>
      </c>
      <c r="L6215" s="1" t="str">
        <f t="shared" si="3597"/>
        <v>47</v>
      </c>
      <c r="M6215" s="1" t="str">
        <f t="shared" si="3635"/>
        <v>0</v>
      </c>
      <c r="N6215" s="1" t="str">
        <f t="shared" si="3635"/>
        <v>0</v>
      </c>
      <c r="O6215" s="1" t="str">
        <f>"36.68"</f>
        <v>36.68</v>
      </c>
    </row>
    <row r="6216" s="1" customFormat="1" spans="1:15">
      <c r="A6216" s="1" t="str">
        <f t="shared" si="3627"/>
        <v>202406</v>
      </c>
      <c r="B6216" s="1" t="str">
        <f t="shared" si="3628"/>
        <v>150525100</v>
      </c>
      <c r="C6216" s="1" t="str">
        <f>"1041602433"</f>
        <v>1041602433</v>
      </c>
      <c r="D6216" s="1" t="str">
        <f>"152326196309283814"</f>
        <v>152326196309283814</v>
      </c>
      <c r="E6216" s="1" t="s">
        <v>6063</v>
      </c>
      <c r="F6216" s="1" t="s">
        <v>25</v>
      </c>
      <c r="G6216" s="1" t="s">
        <v>19</v>
      </c>
      <c r="H6216" s="1" t="str">
        <f>"61"</f>
        <v>61</v>
      </c>
      <c r="I6216" s="1" t="str">
        <f>"164.43"</f>
        <v>164.43</v>
      </c>
      <c r="J6216" s="1" t="str">
        <f t="shared" ref="J6216:N6216" si="3636">"0"</f>
        <v>0</v>
      </c>
      <c r="K6216" s="1" t="str">
        <f t="shared" si="3596"/>
        <v>103</v>
      </c>
      <c r="L6216" s="1" t="str">
        <f t="shared" si="3597"/>
        <v>47</v>
      </c>
      <c r="M6216" s="1" t="str">
        <f t="shared" si="3636"/>
        <v>0</v>
      </c>
      <c r="N6216" s="1" t="str">
        <f t="shared" si="3636"/>
        <v>0</v>
      </c>
      <c r="O6216" s="1" t="str">
        <f>"14.43"</f>
        <v>14.43</v>
      </c>
    </row>
    <row r="6217" s="1" customFormat="1" spans="1:15">
      <c r="A6217" s="1" t="str">
        <f t="shared" si="3627"/>
        <v>202406</v>
      </c>
      <c r="B6217" s="1" t="str">
        <f t="shared" si="3628"/>
        <v>150525100</v>
      </c>
      <c r="C6217" s="1" t="str">
        <f>"1041833708"</f>
        <v>1041833708</v>
      </c>
      <c r="D6217" s="1" t="str">
        <f>"152326195910123091"</f>
        <v>152326195910123091</v>
      </c>
      <c r="E6217" s="1" t="s">
        <v>6064</v>
      </c>
      <c r="F6217" s="1" t="s">
        <v>25</v>
      </c>
      <c r="G6217" s="1" t="s">
        <v>19</v>
      </c>
      <c r="H6217" s="1" t="str">
        <f t="shared" si="3632"/>
        <v>65</v>
      </c>
      <c r="I6217" s="1" t="str">
        <f>"155.76"</f>
        <v>155.76</v>
      </c>
      <c r="J6217" s="1" t="str">
        <f t="shared" ref="J6217:N6217" si="3637">"0"</f>
        <v>0</v>
      </c>
      <c r="K6217" s="1" t="str">
        <f t="shared" si="3596"/>
        <v>103</v>
      </c>
      <c r="L6217" s="1" t="str">
        <f t="shared" si="3597"/>
        <v>47</v>
      </c>
      <c r="M6217" s="1" t="str">
        <f t="shared" si="3637"/>
        <v>0</v>
      </c>
      <c r="N6217" s="1" t="str">
        <f t="shared" si="3637"/>
        <v>0</v>
      </c>
      <c r="O6217" s="1" t="str">
        <f>"5.76"</f>
        <v>5.76</v>
      </c>
    </row>
    <row r="6218" s="1" customFormat="1" spans="1:15">
      <c r="A6218" s="1" t="str">
        <f t="shared" si="3627"/>
        <v>202406</v>
      </c>
      <c r="B6218" s="1" t="str">
        <f t="shared" si="3628"/>
        <v>150525100</v>
      </c>
      <c r="C6218" s="1" t="str">
        <f>"1041560834"</f>
        <v>1041560834</v>
      </c>
      <c r="D6218" s="1" t="str">
        <f>"152326195605210412"</f>
        <v>152326195605210412</v>
      </c>
      <c r="E6218" s="1" t="s">
        <v>6065</v>
      </c>
      <c r="F6218" s="1" t="s">
        <v>25</v>
      </c>
      <c r="G6218" s="1" t="s">
        <v>17</v>
      </c>
      <c r="H6218" s="1" t="str">
        <f>"68"</f>
        <v>68</v>
      </c>
      <c r="I6218" s="1" t="str">
        <f>"771.6"</f>
        <v>771.6</v>
      </c>
      <c r="J6218" s="1" t="str">
        <f>"617.28"</f>
        <v>617.28</v>
      </c>
      <c r="K6218" s="1" t="str">
        <f>"515"</f>
        <v>515</v>
      </c>
      <c r="L6218" s="1" t="str">
        <f>"235"</f>
        <v>235</v>
      </c>
      <c r="M6218" s="1" t="str">
        <f>"0"</f>
        <v>0</v>
      </c>
      <c r="N6218" s="1" t="str">
        <f>"0"</f>
        <v>0</v>
      </c>
      <c r="O6218" s="1" t="str">
        <f>"21.6"</f>
        <v>21.6</v>
      </c>
    </row>
    <row r="6219" s="1" customFormat="1" spans="1:15">
      <c r="A6219" s="1" t="str">
        <f t="shared" si="3627"/>
        <v>202406</v>
      </c>
      <c r="B6219" s="1" t="str">
        <f t="shared" si="3628"/>
        <v>150525100</v>
      </c>
      <c r="C6219" s="1" t="str">
        <f>"1042154402"</f>
        <v>1042154402</v>
      </c>
      <c r="D6219" s="1" t="str">
        <f>"152326195904053816"</f>
        <v>152326195904053816</v>
      </c>
      <c r="E6219" s="1" t="s">
        <v>6066</v>
      </c>
      <c r="F6219" s="1" t="s">
        <v>25</v>
      </c>
      <c r="G6219" s="1" t="s">
        <v>19</v>
      </c>
      <c r="H6219" s="1" t="str">
        <f>"65"</f>
        <v>65</v>
      </c>
      <c r="I6219" s="1" t="str">
        <f>"161.53"</f>
        <v>161.53</v>
      </c>
      <c r="J6219" s="1" t="str">
        <f t="shared" ref="J6219:N6219" si="3638">"0"</f>
        <v>0</v>
      </c>
      <c r="K6219" s="1" t="str">
        <f t="shared" ref="K6219:K6278" si="3639">"103"</f>
        <v>103</v>
      </c>
      <c r="L6219" s="1" t="str">
        <f t="shared" ref="L6219:L6278" si="3640">"47"</f>
        <v>47</v>
      </c>
      <c r="M6219" s="1" t="str">
        <f t="shared" si="3638"/>
        <v>0</v>
      </c>
      <c r="N6219" s="1" t="str">
        <f t="shared" si="3638"/>
        <v>0</v>
      </c>
      <c r="O6219" s="1" t="str">
        <f>"11.53"</f>
        <v>11.53</v>
      </c>
    </row>
    <row r="6220" s="1" customFormat="1" spans="1:15">
      <c r="A6220" s="1" t="str">
        <f t="shared" si="3627"/>
        <v>202406</v>
      </c>
      <c r="B6220" s="1" t="str">
        <f t="shared" si="3628"/>
        <v>150525100</v>
      </c>
      <c r="C6220" s="1" t="str">
        <f>"1042173837"</f>
        <v>1042173837</v>
      </c>
      <c r="D6220" s="1" t="str">
        <f>"152326196001190662"</f>
        <v>152326196001190662</v>
      </c>
      <c r="E6220" s="1" t="s">
        <v>6067</v>
      </c>
      <c r="F6220" s="1" t="s">
        <v>16</v>
      </c>
      <c r="G6220" s="1" t="s">
        <v>19</v>
      </c>
      <c r="H6220" s="1" t="str">
        <f>"64"</f>
        <v>64</v>
      </c>
      <c r="I6220" s="1" t="str">
        <f>"162.95"</f>
        <v>162.95</v>
      </c>
      <c r="J6220" s="1" t="str">
        <f t="shared" ref="J6220:N6220" si="3641">"0"</f>
        <v>0</v>
      </c>
      <c r="K6220" s="1" t="str">
        <f t="shared" si="3639"/>
        <v>103</v>
      </c>
      <c r="L6220" s="1" t="str">
        <f t="shared" si="3640"/>
        <v>47</v>
      </c>
      <c r="M6220" s="1" t="str">
        <f t="shared" si="3641"/>
        <v>0</v>
      </c>
      <c r="N6220" s="1" t="str">
        <f t="shared" si="3641"/>
        <v>0</v>
      </c>
      <c r="O6220" s="1" t="str">
        <f>"12.95"</f>
        <v>12.95</v>
      </c>
    </row>
    <row r="6221" s="1" customFormat="1" spans="1:15">
      <c r="A6221" s="1" t="str">
        <f t="shared" si="3627"/>
        <v>202406</v>
      </c>
      <c r="B6221" s="1" t="str">
        <f t="shared" si="3628"/>
        <v>150525100</v>
      </c>
      <c r="C6221" s="1" t="str">
        <f>"1042186649"</f>
        <v>1042186649</v>
      </c>
      <c r="D6221" s="1" t="str">
        <f>"152326195808053816"</f>
        <v>152326195808053816</v>
      </c>
      <c r="E6221" s="1" t="s">
        <v>6068</v>
      </c>
      <c r="F6221" s="1" t="s">
        <v>25</v>
      </c>
      <c r="G6221" s="1" t="s">
        <v>17</v>
      </c>
      <c r="H6221" s="1" t="str">
        <f>"66"</f>
        <v>66</v>
      </c>
      <c r="I6221" s="1" t="str">
        <f>"155.76"</f>
        <v>155.76</v>
      </c>
      <c r="J6221" s="1" t="str">
        <f t="shared" ref="J6221:N6221" si="3642">"0"</f>
        <v>0</v>
      </c>
      <c r="K6221" s="1" t="str">
        <f t="shared" si="3639"/>
        <v>103</v>
      </c>
      <c r="L6221" s="1" t="str">
        <f t="shared" si="3640"/>
        <v>47</v>
      </c>
      <c r="M6221" s="1" t="str">
        <f t="shared" si="3642"/>
        <v>0</v>
      </c>
      <c r="N6221" s="1" t="str">
        <f t="shared" si="3642"/>
        <v>0</v>
      </c>
      <c r="O6221" s="1" t="str">
        <f>"5.76"</f>
        <v>5.76</v>
      </c>
    </row>
    <row r="6222" s="1" customFormat="1" spans="1:15">
      <c r="A6222" s="1" t="str">
        <f t="shared" si="3627"/>
        <v>202406</v>
      </c>
      <c r="B6222" s="1" t="str">
        <f t="shared" si="3628"/>
        <v>150525100</v>
      </c>
      <c r="C6222" s="1" t="str">
        <f>"1042189195"</f>
        <v>1042189195</v>
      </c>
      <c r="D6222" s="1" t="str">
        <f>"152326196001030677"</f>
        <v>152326196001030677</v>
      </c>
      <c r="E6222" s="1" t="s">
        <v>6069</v>
      </c>
      <c r="F6222" s="1" t="s">
        <v>25</v>
      </c>
      <c r="G6222" s="1" t="s">
        <v>19</v>
      </c>
      <c r="H6222" s="1" t="str">
        <f t="shared" ref="H6222:H6226" si="3643">"65"</f>
        <v>65</v>
      </c>
      <c r="I6222" s="1" t="str">
        <f>"157.01"</f>
        <v>157.01</v>
      </c>
      <c r="J6222" s="1" t="str">
        <f t="shared" ref="J6222:N6222" si="3644">"0"</f>
        <v>0</v>
      </c>
      <c r="K6222" s="1" t="str">
        <f t="shared" si="3639"/>
        <v>103</v>
      </c>
      <c r="L6222" s="1" t="str">
        <f t="shared" si="3640"/>
        <v>47</v>
      </c>
      <c r="M6222" s="1" t="str">
        <f t="shared" si="3644"/>
        <v>0</v>
      </c>
      <c r="N6222" s="1" t="str">
        <f t="shared" si="3644"/>
        <v>0</v>
      </c>
      <c r="O6222" s="1" t="str">
        <f>"7.01"</f>
        <v>7.01</v>
      </c>
    </row>
    <row r="6223" s="1" customFormat="1" spans="1:15">
      <c r="A6223" s="1" t="str">
        <f t="shared" si="3627"/>
        <v>202406</v>
      </c>
      <c r="B6223" s="1" t="str">
        <f t="shared" si="3628"/>
        <v>150525100</v>
      </c>
      <c r="C6223" s="1" t="str">
        <f>"1042055954"</f>
        <v>1042055954</v>
      </c>
      <c r="D6223" s="1" t="str">
        <f>"152326195809260681"</f>
        <v>152326195809260681</v>
      </c>
      <c r="E6223" s="1" t="s">
        <v>612</v>
      </c>
      <c r="F6223" s="1" t="s">
        <v>16</v>
      </c>
      <c r="G6223" s="1" t="s">
        <v>17</v>
      </c>
      <c r="H6223" s="1" t="str">
        <f>"66"</f>
        <v>66</v>
      </c>
      <c r="I6223" s="1" t="str">
        <f>"155.76"</f>
        <v>155.76</v>
      </c>
      <c r="J6223" s="1" t="str">
        <f t="shared" ref="J6223:N6223" si="3645">"0"</f>
        <v>0</v>
      </c>
      <c r="K6223" s="1" t="str">
        <f t="shared" si="3639"/>
        <v>103</v>
      </c>
      <c r="L6223" s="1" t="str">
        <f t="shared" si="3640"/>
        <v>47</v>
      </c>
      <c r="M6223" s="1" t="str">
        <f t="shared" si="3645"/>
        <v>0</v>
      </c>
      <c r="N6223" s="1" t="str">
        <f t="shared" si="3645"/>
        <v>0</v>
      </c>
      <c r="O6223" s="1" t="str">
        <f>"5.76"</f>
        <v>5.76</v>
      </c>
    </row>
    <row r="6224" s="1" customFormat="1" spans="1:15">
      <c r="A6224" s="1" t="str">
        <f t="shared" si="3627"/>
        <v>202406</v>
      </c>
      <c r="B6224" s="1" t="str">
        <f t="shared" si="3628"/>
        <v>150525100</v>
      </c>
      <c r="C6224" s="1" t="str">
        <f>"1042131702"</f>
        <v>1042131702</v>
      </c>
      <c r="D6224" s="1" t="str">
        <f>"152326196007093329"</f>
        <v>152326196007093329</v>
      </c>
      <c r="E6224" s="1" t="s">
        <v>6070</v>
      </c>
      <c r="F6224" s="1" t="s">
        <v>16</v>
      </c>
      <c r="G6224" s="1" t="s">
        <v>19</v>
      </c>
      <c r="H6224" s="1" t="str">
        <f>"64"</f>
        <v>64</v>
      </c>
      <c r="I6224" s="1" t="str">
        <f>"156.77"</f>
        <v>156.77</v>
      </c>
      <c r="J6224" s="1" t="str">
        <f t="shared" ref="J6224:N6224" si="3646">"0"</f>
        <v>0</v>
      </c>
      <c r="K6224" s="1" t="str">
        <f t="shared" si="3639"/>
        <v>103</v>
      </c>
      <c r="L6224" s="1" t="str">
        <f t="shared" si="3640"/>
        <v>47</v>
      </c>
      <c r="M6224" s="1" t="str">
        <f t="shared" si="3646"/>
        <v>0</v>
      </c>
      <c r="N6224" s="1" t="str">
        <f t="shared" si="3646"/>
        <v>0</v>
      </c>
      <c r="O6224" s="1" t="str">
        <f>"6.77"</f>
        <v>6.77</v>
      </c>
    </row>
    <row r="6225" s="1" customFormat="1" spans="1:15">
      <c r="A6225" s="1" t="str">
        <f t="shared" si="3627"/>
        <v>202406</v>
      </c>
      <c r="B6225" s="1" t="str">
        <f t="shared" si="3628"/>
        <v>150525100</v>
      </c>
      <c r="C6225" s="1" t="str">
        <f>"1041659284"</f>
        <v>1041659284</v>
      </c>
      <c r="D6225" s="1" t="str">
        <f>"152326195910263318"</f>
        <v>152326195910263318</v>
      </c>
      <c r="E6225" s="1" t="s">
        <v>6071</v>
      </c>
      <c r="F6225" s="1" t="s">
        <v>25</v>
      </c>
      <c r="G6225" s="1" t="s">
        <v>17</v>
      </c>
      <c r="H6225" s="1" t="str">
        <f t="shared" si="3643"/>
        <v>65</v>
      </c>
      <c r="I6225" s="1" t="str">
        <f>"150.94"</f>
        <v>150.94</v>
      </c>
      <c r="J6225" s="1" t="str">
        <f t="shared" ref="J6225:N6225" si="3647">"0"</f>
        <v>0</v>
      </c>
      <c r="K6225" s="1" t="str">
        <f t="shared" si="3639"/>
        <v>103</v>
      </c>
      <c r="L6225" s="1" t="str">
        <f t="shared" si="3640"/>
        <v>47</v>
      </c>
      <c r="M6225" s="1" t="str">
        <f t="shared" si="3647"/>
        <v>0</v>
      </c>
      <c r="N6225" s="1" t="str">
        <f t="shared" si="3647"/>
        <v>0</v>
      </c>
      <c r="O6225" s="1" t="str">
        <f>"0.94"</f>
        <v>0.94</v>
      </c>
    </row>
    <row r="6226" s="1" customFormat="1" spans="1:15">
      <c r="A6226" s="1" t="str">
        <f t="shared" si="3627"/>
        <v>202406</v>
      </c>
      <c r="B6226" s="1" t="str">
        <f t="shared" si="3628"/>
        <v>150525100</v>
      </c>
      <c r="C6226" s="1" t="str">
        <f>"1041589140"</f>
        <v>1041589140</v>
      </c>
      <c r="D6226" s="1" t="str">
        <f>"152326195909235221"</f>
        <v>152326195909235221</v>
      </c>
      <c r="E6226" s="1" t="s">
        <v>6072</v>
      </c>
      <c r="F6226" s="1" t="s">
        <v>16</v>
      </c>
      <c r="G6226" s="1" t="s">
        <v>17</v>
      </c>
      <c r="H6226" s="1" t="str">
        <f t="shared" si="3643"/>
        <v>65</v>
      </c>
      <c r="I6226" s="1" t="str">
        <f>"183.05"</f>
        <v>183.05</v>
      </c>
      <c r="J6226" s="1" t="str">
        <f t="shared" ref="J6226:N6226" si="3648">"0"</f>
        <v>0</v>
      </c>
      <c r="K6226" s="1" t="str">
        <f t="shared" si="3639"/>
        <v>103</v>
      </c>
      <c r="L6226" s="1" t="str">
        <f t="shared" si="3640"/>
        <v>47</v>
      </c>
      <c r="M6226" s="1" t="str">
        <f t="shared" si="3648"/>
        <v>0</v>
      </c>
      <c r="N6226" s="1" t="str">
        <f t="shared" si="3648"/>
        <v>0</v>
      </c>
      <c r="O6226" s="1" t="str">
        <f>"33.05"</f>
        <v>33.05</v>
      </c>
    </row>
    <row r="6227" s="1" customFormat="1" spans="1:15">
      <c r="A6227" s="1" t="str">
        <f t="shared" si="3627"/>
        <v>202406</v>
      </c>
      <c r="B6227" s="1" t="str">
        <f t="shared" si="3628"/>
        <v>150525100</v>
      </c>
      <c r="C6227" s="1" t="str">
        <f>"1041656454"</f>
        <v>1041656454</v>
      </c>
      <c r="D6227" s="1" t="str">
        <f>"152326196212093811"</f>
        <v>152326196212093811</v>
      </c>
      <c r="E6227" s="1" t="s">
        <v>6073</v>
      </c>
      <c r="F6227" s="1" t="s">
        <v>25</v>
      </c>
      <c r="G6227" s="1" t="s">
        <v>19</v>
      </c>
      <c r="H6227" s="1" t="str">
        <f>"62"</f>
        <v>62</v>
      </c>
      <c r="I6227" s="1" t="str">
        <f>"168.51"</f>
        <v>168.51</v>
      </c>
      <c r="J6227" s="1" t="str">
        <f t="shared" ref="J6227:N6227" si="3649">"0"</f>
        <v>0</v>
      </c>
      <c r="K6227" s="1" t="str">
        <f t="shared" si="3639"/>
        <v>103</v>
      </c>
      <c r="L6227" s="1" t="str">
        <f t="shared" si="3640"/>
        <v>47</v>
      </c>
      <c r="M6227" s="1" t="str">
        <f t="shared" si="3649"/>
        <v>0</v>
      </c>
      <c r="N6227" s="1" t="str">
        <f t="shared" si="3649"/>
        <v>0</v>
      </c>
      <c r="O6227" s="1" t="str">
        <f>"18.51"</f>
        <v>18.51</v>
      </c>
    </row>
    <row r="6228" s="1" customFormat="1" spans="1:15">
      <c r="A6228" s="1" t="str">
        <f t="shared" si="3627"/>
        <v>202406</v>
      </c>
      <c r="B6228" s="1" t="str">
        <f t="shared" si="3628"/>
        <v>150525100</v>
      </c>
      <c r="C6228" s="1" t="str">
        <f>"1042281265"</f>
        <v>1042281265</v>
      </c>
      <c r="D6228" s="1" t="str">
        <f>"152326196205300675"</f>
        <v>152326196205300675</v>
      </c>
      <c r="E6228" s="1" t="s">
        <v>6074</v>
      </c>
      <c r="F6228" s="1" t="s">
        <v>25</v>
      </c>
      <c r="G6228" s="1" t="s">
        <v>17</v>
      </c>
      <c r="H6228" s="1" t="str">
        <f>"62"</f>
        <v>62</v>
      </c>
      <c r="I6228" s="1" t="str">
        <f>"173.79"</f>
        <v>173.79</v>
      </c>
      <c r="J6228" s="1" t="str">
        <f t="shared" ref="J6228:N6228" si="3650">"0"</f>
        <v>0</v>
      </c>
      <c r="K6228" s="1" t="str">
        <f t="shared" si="3639"/>
        <v>103</v>
      </c>
      <c r="L6228" s="1" t="str">
        <f t="shared" si="3640"/>
        <v>47</v>
      </c>
      <c r="M6228" s="1" t="str">
        <f t="shared" si="3650"/>
        <v>0</v>
      </c>
      <c r="N6228" s="1" t="str">
        <f t="shared" si="3650"/>
        <v>0</v>
      </c>
      <c r="O6228" s="1" t="str">
        <f>"23.79"</f>
        <v>23.79</v>
      </c>
    </row>
    <row r="6229" s="1" customFormat="1" spans="1:15">
      <c r="A6229" s="1" t="str">
        <f t="shared" si="3627"/>
        <v>202406</v>
      </c>
      <c r="B6229" s="1" t="str">
        <f t="shared" si="3628"/>
        <v>150525100</v>
      </c>
      <c r="C6229" s="1" t="str">
        <f>"1042481733"</f>
        <v>1042481733</v>
      </c>
      <c r="D6229" s="1" t="str">
        <f>"152326195905260921"</f>
        <v>152326195905260921</v>
      </c>
      <c r="E6229" s="1" t="s">
        <v>6075</v>
      </c>
      <c r="F6229" s="1" t="s">
        <v>16</v>
      </c>
      <c r="G6229" s="1" t="s">
        <v>17</v>
      </c>
      <c r="H6229" s="1" t="str">
        <f>"65"</f>
        <v>65</v>
      </c>
      <c r="I6229" s="1" t="str">
        <f>"155.76"</f>
        <v>155.76</v>
      </c>
      <c r="J6229" s="1" t="str">
        <f t="shared" ref="J6229:N6229" si="3651">"0"</f>
        <v>0</v>
      </c>
      <c r="K6229" s="1" t="str">
        <f t="shared" si="3639"/>
        <v>103</v>
      </c>
      <c r="L6229" s="1" t="str">
        <f t="shared" si="3640"/>
        <v>47</v>
      </c>
      <c r="M6229" s="1" t="str">
        <f t="shared" si="3651"/>
        <v>0</v>
      </c>
      <c r="N6229" s="1" t="str">
        <f t="shared" si="3651"/>
        <v>0</v>
      </c>
      <c r="O6229" s="1" t="str">
        <f>"5.76"</f>
        <v>5.76</v>
      </c>
    </row>
    <row r="6230" s="1" customFormat="1" spans="1:15">
      <c r="A6230" s="1" t="str">
        <f t="shared" si="3627"/>
        <v>202406</v>
      </c>
      <c r="B6230" s="1" t="str">
        <f t="shared" si="3628"/>
        <v>150525100</v>
      </c>
      <c r="C6230" s="1" t="str">
        <f>"1042308584"</f>
        <v>1042308584</v>
      </c>
      <c r="D6230" s="1" t="str">
        <f>"152326196004120424"</f>
        <v>152326196004120424</v>
      </c>
      <c r="E6230" s="1" t="s">
        <v>4466</v>
      </c>
      <c r="F6230" s="1" t="s">
        <v>16</v>
      </c>
      <c r="G6230" s="1" t="s">
        <v>17</v>
      </c>
      <c r="H6230" s="1" t="str">
        <f t="shared" ref="H6230:H6236" si="3652">"64"</f>
        <v>64</v>
      </c>
      <c r="I6230" s="1" t="str">
        <f>"162.97"</f>
        <v>162.97</v>
      </c>
      <c r="J6230" s="1" t="str">
        <f t="shared" ref="J6230:N6230" si="3653">"0"</f>
        <v>0</v>
      </c>
      <c r="K6230" s="1" t="str">
        <f t="shared" si="3639"/>
        <v>103</v>
      </c>
      <c r="L6230" s="1" t="str">
        <f t="shared" si="3640"/>
        <v>47</v>
      </c>
      <c r="M6230" s="1" t="str">
        <f t="shared" si="3653"/>
        <v>0</v>
      </c>
      <c r="N6230" s="1" t="str">
        <f t="shared" si="3653"/>
        <v>0</v>
      </c>
      <c r="O6230" s="1" t="str">
        <f>"12.97"</f>
        <v>12.97</v>
      </c>
    </row>
    <row r="6231" s="1" customFormat="1" spans="1:15">
      <c r="A6231" s="1" t="str">
        <f t="shared" si="3627"/>
        <v>202406</v>
      </c>
      <c r="B6231" s="1" t="str">
        <f t="shared" si="3628"/>
        <v>150525100</v>
      </c>
      <c r="C6231" s="1" t="str">
        <f>"1042320183"</f>
        <v>1042320183</v>
      </c>
      <c r="D6231" s="1" t="str">
        <f>"152326195912123829"</f>
        <v>152326195912123829</v>
      </c>
      <c r="E6231" s="1" t="s">
        <v>6076</v>
      </c>
      <c r="F6231" s="1" t="s">
        <v>16</v>
      </c>
      <c r="G6231" s="1" t="s">
        <v>17</v>
      </c>
      <c r="H6231" s="1" t="str">
        <f>"65"</f>
        <v>65</v>
      </c>
      <c r="I6231" s="1" t="str">
        <f>"156.09"</f>
        <v>156.09</v>
      </c>
      <c r="J6231" s="1" t="str">
        <f t="shared" ref="J6231:N6231" si="3654">"0"</f>
        <v>0</v>
      </c>
      <c r="K6231" s="1" t="str">
        <f t="shared" si="3639"/>
        <v>103</v>
      </c>
      <c r="L6231" s="1" t="str">
        <f t="shared" si="3640"/>
        <v>47</v>
      </c>
      <c r="M6231" s="1" t="str">
        <f t="shared" si="3654"/>
        <v>0</v>
      </c>
      <c r="N6231" s="1" t="str">
        <f t="shared" si="3654"/>
        <v>0</v>
      </c>
      <c r="O6231" s="1" t="str">
        <f>"6.09"</f>
        <v>6.09</v>
      </c>
    </row>
    <row r="6232" s="1" customFormat="1" spans="1:15">
      <c r="A6232" s="1" t="str">
        <f t="shared" si="3627"/>
        <v>202406</v>
      </c>
      <c r="B6232" s="1" t="str">
        <f t="shared" si="3628"/>
        <v>150525100</v>
      </c>
      <c r="C6232" s="1" t="str">
        <f>"1042417169"</f>
        <v>1042417169</v>
      </c>
      <c r="D6232" s="1" t="str">
        <f>"152326196006253829"</f>
        <v>152326196006253829</v>
      </c>
      <c r="E6232" s="1" t="s">
        <v>6077</v>
      </c>
      <c r="F6232" s="1" t="s">
        <v>16</v>
      </c>
      <c r="G6232" s="1" t="s">
        <v>17</v>
      </c>
      <c r="H6232" s="1" t="str">
        <f t="shared" si="3652"/>
        <v>64</v>
      </c>
      <c r="I6232" s="1" t="str">
        <f>"156.82"</f>
        <v>156.82</v>
      </c>
      <c r="J6232" s="1" t="str">
        <f t="shared" ref="J6232:N6232" si="3655">"0"</f>
        <v>0</v>
      </c>
      <c r="K6232" s="1" t="str">
        <f t="shared" si="3639"/>
        <v>103</v>
      </c>
      <c r="L6232" s="1" t="str">
        <f t="shared" si="3640"/>
        <v>47</v>
      </c>
      <c r="M6232" s="1" t="str">
        <f t="shared" si="3655"/>
        <v>0</v>
      </c>
      <c r="N6232" s="1" t="str">
        <f t="shared" si="3655"/>
        <v>0</v>
      </c>
      <c r="O6232" s="1" t="str">
        <f>"6.82"</f>
        <v>6.82</v>
      </c>
    </row>
    <row r="6233" s="1" customFormat="1" spans="1:15">
      <c r="A6233" s="1" t="str">
        <f t="shared" si="3627"/>
        <v>202406</v>
      </c>
      <c r="B6233" s="1" t="str">
        <f t="shared" si="3628"/>
        <v>150525100</v>
      </c>
      <c r="C6233" s="1" t="str">
        <f>"1042318879"</f>
        <v>1042318879</v>
      </c>
      <c r="D6233" s="1" t="str">
        <f>"152326195804290929"</f>
        <v>152326195804290929</v>
      </c>
      <c r="E6233" s="1" t="s">
        <v>6078</v>
      </c>
      <c r="F6233" s="1" t="s">
        <v>16</v>
      </c>
      <c r="G6233" s="1" t="s">
        <v>17</v>
      </c>
      <c r="H6233" s="1" t="str">
        <f>"66"</f>
        <v>66</v>
      </c>
      <c r="I6233" s="1" t="str">
        <f>"156.48"</f>
        <v>156.48</v>
      </c>
      <c r="J6233" s="1" t="str">
        <f t="shared" ref="J6233:N6233" si="3656">"0"</f>
        <v>0</v>
      </c>
      <c r="K6233" s="1" t="str">
        <f t="shared" si="3639"/>
        <v>103</v>
      </c>
      <c r="L6233" s="1" t="str">
        <f t="shared" si="3640"/>
        <v>47</v>
      </c>
      <c r="M6233" s="1" t="str">
        <f t="shared" si="3656"/>
        <v>0</v>
      </c>
      <c r="N6233" s="1" t="str">
        <f t="shared" si="3656"/>
        <v>0</v>
      </c>
      <c r="O6233" s="1" t="str">
        <f>"6.48"</f>
        <v>6.48</v>
      </c>
    </row>
    <row r="6234" s="1" customFormat="1" spans="1:15">
      <c r="A6234" s="1" t="str">
        <f t="shared" si="3627"/>
        <v>202406</v>
      </c>
      <c r="B6234" s="1" t="str">
        <f t="shared" si="3628"/>
        <v>150525100</v>
      </c>
      <c r="C6234" s="1" t="str">
        <f>"1042326845"</f>
        <v>1042326845</v>
      </c>
      <c r="D6234" s="1" t="str">
        <f>"152326196009033071"</f>
        <v>152326196009033071</v>
      </c>
      <c r="E6234" s="1" t="s">
        <v>6079</v>
      </c>
      <c r="F6234" s="1" t="s">
        <v>25</v>
      </c>
      <c r="G6234" s="1" t="s">
        <v>17</v>
      </c>
      <c r="H6234" s="1" t="str">
        <f t="shared" si="3652"/>
        <v>64</v>
      </c>
      <c r="I6234" s="1" t="str">
        <f>"156.77"</f>
        <v>156.77</v>
      </c>
      <c r="J6234" s="1" t="str">
        <f t="shared" ref="J6234:N6234" si="3657">"0"</f>
        <v>0</v>
      </c>
      <c r="K6234" s="1" t="str">
        <f t="shared" si="3639"/>
        <v>103</v>
      </c>
      <c r="L6234" s="1" t="str">
        <f t="shared" si="3640"/>
        <v>47</v>
      </c>
      <c r="M6234" s="1" t="str">
        <f t="shared" si="3657"/>
        <v>0</v>
      </c>
      <c r="N6234" s="1" t="str">
        <f t="shared" si="3657"/>
        <v>0</v>
      </c>
      <c r="O6234" s="1" t="str">
        <f>"6.77"</f>
        <v>6.77</v>
      </c>
    </row>
    <row r="6235" s="1" customFormat="1" spans="1:15">
      <c r="A6235" s="1" t="str">
        <f t="shared" si="3627"/>
        <v>202406</v>
      </c>
      <c r="B6235" s="1" t="str">
        <f t="shared" si="3628"/>
        <v>150525100</v>
      </c>
      <c r="C6235" s="1" t="str">
        <f>"1042469498"</f>
        <v>1042469498</v>
      </c>
      <c r="D6235" s="1" t="str">
        <f>"152326196005290660"</f>
        <v>152326196005290660</v>
      </c>
      <c r="E6235" s="1" t="s">
        <v>6080</v>
      </c>
      <c r="F6235" s="1" t="s">
        <v>16</v>
      </c>
      <c r="G6235" s="1" t="s">
        <v>17</v>
      </c>
      <c r="H6235" s="1" t="str">
        <f t="shared" si="3652"/>
        <v>64</v>
      </c>
      <c r="I6235" s="1" t="str">
        <f>"156.74"</f>
        <v>156.74</v>
      </c>
      <c r="J6235" s="1" t="str">
        <f t="shared" ref="J6235:N6235" si="3658">"0"</f>
        <v>0</v>
      </c>
      <c r="K6235" s="1" t="str">
        <f t="shared" si="3639"/>
        <v>103</v>
      </c>
      <c r="L6235" s="1" t="str">
        <f t="shared" si="3640"/>
        <v>47</v>
      </c>
      <c r="M6235" s="1" t="str">
        <f t="shared" si="3658"/>
        <v>0</v>
      </c>
      <c r="N6235" s="1" t="str">
        <f t="shared" si="3658"/>
        <v>0</v>
      </c>
      <c r="O6235" s="1" t="str">
        <f>"6.74"</f>
        <v>6.74</v>
      </c>
    </row>
    <row r="6236" s="1" customFormat="1" spans="1:15">
      <c r="A6236" s="1" t="str">
        <f t="shared" si="3627"/>
        <v>202406</v>
      </c>
      <c r="B6236" s="1" t="str">
        <f t="shared" si="3628"/>
        <v>150525100</v>
      </c>
      <c r="C6236" s="1" t="str">
        <f>"1042464466"</f>
        <v>1042464466</v>
      </c>
      <c r="D6236" s="1" t="str">
        <f>"152326196007243323"</f>
        <v>152326196007243323</v>
      </c>
      <c r="E6236" s="1" t="s">
        <v>6081</v>
      </c>
      <c r="F6236" s="1" t="s">
        <v>16</v>
      </c>
      <c r="G6236" s="1" t="s">
        <v>17</v>
      </c>
      <c r="H6236" s="1" t="str">
        <f t="shared" si="3652"/>
        <v>64</v>
      </c>
      <c r="I6236" s="1" t="str">
        <f>"158.57"</f>
        <v>158.57</v>
      </c>
      <c r="J6236" s="1" t="str">
        <f t="shared" ref="J6236:N6236" si="3659">"0"</f>
        <v>0</v>
      </c>
      <c r="K6236" s="1" t="str">
        <f t="shared" si="3639"/>
        <v>103</v>
      </c>
      <c r="L6236" s="1" t="str">
        <f t="shared" si="3640"/>
        <v>47</v>
      </c>
      <c r="M6236" s="1" t="str">
        <f t="shared" si="3659"/>
        <v>0</v>
      </c>
      <c r="N6236" s="1" t="str">
        <f t="shared" si="3659"/>
        <v>0</v>
      </c>
      <c r="O6236" s="1" t="str">
        <f>"8.57"</f>
        <v>8.57</v>
      </c>
    </row>
    <row r="6237" s="1" customFormat="1" spans="1:15">
      <c r="A6237" s="1" t="str">
        <f t="shared" si="3627"/>
        <v>202406</v>
      </c>
      <c r="B6237" s="1" t="str">
        <f t="shared" si="3628"/>
        <v>150525100</v>
      </c>
      <c r="C6237" s="1" t="str">
        <f>"1042810160"</f>
        <v>1042810160</v>
      </c>
      <c r="D6237" s="1" t="str">
        <f>"152326196108300673"</f>
        <v>152326196108300673</v>
      </c>
      <c r="E6237" s="1" t="s">
        <v>6082</v>
      </c>
      <c r="F6237" s="1" t="s">
        <v>25</v>
      </c>
      <c r="G6237" s="1" t="s">
        <v>17</v>
      </c>
      <c r="H6237" s="1" t="str">
        <f t="shared" ref="H6237:H6240" si="3660">"63"</f>
        <v>63</v>
      </c>
      <c r="I6237" s="1" t="str">
        <f>"158.6"</f>
        <v>158.6</v>
      </c>
      <c r="J6237" s="1" t="str">
        <f t="shared" ref="J6237:N6237" si="3661">"0"</f>
        <v>0</v>
      </c>
      <c r="K6237" s="1" t="str">
        <f t="shared" si="3639"/>
        <v>103</v>
      </c>
      <c r="L6237" s="1" t="str">
        <f t="shared" si="3640"/>
        <v>47</v>
      </c>
      <c r="M6237" s="1" t="str">
        <f t="shared" si="3661"/>
        <v>0</v>
      </c>
      <c r="N6237" s="1" t="str">
        <f t="shared" si="3661"/>
        <v>0</v>
      </c>
      <c r="O6237" s="1" t="str">
        <f>"8.6"</f>
        <v>8.6</v>
      </c>
    </row>
    <row r="6238" s="1" customFormat="1" spans="1:15">
      <c r="A6238" s="1" t="str">
        <f t="shared" si="3627"/>
        <v>202406</v>
      </c>
      <c r="B6238" s="1" t="str">
        <f t="shared" si="3628"/>
        <v>150525100</v>
      </c>
      <c r="C6238" s="1" t="str">
        <f>"1042811738"</f>
        <v>1042811738</v>
      </c>
      <c r="D6238" s="1" t="str">
        <f>"152326196109230427"</f>
        <v>152326196109230427</v>
      </c>
      <c r="E6238" s="1" t="s">
        <v>6083</v>
      </c>
      <c r="F6238" s="1" t="s">
        <v>16</v>
      </c>
      <c r="G6238" s="1" t="s">
        <v>17</v>
      </c>
      <c r="H6238" s="1" t="str">
        <f t="shared" si="3660"/>
        <v>63</v>
      </c>
      <c r="I6238" s="1" t="str">
        <f>"158.59"</f>
        <v>158.59</v>
      </c>
      <c r="J6238" s="1" t="str">
        <f t="shared" ref="J6238:N6238" si="3662">"0"</f>
        <v>0</v>
      </c>
      <c r="K6238" s="1" t="str">
        <f t="shared" si="3639"/>
        <v>103</v>
      </c>
      <c r="L6238" s="1" t="str">
        <f t="shared" si="3640"/>
        <v>47</v>
      </c>
      <c r="M6238" s="1" t="str">
        <f t="shared" si="3662"/>
        <v>0</v>
      </c>
      <c r="N6238" s="1" t="str">
        <f t="shared" si="3662"/>
        <v>0</v>
      </c>
      <c r="O6238" s="1" t="str">
        <f>"8.59"</f>
        <v>8.59</v>
      </c>
    </row>
    <row r="6239" s="1" customFormat="1" spans="1:15">
      <c r="A6239" s="1" t="str">
        <f t="shared" si="3627"/>
        <v>202406</v>
      </c>
      <c r="B6239" s="1" t="str">
        <f t="shared" si="3628"/>
        <v>150525100</v>
      </c>
      <c r="C6239" s="1" t="str">
        <f>"1042842120"</f>
        <v>1042842120</v>
      </c>
      <c r="D6239" s="1" t="str">
        <f>"152326196112160677"</f>
        <v>152326196112160677</v>
      </c>
      <c r="E6239" s="1" t="s">
        <v>3402</v>
      </c>
      <c r="F6239" s="1" t="s">
        <v>25</v>
      </c>
      <c r="G6239" s="1" t="s">
        <v>17</v>
      </c>
      <c r="H6239" s="1" t="str">
        <f t="shared" si="3660"/>
        <v>63</v>
      </c>
      <c r="I6239" s="1" t="str">
        <f>"158.65"</f>
        <v>158.65</v>
      </c>
      <c r="J6239" s="1" t="str">
        <f t="shared" ref="J6239:N6239" si="3663">"0"</f>
        <v>0</v>
      </c>
      <c r="K6239" s="1" t="str">
        <f t="shared" si="3639"/>
        <v>103</v>
      </c>
      <c r="L6239" s="1" t="str">
        <f t="shared" si="3640"/>
        <v>47</v>
      </c>
      <c r="M6239" s="1" t="str">
        <f t="shared" si="3663"/>
        <v>0</v>
      </c>
      <c r="N6239" s="1" t="str">
        <f t="shared" si="3663"/>
        <v>0</v>
      </c>
      <c r="O6239" s="1" t="str">
        <f>"8.65"</f>
        <v>8.65</v>
      </c>
    </row>
    <row r="6240" s="1" customFormat="1" spans="1:15">
      <c r="A6240" s="1" t="str">
        <f t="shared" si="3627"/>
        <v>202406</v>
      </c>
      <c r="B6240" s="1" t="str">
        <f t="shared" si="3628"/>
        <v>150525100</v>
      </c>
      <c r="C6240" s="1" t="str">
        <f>"1042886031"</f>
        <v>1042886031</v>
      </c>
      <c r="D6240" s="1" t="str">
        <f>"152326196110040698"</f>
        <v>152326196110040698</v>
      </c>
      <c r="E6240" s="1" t="s">
        <v>6084</v>
      </c>
      <c r="F6240" s="1" t="s">
        <v>25</v>
      </c>
      <c r="G6240" s="1" t="s">
        <v>17</v>
      </c>
      <c r="H6240" s="1" t="str">
        <f t="shared" si="3660"/>
        <v>63</v>
      </c>
      <c r="I6240" s="1" t="str">
        <f>"158.95"</f>
        <v>158.95</v>
      </c>
      <c r="J6240" s="1" t="str">
        <f t="shared" ref="J6240:N6240" si="3664">"0"</f>
        <v>0</v>
      </c>
      <c r="K6240" s="1" t="str">
        <f t="shared" si="3639"/>
        <v>103</v>
      </c>
      <c r="L6240" s="1" t="str">
        <f t="shared" si="3640"/>
        <v>47</v>
      </c>
      <c r="M6240" s="1" t="str">
        <f t="shared" si="3664"/>
        <v>0</v>
      </c>
      <c r="N6240" s="1" t="str">
        <f t="shared" si="3664"/>
        <v>0</v>
      </c>
      <c r="O6240" s="1" t="str">
        <f>"8.95"</f>
        <v>8.95</v>
      </c>
    </row>
    <row r="6241" s="1" customFormat="1" spans="1:15">
      <c r="A6241" s="1" t="str">
        <f t="shared" si="3627"/>
        <v>202406</v>
      </c>
      <c r="B6241" s="1" t="str">
        <f t="shared" si="3628"/>
        <v>150525100</v>
      </c>
      <c r="C6241" s="1" t="str">
        <f>"1042748770"</f>
        <v>1042748770</v>
      </c>
      <c r="D6241" s="1" t="s">
        <v>6085</v>
      </c>
      <c r="E6241" s="1" t="s">
        <v>6086</v>
      </c>
      <c r="F6241" s="1" t="s">
        <v>16</v>
      </c>
      <c r="G6241" s="1" t="s">
        <v>17</v>
      </c>
      <c r="H6241" s="1" t="str">
        <f>"62"</f>
        <v>62</v>
      </c>
      <c r="I6241" s="1" t="str">
        <f>"166.52"</f>
        <v>166.52</v>
      </c>
      <c r="J6241" s="1" t="str">
        <f t="shared" ref="J6241:N6241" si="3665">"0"</f>
        <v>0</v>
      </c>
      <c r="K6241" s="1" t="str">
        <f t="shared" si="3639"/>
        <v>103</v>
      </c>
      <c r="L6241" s="1" t="str">
        <f t="shared" si="3640"/>
        <v>47</v>
      </c>
      <c r="M6241" s="1" t="str">
        <f t="shared" si="3665"/>
        <v>0</v>
      </c>
      <c r="N6241" s="1" t="str">
        <f t="shared" si="3665"/>
        <v>0</v>
      </c>
      <c r="O6241" s="1" t="str">
        <f>"16.52"</f>
        <v>16.52</v>
      </c>
    </row>
    <row r="6242" s="1" customFormat="1" spans="1:15">
      <c r="A6242" s="1" t="str">
        <f t="shared" si="3627"/>
        <v>202406</v>
      </c>
      <c r="B6242" s="1" t="str">
        <f t="shared" si="3628"/>
        <v>150525100</v>
      </c>
      <c r="C6242" s="1" t="str">
        <f>"1042706275"</f>
        <v>1042706275</v>
      </c>
      <c r="D6242" s="1" t="str">
        <f>"152326196103060690"</f>
        <v>152326196103060690</v>
      </c>
      <c r="E6242" s="1" t="s">
        <v>2173</v>
      </c>
      <c r="F6242" s="1" t="s">
        <v>25</v>
      </c>
      <c r="G6242" s="1" t="s">
        <v>17</v>
      </c>
      <c r="H6242" s="1" t="str">
        <f t="shared" ref="H6242:H6245" si="3666">"63"</f>
        <v>63</v>
      </c>
      <c r="I6242" s="1" t="str">
        <f>"366.1"</f>
        <v>366.1</v>
      </c>
      <c r="J6242" s="1" t="str">
        <f t="shared" ref="J6242:N6242" si="3667">"0"</f>
        <v>0</v>
      </c>
      <c r="K6242" s="1" t="str">
        <f t="shared" si="3639"/>
        <v>103</v>
      </c>
      <c r="L6242" s="1" t="str">
        <f t="shared" si="3640"/>
        <v>47</v>
      </c>
      <c r="M6242" s="1" t="str">
        <f t="shared" si="3667"/>
        <v>0</v>
      </c>
      <c r="N6242" s="1" t="str">
        <f t="shared" si="3667"/>
        <v>0</v>
      </c>
      <c r="O6242" s="1" t="str">
        <f>"216.1"</f>
        <v>216.1</v>
      </c>
    </row>
    <row r="6243" s="1" customFormat="1" spans="1:15">
      <c r="A6243" s="1" t="str">
        <f t="shared" si="3627"/>
        <v>202406</v>
      </c>
      <c r="B6243" s="1" t="str">
        <f t="shared" si="3628"/>
        <v>150525100</v>
      </c>
      <c r="C6243" s="1" t="str">
        <f>"1042940564"</f>
        <v>1042940564</v>
      </c>
      <c r="D6243" s="1" t="str">
        <f>"152326196110203821"</f>
        <v>152326196110203821</v>
      </c>
      <c r="E6243" s="1" t="s">
        <v>6087</v>
      </c>
      <c r="F6243" s="1" t="s">
        <v>16</v>
      </c>
      <c r="G6243" s="1" t="s">
        <v>17</v>
      </c>
      <c r="H6243" s="1" t="str">
        <f t="shared" si="3666"/>
        <v>63</v>
      </c>
      <c r="I6243" s="1" t="str">
        <f>"158.62"</f>
        <v>158.62</v>
      </c>
      <c r="J6243" s="1" t="str">
        <f t="shared" ref="J6243:N6243" si="3668">"0"</f>
        <v>0</v>
      </c>
      <c r="K6243" s="1" t="str">
        <f t="shared" si="3639"/>
        <v>103</v>
      </c>
      <c r="L6243" s="1" t="str">
        <f t="shared" si="3640"/>
        <v>47</v>
      </c>
      <c r="M6243" s="1" t="str">
        <f t="shared" si="3668"/>
        <v>0</v>
      </c>
      <c r="N6243" s="1" t="str">
        <f t="shared" si="3668"/>
        <v>0</v>
      </c>
      <c r="O6243" s="1" t="str">
        <f>"8.62"</f>
        <v>8.62</v>
      </c>
    </row>
    <row r="6244" s="1" customFormat="1" spans="1:15">
      <c r="A6244" s="1" t="str">
        <f t="shared" si="3627"/>
        <v>202406</v>
      </c>
      <c r="B6244" s="1" t="str">
        <f t="shared" si="3628"/>
        <v>150525100</v>
      </c>
      <c r="C6244" s="1" t="str">
        <f>"1042809851"</f>
        <v>1042809851</v>
      </c>
      <c r="D6244" s="1" t="str">
        <f>"152326196201020027"</f>
        <v>152326196201020027</v>
      </c>
      <c r="E6244" s="1" t="s">
        <v>6088</v>
      </c>
      <c r="F6244" s="1" t="s">
        <v>16</v>
      </c>
      <c r="G6244" s="1" t="s">
        <v>17</v>
      </c>
      <c r="H6244" s="1" t="str">
        <f t="shared" si="3666"/>
        <v>63</v>
      </c>
      <c r="I6244" s="1" t="str">
        <f>"160.42"</f>
        <v>160.42</v>
      </c>
      <c r="J6244" s="1" t="str">
        <f t="shared" ref="J6244:N6244" si="3669">"0"</f>
        <v>0</v>
      </c>
      <c r="K6244" s="1" t="str">
        <f t="shared" si="3639"/>
        <v>103</v>
      </c>
      <c r="L6244" s="1" t="str">
        <f t="shared" si="3640"/>
        <v>47</v>
      </c>
      <c r="M6244" s="1" t="str">
        <f t="shared" si="3669"/>
        <v>0</v>
      </c>
      <c r="N6244" s="1" t="str">
        <f t="shared" si="3669"/>
        <v>0</v>
      </c>
      <c r="O6244" s="1" t="str">
        <f>"10.42"</f>
        <v>10.42</v>
      </c>
    </row>
    <row r="6245" s="1" customFormat="1" spans="1:15">
      <c r="A6245" s="1" t="str">
        <f t="shared" si="3627"/>
        <v>202406</v>
      </c>
      <c r="B6245" s="1" t="str">
        <f t="shared" si="3628"/>
        <v>150525100</v>
      </c>
      <c r="C6245" s="1" t="str">
        <f>"1042751100"</f>
        <v>1042751100</v>
      </c>
      <c r="D6245" s="1" t="s">
        <v>6089</v>
      </c>
      <c r="E6245" s="1" t="s">
        <v>6090</v>
      </c>
      <c r="F6245" s="1" t="s">
        <v>16</v>
      </c>
      <c r="G6245" s="1" t="s">
        <v>17</v>
      </c>
      <c r="H6245" s="1" t="str">
        <f t="shared" si="3666"/>
        <v>63</v>
      </c>
      <c r="I6245" s="1" t="str">
        <f>"164.71"</f>
        <v>164.71</v>
      </c>
      <c r="J6245" s="1" t="str">
        <f t="shared" ref="J6245:N6245" si="3670">"0"</f>
        <v>0</v>
      </c>
      <c r="K6245" s="1" t="str">
        <f t="shared" si="3639"/>
        <v>103</v>
      </c>
      <c r="L6245" s="1" t="str">
        <f t="shared" si="3640"/>
        <v>47</v>
      </c>
      <c r="M6245" s="1" t="str">
        <f t="shared" si="3670"/>
        <v>0</v>
      </c>
      <c r="N6245" s="1" t="str">
        <f t="shared" si="3670"/>
        <v>0</v>
      </c>
      <c r="O6245" s="1" t="str">
        <f>"14.71"</f>
        <v>14.71</v>
      </c>
    </row>
    <row r="6246" s="1" customFormat="1" spans="1:15">
      <c r="A6246" s="1" t="str">
        <f t="shared" si="3627"/>
        <v>202406</v>
      </c>
      <c r="B6246" s="1" t="str">
        <f t="shared" si="3628"/>
        <v>150525100</v>
      </c>
      <c r="C6246" s="1" t="str">
        <f>"1042571193"</f>
        <v>1042571193</v>
      </c>
      <c r="D6246" s="1" t="str">
        <f>"152326196009193825"</f>
        <v>152326196009193825</v>
      </c>
      <c r="E6246" s="1" t="s">
        <v>6091</v>
      </c>
      <c r="F6246" s="1" t="s">
        <v>16</v>
      </c>
      <c r="G6246" s="1" t="s">
        <v>17</v>
      </c>
      <c r="H6246" s="1" t="str">
        <f>"64"</f>
        <v>64</v>
      </c>
      <c r="I6246" s="1" t="str">
        <f>"156.79"</f>
        <v>156.79</v>
      </c>
      <c r="J6246" s="1" t="str">
        <f t="shared" ref="J6246:N6246" si="3671">"0"</f>
        <v>0</v>
      </c>
      <c r="K6246" s="1" t="str">
        <f t="shared" si="3639"/>
        <v>103</v>
      </c>
      <c r="L6246" s="1" t="str">
        <f t="shared" si="3640"/>
        <v>47</v>
      </c>
      <c r="M6246" s="1" t="str">
        <f t="shared" si="3671"/>
        <v>0</v>
      </c>
      <c r="N6246" s="1" t="str">
        <f t="shared" si="3671"/>
        <v>0</v>
      </c>
      <c r="O6246" s="1" t="str">
        <f>"6.79"</f>
        <v>6.79</v>
      </c>
    </row>
    <row r="6247" s="1" customFormat="1" spans="1:15">
      <c r="A6247" s="1" t="str">
        <f t="shared" si="3627"/>
        <v>202406</v>
      </c>
      <c r="B6247" s="1" t="str">
        <f t="shared" si="3628"/>
        <v>150525100</v>
      </c>
      <c r="C6247" s="1" t="str">
        <f>"1043001309"</f>
        <v>1043001309</v>
      </c>
      <c r="D6247" s="1" t="s">
        <v>6092</v>
      </c>
      <c r="E6247" s="1" t="s">
        <v>6093</v>
      </c>
      <c r="F6247" s="1" t="s">
        <v>25</v>
      </c>
      <c r="G6247" s="1" t="s">
        <v>17</v>
      </c>
      <c r="H6247" s="1" t="str">
        <f>"64"</f>
        <v>64</v>
      </c>
      <c r="I6247" s="1" t="str">
        <f>"156.81"</f>
        <v>156.81</v>
      </c>
      <c r="J6247" s="1" t="str">
        <f t="shared" ref="J6247:N6247" si="3672">"0"</f>
        <v>0</v>
      </c>
      <c r="K6247" s="1" t="str">
        <f t="shared" si="3639"/>
        <v>103</v>
      </c>
      <c r="L6247" s="1" t="str">
        <f t="shared" si="3640"/>
        <v>47</v>
      </c>
      <c r="M6247" s="1" t="str">
        <f t="shared" si="3672"/>
        <v>0</v>
      </c>
      <c r="N6247" s="1" t="str">
        <f t="shared" si="3672"/>
        <v>0</v>
      </c>
      <c r="O6247" s="1" t="str">
        <f>"6.81"</f>
        <v>6.81</v>
      </c>
    </row>
    <row r="6248" s="1" customFormat="1" spans="1:15">
      <c r="A6248" s="1" t="str">
        <f t="shared" si="3627"/>
        <v>202406</v>
      </c>
      <c r="B6248" s="1" t="str">
        <f t="shared" si="3628"/>
        <v>150525100</v>
      </c>
      <c r="C6248" s="1" t="str">
        <f>"1042991478"</f>
        <v>1042991478</v>
      </c>
      <c r="D6248" s="1" t="str">
        <f>"152326196110030684"</f>
        <v>152326196110030684</v>
      </c>
      <c r="E6248" s="1" t="s">
        <v>6094</v>
      </c>
      <c r="F6248" s="1" t="s">
        <v>16</v>
      </c>
      <c r="G6248" s="1" t="s">
        <v>17</v>
      </c>
      <c r="H6248" s="1" t="str">
        <f>"63"</f>
        <v>63</v>
      </c>
      <c r="I6248" s="1" t="str">
        <f>"158.6"</f>
        <v>158.6</v>
      </c>
      <c r="J6248" s="1" t="str">
        <f t="shared" ref="J6248:N6248" si="3673">"0"</f>
        <v>0</v>
      </c>
      <c r="K6248" s="1" t="str">
        <f t="shared" si="3639"/>
        <v>103</v>
      </c>
      <c r="L6248" s="1" t="str">
        <f t="shared" si="3640"/>
        <v>47</v>
      </c>
      <c r="M6248" s="1" t="str">
        <f t="shared" si="3673"/>
        <v>0</v>
      </c>
      <c r="N6248" s="1" t="str">
        <f t="shared" si="3673"/>
        <v>0</v>
      </c>
      <c r="O6248" s="1" t="str">
        <f>"8.6"</f>
        <v>8.6</v>
      </c>
    </row>
    <row r="6249" s="1" customFormat="1" spans="1:15">
      <c r="A6249" s="1" t="str">
        <f t="shared" si="3627"/>
        <v>202406</v>
      </c>
      <c r="B6249" s="1" t="str">
        <f t="shared" si="3628"/>
        <v>150525100</v>
      </c>
      <c r="C6249" s="1" t="str">
        <f>"1043290410"</f>
        <v>1043290410</v>
      </c>
      <c r="D6249" s="1" t="str">
        <f>"152326196305123311"</f>
        <v>152326196305123311</v>
      </c>
      <c r="E6249" s="1" t="s">
        <v>6095</v>
      </c>
      <c r="F6249" s="1" t="s">
        <v>25</v>
      </c>
      <c r="G6249" s="1" t="s">
        <v>19</v>
      </c>
      <c r="H6249" s="1" t="str">
        <f t="shared" ref="H6249:H6254" si="3674">"61"</f>
        <v>61</v>
      </c>
      <c r="I6249" s="1" t="str">
        <f>"167.65"</f>
        <v>167.65</v>
      </c>
      <c r="J6249" s="1" t="str">
        <f t="shared" ref="J6249:N6249" si="3675">"0"</f>
        <v>0</v>
      </c>
      <c r="K6249" s="1" t="str">
        <f t="shared" si="3639"/>
        <v>103</v>
      </c>
      <c r="L6249" s="1" t="str">
        <f t="shared" si="3640"/>
        <v>47</v>
      </c>
      <c r="M6249" s="1" t="str">
        <f t="shared" si="3675"/>
        <v>0</v>
      </c>
      <c r="N6249" s="1" t="str">
        <f t="shared" si="3675"/>
        <v>0</v>
      </c>
      <c r="O6249" s="1" t="str">
        <f>"17.65"</f>
        <v>17.65</v>
      </c>
    </row>
    <row r="6250" s="1" customFormat="1" spans="1:15">
      <c r="A6250" s="1" t="str">
        <f t="shared" si="3627"/>
        <v>202406</v>
      </c>
      <c r="B6250" s="1" t="str">
        <f t="shared" si="3628"/>
        <v>150525100</v>
      </c>
      <c r="C6250" s="1" t="str">
        <f>"1043310480"</f>
        <v>1043310480</v>
      </c>
      <c r="D6250" s="1" t="str">
        <f>"152326196207183812"</f>
        <v>152326196207183812</v>
      </c>
      <c r="E6250" s="1" t="s">
        <v>6096</v>
      </c>
      <c r="F6250" s="1" t="s">
        <v>25</v>
      </c>
      <c r="G6250" s="1" t="s">
        <v>17</v>
      </c>
      <c r="H6250" s="1" t="str">
        <f t="shared" ref="H6250:H6262" si="3676">"62"</f>
        <v>62</v>
      </c>
      <c r="I6250" s="1" t="str">
        <f>"160.33"</f>
        <v>160.33</v>
      </c>
      <c r="J6250" s="1" t="str">
        <f t="shared" ref="J6250:N6250" si="3677">"0"</f>
        <v>0</v>
      </c>
      <c r="K6250" s="1" t="str">
        <f t="shared" si="3639"/>
        <v>103</v>
      </c>
      <c r="L6250" s="1" t="str">
        <f t="shared" si="3640"/>
        <v>47</v>
      </c>
      <c r="M6250" s="1" t="str">
        <f t="shared" si="3677"/>
        <v>0</v>
      </c>
      <c r="N6250" s="1" t="str">
        <f t="shared" si="3677"/>
        <v>0</v>
      </c>
      <c r="O6250" s="1" t="str">
        <f>"10.33"</f>
        <v>10.33</v>
      </c>
    </row>
    <row r="6251" s="1" customFormat="1" spans="1:15">
      <c r="A6251" s="1" t="str">
        <f t="shared" si="3627"/>
        <v>202406</v>
      </c>
      <c r="B6251" s="1" t="str">
        <f t="shared" si="3628"/>
        <v>150525100</v>
      </c>
      <c r="C6251" s="1" t="str">
        <f>"1042695099"</f>
        <v>1042695099</v>
      </c>
      <c r="D6251" s="1" t="str">
        <f>"152326196401213341"</f>
        <v>152326196401213341</v>
      </c>
      <c r="E6251" s="1" t="s">
        <v>6097</v>
      </c>
      <c r="F6251" s="1" t="s">
        <v>16</v>
      </c>
      <c r="G6251" s="1" t="s">
        <v>17</v>
      </c>
      <c r="H6251" s="1" t="str">
        <f>"60"</f>
        <v>60</v>
      </c>
      <c r="I6251" s="1" t="str">
        <f>"164.21"</f>
        <v>164.21</v>
      </c>
      <c r="J6251" s="1" t="str">
        <f t="shared" ref="J6251:N6251" si="3678">"0"</f>
        <v>0</v>
      </c>
      <c r="K6251" s="1" t="str">
        <f t="shared" si="3639"/>
        <v>103</v>
      </c>
      <c r="L6251" s="1" t="str">
        <f t="shared" si="3640"/>
        <v>47</v>
      </c>
      <c r="M6251" s="1" t="str">
        <f t="shared" si="3678"/>
        <v>0</v>
      </c>
      <c r="N6251" s="1" t="str">
        <f t="shared" si="3678"/>
        <v>0</v>
      </c>
      <c r="O6251" s="1" t="str">
        <f>"14.21"</f>
        <v>14.21</v>
      </c>
    </row>
    <row r="6252" s="1" customFormat="1" spans="1:15">
      <c r="A6252" s="1" t="str">
        <f t="shared" si="3627"/>
        <v>202406</v>
      </c>
      <c r="B6252" s="1" t="str">
        <f t="shared" si="3628"/>
        <v>150525100</v>
      </c>
      <c r="C6252" s="1" t="str">
        <f>"1042958793"</f>
        <v>1042958793</v>
      </c>
      <c r="D6252" s="1" t="s">
        <v>6098</v>
      </c>
      <c r="E6252" s="1" t="s">
        <v>6099</v>
      </c>
      <c r="F6252" s="1" t="s">
        <v>16</v>
      </c>
      <c r="G6252" s="1" t="s">
        <v>17</v>
      </c>
      <c r="H6252" s="1" t="str">
        <f t="shared" si="3674"/>
        <v>61</v>
      </c>
      <c r="I6252" s="1" t="str">
        <f>"162.48"</f>
        <v>162.48</v>
      </c>
      <c r="J6252" s="1" t="str">
        <f t="shared" ref="J6252:N6252" si="3679">"0"</f>
        <v>0</v>
      </c>
      <c r="K6252" s="1" t="str">
        <f t="shared" si="3639"/>
        <v>103</v>
      </c>
      <c r="L6252" s="1" t="str">
        <f t="shared" si="3640"/>
        <v>47</v>
      </c>
      <c r="M6252" s="1" t="str">
        <f t="shared" si="3679"/>
        <v>0</v>
      </c>
      <c r="N6252" s="1" t="str">
        <f t="shared" si="3679"/>
        <v>0</v>
      </c>
      <c r="O6252" s="1" t="str">
        <f>"12.48"</f>
        <v>12.48</v>
      </c>
    </row>
    <row r="6253" s="1" customFormat="1" spans="1:15">
      <c r="A6253" s="1" t="str">
        <f t="shared" si="3627"/>
        <v>202406</v>
      </c>
      <c r="B6253" s="1" t="str">
        <f t="shared" si="3628"/>
        <v>150525100</v>
      </c>
      <c r="C6253" s="1" t="str">
        <f>"1042755344"</f>
        <v>1042755344</v>
      </c>
      <c r="D6253" s="1" t="str">
        <f>"152326196209283083"</f>
        <v>152326196209283083</v>
      </c>
      <c r="E6253" s="1" t="s">
        <v>6100</v>
      </c>
      <c r="F6253" s="1" t="s">
        <v>16</v>
      </c>
      <c r="G6253" s="1" t="s">
        <v>17</v>
      </c>
      <c r="H6253" s="1" t="str">
        <f t="shared" si="3676"/>
        <v>62</v>
      </c>
      <c r="I6253" s="1" t="str">
        <f>"160.55"</f>
        <v>160.55</v>
      </c>
      <c r="J6253" s="1" t="str">
        <f t="shared" ref="J6253:N6253" si="3680">"0"</f>
        <v>0</v>
      </c>
      <c r="K6253" s="1" t="str">
        <f t="shared" si="3639"/>
        <v>103</v>
      </c>
      <c r="L6253" s="1" t="str">
        <f t="shared" si="3640"/>
        <v>47</v>
      </c>
      <c r="M6253" s="1" t="str">
        <f t="shared" si="3680"/>
        <v>0</v>
      </c>
      <c r="N6253" s="1" t="str">
        <f t="shared" si="3680"/>
        <v>0</v>
      </c>
      <c r="O6253" s="1" t="str">
        <f>"10.55"</f>
        <v>10.55</v>
      </c>
    </row>
    <row r="6254" s="1" customFormat="1" spans="1:15">
      <c r="A6254" s="1" t="str">
        <f t="shared" si="3627"/>
        <v>202406</v>
      </c>
      <c r="B6254" s="1" t="str">
        <f t="shared" si="3628"/>
        <v>150525100</v>
      </c>
      <c r="C6254" s="1" t="str">
        <f>"1042725507"</f>
        <v>1042725507</v>
      </c>
      <c r="D6254" s="1" t="str">
        <f>"152326196305033084"</f>
        <v>152326196305033084</v>
      </c>
      <c r="E6254" s="1" t="s">
        <v>6101</v>
      </c>
      <c r="F6254" s="1" t="s">
        <v>16</v>
      </c>
      <c r="G6254" s="1" t="s">
        <v>17</v>
      </c>
      <c r="H6254" s="1" t="str">
        <f t="shared" si="3674"/>
        <v>61</v>
      </c>
      <c r="I6254" s="1" t="str">
        <f>"162.41"</f>
        <v>162.41</v>
      </c>
      <c r="J6254" s="1" t="str">
        <f t="shared" ref="J6254:N6254" si="3681">"0"</f>
        <v>0</v>
      </c>
      <c r="K6254" s="1" t="str">
        <f t="shared" si="3639"/>
        <v>103</v>
      </c>
      <c r="L6254" s="1" t="str">
        <f t="shared" si="3640"/>
        <v>47</v>
      </c>
      <c r="M6254" s="1" t="str">
        <f t="shared" si="3681"/>
        <v>0</v>
      </c>
      <c r="N6254" s="1" t="str">
        <f t="shared" si="3681"/>
        <v>0</v>
      </c>
      <c r="O6254" s="1" t="str">
        <f>"12.41"</f>
        <v>12.41</v>
      </c>
    </row>
    <row r="6255" s="1" customFormat="1" spans="1:15">
      <c r="A6255" s="1" t="str">
        <f t="shared" si="3627"/>
        <v>202406</v>
      </c>
      <c r="B6255" s="1" t="str">
        <f t="shared" si="3628"/>
        <v>150525100</v>
      </c>
      <c r="C6255" s="1" t="str">
        <f>"1042720965"</f>
        <v>1042720965</v>
      </c>
      <c r="D6255" s="1" t="str">
        <f>"152326196210093818"</f>
        <v>152326196210093818</v>
      </c>
      <c r="E6255" s="1" t="s">
        <v>6102</v>
      </c>
      <c r="F6255" s="1" t="s">
        <v>25</v>
      </c>
      <c r="G6255" s="1" t="s">
        <v>19</v>
      </c>
      <c r="H6255" s="1" t="str">
        <f t="shared" si="3676"/>
        <v>62</v>
      </c>
      <c r="I6255" s="1" t="str">
        <f>"160.58"</f>
        <v>160.58</v>
      </c>
      <c r="J6255" s="1" t="str">
        <f t="shared" ref="J6255:N6255" si="3682">"0"</f>
        <v>0</v>
      </c>
      <c r="K6255" s="1" t="str">
        <f t="shared" si="3639"/>
        <v>103</v>
      </c>
      <c r="L6255" s="1" t="str">
        <f t="shared" si="3640"/>
        <v>47</v>
      </c>
      <c r="M6255" s="1" t="str">
        <f t="shared" si="3682"/>
        <v>0</v>
      </c>
      <c r="N6255" s="1" t="str">
        <f t="shared" si="3682"/>
        <v>0</v>
      </c>
      <c r="O6255" s="1" t="str">
        <f>"10.58"</f>
        <v>10.58</v>
      </c>
    </row>
    <row r="6256" s="1" customFormat="1" spans="1:15">
      <c r="A6256" s="1" t="str">
        <f t="shared" si="3627"/>
        <v>202406</v>
      </c>
      <c r="B6256" s="1" t="str">
        <f t="shared" si="3628"/>
        <v>150525100</v>
      </c>
      <c r="C6256" s="1" t="str">
        <f>"1042785282"</f>
        <v>1042785282</v>
      </c>
      <c r="D6256" s="1" t="str">
        <f>"152326196208140670"</f>
        <v>152326196208140670</v>
      </c>
      <c r="E6256" s="1" t="s">
        <v>6103</v>
      </c>
      <c r="F6256" s="1" t="s">
        <v>25</v>
      </c>
      <c r="G6256" s="1" t="s">
        <v>17</v>
      </c>
      <c r="H6256" s="1" t="str">
        <f t="shared" si="3676"/>
        <v>62</v>
      </c>
      <c r="I6256" s="1" t="str">
        <f>"160.59"</f>
        <v>160.59</v>
      </c>
      <c r="J6256" s="1" t="str">
        <f t="shared" ref="J6256:N6256" si="3683">"0"</f>
        <v>0</v>
      </c>
      <c r="K6256" s="1" t="str">
        <f t="shared" si="3639"/>
        <v>103</v>
      </c>
      <c r="L6256" s="1" t="str">
        <f t="shared" si="3640"/>
        <v>47</v>
      </c>
      <c r="M6256" s="1" t="str">
        <f t="shared" si="3683"/>
        <v>0</v>
      </c>
      <c r="N6256" s="1" t="str">
        <f t="shared" si="3683"/>
        <v>0</v>
      </c>
      <c r="O6256" s="1" t="str">
        <f>"10.59"</f>
        <v>10.59</v>
      </c>
    </row>
    <row r="6257" s="1" customFormat="1" spans="1:15">
      <c r="A6257" s="1" t="str">
        <f t="shared" si="3627"/>
        <v>202406</v>
      </c>
      <c r="B6257" s="1" t="str">
        <f t="shared" si="3628"/>
        <v>150525100</v>
      </c>
      <c r="C6257" s="1" t="str">
        <f>"1042708096"</f>
        <v>1042708096</v>
      </c>
      <c r="D6257" s="1" t="str">
        <f>"152326196210150675"</f>
        <v>152326196210150675</v>
      </c>
      <c r="E6257" s="1" t="s">
        <v>6104</v>
      </c>
      <c r="F6257" s="1" t="s">
        <v>25</v>
      </c>
      <c r="G6257" s="1" t="s">
        <v>17</v>
      </c>
      <c r="H6257" s="1" t="str">
        <f t="shared" si="3676"/>
        <v>62</v>
      </c>
      <c r="I6257" s="1" t="str">
        <f>"160.89"</f>
        <v>160.89</v>
      </c>
      <c r="J6257" s="1" t="str">
        <f t="shared" ref="J6257:N6257" si="3684">"0"</f>
        <v>0</v>
      </c>
      <c r="K6257" s="1" t="str">
        <f t="shared" si="3639"/>
        <v>103</v>
      </c>
      <c r="L6257" s="1" t="str">
        <f t="shared" si="3640"/>
        <v>47</v>
      </c>
      <c r="M6257" s="1" t="str">
        <f t="shared" si="3684"/>
        <v>0</v>
      </c>
      <c r="N6257" s="1" t="str">
        <f t="shared" si="3684"/>
        <v>0</v>
      </c>
      <c r="O6257" s="1" t="str">
        <f>"10.89"</f>
        <v>10.89</v>
      </c>
    </row>
    <row r="6258" s="1" customFormat="1" spans="1:15">
      <c r="A6258" s="1" t="str">
        <f t="shared" si="3627"/>
        <v>202406</v>
      </c>
      <c r="B6258" s="1" t="str">
        <f t="shared" si="3628"/>
        <v>150525100</v>
      </c>
      <c r="C6258" s="1" t="str">
        <f>"1042708444"</f>
        <v>1042708444</v>
      </c>
      <c r="D6258" s="1" t="str">
        <f>"152326196208160663"</f>
        <v>152326196208160663</v>
      </c>
      <c r="E6258" s="1" t="s">
        <v>6105</v>
      </c>
      <c r="F6258" s="1" t="s">
        <v>16</v>
      </c>
      <c r="G6258" s="1" t="s">
        <v>17</v>
      </c>
      <c r="H6258" s="1" t="str">
        <f t="shared" si="3676"/>
        <v>62</v>
      </c>
      <c r="I6258" s="1" t="str">
        <f>"162.37"</f>
        <v>162.37</v>
      </c>
      <c r="J6258" s="1" t="str">
        <f t="shared" ref="J6258:N6258" si="3685">"0"</f>
        <v>0</v>
      </c>
      <c r="K6258" s="1" t="str">
        <f t="shared" si="3639"/>
        <v>103</v>
      </c>
      <c r="L6258" s="1" t="str">
        <f t="shared" si="3640"/>
        <v>47</v>
      </c>
      <c r="M6258" s="1" t="str">
        <f t="shared" si="3685"/>
        <v>0</v>
      </c>
      <c r="N6258" s="1" t="str">
        <f t="shared" si="3685"/>
        <v>0</v>
      </c>
      <c r="O6258" s="1" t="str">
        <f>"12.37"</f>
        <v>12.37</v>
      </c>
    </row>
    <row r="6259" s="1" customFormat="1" spans="1:15">
      <c r="A6259" s="1" t="str">
        <f t="shared" si="3627"/>
        <v>202406</v>
      </c>
      <c r="B6259" s="1" t="str">
        <f t="shared" si="3628"/>
        <v>150525100</v>
      </c>
      <c r="C6259" s="1" t="str">
        <f>"1043138021"</f>
        <v>1043138021</v>
      </c>
      <c r="D6259" s="1" t="str">
        <f>"152326196204080674"</f>
        <v>152326196204080674</v>
      </c>
      <c r="E6259" s="1" t="s">
        <v>6106</v>
      </c>
      <c r="F6259" s="1" t="s">
        <v>25</v>
      </c>
      <c r="G6259" s="1" t="s">
        <v>17</v>
      </c>
      <c r="H6259" s="1" t="str">
        <f t="shared" si="3676"/>
        <v>62</v>
      </c>
      <c r="I6259" s="1" t="str">
        <f>"166.75"</f>
        <v>166.75</v>
      </c>
      <c r="J6259" s="1" t="str">
        <f t="shared" ref="J6259:N6259" si="3686">"0"</f>
        <v>0</v>
      </c>
      <c r="K6259" s="1" t="str">
        <f t="shared" si="3639"/>
        <v>103</v>
      </c>
      <c r="L6259" s="1" t="str">
        <f t="shared" si="3640"/>
        <v>47</v>
      </c>
      <c r="M6259" s="1" t="str">
        <f t="shared" si="3686"/>
        <v>0</v>
      </c>
      <c r="N6259" s="1" t="str">
        <f t="shared" si="3686"/>
        <v>0</v>
      </c>
      <c r="O6259" s="1" t="str">
        <f>"16.75"</f>
        <v>16.75</v>
      </c>
    </row>
    <row r="6260" s="1" customFormat="1" spans="1:15">
      <c r="A6260" s="1" t="str">
        <f t="shared" si="3627"/>
        <v>202406</v>
      </c>
      <c r="B6260" s="1" t="str">
        <f t="shared" si="3628"/>
        <v>150525100</v>
      </c>
      <c r="C6260" s="1" t="str">
        <f>"1042692776"</f>
        <v>1042692776</v>
      </c>
      <c r="D6260" s="1" t="s">
        <v>6107</v>
      </c>
      <c r="E6260" s="1" t="s">
        <v>6108</v>
      </c>
      <c r="F6260" s="1" t="s">
        <v>25</v>
      </c>
      <c r="G6260" s="1" t="s">
        <v>19</v>
      </c>
      <c r="H6260" s="1" t="str">
        <f t="shared" si="3676"/>
        <v>62</v>
      </c>
      <c r="I6260" s="1" t="str">
        <f>"160.63"</f>
        <v>160.63</v>
      </c>
      <c r="J6260" s="1" t="str">
        <f t="shared" ref="J6260:N6260" si="3687">"0"</f>
        <v>0</v>
      </c>
      <c r="K6260" s="1" t="str">
        <f t="shared" si="3639"/>
        <v>103</v>
      </c>
      <c r="L6260" s="1" t="str">
        <f t="shared" si="3640"/>
        <v>47</v>
      </c>
      <c r="M6260" s="1" t="str">
        <f t="shared" si="3687"/>
        <v>0</v>
      </c>
      <c r="N6260" s="1" t="str">
        <f t="shared" si="3687"/>
        <v>0</v>
      </c>
      <c r="O6260" s="1" t="str">
        <f>"10.63"</f>
        <v>10.63</v>
      </c>
    </row>
    <row r="6261" s="1" customFormat="1" spans="1:15">
      <c r="A6261" s="1" t="str">
        <f t="shared" si="3627"/>
        <v>202406</v>
      </c>
      <c r="B6261" s="1" t="str">
        <f t="shared" si="3628"/>
        <v>150525100</v>
      </c>
      <c r="C6261" s="1" t="str">
        <f>"1042750949"</f>
        <v>1042750949</v>
      </c>
      <c r="D6261" s="1" t="str">
        <f>"152326196209216374"</f>
        <v>152326196209216374</v>
      </c>
      <c r="E6261" s="1" t="s">
        <v>6109</v>
      </c>
      <c r="F6261" s="1" t="s">
        <v>25</v>
      </c>
      <c r="G6261" s="1" t="s">
        <v>17</v>
      </c>
      <c r="H6261" s="1" t="str">
        <f t="shared" si="3676"/>
        <v>62</v>
      </c>
      <c r="I6261" s="1" t="str">
        <f>"166.92"</f>
        <v>166.92</v>
      </c>
      <c r="J6261" s="1" t="str">
        <f t="shared" ref="J6261:N6261" si="3688">"0"</f>
        <v>0</v>
      </c>
      <c r="K6261" s="1" t="str">
        <f t="shared" si="3639"/>
        <v>103</v>
      </c>
      <c r="L6261" s="1" t="str">
        <f t="shared" si="3640"/>
        <v>47</v>
      </c>
      <c r="M6261" s="1" t="str">
        <f t="shared" si="3688"/>
        <v>0</v>
      </c>
      <c r="N6261" s="1" t="str">
        <f t="shared" si="3688"/>
        <v>0</v>
      </c>
      <c r="O6261" s="1" t="str">
        <f>"16.92"</f>
        <v>16.92</v>
      </c>
    </row>
    <row r="6262" s="1" customFormat="1" spans="1:15">
      <c r="A6262" s="1" t="str">
        <f t="shared" si="3627"/>
        <v>202406</v>
      </c>
      <c r="B6262" s="1" t="str">
        <f t="shared" si="3628"/>
        <v>150525100</v>
      </c>
      <c r="C6262" s="1" t="str">
        <f>"1042751607"</f>
        <v>1042751607</v>
      </c>
      <c r="D6262" s="1" t="str">
        <f>"152326196210053824"</f>
        <v>152326196210053824</v>
      </c>
      <c r="E6262" s="1" t="s">
        <v>2857</v>
      </c>
      <c r="F6262" s="1" t="s">
        <v>16</v>
      </c>
      <c r="G6262" s="1" t="s">
        <v>17</v>
      </c>
      <c r="H6262" s="1" t="str">
        <f t="shared" si="3676"/>
        <v>62</v>
      </c>
      <c r="I6262" s="1" t="str">
        <f>"166.98"</f>
        <v>166.98</v>
      </c>
      <c r="J6262" s="1" t="str">
        <f t="shared" ref="J6262:N6262" si="3689">"0"</f>
        <v>0</v>
      </c>
      <c r="K6262" s="1" t="str">
        <f t="shared" si="3639"/>
        <v>103</v>
      </c>
      <c r="L6262" s="1" t="str">
        <f t="shared" si="3640"/>
        <v>47</v>
      </c>
      <c r="M6262" s="1" t="str">
        <f t="shared" si="3689"/>
        <v>0</v>
      </c>
      <c r="N6262" s="1" t="str">
        <f t="shared" si="3689"/>
        <v>0</v>
      </c>
      <c r="O6262" s="1" t="str">
        <f>"16.98"</f>
        <v>16.98</v>
      </c>
    </row>
    <row r="6263" s="1" customFormat="1" spans="1:15">
      <c r="A6263" s="1" t="str">
        <f t="shared" si="3627"/>
        <v>202406</v>
      </c>
      <c r="B6263" s="1" t="str">
        <f t="shared" si="3628"/>
        <v>150525100</v>
      </c>
      <c r="C6263" s="1" t="str">
        <f>"1043001667"</f>
        <v>1043001667</v>
      </c>
      <c r="D6263" s="1" t="str">
        <f>"152326196306270671"</f>
        <v>152326196306270671</v>
      </c>
      <c r="E6263" s="1" t="s">
        <v>6110</v>
      </c>
      <c r="F6263" s="1" t="s">
        <v>25</v>
      </c>
      <c r="G6263" s="1" t="s">
        <v>19</v>
      </c>
      <c r="H6263" s="1" t="str">
        <f t="shared" ref="H6263:H6269" si="3690">"61"</f>
        <v>61</v>
      </c>
      <c r="I6263" s="1" t="str">
        <f>"162.43"</f>
        <v>162.43</v>
      </c>
      <c r="J6263" s="1" t="str">
        <f t="shared" ref="J6263:N6263" si="3691">"0"</f>
        <v>0</v>
      </c>
      <c r="K6263" s="1" t="str">
        <f t="shared" si="3639"/>
        <v>103</v>
      </c>
      <c r="L6263" s="1" t="str">
        <f t="shared" si="3640"/>
        <v>47</v>
      </c>
      <c r="M6263" s="1" t="str">
        <f t="shared" si="3691"/>
        <v>0</v>
      </c>
      <c r="N6263" s="1" t="str">
        <f t="shared" si="3691"/>
        <v>0</v>
      </c>
      <c r="O6263" s="1" t="str">
        <f>"12.43"</f>
        <v>12.43</v>
      </c>
    </row>
    <row r="6264" s="1" customFormat="1" spans="1:15">
      <c r="A6264" s="1" t="str">
        <f t="shared" si="3627"/>
        <v>202406</v>
      </c>
      <c r="B6264" s="1" t="str">
        <f t="shared" si="3628"/>
        <v>150525100</v>
      </c>
      <c r="C6264" s="1" t="str">
        <f>"1042697931"</f>
        <v>1042697931</v>
      </c>
      <c r="D6264" s="1" t="str">
        <f>"152326196209250660"</f>
        <v>152326196209250660</v>
      </c>
      <c r="E6264" s="1" t="s">
        <v>6111</v>
      </c>
      <c r="F6264" s="1" t="s">
        <v>16</v>
      </c>
      <c r="G6264" s="1" t="s">
        <v>19</v>
      </c>
      <c r="H6264" s="1" t="str">
        <f t="shared" ref="H6264:H6267" si="3692">"62"</f>
        <v>62</v>
      </c>
      <c r="I6264" s="1" t="str">
        <f>"166.93"</f>
        <v>166.93</v>
      </c>
      <c r="J6264" s="1" t="str">
        <f t="shared" ref="J6264:N6264" si="3693">"0"</f>
        <v>0</v>
      </c>
      <c r="K6264" s="1" t="str">
        <f t="shared" si="3639"/>
        <v>103</v>
      </c>
      <c r="L6264" s="1" t="str">
        <f t="shared" si="3640"/>
        <v>47</v>
      </c>
      <c r="M6264" s="1" t="str">
        <f t="shared" si="3693"/>
        <v>0</v>
      </c>
      <c r="N6264" s="1" t="str">
        <f t="shared" si="3693"/>
        <v>0</v>
      </c>
      <c r="O6264" s="1" t="str">
        <f>"16.93"</f>
        <v>16.93</v>
      </c>
    </row>
    <row r="6265" s="1" customFormat="1" spans="1:15">
      <c r="A6265" s="1" t="str">
        <f t="shared" si="3627"/>
        <v>202406</v>
      </c>
      <c r="B6265" s="1" t="str">
        <f t="shared" si="3628"/>
        <v>150525100</v>
      </c>
      <c r="C6265" s="1" t="str">
        <f>"1042771407"</f>
        <v>1042771407</v>
      </c>
      <c r="D6265" s="1" t="str">
        <f>"152326196311223335"</f>
        <v>152326196311223335</v>
      </c>
      <c r="E6265" s="1" t="s">
        <v>6112</v>
      </c>
      <c r="F6265" s="1" t="s">
        <v>25</v>
      </c>
      <c r="G6265" s="1" t="s">
        <v>17</v>
      </c>
      <c r="H6265" s="1" t="str">
        <f t="shared" si="3690"/>
        <v>61</v>
      </c>
      <c r="I6265" s="1" t="str">
        <f>"164.5"</f>
        <v>164.5</v>
      </c>
      <c r="J6265" s="1" t="str">
        <f t="shared" ref="J6265:N6265" si="3694">"0"</f>
        <v>0</v>
      </c>
      <c r="K6265" s="1" t="str">
        <f t="shared" si="3639"/>
        <v>103</v>
      </c>
      <c r="L6265" s="1" t="str">
        <f t="shared" si="3640"/>
        <v>47</v>
      </c>
      <c r="M6265" s="1" t="str">
        <f t="shared" si="3694"/>
        <v>0</v>
      </c>
      <c r="N6265" s="1" t="str">
        <f t="shared" si="3694"/>
        <v>0</v>
      </c>
      <c r="O6265" s="1" t="str">
        <f>"14.5"</f>
        <v>14.5</v>
      </c>
    </row>
    <row r="6266" s="1" customFormat="1" spans="1:15">
      <c r="A6266" s="1" t="str">
        <f t="shared" si="3627"/>
        <v>202406</v>
      </c>
      <c r="B6266" s="1" t="str">
        <f t="shared" si="3628"/>
        <v>150525100</v>
      </c>
      <c r="C6266" s="1" t="str">
        <f>"1042683748"</f>
        <v>1042683748</v>
      </c>
      <c r="D6266" s="1" t="str">
        <f>"152326196205010678"</f>
        <v>152326196205010678</v>
      </c>
      <c r="E6266" s="1" t="s">
        <v>6113</v>
      </c>
      <c r="F6266" s="1" t="s">
        <v>25</v>
      </c>
      <c r="G6266" s="1" t="s">
        <v>17</v>
      </c>
      <c r="H6266" s="1" t="str">
        <f t="shared" si="3692"/>
        <v>62</v>
      </c>
      <c r="I6266" s="1" t="str">
        <f>"160.45"</f>
        <v>160.45</v>
      </c>
      <c r="J6266" s="1" t="str">
        <f t="shared" ref="J6266:N6266" si="3695">"0"</f>
        <v>0</v>
      </c>
      <c r="K6266" s="1" t="str">
        <f t="shared" si="3639"/>
        <v>103</v>
      </c>
      <c r="L6266" s="1" t="str">
        <f t="shared" si="3640"/>
        <v>47</v>
      </c>
      <c r="M6266" s="1" t="str">
        <f t="shared" si="3695"/>
        <v>0</v>
      </c>
      <c r="N6266" s="1" t="str">
        <f t="shared" si="3695"/>
        <v>0</v>
      </c>
      <c r="O6266" s="1" t="str">
        <f>"10.45"</f>
        <v>10.45</v>
      </c>
    </row>
    <row r="6267" s="1" customFormat="1" spans="1:15">
      <c r="A6267" s="1" t="str">
        <f t="shared" si="3627"/>
        <v>202406</v>
      </c>
      <c r="B6267" s="1" t="str">
        <f t="shared" si="3628"/>
        <v>150525100</v>
      </c>
      <c r="C6267" s="1" t="str">
        <f>"1042753363"</f>
        <v>1042753363</v>
      </c>
      <c r="D6267" s="1" t="str">
        <f>"152326196204163322"</f>
        <v>152326196204163322</v>
      </c>
      <c r="E6267" s="1" t="s">
        <v>6114</v>
      </c>
      <c r="F6267" s="1" t="s">
        <v>16</v>
      </c>
      <c r="G6267" s="1" t="s">
        <v>17</v>
      </c>
      <c r="H6267" s="1" t="str">
        <f t="shared" si="3692"/>
        <v>62</v>
      </c>
      <c r="I6267" s="1" t="str">
        <f>"166.74"</f>
        <v>166.74</v>
      </c>
      <c r="J6267" s="1" t="str">
        <f t="shared" ref="J6267:N6267" si="3696">"0"</f>
        <v>0</v>
      </c>
      <c r="K6267" s="1" t="str">
        <f t="shared" si="3639"/>
        <v>103</v>
      </c>
      <c r="L6267" s="1" t="str">
        <f t="shared" si="3640"/>
        <v>47</v>
      </c>
      <c r="M6267" s="1" t="str">
        <f t="shared" si="3696"/>
        <v>0</v>
      </c>
      <c r="N6267" s="1" t="str">
        <f t="shared" si="3696"/>
        <v>0</v>
      </c>
      <c r="O6267" s="1" t="str">
        <f>"16.74"</f>
        <v>16.74</v>
      </c>
    </row>
    <row r="6268" s="1" customFormat="1" spans="1:15">
      <c r="A6268" s="1" t="str">
        <f t="shared" si="3627"/>
        <v>202406</v>
      </c>
      <c r="B6268" s="1" t="str">
        <f t="shared" si="3628"/>
        <v>150525100</v>
      </c>
      <c r="C6268" s="1" t="str">
        <f>"1042747122"</f>
        <v>1042747122</v>
      </c>
      <c r="D6268" s="1" t="str">
        <f>"152326196306103814"</f>
        <v>152326196306103814</v>
      </c>
      <c r="E6268" s="1" t="s">
        <v>6115</v>
      </c>
      <c r="F6268" s="1" t="s">
        <v>25</v>
      </c>
      <c r="G6268" s="1" t="s">
        <v>19</v>
      </c>
      <c r="H6268" s="1" t="str">
        <f t="shared" si="3690"/>
        <v>61</v>
      </c>
      <c r="I6268" s="1" t="str">
        <f>"162.4"</f>
        <v>162.4</v>
      </c>
      <c r="J6268" s="1" t="str">
        <f t="shared" ref="J6268:N6268" si="3697">"0"</f>
        <v>0</v>
      </c>
      <c r="K6268" s="1" t="str">
        <f t="shared" si="3639"/>
        <v>103</v>
      </c>
      <c r="L6268" s="1" t="str">
        <f t="shared" si="3640"/>
        <v>47</v>
      </c>
      <c r="M6268" s="1" t="str">
        <f t="shared" si="3697"/>
        <v>0</v>
      </c>
      <c r="N6268" s="1" t="str">
        <f t="shared" si="3697"/>
        <v>0</v>
      </c>
      <c r="O6268" s="1" t="str">
        <f>"12.4"</f>
        <v>12.4</v>
      </c>
    </row>
    <row r="6269" s="1" customFormat="1" spans="1:15">
      <c r="A6269" s="1" t="str">
        <f t="shared" si="3627"/>
        <v>202406</v>
      </c>
      <c r="B6269" s="1" t="str">
        <f t="shared" si="3628"/>
        <v>150525100</v>
      </c>
      <c r="C6269" s="1" t="str">
        <f>"1042749214"</f>
        <v>1042749214</v>
      </c>
      <c r="D6269" s="1" t="str">
        <f>"152326196311300927"</f>
        <v>152326196311300927</v>
      </c>
      <c r="E6269" s="1" t="s">
        <v>4200</v>
      </c>
      <c r="F6269" s="1" t="s">
        <v>16</v>
      </c>
      <c r="G6269" s="1" t="s">
        <v>17</v>
      </c>
      <c r="H6269" s="1" t="str">
        <f t="shared" si="3690"/>
        <v>61</v>
      </c>
      <c r="I6269" s="1" t="str">
        <f>"162.49"</f>
        <v>162.49</v>
      </c>
      <c r="J6269" s="1" t="str">
        <f t="shared" ref="J6269:N6269" si="3698">"0"</f>
        <v>0</v>
      </c>
      <c r="K6269" s="1" t="str">
        <f t="shared" si="3639"/>
        <v>103</v>
      </c>
      <c r="L6269" s="1" t="str">
        <f t="shared" si="3640"/>
        <v>47</v>
      </c>
      <c r="M6269" s="1" t="str">
        <f t="shared" si="3698"/>
        <v>0</v>
      </c>
      <c r="N6269" s="1" t="str">
        <f t="shared" si="3698"/>
        <v>0</v>
      </c>
      <c r="O6269" s="1" t="str">
        <f>"12.49"</f>
        <v>12.49</v>
      </c>
    </row>
    <row r="6270" s="1" customFormat="1" spans="1:15">
      <c r="A6270" s="1" t="str">
        <f t="shared" si="3627"/>
        <v>202406</v>
      </c>
      <c r="B6270" s="1" t="str">
        <f t="shared" si="3628"/>
        <v>150525100</v>
      </c>
      <c r="C6270" s="1" t="str">
        <f>"1042700950"</f>
        <v>1042700950</v>
      </c>
      <c r="D6270" s="1" t="s">
        <v>6116</v>
      </c>
      <c r="E6270" s="1" t="s">
        <v>6117</v>
      </c>
      <c r="F6270" s="1" t="s">
        <v>25</v>
      </c>
      <c r="G6270" s="1" t="s">
        <v>17</v>
      </c>
      <c r="H6270" s="1" t="str">
        <f>"62"</f>
        <v>62</v>
      </c>
      <c r="I6270" s="1" t="str">
        <f>"160.41"</f>
        <v>160.41</v>
      </c>
      <c r="J6270" s="1" t="str">
        <f t="shared" ref="J6270:N6270" si="3699">"0"</f>
        <v>0</v>
      </c>
      <c r="K6270" s="1" t="str">
        <f t="shared" si="3639"/>
        <v>103</v>
      </c>
      <c r="L6270" s="1" t="str">
        <f t="shared" si="3640"/>
        <v>47</v>
      </c>
      <c r="M6270" s="1" t="str">
        <f t="shared" si="3699"/>
        <v>0</v>
      </c>
      <c r="N6270" s="1" t="str">
        <f t="shared" si="3699"/>
        <v>0</v>
      </c>
      <c r="O6270" s="1" t="str">
        <f>"10.41"</f>
        <v>10.41</v>
      </c>
    </row>
    <row r="6271" s="1" customFormat="1" spans="1:15">
      <c r="A6271" s="1" t="str">
        <f t="shared" si="3627"/>
        <v>202406</v>
      </c>
      <c r="B6271" s="1" t="str">
        <f t="shared" si="3628"/>
        <v>150525100</v>
      </c>
      <c r="C6271" s="1" t="str">
        <f>"1042783587"</f>
        <v>1042783587</v>
      </c>
      <c r="D6271" s="1" t="s">
        <v>6118</v>
      </c>
      <c r="E6271" s="1" t="s">
        <v>6119</v>
      </c>
      <c r="F6271" s="1" t="s">
        <v>16</v>
      </c>
      <c r="G6271" s="1" t="s">
        <v>17</v>
      </c>
      <c r="H6271" s="1" t="str">
        <f t="shared" ref="H6271:H6275" si="3700">"61"</f>
        <v>61</v>
      </c>
      <c r="I6271" s="1" t="str">
        <f>"162.39"</f>
        <v>162.39</v>
      </c>
      <c r="J6271" s="1" t="str">
        <f t="shared" ref="J6271:N6271" si="3701">"0"</f>
        <v>0</v>
      </c>
      <c r="K6271" s="1" t="str">
        <f t="shared" si="3639"/>
        <v>103</v>
      </c>
      <c r="L6271" s="1" t="str">
        <f t="shared" si="3640"/>
        <v>47</v>
      </c>
      <c r="M6271" s="1" t="str">
        <f t="shared" si="3701"/>
        <v>0</v>
      </c>
      <c r="N6271" s="1" t="str">
        <f t="shared" si="3701"/>
        <v>0</v>
      </c>
      <c r="O6271" s="1" t="str">
        <f>"12.39"</f>
        <v>12.39</v>
      </c>
    </row>
    <row r="6272" s="1" customFormat="1" spans="1:15">
      <c r="A6272" s="1" t="str">
        <f t="shared" si="3627"/>
        <v>202406</v>
      </c>
      <c r="B6272" s="1" t="str">
        <f t="shared" si="3628"/>
        <v>150525100</v>
      </c>
      <c r="C6272" s="1" t="str">
        <f>"1042783822"</f>
        <v>1042783822</v>
      </c>
      <c r="D6272" s="1" t="str">
        <f>"152326196301270664"</f>
        <v>152326196301270664</v>
      </c>
      <c r="E6272" s="1" t="s">
        <v>6120</v>
      </c>
      <c r="F6272" s="1" t="s">
        <v>16</v>
      </c>
      <c r="G6272" s="1" t="s">
        <v>17</v>
      </c>
      <c r="H6272" s="1" t="str">
        <f t="shared" si="3700"/>
        <v>61</v>
      </c>
      <c r="I6272" s="1" t="str">
        <f>"162.7"</f>
        <v>162.7</v>
      </c>
      <c r="J6272" s="1" t="str">
        <f t="shared" ref="J6272:N6272" si="3702">"0"</f>
        <v>0</v>
      </c>
      <c r="K6272" s="1" t="str">
        <f t="shared" si="3639"/>
        <v>103</v>
      </c>
      <c r="L6272" s="1" t="str">
        <f t="shared" si="3640"/>
        <v>47</v>
      </c>
      <c r="M6272" s="1" t="str">
        <f t="shared" si="3702"/>
        <v>0</v>
      </c>
      <c r="N6272" s="1" t="str">
        <f t="shared" si="3702"/>
        <v>0</v>
      </c>
      <c r="O6272" s="1" t="str">
        <f>"12.7"</f>
        <v>12.7</v>
      </c>
    </row>
    <row r="6273" s="1" customFormat="1" spans="1:15">
      <c r="A6273" s="1" t="str">
        <f t="shared" si="3627"/>
        <v>202406</v>
      </c>
      <c r="B6273" s="1" t="str">
        <f t="shared" si="3628"/>
        <v>150525100</v>
      </c>
      <c r="C6273" s="1" t="str">
        <f>"1042784179"</f>
        <v>1042784179</v>
      </c>
      <c r="D6273" s="1" t="s">
        <v>6121</v>
      </c>
      <c r="E6273" s="1" t="s">
        <v>6122</v>
      </c>
      <c r="F6273" s="1" t="s">
        <v>25</v>
      </c>
      <c r="G6273" s="1" t="s">
        <v>17</v>
      </c>
      <c r="H6273" s="1" t="str">
        <f t="shared" si="3700"/>
        <v>61</v>
      </c>
      <c r="I6273" s="1" t="str">
        <f>"162.46"</f>
        <v>162.46</v>
      </c>
      <c r="J6273" s="1" t="str">
        <f t="shared" ref="J6273:N6273" si="3703">"0"</f>
        <v>0</v>
      </c>
      <c r="K6273" s="1" t="str">
        <f t="shared" si="3639"/>
        <v>103</v>
      </c>
      <c r="L6273" s="1" t="str">
        <f t="shared" si="3640"/>
        <v>47</v>
      </c>
      <c r="M6273" s="1" t="str">
        <f t="shared" si="3703"/>
        <v>0</v>
      </c>
      <c r="N6273" s="1" t="str">
        <f t="shared" si="3703"/>
        <v>0</v>
      </c>
      <c r="O6273" s="1" t="str">
        <f>"12.46"</f>
        <v>12.46</v>
      </c>
    </row>
    <row r="6274" s="1" customFormat="1" spans="1:15">
      <c r="A6274" s="1" t="str">
        <f t="shared" ref="A6274:A6337" si="3704">"202406"</f>
        <v>202406</v>
      </c>
      <c r="B6274" s="1" t="str">
        <f t="shared" ref="B6274:B6337" si="3705">"150525100"</f>
        <v>150525100</v>
      </c>
      <c r="C6274" s="1" t="str">
        <f>"1042784236"</f>
        <v>1042784236</v>
      </c>
      <c r="D6274" s="1" t="str">
        <f>"152326196301270680"</f>
        <v>152326196301270680</v>
      </c>
      <c r="E6274" s="1" t="s">
        <v>6123</v>
      </c>
      <c r="F6274" s="1" t="s">
        <v>16</v>
      </c>
      <c r="G6274" s="1" t="s">
        <v>17</v>
      </c>
      <c r="H6274" s="1" t="str">
        <f t="shared" si="3700"/>
        <v>61</v>
      </c>
      <c r="I6274" s="1" t="str">
        <f>"169.25"</f>
        <v>169.25</v>
      </c>
      <c r="J6274" s="1" t="str">
        <f t="shared" ref="J6274:N6274" si="3706">"0"</f>
        <v>0</v>
      </c>
      <c r="K6274" s="1" t="str">
        <f t="shared" si="3639"/>
        <v>103</v>
      </c>
      <c r="L6274" s="1" t="str">
        <f t="shared" si="3640"/>
        <v>47</v>
      </c>
      <c r="M6274" s="1" t="str">
        <f t="shared" si="3706"/>
        <v>0</v>
      </c>
      <c r="N6274" s="1" t="str">
        <f t="shared" si="3706"/>
        <v>0</v>
      </c>
      <c r="O6274" s="1" t="str">
        <f>"19.25"</f>
        <v>19.25</v>
      </c>
    </row>
    <row r="6275" s="1" customFormat="1" spans="1:15">
      <c r="A6275" s="1" t="str">
        <f t="shared" si="3704"/>
        <v>202406</v>
      </c>
      <c r="B6275" s="1" t="str">
        <f t="shared" si="3705"/>
        <v>150525100</v>
      </c>
      <c r="C6275" s="1" t="str">
        <f>"1042683704"</f>
        <v>1042683704</v>
      </c>
      <c r="D6275" s="1" t="str">
        <f>"152326196312240428"</f>
        <v>152326196312240428</v>
      </c>
      <c r="E6275" s="1" t="s">
        <v>1348</v>
      </c>
      <c r="F6275" s="1" t="s">
        <v>16</v>
      </c>
      <c r="G6275" s="1" t="s">
        <v>19</v>
      </c>
      <c r="H6275" s="1" t="str">
        <f t="shared" si="3700"/>
        <v>61</v>
      </c>
      <c r="I6275" s="1" t="str">
        <f>"162.83"</f>
        <v>162.83</v>
      </c>
      <c r="J6275" s="1" t="str">
        <f t="shared" ref="J6275:N6275" si="3707">"0"</f>
        <v>0</v>
      </c>
      <c r="K6275" s="1" t="str">
        <f t="shared" si="3639"/>
        <v>103</v>
      </c>
      <c r="L6275" s="1" t="str">
        <f t="shared" si="3640"/>
        <v>47</v>
      </c>
      <c r="M6275" s="1" t="str">
        <f t="shared" si="3707"/>
        <v>0</v>
      </c>
      <c r="N6275" s="1" t="str">
        <f t="shared" si="3707"/>
        <v>0</v>
      </c>
      <c r="O6275" s="1" t="str">
        <f>"12.83"</f>
        <v>12.83</v>
      </c>
    </row>
    <row r="6276" s="1" customFormat="1" spans="1:15">
      <c r="A6276" s="1" t="str">
        <f t="shared" si="3704"/>
        <v>202406</v>
      </c>
      <c r="B6276" s="1" t="str">
        <f t="shared" si="3705"/>
        <v>150525100</v>
      </c>
      <c r="C6276" s="1" t="str">
        <f>"1042845589"</f>
        <v>1042845589</v>
      </c>
      <c r="D6276" s="1" t="str">
        <f>"152326196402160413"</f>
        <v>152326196402160413</v>
      </c>
      <c r="E6276" s="1" t="s">
        <v>6124</v>
      </c>
      <c r="F6276" s="1" t="s">
        <v>25</v>
      </c>
      <c r="G6276" s="1" t="s">
        <v>17</v>
      </c>
      <c r="H6276" s="1" t="str">
        <f>"60"</f>
        <v>60</v>
      </c>
      <c r="I6276" s="1" t="str">
        <f>"170.7"</f>
        <v>170.7</v>
      </c>
      <c r="J6276" s="1" t="str">
        <f t="shared" ref="J6276:N6276" si="3708">"0"</f>
        <v>0</v>
      </c>
      <c r="K6276" s="1" t="str">
        <f t="shared" si="3639"/>
        <v>103</v>
      </c>
      <c r="L6276" s="1" t="str">
        <f t="shared" si="3640"/>
        <v>47</v>
      </c>
      <c r="M6276" s="1" t="str">
        <f t="shared" si="3708"/>
        <v>0</v>
      </c>
      <c r="N6276" s="1" t="str">
        <f t="shared" si="3708"/>
        <v>0</v>
      </c>
      <c r="O6276" s="1" t="str">
        <f>"20.7"</f>
        <v>20.7</v>
      </c>
    </row>
    <row r="6277" s="1" customFormat="1" spans="1:15">
      <c r="A6277" s="1" t="str">
        <f t="shared" si="3704"/>
        <v>202406</v>
      </c>
      <c r="B6277" s="1" t="str">
        <f t="shared" si="3705"/>
        <v>150525100</v>
      </c>
      <c r="C6277" s="1" t="str">
        <f>"1042692761"</f>
        <v>1042692761</v>
      </c>
      <c r="D6277" s="1" t="str">
        <f>"152326196210233315"</f>
        <v>152326196210233315</v>
      </c>
      <c r="E6277" s="1" t="s">
        <v>6125</v>
      </c>
      <c r="F6277" s="1" t="s">
        <v>25</v>
      </c>
      <c r="G6277" s="1" t="s">
        <v>17</v>
      </c>
      <c r="H6277" s="1" t="str">
        <f t="shared" ref="H6277:H6281" si="3709">"62"</f>
        <v>62</v>
      </c>
      <c r="I6277" s="1" t="str">
        <f>"160.59"</f>
        <v>160.59</v>
      </c>
      <c r="J6277" s="1" t="str">
        <f t="shared" ref="J6277:N6277" si="3710">"0"</f>
        <v>0</v>
      </c>
      <c r="K6277" s="1" t="str">
        <f t="shared" si="3639"/>
        <v>103</v>
      </c>
      <c r="L6277" s="1" t="str">
        <f t="shared" si="3640"/>
        <v>47</v>
      </c>
      <c r="M6277" s="1" t="str">
        <f t="shared" si="3710"/>
        <v>0</v>
      </c>
      <c r="N6277" s="1" t="str">
        <f t="shared" si="3710"/>
        <v>0</v>
      </c>
      <c r="O6277" s="1" t="str">
        <f>"10.59"</f>
        <v>10.59</v>
      </c>
    </row>
    <row r="6278" s="1" customFormat="1" spans="1:15">
      <c r="A6278" s="1" t="str">
        <f t="shared" si="3704"/>
        <v>202406</v>
      </c>
      <c r="B6278" s="1" t="str">
        <f t="shared" si="3705"/>
        <v>150525100</v>
      </c>
      <c r="C6278" s="1" t="str">
        <f>"1042689268"</f>
        <v>1042689268</v>
      </c>
      <c r="D6278" s="1" t="str">
        <f>"152326196304010665"</f>
        <v>152326196304010665</v>
      </c>
      <c r="E6278" s="1" t="s">
        <v>6126</v>
      </c>
      <c r="F6278" s="1" t="s">
        <v>16</v>
      </c>
      <c r="G6278" s="1" t="s">
        <v>17</v>
      </c>
      <c r="H6278" s="1" t="str">
        <f>"61"</f>
        <v>61</v>
      </c>
      <c r="I6278" s="1" t="str">
        <f>"168.83"</f>
        <v>168.83</v>
      </c>
      <c r="J6278" s="1" t="str">
        <f t="shared" ref="J6278:N6278" si="3711">"0"</f>
        <v>0</v>
      </c>
      <c r="K6278" s="1" t="str">
        <f t="shared" si="3639"/>
        <v>103</v>
      </c>
      <c r="L6278" s="1" t="str">
        <f t="shared" si="3640"/>
        <v>47</v>
      </c>
      <c r="M6278" s="1" t="str">
        <f t="shared" si="3711"/>
        <v>0</v>
      </c>
      <c r="N6278" s="1" t="str">
        <f t="shared" si="3711"/>
        <v>0</v>
      </c>
      <c r="O6278" s="1" t="str">
        <f>"18.83"</f>
        <v>18.83</v>
      </c>
    </row>
    <row r="6279" s="1" customFormat="1" spans="1:15">
      <c r="A6279" s="1" t="str">
        <f t="shared" si="3704"/>
        <v>202406</v>
      </c>
      <c r="B6279" s="1" t="str">
        <f t="shared" si="3705"/>
        <v>150525100</v>
      </c>
      <c r="C6279" s="1" t="str">
        <f>"1042689483"</f>
        <v>1042689483</v>
      </c>
      <c r="D6279" s="1" t="str">
        <f>"152326196205070419"</f>
        <v>152326196205070419</v>
      </c>
      <c r="E6279" s="1" t="s">
        <v>6127</v>
      </c>
      <c r="F6279" s="1" t="s">
        <v>25</v>
      </c>
      <c r="G6279" s="1" t="s">
        <v>17</v>
      </c>
      <c r="H6279" s="1" t="str">
        <f t="shared" si="3709"/>
        <v>62</v>
      </c>
      <c r="I6279" s="1" t="str">
        <f>"667.2"</f>
        <v>667.2</v>
      </c>
      <c r="J6279" s="1" t="str">
        <f>"500.4"</f>
        <v>500.4</v>
      </c>
      <c r="K6279" s="1" t="str">
        <f>"412"</f>
        <v>412</v>
      </c>
      <c r="L6279" s="1" t="str">
        <f>"188"</f>
        <v>188</v>
      </c>
      <c r="M6279" s="1" t="str">
        <f>"0"</f>
        <v>0</v>
      </c>
      <c r="N6279" s="1" t="str">
        <f>"0"</f>
        <v>0</v>
      </c>
      <c r="O6279" s="1" t="str">
        <f>"67.2"</f>
        <v>67.2</v>
      </c>
    </row>
    <row r="6280" s="1" customFormat="1" spans="1:15">
      <c r="A6280" s="1" t="str">
        <f t="shared" si="3704"/>
        <v>202406</v>
      </c>
      <c r="B6280" s="1" t="str">
        <f t="shared" si="3705"/>
        <v>150525100</v>
      </c>
      <c r="C6280" s="1" t="str">
        <f>"1042734040"</f>
        <v>1042734040</v>
      </c>
      <c r="D6280" s="1" t="str">
        <f>"152326196311153816"</f>
        <v>152326196311153816</v>
      </c>
      <c r="E6280" s="1" t="s">
        <v>6128</v>
      </c>
      <c r="F6280" s="1" t="s">
        <v>25</v>
      </c>
      <c r="G6280" s="1" t="s">
        <v>17</v>
      </c>
      <c r="H6280" s="1" t="str">
        <f>"61"</f>
        <v>61</v>
      </c>
      <c r="I6280" s="1" t="str">
        <f>"162.49"</f>
        <v>162.49</v>
      </c>
      <c r="J6280" s="1" t="str">
        <f t="shared" ref="J6280:N6280" si="3712">"0"</f>
        <v>0</v>
      </c>
      <c r="K6280" s="1" t="str">
        <f t="shared" ref="K6280:K6315" si="3713">"103"</f>
        <v>103</v>
      </c>
      <c r="L6280" s="1" t="str">
        <f t="shared" ref="L6280:L6315" si="3714">"47"</f>
        <v>47</v>
      </c>
      <c r="M6280" s="1" t="str">
        <f t="shared" si="3712"/>
        <v>0</v>
      </c>
      <c r="N6280" s="1" t="str">
        <f t="shared" si="3712"/>
        <v>0</v>
      </c>
      <c r="O6280" s="1" t="str">
        <f>"12.49"</f>
        <v>12.49</v>
      </c>
    </row>
    <row r="6281" s="1" customFormat="1" spans="1:15">
      <c r="A6281" s="1" t="str">
        <f t="shared" si="3704"/>
        <v>202406</v>
      </c>
      <c r="B6281" s="1" t="str">
        <f t="shared" si="3705"/>
        <v>150525100</v>
      </c>
      <c r="C6281" s="1" t="str">
        <f>"1043267929"</f>
        <v>1043267929</v>
      </c>
      <c r="D6281" s="1" t="str">
        <f>"152326196206040924"</f>
        <v>152326196206040924</v>
      </c>
      <c r="E6281" s="1" t="s">
        <v>6129</v>
      </c>
      <c r="F6281" s="1" t="s">
        <v>16</v>
      </c>
      <c r="G6281" s="1" t="s">
        <v>19</v>
      </c>
      <c r="H6281" s="1" t="str">
        <f t="shared" si="3709"/>
        <v>62</v>
      </c>
      <c r="I6281" s="1" t="str">
        <f>"167.3"</f>
        <v>167.3</v>
      </c>
      <c r="J6281" s="1" t="str">
        <f t="shared" ref="J6281:N6281" si="3715">"0"</f>
        <v>0</v>
      </c>
      <c r="K6281" s="1" t="str">
        <f t="shared" si="3713"/>
        <v>103</v>
      </c>
      <c r="L6281" s="1" t="str">
        <f t="shared" si="3714"/>
        <v>47</v>
      </c>
      <c r="M6281" s="1" t="str">
        <f t="shared" si="3715"/>
        <v>0</v>
      </c>
      <c r="N6281" s="1" t="str">
        <f t="shared" si="3715"/>
        <v>0</v>
      </c>
      <c r="O6281" s="1" t="str">
        <f>"17.3"</f>
        <v>17.3</v>
      </c>
    </row>
    <row r="6282" s="1" customFormat="1" spans="1:15">
      <c r="A6282" s="1" t="str">
        <f t="shared" si="3704"/>
        <v>202406</v>
      </c>
      <c r="B6282" s="1" t="str">
        <f t="shared" si="3705"/>
        <v>150525100</v>
      </c>
      <c r="C6282" s="1" t="str">
        <f>"1043321762"</f>
        <v>1043321762</v>
      </c>
      <c r="D6282" s="1" t="str">
        <f>"152326195810220417"</f>
        <v>152326195810220417</v>
      </c>
      <c r="E6282" s="1" t="s">
        <v>6130</v>
      </c>
      <c r="F6282" s="1" t="s">
        <v>25</v>
      </c>
      <c r="G6282" s="1" t="s">
        <v>17</v>
      </c>
      <c r="H6282" s="1" t="str">
        <f>"66"</f>
        <v>66</v>
      </c>
      <c r="I6282" s="1" t="str">
        <f>"160.08"</f>
        <v>160.08</v>
      </c>
      <c r="J6282" s="1" t="str">
        <f t="shared" ref="J6282:N6282" si="3716">"0"</f>
        <v>0</v>
      </c>
      <c r="K6282" s="1" t="str">
        <f t="shared" si="3713"/>
        <v>103</v>
      </c>
      <c r="L6282" s="1" t="str">
        <f t="shared" si="3714"/>
        <v>47</v>
      </c>
      <c r="M6282" s="1" t="str">
        <f t="shared" si="3716"/>
        <v>0</v>
      </c>
      <c r="N6282" s="1" t="str">
        <f t="shared" si="3716"/>
        <v>0</v>
      </c>
      <c r="O6282" s="1" t="str">
        <f>"10.08"</f>
        <v>10.08</v>
      </c>
    </row>
    <row r="6283" s="1" customFormat="1" spans="1:15">
      <c r="A6283" s="1" t="str">
        <f t="shared" si="3704"/>
        <v>202406</v>
      </c>
      <c r="B6283" s="1" t="str">
        <f t="shared" si="3705"/>
        <v>150525100</v>
      </c>
      <c r="C6283" s="1" t="str">
        <f>"1043310979"</f>
        <v>1043310979</v>
      </c>
      <c r="D6283" s="1" t="str">
        <f>"152326196212126142"</f>
        <v>152326196212126142</v>
      </c>
      <c r="E6283" s="1" t="s">
        <v>6131</v>
      </c>
      <c r="F6283" s="1" t="s">
        <v>16</v>
      </c>
      <c r="G6283" s="1" t="s">
        <v>17</v>
      </c>
      <c r="H6283" s="1" t="str">
        <f t="shared" ref="H6283:H6286" si="3717">"62"</f>
        <v>62</v>
      </c>
      <c r="I6283" s="1" t="str">
        <f>"165.85"</f>
        <v>165.85</v>
      </c>
      <c r="J6283" s="1" t="str">
        <f t="shared" ref="J6283:N6283" si="3718">"0"</f>
        <v>0</v>
      </c>
      <c r="K6283" s="1" t="str">
        <f t="shared" si="3713"/>
        <v>103</v>
      </c>
      <c r="L6283" s="1" t="str">
        <f t="shared" si="3714"/>
        <v>47</v>
      </c>
      <c r="M6283" s="1" t="str">
        <f t="shared" si="3718"/>
        <v>0</v>
      </c>
      <c r="N6283" s="1" t="str">
        <f t="shared" si="3718"/>
        <v>0</v>
      </c>
      <c r="O6283" s="1" t="str">
        <f>"15.85"</f>
        <v>15.85</v>
      </c>
    </row>
    <row r="6284" s="1" customFormat="1" spans="1:15">
      <c r="A6284" s="1" t="str">
        <f t="shared" si="3704"/>
        <v>202406</v>
      </c>
      <c r="B6284" s="1" t="str">
        <f t="shared" si="3705"/>
        <v>150525100</v>
      </c>
      <c r="C6284" s="1" t="str">
        <f>"1043315715"</f>
        <v>1043315715</v>
      </c>
      <c r="D6284" s="1" t="str">
        <f>"152326196309163839"</f>
        <v>152326196309163839</v>
      </c>
      <c r="E6284" s="1" t="s">
        <v>6132</v>
      </c>
      <c r="F6284" s="1" t="s">
        <v>25</v>
      </c>
      <c r="G6284" s="1" t="s">
        <v>19</v>
      </c>
      <c r="H6284" s="1" t="str">
        <f>"61"</f>
        <v>61</v>
      </c>
      <c r="I6284" s="1" t="str">
        <f>"167.54"</f>
        <v>167.54</v>
      </c>
      <c r="J6284" s="1" t="str">
        <f t="shared" ref="J6284:N6284" si="3719">"0"</f>
        <v>0</v>
      </c>
      <c r="K6284" s="1" t="str">
        <f t="shared" si="3713"/>
        <v>103</v>
      </c>
      <c r="L6284" s="1" t="str">
        <f t="shared" si="3714"/>
        <v>47</v>
      </c>
      <c r="M6284" s="1" t="str">
        <f t="shared" si="3719"/>
        <v>0</v>
      </c>
      <c r="N6284" s="1" t="str">
        <f t="shared" si="3719"/>
        <v>0</v>
      </c>
      <c r="O6284" s="1" t="str">
        <f>"17.54"</f>
        <v>17.54</v>
      </c>
    </row>
    <row r="6285" s="1" customFormat="1" spans="1:15">
      <c r="A6285" s="1" t="str">
        <f t="shared" si="3704"/>
        <v>202406</v>
      </c>
      <c r="B6285" s="1" t="str">
        <f t="shared" si="3705"/>
        <v>150525100</v>
      </c>
      <c r="C6285" s="1" t="str">
        <f>"1043235914"</f>
        <v>1043235914</v>
      </c>
      <c r="D6285" s="1" t="str">
        <f>"152326196203100426"</f>
        <v>152326196203100426</v>
      </c>
      <c r="E6285" s="1" t="s">
        <v>6133</v>
      </c>
      <c r="F6285" s="1" t="s">
        <v>16</v>
      </c>
      <c r="G6285" s="1" t="s">
        <v>19</v>
      </c>
      <c r="H6285" s="1" t="str">
        <f t="shared" si="3717"/>
        <v>62</v>
      </c>
      <c r="I6285" s="1" t="str">
        <f>"165.86"</f>
        <v>165.86</v>
      </c>
      <c r="J6285" s="1" t="str">
        <f t="shared" ref="J6285:N6285" si="3720">"0"</f>
        <v>0</v>
      </c>
      <c r="K6285" s="1" t="str">
        <f t="shared" si="3713"/>
        <v>103</v>
      </c>
      <c r="L6285" s="1" t="str">
        <f t="shared" si="3714"/>
        <v>47</v>
      </c>
      <c r="M6285" s="1" t="str">
        <f t="shared" si="3720"/>
        <v>0</v>
      </c>
      <c r="N6285" s="1" t="str">
        <f t="shared" si="3720"/>
        <v>0</v>
      </c>
      <c r="O6285" s="1" t="str">
        <f>"15.86"</f>
        <v>15.86</v>
      </c>
    </row>
    <row r="6286" s="1" customFormat="1" spans="1:15">
      <c r="A6286" s="1" t="str">
        <f t="shared" si="3704"/>
        <v>202406</v>
      </c>
      <c r="B6286" s="1" t="str">
        <f t="shared" si="3705"/>
        <v>150525100</v>
      </c>
      <c r="C6286" s="1" t="str">
        <f>"1043316203"</f>
        <v>1043316203</v>
      </c>
      <c r="D6286" s="1" t="str">
        <f>"152326196207210411"</f>
        <v>152326196207210411</v>
      </c>
      <c r="E6286" s="1" t="s">
        <v>6134</v>
      </c>
      <c r="F6286" s="1" t="s">
        <v>25</v>
      </c>
      <c r="G6286" s="1" t="s">
        <v>17</v>
      </c>
      <c r="H6286" s="1" t="str">
        <f t="shared" si="3717"/>
        <v>62</v>
      </c>
      <c r="I6286" s="1" t="str">
        <f>"165.85"</f>
        <v>165.85</v>
      </c>
      <c r="J6286" s="1" t="str">
        <f t="shared" ref="J6286:N6286" si="3721">"0"</f>
        <v>0</v>
      </c>
      <c r="K6286" s="1" t="str">
        <f t="shared" si="3713"/>
        <v>103</v>
      </c>
      <c r="L6286" s="1" t="str">
        <f t="shared" si="3714"/>
        <v>47</v>
      </c>
      <c r="M6286" s="1" t="str">
        <f t="shared" si="3721"/>
        <v>0</v>
      </c>
      <c r="N6286" s="1" t="str">
        <f t="shared" si="3721"/>
        <v>0</v>
      </c>
      <c r="O6286" s="1" t="str">
        <f>"15.85"</f>
        <v>15.85</v>
      </c>
    </row>
    <row r="6287" s="1" customFormat="1" spans="1:15">
      <c r="A6287" s="1" t="str">
        <f t="shared" si="3704"/>
        <v>202406</v>
      </c>
      <c r="B6287" s="1" t="str">
        <f t="shared" si="3705"/>
        <v>150525100</v>
      </c>
      <c r="C6287" s="1" t="str">
        <f>"1043278357"</f>
        <v>1043278357</v>
      </c>
      <c r="D6287" s="1" t="str">
        <f>"152326196312230916"</f>
        <v>152326196312230916</v>
      </c>
      <c r="E6287" s="1" t="s">
        <v>6135</v>
      </c>
      <c r="F6287" s="1" t="s">
        <v>25</v>
      </c>
      <c r="G6287" s="1" t="s">
        <v>19</v>
      </c>
      <c r="H6287" s="1" t="str">
        <f t="shared" ref="H6287:H6296" si="3722">"61"</f>
        <v>61</v>
      </c>
      <c r="I6287" s="1" t="str">
        <f>"167.64"</f>
        <v>167.64</v>
      </c>
      <c r="J6287" s="1" t="str">
        <f t="shared" ref="J6287:N6287" si="3723">"0"</f>
        <v>0</v>
      </c>
      <c r="K6287" s="1" t="str">
        <f t="shared" si="3713"/>
        <v>103</v>
      </c>
      <c r="L6287" s="1" t="str">
        <f t="shared" si="3714"/>
        <v>47</v>
      </c>
      <c r="M6287" s="1" t="str">
        <f t="shared" si="3723"/>
        <v>0</v>
      </c>
      <c r="N6287" s="1" t="str">
        <f t="shared" si="3723"/>
        <v>0</v>
      </c>
      <c r="O6287" s="1" t="str">
        <f>"17.64"</f>
        <v>17.64</v>
      </c>
    </row>
    <row r="6288" s="1" customFormat="1" spans="1:15">
      <c r="A6288" s="1" t="str">
        <f t="shared" si="3704"/>
        <v>202406</v>
      </c>
      <c r="B6288" s="1" t="str">
        <f t="shared" si="3705"/>
        <v>150525100</v>
      </c>
      <c r="C6288" s="1" t="str">
        <f>"1043316199"</f>
        <v>1043316199</v>
      </c>
      <c r="D6288" s="1" t="str">
        <f>"152326196403090410"</f>
        <v>152326196403090410</v>
      </c>
      <c r="E6288" s="1" t="s">
        <v>6136</v>
      </c>
      <c r="F6288" s="1" t="s">
        <v>25</v>
      </c>
      <c r="G6288" s="1" t="s">
        <v>17</v>
      </c>
      <c r="H6288" s="1" t="str">
        <f>"60"</f>
        <v>60</v>
      </c>
      <c r="I6288" s="1" t="str">
        <f>"169.47"</f>
        <v>169.47</v>
      </c>
      <c r="J6288" s="1" t="str">
        <f t="shared" ref="J6288:N6288" si="3724">"0"</f>
        <v>0</v>
      </c>
      <c r="K6288" s="1" t="str">
        <f t="shared" si="3713"/>
        <v>103</v>
      </c>
      <c r="L6288" s="1" t="str">
        <f t="shared" si="3714"/>
        <v>47</v>
      </c>
      <c r="M6288" s="1" t="str">
        <f t="shared" si="3724"/>
        <v>0</v>
      </c>
      <c r="N6288" s="1" t="str">
        <f t="shared" si="3724"/>
        <v>0</v>
      </c>
      <c r="O6288" s="1" t="str">
        <f>"19.47"</f>
        <v>19.47</v>
      </c>
    </row>
    <row r="6289" s="1" customFormat="1" spans="1:15">
      <c r="A6289" s="1" t="str">
        <f t="shared" si="3704"/>
        <v>202406</v>
      </c>
      <c r="B6289" s="1" t="str">
        <f t="shared" si="3705"/>
        <v>150525100</v>
      </c>
      <c r="C6289" s="1" t="str">
        <f>"1043320501"</f>
        <v>1043320501</v>
      </c>
      <c r="D6289" s="1" t="str">
        <f>"152326196207013856"</f>
        <v>152326196207013856</v>
      </c>
      <c r="E6289" s="1" t="s">
        <v>6137</v>
      </c>
      <c r="F6289" s="1" t="s">
        <v>25</v>
      </c>
      <c r="G6289" s="1" t="s">
        <v>19</v>
      </c>
      <c r="H6289" s="1" t="str">
        <f>"62"</f>
        <v>62</v>
      </c>
      <c r="I6289" s="1" t="str">
        <f>"160.33"</f>
        <v>160.33</v>
      </c>
      <c r="J6289" s="1" t="str">
        <f t="shared" ref="J6289:N6289" si="3725">"0"</f>
        <v>0</v>
      </c>
      <c r="K6289" s="1" t="str">
        <f t="shared" si="3713"/>
        <v>103</v>
      </c>
      <c r="L6289" s="1" t="str">
        <f t="shared" si="3714"/>
        <v>47</v>
      </c>
      <c r="M6289" s="1" t="str">
        <f t="shared" si="3725"/>
        <v>0</v>
      </c>
      <c r="N6289" s="1" t="str">
        <f t="shared" si="3725"/>
        <v>0</v>
      </c>
      <c r="O6289" s="1" t="str">
        <f>"10.33"</f>
        <v>10.33</v>
      </c>
    </row>
    <row r="6290" s="1" customFormat="1" spans="1:15">
      <c r="A6290" s="1" t="str">
        <f t="shared" si="3704"/>
        <v>202406</v>
      </c>
      <c r="B6290" s="1" t="str">
        <f t="shared" si="3705"/>
        <v>150525100</v>
      </c>
      <c r="C6290" s="1" t="str">
        <f>"1043276659"</f>
        <v>1043276659</v>
      </c>
      <c r="D6290" s="1" t="str">
        <f>"152326196309160697"</f>
        <v>152326196309160697</v>
      </c>
      <c r="E6290" s="1" t="s">
        <v>6138</v>
      </c>
      <c r="F6290" s="1" t="s">
        <v>25</v>
      </c>
      <c r="G6290" s="1" t="s">
        <v>19</v>
      </c>
      <c r="H6290" s="1" t="str">
        <f t="shared" si="3722"/>
        <v>61</v>
      </c>
      <c r="I6290" s="1" t="str">
        <f>"167.78"</f>
        <v>167.78</v>
      </c>
      <c r="J6290" s="1" t="str">
        <f t="shared" ref="J6290:N6290" si="3726">"0"</f>
        <v>0</v>
      </c>
      <c r="K6290" s="1" t="str">
        <f t="shared" si="3713"/>
        <v>103</v>
      </c>
      <c r="L6290" s="1" t="str">
        <f t="shared" si="3714"/>
        <v>47</v>
      </c>
      <c r="M6290" s="1" t="str">
        <f t="shared" si="3726"/>
        <v>0</v>
      </c>
      <c r="N6290" s="1" t="str">
        <f t="shared" si="3726"/>
        <v>0</v>
      </c>
      <c r="O6290" s="1" t="str">
        <f>"17.78"</f>
        <v>17.78</v>
      </c>
    </row>
    <row r="6291" s="1" customFormat="1" spans="1:15">
      <c r="A6291" s="1" t="str">
        <f t="shared" si="3704"/>
        <v>202406</v>
      </c>
      <c r="B6291" s="1" t="str">
        <f t="shared" si="3705"/>
        <v>150525100</v>
      </c>
      <c r="C6291" s="1" t="str">
        <f>"1043297436"</f>
        <v>1043297436</v>
      </c>
      <c r="D6291" s="1" t="str">
        <f>"152326196307143818"</f>
        <v>152326196307143818</v>
      </c>
      <c r="E6291" s="1" t="s">
        <v>6139</v>
      </c>
      <c r="F6291" s="1" t="s">
        <v>25</v>
      </c>
      <c r="G6291" s="1" t="s">
        <v>19</v>
      </c>
      <c r="H6291" s="1" t="str">
        <f t="shared" si="3722"/>
        <v>61</v>
      </c>
      <c r="I6291" s="1" t="str">
        <f>"167.69"</f>
        <v>167.69</v>
      </c>
      <c r="J6291" s="1" t="str">
        <f t="shared" ref="J6291:N6291" si="3727">"0"</f>
        <v>0</v>
      </c>
      <c r="K6291" s="1" t="str">
        <f t="shared" si="3713"/>
        <v>103</v>
      </c>
      <c r="L6291" s="1" t="str">
        <f t="shared" si="3714"/>
        <v>47</v>
      </c>
      <c r="M6291" s="1" t="str">
        <f t="shared" si="3727"/>
        <v>0</v>
      </c>
      <c r="N6291" s="1" t="str">
        <f t="shared" si="3727"/>
        <v>0</v>
      </c>
      <c r="O6291" s="1" t="str">
        <f>"17.69"</f>
        <v>17.69</v>
      </c>
    </row>
    <row r="6292" s="1" customFormat="1" spans="1:15">
      <c r="A6292" s="1" t="str">
        <f t="shared" si="3704"/>
        <v>202406</v>
      </c>
      <c r="B6292" s="1" t="str">
        <f t="shared" si="3705"/>
        <v>150525100</v>
      </c>
      <c r="C6292" s="1" t="str">
        <f>"1043677992"</f>
        <v>1043677992</v>
      </c>
      <c r="D6292" s="1" t="str">
        <f>"152326196308230040"</f>
        <v>152326196308230040</v>
      </c>
      <c r="E6292" s="1" t="s">
        <v>6140</v>
      </c>
      <c r="F6292" s="1" t="s">
        <v>16</v>
      </c>
      <c r="G6292" s="1" t="s">
        <v>17</v>
      </c>
      <c r="H6292" s="1" t="str">
        <f t="shared" si="3722"/>
        <v>61</v>
      </c>
      <c r="I6292" s="1" t="str">
        <f>"171.61"</f>
        <v>171.61</v>
      </c>
      <c r="J6292" s="1" t="str">
        <f t="shared" ref="J6292:N6292" si="3728">"0"</f>
        <v>0</v>
      </c>
      <c r="K6292" s="1" t="str">
        <f t="shared" si="3713"/>
        <v>103</v>
      </c>
      <c r="L6292" s="1" t="str">
        <f t="shared" si="3714"/>
        <v>47</v>
      </c>
      <c r="M6292" s="1" t="str">
        <f t="shared" si="3728"/>
        <v>0</v>
      </c>
      <c r="N6292" s="1" t="str">
        <f t="shared" si="3728"/>
        <v>0</v>
      </c>
      <c r="O6292" s="1" t="str">
        <f>"21.61"</f>
        <v>21.61</v>
      </c>
    </row>
    <row r="6293" s="1" customFormat="1" spans="1:15">
      <c r="A6293" s="1" t="str">
        <f t="shared" si="3704"/>
        <v>202406</v>
      </c>
      <c r="B6293" s="1" t="str">
        <f t="shared" si="3705"/>
        <v>150525100</v>
      </c>
      <c r="C6293" s="1" t="str">
        <f>"1043234709"</f>
        <v>1043234709</v>
      </c>
      <c r="D6293" s="1" t="str">
        <f>"152326196309170422"</f>
        <v>152326196309170422</v>
      </c>
      <c r="E6293" s="1" t="s">
        <v>2796</v>
      </c>
      <c r="F6293" s="1" t="s">
        <v>16</v>
      </c>
      <c r="G6293" s="1" t="s">
        <v>17</v>
      </c>
      <c r="H6293" s="1" t="str">
        <f t="shared" si="3722"/>
        <v>61</v>
      </c>
      <c r="I6293" s="1" t="str">
        <f>"167.78"</f>
        <v>167.78</v>
      </c>
      <c r="J6293" s="1" t="str">
        <f t="shared" ref="J6293:N6293" si="3729">"0"</f>
        <v>0</v>
      </c>
      <c r="K6293" s="1" t="str">
        <f t="shared" si="3713"/>
        <v>103</v>
      </c>
      <c r="L6293" s="1" t="str">
        <f t="shared" si="3714"/>
        <v>47</v>
      </c>
      <c r="M6293" s="1" t="str">
        <f t="shared" si="3729"/>
        <v>0</v>
      </c>
      <c r="N6293" s="1" t="str">
        <f t="shared" si="3729"/>
        <v>0</v>
      </c>
      <c r="O6293" s="1" t="str">
        <f>"17.78"</f>
        <v>17.78</v>
      </c>
    </row>
    <row r="6294" s="1" customFormat="1" spans="1:15">
      <c r="A6294" s="1" t="str">
        <f t="shared" si="3704"/>
        <v>202406</v>
      </c>
      <c r="B6294" s="1" t="str">
        <f t="shared" si="3705"/>
        <v>150525100</v>
      </c>
      <c r="C6294" s="1" t="str">
        <f>"1043280958"</f>
        <v>1043280958</v>
      </c>
      <c r="D6294" s="1" t="str">
        <f>"152326196303013813"</f>
        <v>152326196303013813</v>
      </c>
      <c r="E6294" s="1" t="s">
        <v>6141</v>
      </c>
      <c r="F6294" s="1" t="s">
        <v>25</v>
      </c>
      <c r="G6294" s="1" t="s">
        <v>17</v>
      </c>
      <c r="H6294" s="1" t="str">
        <f t="shared" si="3722"/>
        <v>61</v>
      </c>
      <c r="I6294" s="1" t="str">
        <f>"167.29"</f>
        <v>167.29</v>
      </c>
      <c r="J6294" s="1" t="str">
        <f t="shared" ref="J6294:N6294" si="3730">"0"</f>
        <v>0</v>
      </c>
      <c r="K6294" s="1" t="str">
        <f t="shared" si="3713"/>
        <v>103</v>
      </c>
      <c r="L6294" s="1" t="str">
        <f t="shared" si="3714"/>
        <v>47</v>
      </c>
      <c r="M6294" s="1" t="str">
        <f t="shared" si="3730"/>
        <v>0</v>
      </c>
      <c r="N6294" s="1" t="str">
        <f t="shared" si="3730"/>
        <v>0</v>
      </c>
      <c r="O6294" s="1" t="str">
        <f>"17.29"</f>
        <v>17.29</v>
      </c>
    </row>
    <row r="6295" s="1" customFormat="1" spans="1:15">
      <c r="A6295" s="1" t="str">
        <f t="shared" si="3704"/>
        <v>202406</v>
      </c>
      <c r="B6295" s="1" t="str">
        <f t="shared" si="3705"/>
        <v>150525100</v>
      </c>
      <c r="C6295" s="1" t="str">
        <f>"1043311772"</f>
        <v>1043311772</v>
      </c>
      <c r="D6295" s="1" t="str">
        <f>"152326196302251203"</f>
        <v>152326196302251203</v>
      </c>
      <c r="E6295" s="1" t="s">
        <v>4285</v>
      </c>
      <c r="F6295" s="1" t="s">
        <v>16</v>
      </c>
      <c r="G6295" s="1" t="s">
        <v>17</v>
      </c>
      <c r="H6295" s="1" t="str">
        <f t="shared" si="3722"/>
        <v>61</v>
      </c>
      <c r="I6295" s="1" t="str">
        <f>"168.73"</f>
        <v>168.73</v>
      </c>
      <c r="J6295" s="1" t="str">
        <f t="shared" ref="J6295:N6295" si="3731">"0"</f>
        <v>0</v>
      </c>
      <c r="K6295" s="1" t="str">
        <f t="shared" si="3713"/>
        <v>103</v>
      </c>
      <c r="L6295" s="1" t="str">
        <f t="shared" si="3714"/>
        <v>47</v>
      </c>
      <c r="M6295" s="1" t="str">
        <f t="shared" si="3731"/>
        <v>0</v>
      </c>
      <c r="N6295" s="1" t="str">
        <f t="shared" si="3731"/>
        <v>0</v>
      </c>
      <c r="O6295" s="1" t="str">
        <f>"18.73"</f>
        <v>18.73</v>
      </c>
    </row>
    <row r="6296" s="1" customFormat="1" spans="1:15">
      <c r="A6296" s="1" t="str">
        <f t="shared" si="3704"/>
        <v>202406</v>
      </c>
      <c r="B6296" s="1" t="str">
        <f t="shared" si="3705"/>
        <v>150525100</v>
      </c>
      <c r="C6296" s="1" t="str">
        <f>"1040651112"</f>
        <v>1040651112</v>
      </c>
      <c r="D6296" s="1" t="str">
        <f>"152326196302110670"</f>
        <v>152326196302110670</v>
      </c>
      <c r="E6296" s="1" t="s">
        <v>6142</v>
      </c>
      <c r="F6296" s="1" t="s">
        <v>25</v>
      </c>
      <c r="G6296" s="1" t="s">
        <v>17</v>
      </c>
      <c r="H6296" s="1" t="str">
        <f t="shared" si="3722"/>
        <v>61</v>
      </c>
      <c r="I6296" s="1" t="str">
        <f>"171.92"</f>
        <v>171.92</v>
      </c>
      <c r="J6296" s="1" t="str">
        <f t="shared" ref="J6296:N6296" si="3732">"0"</f>
        <v>0</v>
      </c>
      <c r="K6296" s="1" t="str">
        <f t="shared" si="3713"/>
        <v>103</v>
      </c>
      <c r="L6296" s="1" t="str">
        <f t="shared" si="3714"/>
        <v>47</v>
      </c>
      <c r="M6296" s="1" t="str">
        <f t="shared" si="3732"/>
        <v>0</v>
      </c>
      <c r="N6296" s="1" t="str">
        <f t="shared" si="3732"/>
        <v>0</v>
      </c>
      <c r="O6296" s="1" t="str">
        <f>"21.92"</f>
        <v>21.92</v>
      </c>
    </row>
    <row r="6297" s="1" customFormat="1" spans="1:15">
      <c r="A6297" s="1" t="str">
        <f t="shared" si="3704"/>
        <v>202406</v>
      </c>
      <c r="B6297" s="1" t="str">
        <f t="shared" si="3705"/>
        <v>150525100</v>
      </c>
      <c r="C6297" s="1" t="str">
        <f>"1040642073"</f>
        <v>1040642073</v>
      </c>
      <c r="D6297" s="1" t="str">
        <f>"152326195810103819"</f>
        <v>152326195810103819</v>
      </c>
      <c r="E6297" s="1" t="s">
        <v>6143</v>
      </c>
      <c r="F6297" s="1" t="s">
        <v>25</v>
      </c>
      <c r="G6297" s="1" t="s">
        <v>17</v>
      </c>
      <c r="H6297" s="1" t="str">
        <f>"66"</f>
        <v>66</v>
      </c>
      <c r="I6297" s="1" t="str">
        <f>"156.3"</f>
        <v>156.3</v>
      </c>
      <c r="J6297" s="1" t="str">
        <f t="shared" ref="J6297:N6297" si="3733">"0"</f>
        <v>0</v>
      </c>
      <c r="K6297" s="1" t="str">
        <f t="shared" si="3713"/>
        <v>103</v>
      </c>
      <c r="L6297" s="1" t="str">
        <f t="shared" si="3714"/>
        <v>47</v>
      </c>
      <c r="M6297" s="1" t="str">
        <f t="shared" si="3733"/>
        <v>0</v>
      </c>
      <c r="N6297" s="1" t="str">
        <f t="shared" si="3733"/>
        <v>0</v>
      </c>
      <c r="O6297" s="1" t="str">
        <f>"6.3"</f>
        <v>6.3</v>
      </c>
    </row>
    <row r="6298" s="1" customFormat="1" spans="1:15">
      <c r="A6298" s="1" t="str">
        <f t="shared" si="3704"/>
        <v>202406</v>
      </c>
      <c r="B6298" s="1" t="str">
        <f t="shared" si="3705"/>
        <v>150525100</v>
      </c>
      <c r="C6298" s="1" t="str">
        <f>"1040642075"</f>
        <v>1040642075</v>
      </c>
      <c r="D6298" s="1" t="str">
        <f>"152326195507073813"</f>
        <v>152326195507073813</v>
      </c>
      <c r="E6298" s="1" t="s">
        <v>6144</v>
      </c>
      <c r="F6298" s="1" t="s">
        <v>25</v>
      </c>
      <c r="G6298" s="1" t="s">
        <v>17</v>
      </c>
      <c r="H6298" s="1" t="str">
        <f>"69"</f>
        <v>69</v>
      </c>
      <c r="I6298" s="1" t="str">
        <f>"154.28"</f>
        <v>154.28</v>
      </c>
      <c r="J6298" s="1" t="str">
        <f t="shared" ref="J6298:N6298" si="3734">"0"</f>
        <v>0</v>
      </c>
      <c r="K6298" s="1" t="str">
        <f t="shared" si="3713"/>
        <v>103</v>
      </c>
      <c r="L6298" s="1" t="str">
        <f t="shared" si="3714"/>
        <v>47</v>
      </c>
      <c r="M6298" s="1" t="str">
        <f t="shared" si="3734"/>
        <v>0</v>
      </c>
      <c r="N6298" s="1" t="str">
        <f t="shared" si="3734"/>
        <v>0</v>
      </c>
      <c r="O6298" s="1" t="str">
        <f>"4.28"</f>
        <v>4.28</v>
      </c>
    </row>
    <row r="6299" s="1" customFormat="1" spans="1:15">
      <c r="A6299" s="1" t="str">
        <f t="shared" si="3704"/>
        <v>202406</v>
      </c>
      <c r="B6299" s="1" t="str">
        <f t="shared" si="3705"/>
        <v>150525100</v>
      </c>
      <c r="C6299" s="1" t="str">
        <f>"1040642082"</f>
        <v>1040642082</v>
      </c>
      <c r="D6299" s="1" t="str">
        <f>"152326195906123814"</f>
        <v>152326195906123814</v>
      </c>
      <c r="E6299" s="1" t="s">
        <v>6145</v>
      </c>
      <c r="F6299" s="1" t="s">
        <v>25</v>
      </c>
      <c r="G6299" s="1" t="s">
        <v>19</v>
      </c>
      <c r="H6299" s="1" t="str">
        <f>"65"</f>
        <v>65</v>
      </c>
      <c r="I6299" s="1" t="str">
        <f>"157.31"</f>
        <v>157.31</v>
      </c>
      <c r="J6299" s="1" t="str">
        <f t="shared" ref="J6299:N6299" si="3735">"0"</f>
        <v>0</v>
      </c>
      <c r="K6299" s="1" t="str">
        <f t="shared" si="3713"/>
        <v>103</v>
      </c>
      <c r="L6299" s="1" t="str">
        <f t="shared" si="3714"/>
        <v>47</v>
      </c>
      <c r="M6299" s="1" t="str">
        <f t="shared" si="3735"/>
        <v>0</v>
      </c>
      <c r="N6299" s="1" t="str">
        <f t="shared" si="3735"/>
        <v>0</v>
      </c>
      <c r="O6299" s="1" t="str">
        <f>"7.31"</f>
        <v>7.31</v>
      </c>
    </row>
    <row r="6300" s="1" customFormat="1" spans="1:15">
      <c r="A6300" s="1" t="str">
        <f t="shared" si="3704"/>
        <v>202406</v>
      </c>
      <c r="B6300" s="1" t="str">
        <f t="shared" si="3705"/>
        <v>150525100</v>
      </c>
      <c r="C6300" s="1" t="str">
        <f>"1040642084"</f>
        <v>1040642084</v>
      </c>
      <c r="D6300" s="1" t="str">
        <f>"152326196002073812"</f>
        <v>152326196002073812</v>
      </c>
      <c r="E6300" s="1" t="s">
        <v>6146</v>
      </c>
      <c r="F6300" s="1" t="s">
        <v>25</v>
      </c>
      <c r="G6300" s="1" t="s">
        <v>17</v>
      </c>
      <c r="H6300" s="1" t="str">
        <f>"64"</f>
        <v>64</v>
      </c>
      <c r="I6300" s="1" t="str">
        <f>"158.32"</f>
        <v>158.32</v>
      </c>
      <c r="J6300" s="1" t="str">
        <f t="shared" ref="J6300:N6300" si="3736">"0"</f>
        <v>0</v>
      </c>
      <c r="K6300" s="1" t="str">
        <f t="shared" si="3713"/>
        <v>103</v>
      </c>
      <c r="L6300" s="1" t="str">
        <f t="shared" si="3714"/>
        <v>47</v>
      </c>
      <c r="M6300" s="1" t="str">
        <f t="shared" si="3736"/>
        <v>0</v>
      </c>
      <c r="N6300" s="1" t="str">
        <f t="shared" si="3736"/>
        <v>0</v>
      </c>
      <c r="O6300" s="1" t="str">
        <f>"8.32"</f>
        <v>8.32</v>
      </c>
    </row>
    <row r="6301" s="1" customFormat="1" spans="1:15">
      <c r="A6301" s="1" t="str">
        <f t="shared" si="3704"/>
        <v>202406</v>
      </c>
      <c r="B6301" s="1" t="str">
        <f t="shared" si="3705"/>
        <v>150525100</v>
      </c>
      <c r="C6301" s="1" t="str">
        <f>"1040642830"</f>
        <v>1040642830</v>
      </c>
      <c r="D6301" s="1" t="str">
        <f>"152326196207050921"</f>
        <v>152326196207050921</v>
      </c>
      <c r="E6301" s="1" t="s">
        <v>6147</v>
      </c>
      <c r="F6301" s="1" t="s">
        <v>16</v>
      </c>
      <c r="G6301" s="1" t="s">
        <v>19</v>
      </c>
      <c r="H6301" s="1" t="str">
        <f>"62"</f>
        <v>62</v>
      </c>
      <c r="I6301" s="1" t="str">
        <f>"162.47"</f>
        <v>162.47</v>
      </c>
      <c r="J6301" s="1" t="str">
        <f t="shared" ref="J6301:N6301" si="3737">"0"</f>
        <v>0</v>
      </c>
      <c r="K6301" s="1" t="str">
        <f t="shared" si="3713"/>
        <v>103</v>
      </c>
      <c r="L6301" s="1" t="str">
        <f t="shared" si="3714"/>
        <v>47</v>
      </c>
      <c r="M6301" s="1" t="str">
        <f t="shared" si="3737"/>
        <v>0</v>
      </c>
      <c r="N6301" s="1" t="str">
        <f t="shared" si="3737"/>
        <v>0</v>
      </c>
      <c r="O6301" s="1" t="str">
        <f>"12.47"</f>
        <v>12.47</v>
      </c>
    </row>
    <row r="6302" s="1" customFormat="1" spans="1:15">
      <c r="A6302" s="1" t="str">
        <f t="shared" si="3704"/>
        <v>202406</v>
      </c>
      <c r="B6302" s="1" t="str">
        <f t="shared" si="3705"/>
        <v>150525100</v>
      </c>
      <c r="C6302" s="1" t="str">
        <f>"1040642832"</f>
        <v>1040642832</v>
      </c>
      <c r="D6302" s="1" t="str">
        <f>"152326195610230928"</f>
        <v>152326195610230928</v>
      </c>
      <c r="E6302" s="1" t="s">
        <v>6148</v>
      </c>
      <c r="F6302" s="1" t="s">
        <v>16</v>
      </c>
      <c r="G6302" s="1" t="s">
        <v>19</v>
      </c>
      <c r="H6302" s="1" t="str">
        <f>"68"</f>
        <v>68</v>
      </c>
      <c r="I6302" s="1" t="str">
        <f>"154.2"</f>
        <v>154.2</v>
      </c>
      <c r="J6302" s="1" t="str">
        <f t="shared" ref="J6302:N6302" si="3738">"0"</f>
        <v>0</v>
      </c>
      <c r="K6302" s="1" t="str">
        <f t="shared" si="3713"/>
        <v>103</v>
      </c>
      <c r="L6302" s="1" t="str">
        <f t="shared" si="3714"/>
        <v>47</v>
      </c>
      <c r="M6302" s="1" t="str">
        <f t="shared" si="3738"/>
        <v>0</v>
      </c>
      <c r="N6302" s="1" t="str">
        <f t="shared" si="3738"/>
        <v>0</v>
      </c>
      <c r="O6302" s="1" t="str">
        <f>"4.2"</f>
        <v>4.2</v>
      </c>
    </row>
    <row r="6303" s="1" customFormat="1" spans="1:15">
      <c r="A6303" s="1" t="str">
        <f t="shared" si="3704"/>
        <v>202406</v>
      </c>
      <c r="B6303" s="1" t="str">
        <f t="shared" si="3705"/>
        <v>150525100</v>
      </c>
      <c r="C6303" s="1" t="str">
        <f>"1040642836"</f>
        <v>1040642836</v>
      </c>
      <c r="D6303" s="1" t="str">
        <f>"152326195511120918"</f>
        <v>152326195511120918</v>
      </c>
      <c r="E6303" s="1" t="s">
        <v>6149</v>
      </c>
      <c r="F6303" s="1" t="s">
        <v>25</v>
      </c>
      <c r="G6303" s="1" t="s">
        <v>19</v>
      </c>
      <c r="H6303" s="1" t="str">
        <f>"69"</f>
        <v>69</v>
      </c>
      <c r="I6303" s="1" t="str">
        <f>"153.73"</f>
        <v>153.73</v>
      </c>
      <c r="J6303" s="1" t="str">
        <f t="shared" ref="J6303:N6303" si="3739">"0"</f>
        <v>0</v>
      </c>
      <c r="K6303" s="1" t="str">
        <f t="shared" si="3713"/>
        <v>103</v>
      </c>
      <c r="L6303" s="1" t="str">
        <f t="shared" si="3714"/>
        <v>47</v>
      </c>
      <c r="M6303" s="1" t="str">
        <f t="shared" si="3739"/>
        <v>0</v>
      </c>
      <c r="N6303" s="1" t="str">
        <f t="shared" si="3739"/>
        <v>0</v>
      </c>
      <c r="O6303" s="1" t="str">
        <f>"3.73"</f>
        <v>3.73</v>
      </c>
    </row>
    <row r="6304" s="1" customFormat="1" spans="1:15">
      <c r="A6304" s="1" t="str">
        <f t="shared" si="3704"/>
        <v>202406</v>
      </c>
      <c r="B6304" s="1" t="str">
        <f t="shared" si="3705"/>
        <v>150525100</v>
      </c>
      <c r="C6304" s="1" t="str">
        <f>"1040642822"</f>
        <v>1040642822</v>
      </c>
      <c r="D6304" s="1" t="str">
        <f>"152326195712170911"</f>
        <v>152326195712170911</v>
      </c>
      <c r="E6304" s="1" t="s">
        <v>6150</v>
      </c>
      <c r="F6304" s="1" t="s">
        <v>25</v>
      </c>
      <c r="G6304" s="1" t="s">
        <v>19</v>
      </c>
      <c r="H6304" s="1" t="str">
        <f>"67"</f>
        <v>67</v>
      </c>
      <c r="I6304" s="1" t="str">
        <f>"155.23"</f>
        <v>155.23</v>
      </c>
      <c r="J6304" s="1" t="str">
        <f t="shared" ref="J6304:N6304" si="3740">"0"</f>
        <v>0</v>
      </c>
      <c r="K6304" s="1" t="str">
        <f t="shared" si="3713"/>
        <v>103</v>
      </c>
      <c r="L6304" s="1" t="str">
        <f t="shared" si="3714"/>
        <v>47</v>
      </c>
      <c r="M6304" s="1" t="str">
        <f t="shared" si="3740"/>
        <v>0</v>
      </c>
      <c r="N6304" s="1" t="str">
        <f t="shared" si="3740"/>
        <v>0</v>
      </c>
      <c r="O6304" s="1" t="str">
        <f>"5.23"</f>
        <v>5.23</v>
      </c>
    </row>
    <row r="6305" s="1" customFormat="1" spans="1:15">
      <c r="A6305" s="1" t="str">
        <f t="shared" si="3704"/>
        <v>202406</v>
      </c>
      <c r="B6305" s="1" t="str">
        <f t="shared" si="3705"/>
        <v>150525100</v>
      </c>
      <c r="C6305" s="1" t="str">
        <f>"1014562557"</f>
        <v>1014562557</v>
      </c>
      <c r="D6305" s="1" t="str">
        <f>"152326195205040418"</f>
        <v>152326195205040418</v>
      </c>
      <c r="E6305" s="1" t="s">
        <v>6151</v>
      </c>
      <c r="F6305" s="1" t="s">
        <v>25</v>
      </c>
      <c r="G6305" s="1" t="s">
        <v>17</v>
      </c>
      <c r="H6305" s="1" t="str">
        <f>"72"</f>
        <v>72</v>
      </c>
      <c r="I6305" s="1" t="str">
        <f>"162.16"</f>
        <v>162.16</v>
      </c>
      <c r="J6305" s="1" t="str">
        <f t="shared" ref="J6305:N6305" si="3741">"0"</f>
        <v>0</v>
      </c>
      <c r="K6305" s="1" t="str">
        <f t="shared" si="3713"/>
        <v>103</v>
      </c>
      <c r="L6305" s="1" t="str">
        <f t="shared" si="3714"/>
        <v>47</v>
      </c>
      <c r="M6305" s="1" t="str">
        <f t="shared" si="3741"/>
        <v>0</v>
      </c>
      <c r="N6305" s="1" t="str">
        <f t="shared" si="3741"/>
        <v>0</v>
      </c>
      <c r="O6305" s="1" t="str">
        <f>"2.16"</f>
        <v>2.16</v>
      </c>
    </row>
    <row r="6306" s="1" customFormat="1" spans="1:15">
      <c r="A6306" s="1" t="str">
        <f t="shared" si="3704"/>
        <v>202406</v>
      </c>
      <c r="B6306" s="1" t="str">
        <f t="shared" si="3705"/>
        <v>150525100</v>
      </c>
      <c r="C6306" s="1" t="str">
        <f>"1014563078"</f>
        <v>1014563078</v>
      </c>
      <c r="D6306" s="1" t="str">
        <f>"152326195706170448"</f>
        <v>152326195706170448</v>
      </c>
      <c r="E6306" s="1" t="s">
        <v>3569</v>
      </c>
      <c r="F6306" s="1" t="s">
        <v>16</v>
      </c>
      <c r="G6306" s="1" t="s">
        <v>17</v>
      </c>
      <c r="H6306" s="1" t="str">
        <f>"67"</f>
        <v>67</v>
      </c>
      <c r="I6306" s="1" t="str">
        <f>"155.7"</f>
        <v>155.7</v>
      </c>
      <c r="J6306" s="1" t="str">
        <f t="shared" ref="J6306:N6306" si="3742">"0"</f>
        <v>0</v>
      </c>
      <c r="K6306" s="1" t="str">
        <f t="shared" si="3713"/>
        <v>103</v>
      </c>
      <c r="L6306" s="1" t="str">
        <f t="shared" si="3714"/>
        <v>47</v>
      </c>
      <c r="M6306" s="1" t="str">
        <f t="shared" si="3742"/>
        <v>0</v>
      </c>
      <c r="N6306" s="1" t="str">
        <f t="shared" si="3742"/>
        <v>0</v>
      </c>
      <c r="O6306" s="1" t="str">
        <f>"5.7"</f>
        <v>5.7</v>
      </c>
    </row>
    <row r="6307" s="1" customFormat="1" spans="1:15">
      <c r="A6307" s="1" t="str">
        <f t="shared" si="3704"/>
        <v>202406</v>
      </c>
      <c r="B6307" s="1" t="str">
        <f t="shared" si="3705"/>
        <v>150525100</v>
      </c>
      <c r="C6307" s="1" t="str">
        <f>"1014563431"</f>
        <v>1014563431</v>
      </c>
      <c r="D6307" s="1" t="str">
        <f>"152326196310120414"</f>
        <v>152326196310120414</v>
      </c>
      <c r="E6307" s="1" t="s">
        <v>6152</v>
      </c>
      <c r="F6307" s="1" t="s">
        <v>25</v>
      </c>
      <c r="G6307" s="1" t="s">
        <v>17</v>
      </c>
      <c r="H6307" s="1" t="str">
        <f>"61"</f>
        <v>61</v>
      </c>
      <c r="I6307" s="1" t="str">
        <f>"167.26"</f>
        <v>167.26</v>
      </c>
      <c r="J6307" s="1" t="str">
        <f t="shared" ref="J6307:N6307" si="3743">"0"</f>
        <v>0</v>
      </c>
      <c r="K6307" s="1" t="str">
        <f t="shared" si="3713"/>
        <v>103</v>
      </c>
      <c r="L6307" s="1" t="str">
        <f t="shared" si="3714"/>
        <v>47</v>
      </c>
      <c r="M6307" s="1" t="str">
        <f t="shared" si="3743"/>
        <v>0</v>
      </c>
      <c r="N6307" s="1" t="str">
        <f t="shared" si="3743"/>
        <v>0</v>
      </c>
      <c r="O6307" s="1" t="str">
        <f>"17.26"</f>
        <v>17.26</v>
      </c>
    </row>
    <row r="6308" s="1" customFormat="1" spans="1:15">
      <c r="A6308" s="1" t="str">
        <f t="shared" si="3704"/>
        <v>202406</v>
      </c>
      <c r="B6308" s="1" t="str">
        <f t="shared" si="3705"/>
        <v>150525100</v>
      </c>
      <c r="C6308" s="1" t="str">
        <f>"1014563433"</f>
        <v>1014563433</v>
      </c>
      <c r="D6308" s="1" t="str">
        <f>"152326196005160428"</f>
        <v>152326196005160428</v>
      </c>
      <c r="E6308" s="1" t="s">
        <v>6153</v>
      </c>
      <c r="F6308" s="1" t="s">
        <v>16</v>
      </c>
      <c r="G6308" s="1" t="s">
        <v>17</v>
      </c>
      <c r="H6308" s="1" t="str">
        <f>"64"</f>
        <v>64</v>
      </c>
      <c r="I6308" s="1" t="str">
        <f>"159.25"</f>
        <v>159.25</v>
      </c>
      <c r="J6308" s="1" t="str">
        <f t="shared" ref="J6308:N6308" si="3744">"0"</f>
        <v>0</v>
      </c>
      <c r="K6308" s="1" t="str">
        <f t="shared" si="3713"/>
        <v>103</v>
      </c>
      <c r="L6308" s="1" t="str">
        <f t="shared" si="3714"/>
        <v>47</v>
      </c>
      <c r="M6308" s="1" t="str">
        <f t="shared" si="3744"/>
        <v>0</v>
      </c>
      <c r="N6308" s="1" t="str">
        <f t="shared" si="3744"/>
        <v>0</v>
      </c>
      <c r="O6308" s="1" t="str">
        <f>"9.25"</f>
        <v>9.25</v>
      </c>
    </row>
    <row r="6309" s="1" customFormat="1" spans="1:15">
      <c r="A6309" s="1" t="str">
        <f t="shared" si="3704"/>
        <v>202406</v>
      </c>
      <c r="B6309" s="1" t="str">
        <f t="shared" si="3705"/>
        <v>150525100</v>
      </c>
      <c r="C6309" s="1" t="str">
        <f>"1014563440"</f>
        <v>1014563440</v>
      </c>
      <c r="D6309" s="1" t="str">
        <f>"152326195403190425"</f>
        <v>152326195403190425</v>
      </c>
      <c r="E6309" s="1" t="s">
        <v>6154</v>
      </c>
      <c r="F6309" s="1" t="s">
        <v>16</v>
      </c>
      <c r="G6309" s="1" t="s">
        <v>17</v>
      </c>
      <c r="H6309" s="1" t="str">
        <f t="shared" ref="H6309:H6313" si="3745">"70"</f>
        <v>70</v>
      </c>
      <c r="I6309" s="1" t="str">
        <f>"164.16"</f>
        <v>164.16</v>
      </c>
      <c r="J6309" s="1" t="str">
        <f t="shared" ref="J6309:N6309" si="3746">"0"</f>
        <v>0</v>
      </c>
      <c r="K6309" s="1" t="str">
        <f t="shared" si="3713"/>
        <v>103</v>
      </c>
      <c r="L6309" s="1" t="str">
        <f t="shared" si="3714"/>
        <v>47</v>
      </c>
      <c r="M6309" s="1" t="str">
        <f t="shared" si="3746"/>
        <v>0</v>
      </c>
      <c r="N6309" s="1" t="str">
        <f t="shared" si="3746"/>
        <v>0</v>
      </c>
      <c r="O6309" s="1" t="str">
        <f t="shared" ref="O6309:O6313" si="3747">"4.16"</f>
        <v>4.16</v>
      </c>
    </row>
    <row r="6310" s="1" customFormat="1" spans="1:15">
      <c r="A6310" s="1" t="str">
        <f t="shared" si="3704"/>
        <v>202406</v>
      </c>
      <c r="B6310" s="1" t="str">
        <f t="shared" si="3705"/>
        <v>150525100</v>
      </c>
      <c r="C6310" s="1" t="str">
        <f>"1014563453"</f>
        <v>1014563453</v>
      </c>
      <c r="D6310" s="1" t="str">
        <f>"152326195407290415"</f>
        <v>152326195407290415</v>
      </c>
      <c r="E6310" s="1" t="s">
        <v>6155</v>
      </c>
      <c r="F6310" s="1" t="s">
        <v>25</v>
      </c>
      <c r="G6310" s="1" t="s">
        <v>17</v>
      </c>
      <c r="H6310" s="1" t="str">
        <f t="shared" si="3745"/>
        <v>70</v>
      </c>
      <c r="I6310" s="1" t="str">
        <f>"154.16"</f>
        <v>154.16</v>
      </c>
      <c r="J6310" s="1" t="str">
        <f t="shared" ref="J6310:N6310" si="3748">"0"</f>
        <v>0</v>
      </c>
      <c r="K6310" s="1" t="str">
        <f t="shared" si="3713"/>
        <v>103</v>
      </c>
      <c r="L6310" s="1" t="str">
        <f t="shared" si="3714"/>
        <v>47</v>
      </c>
      <c r="M6310" s="1" t="str">
        <f t="shared" si="3748"/>
        <v>0</v>
      </c>
      <c r="N6310" s="1" t="str">
        <f t="shared" si="3748"/>
        <v>0</v>
      </c>
      <c r="O6310" s="1" t="str">
        <f t="shared" si="3747"/>
        <v>4.16</v>
      </c>
    </row>
    <row r="6311" s="1" customFormat="1" spans="1:15">
      <c r="A6311" s="1" t="str">
        <f t="shared" si="3704"/>
        <v>202406</v>
      </c>
      <c r="B6311" s="1" t="str">
        <f t="shared" si="3705"/>
        <v>150525100</v>
      </c>
      <c r="C6311" s="1" t="str">
        <f>"1014569852"</f>
        <v>1014569852</v>
      </c>
      <c r="D6311" s="1" t="s">
        <v>6156</v>
      </c>
      <c r="E6311" s="1" t="s">
        <v>6157</v>
      </c>
      <c r="F6311" s="1" t="s">
        <v>16</v>
      </c>
      <c r="G6311" s="1" t="s">
        <v>17</v>
      </c>
      <c r="H6311" s="1" t="str">
        <f>"69"</f>
        <v>69</v>
      </c>
      <c r="I6311" s="1" t="str">
        <f>"155.1"</f>
        <v>155.1</v>
      </c>
      <c r="J6311" s="1" t="str">
        <f t="shared" ref="J6311:N6311" si="3749">"0"</f>
        <v>0</v>
      </c>
      <c r="K6311" s="1" t="str">
        <f t="shared" si="3713"/>
        <v>103</v>
      </c>
      <c r="L6311" s="1" t="str">
        <f t="shared" si="3714"/>
        <v>47</v>
      </c>
      <c r="M6311" s="1" t="str">
        <f t="shared" si="3749"/>
        <v>0</v>
      </c>
      <c r="N6311" s="1" t="str">
        <f t="shared" si="3749"/>
        <v>0</v>
      </c>
      <c r="O6311" s="1" t="str">
        <f>"5.1"</f>
        <v>5.1</v>
      </c>
    </row>
    <row r="6312" s="1" customFormat="1" spans="1:15">
      <c r="A6312" s="1" t="str">
        <f t="shared" si="3704"/>
        <v>202406</v>
      </c>
      <c r="B6312" s="1" t="str">
        <f t="shared" si="3705"/>
        <v>150525100</v>
      </c>
      <c r="C6312" s="1" t="str">
        <f>"1014585191"</f>
        <v>1014585191</v>
      </c>
      <c r="D6312" s="1" t="str">
        <f>"152326196109230670"</f>
        <v>152326196109230670</v>
      </c>
      <c r="E6312" s="1" t="s">
        <v>6158</v>
      </c>
      <c r="F6312" s="1" t="s">
        <v>25</v>
      </c>
      <c r="G6312" s="1" t="s">
        <v>17</v>
      </c>
      <c r="H6312" s="1" t="str">
        <f>"63"</f>
        <v>63</v>
      </c>
      <c r="I6312" s="1" t="str">
        <f>"161.3"</f>
        <v>161.3</v>
      </c>
      <c r="J6312" s="1" t="str">
        <f t="shared" ref="J6312:N6312" si="3750">"0"</f>
        <v>0</v>
      </c>
      <c r="K6312" s="1" t="str">
        <f t="shared" si="3713"/>
        <v>103</v>
      </c>
      <c r="L6312" s="1" t="str">
        <f t="shared" si="3714"/>
        <v>47</v>
      </c>
      <c r="M6312" s="1" t="str">
        <f t="shared" si="3750"/>
        <v>0</v>
      </c>
      <c r="N6312" s="1" t="str">
        <f t="shared" si="3750"/>
        <v>0</v>
      </c>
      <c r="O6312" s="1" t="str">
        <f>"11.3"</f>
        <v>11.3</v>
      </c>
    </row>
    <row r="6313" s="1" customFormat="1" spans="1:15">
      <c r="A6313" s="1" t="str">
        <f t="shared" si="3704"/>
        <v>202406</v>
      </c>
      <c r="B6313" s="1" t="str">
        <f t="shared" si="3705"/>
        <v>150525100</v>
      </c>
      <c r="C6313" s="1" t="str">
        <f>"1014563101"</f>
        <v>1014563101</v>
      </c>
      <c r="D6313" s="1" t="str">
        <f>"152326195401120423"</f>
        <v>152326195401120423</v>
      </c>
      <c r="E6313" s="1" t="s">
        <v>6159</v>
      </c>
      <c r="F6313" s="1" t="s">
        <v>16</v>
      </c>
      <c r="G6313" s="1" t="s">
        <v>17</v>
      </c>
      <c r="H6313" s="1" t="str">
        <f t="shared" si="3745"/>
        <v>70</v>
      </c>
      <c r="I6313" s="1" t="str">
        <f>"164.16"</f>
        <v>164.16</v>
      </c>
      <c r="J6313" s="1" t="str">
        <f t="shared" ref="J6313:N6313" si="3751">"0"</f>
        <v>0</v>
      </c>
      <c r="K6313" s="1" t="str">
        <f t="shared" si="3713"/>
        <v>103</v>
      </c>
      <c r="L6313" s="1" t="str">
        <f t="shared" si="3714"/>
        <v>47</v>
      </c>
      <c r="M6313" s="1" t="str">
        <f t="shared" si="3751"/>
        <v>0</v>
      </c>
      <c r="N6313" s="1" t="str">
        <f t="shared" si="3751"/>
        <v>0</v>
      </c>
      <c r="O6313" s="1" t="str">
        <f t="shared" si="3747"/>
        <v>4.16</v>
      </c>
    </row>
    <row r="6314" s="1" customFormat="1" spans="1:15">
      <c r="A6314" s="1" t="str">
        <f t="shared" si="3704"/>
        <v>202406</v>
      </c>
      <c r="B6314" s="1" t="str">
        <f t="shared" si="3705"/>
        <v>150525100</v>
      </c>
      <c r="C6314" s="1" t="str">
        <f>"1014563108"</f>
        <v>1014563108</v>
      </c>
      <c r="D6314" s="1" t="str">
        <f>"152326196212040437"</f>
        <v>152326196212040437</v>
      </c>
      <c r="E6314" s="1" t="s">
        <v>6160</v>
      </c>
      <c r="F6314" s="1" t="s">
        <v>25</v>
      </c>
      <c r="G6314" s="1" t="s">
        <v>17</v>
      </c>
      <c r="H6314" s="1" t="str">
        <f>"62"</f>
        <v>62</v>
      </c>
      <c r="I6314" s="1" t="str">
        <f>"163.22"</f>
        <v>163.22</v>
      </c>
      <c r="J6314" s="1" t="str">
        <f t="shared" ref="J6314:N6314" si="3752">"0"</f>
        <v>0</v>
      </c>
      <c r="K6314" s="1" t="str">
        <f t="shared" si="3713"/>
        <v>103</v>
      </c>
      <c r="L6314" s="1" t="str">
        <f t="shared" si="3714"/>
        <v>47</v>
      </c>
      <c r="M6314" s="1" t="str">
        <f t="shared" si="3752"/>
        <v>0</v>
      </c>
      <c r="N6314" s="1" t="str">
        <f t="shared" si="3752"/>
        <v>0</v>
      </c>
      <c r="O6314" s="1" t="str">
        <f>"13.22"</f>
        <v>13.22</v>
      </c>
    </row>
    <row r="6315" s="1" customFormat="1" spans="1:15">
      <c r="A6315" s="1" t="str">
        <f t="shared" si="3704"/>
        <v>202406</v>
      </c>
      <c r="B6315" s="1" t="str">
        <f t="shared" si="3705"/>
        <v>150525100</v>
      </c>
      <c r="C6315" s="1" t="str">
        <f>"1014563115"</f>
        <v>1014563115</v>
      </c>
      <c r="D6315" s="1" t="str">
        <f>"152326195708260412"</f>
        <v>152326195708260412</v>
      </c>
      <c r="E6315" s="1" t="s">
        <v>316</v>
      </c>
      <c r="F6315" s="1" t="s">
        <v>25</v>
      </c>
      <c r="G6315" s="1" t="s">
        <v>17</v>
      </c>
      <c r="H6315" s="1" t="str">
        <f>"67"</f>
        <v>67</v>
      </c>
      <c r="I6315" s="1" t="str">
        <f>"156.1"</f>
        <v>156.1</v>
      </c>
      <c r="J6315" s="1" t="str">
        <f t="shared" ref="J6315:N6315" si="3753">"0"</f>
        <v>0</v>
      </c>
      <c r="K6315" s="1" t="str">
        <f t="shared" si="3713"/>
        <v>103</v>
      </c>
      <c r="L6315" s="1" t="str">
        <f t="shared" si="3714"/>
        <v>47</v>
      </c>
      <c r="M6315" s="1" t="str">
        <f t="shared" si="3753"/>
        <v>0</v>
      </c>
      <c r="N6315" s="1" t="str">
        <f t="shared" si="3753"/>
        <v>0</v>
      </c>
      <c r="O6315" s="1" t="str">
        <f>"6.1"</f>
        <v>6.1</v>
      </c>
    </row>
    <row r="6316" s="1" customFormat="1" spans="1:15">
      <c r="A6316" s="1" t="str">
        <f t="shared" si="3704"/>
        <v>202406</v>
      </c>
      <c r="B6316" s="1" t="str">
        <f t="shared" si="3705"/>
        <v>150525100</v>
      </c>
      <c r="C6316" s="1" t="str">
        <f>"1014583789"</f>
        <v>1014583789</v>
      </c>
      <c r="D6316" s="1" t="str">
        <f>"152326195806140676"</f>
        <v>152326195806140676</v>
      </c>
      <c r="E6316" s="1" t="s">
        <v>6161</v>
      </c>
      <c r="F6316" s="1" t="s">
        <v>25</v>
      </c>
      <c r="G6316" s="1" t="s">
        <v>19</v>
      </c>
      <c r="H6316" s="1" t="str">
        <f t="shared" ref="H6316:H6318" si="3754">"66"</f>
        <v>66</v>
      </c>
      <c r="I6316" s="1" t="str">
        <f>"945.72"</f>
        <v>945.72</v>
      </c>
      <c r="J6316" s="1" t="str">
        <f>"788.1"</f>
        <v>788.1</v>
      </c>
      <c r="K6316" s="1" t="str">
        <f>"618"</f>
        <v>618</v>
      </c>
      <c r="L6316" s="1" t="str">
        <f>"282"</f>
        <v>282</v>
      </c>
      <c r="M6316" s="1" t="str">
        <f>"0"</f>
        <v>0</v>
      </c>
      <c r="N6316" s="1" t="str">
        <f>"0"</f>
        <v>0</v>
      </c>
      <c r="O6316" s="1" t="str">
        <f>"45.72"</f>
        <v>45.72</v>
      </c>
    </row>
    <row r="6317" s="1" customFormat="1" spans="1:15">
      <c r="A6317" s="1" t="str">
        <f t="shared" si="3704"/>
        <v>202406</v>
      </c>
      <c r="B6317" s="1" t="str">
        <f t="shared" si="3705"/>
        <v>150525100</v>
      </c>
      <c r="C6317" s="1" t="str">
        <f>"1014584098"</f>
        <v>1014584098</v>
      </c>
      <c r="D6317" s="1" t="str">
        <f>"152326195804160681"</f>
        <v>152326195804160681</v>
      </c>
      <c r="E6317" s="1" t="s">
        <v>6162</v>
      </c>
      <c r="F6317" s="1" t="s">
        <v>16</v>
      </c>
      <c r="G6317" s="1" t="s">
        <v>17</v>
      </c>
      <c r="H6317" s="1" t="str">
        <f t="shared" si="3754"/>
        <v>66</v>
      </c>
      <c r="I6317" s="1" t="str">
        <f>"157.09"</f>
        <v>157.09</v>
      </c>
      <c r="J6317" s="1" t="str">
        <f t="shared" ref="J6317:N6317" si="3755">"0"</f>
        <v>0</v>
      </c>
      <c r="K6317" s="1" t="str">
        <f t="shared" ref="K6317:K6349" si="3756">"103"</f>
        <v>103</v>
      </c>
      <c r="L6317" s="1" t="str">
        <f t="shared" ref="L6317:L6349" si="3757">"47"</f>
        <v>47</v>
      </c>
      <c r="M6317" s="1" t="str">
        <f t="shared" si="3755"/>
        <v>0</v>
      </c>
      <c r="N6317" s="1" t="str">
        <f t="shared" si="3755"/>
        <v>0</v>
      </c>
      <c r="O6317" s="1" t="str">
        <f>"7.09"</f>
        <v>7.09</v>
      </c>
    </row>
    <row r="6318" s="1" customFormat="1" spans="1:15">
      <c r="A6318" s="1" t="str">
        <f t="shared" si="3704"/>
        <v>202406</v>
      </c>
      <c r="B6318" s="1" t="str">
        <f t="shared" si="3705"/>
        <v>150525100</v>
      </c>
      <c r="C6318" s="1" t="str">
        <f>"1014584105"</f>
        <v>1014584105</v>
      </c>
      <c r="D6318" s="1" t="str">
        <f>"152326195806220422"</f>
        <v>152326195806220422</v>
      </c>
      <c r="E6318" s="1" t="s">
        <v>905</v>
      </c>
      <c r="F6318" s="1" t="s">
        <v>16</v>
      </c>
      <c r="G6318" s="1" t="s">
        <v>17</v>
      </c>
      <c r="H6318" s="1" t="str">
        <f t="shared" si="3754"/>
        <v>66</v>
      </c>
      <c r="I6318" s="1" t="str">
        <f>"157.1"</f>
        <v>157.1</v>
      </c>
      <c r="J6318" s="1" t="str">
        <f t="shared" ref="J6318:N6318" si="3758">"0"</f>
        <v>0</v>
      </c>
      <c r="K6318" s="1" t="str">
        <f t="shared" si="3756"/>
        <v>103</v>
      </c>
      <c r="L6318" s="1" t="str">
        <f t="shared" si="3757"/>
        <v>47</v>
      </c>
      <c r="M6318" s="1" t="str">
        <f t="shared" si="3758"/>
        <v>0</v>
      </c>
      <c r="N6318" s="1" t="str">
        <f t="shared" si="3758"/>
        <v>0</v>
      </c>
      <c r="O6318" s="1" t="str">
        <f>"7.1"</f>
        <v>7.1</v>
      </c>
    </row>
    <row r="6319" s="1" customFormat="1" spans="1:15">
      <c r="A6319" s="1" t="str">
        <f t="shared" si="3704"/>
        <v>202406</v>
      </c>
      <c r="B6319" s="1" t="str">
        <f t="shared" si="3705"/>
        <v>150525100</v>
      </c>
      <c r="C6319" s="1" t="str">
        <f>"1014584120"</f>
        <v>1014584120</v>
      </c>
      <c r="D6319" s="1" t="str">
        <f>"152326195901250419"</f>
        <v>152326195901250419</v>
      </c>
      <c r="E6319" s="1" t="s">
        <v>6163</v>
      </c>
      <c r="F6319" s="1" t="s">
        <v>25</v>
      </c>
      <c r="G6319" s="1" t="s">
        <v>17</v>
      </c>
      <c r="H6319" s="1" t="str">
        <f>"65"</f>
        <v>65</v>
      </c>
      <c r="I6319" s="1" t="str">
        <f>"158.1"</f>
        <v>158.1</v>
      </c>
      <c r="J6319" s="1" t="str">
        <f t="shared" ref="J6319:N6319" si="3759">"0"</f>
        <v>0</v>
      </c>
      <c r="K6319" s="1" t="str">
        <f t="shared" si="3756"/>
        <v>103</v>
      </c>
      <c r="L6319" s="1" t="str">
        <f t="shared" si="3757"/>
        <v>47</v>
      </c>
      <c r="M6319" s="1" t="str">
        <f t="shared" si="3759"/>
        <v>0</v>
      </c>
      <c r="N6319" s="1" t="str">
        <f t="shared" si="3759"/>
        <v>0</v>
      </c>
      <c r="O6319" s="1" t="str">
        <f>"8.1"</f>
        <v>8.1</v>
      </c>
    </row>
    <row r="6320" s="1" customFormat="1" spans="1:15">
      <c r="A6320" s="1" t="str">
        <f t="shared" si="3704"/>
        <v>202406</v>
      </c>
      <c r="B6320" s="1" t="str">
        <f t="shared" si="3705"/>
        <v>150525100</v>
      </c>
      <c r="C6320" s="1" t="str">
        <f>"1014549659"</f>
        <v>1014549659</v>
      </c>
      <c r="D6320" s="1" t="s">
        <v>6164</v>
      </c>
      <c r="E6320" s="1" t="s">
        <v>6165</v>
      </c>
      <c r="F6320" s="1" t="s">
        <v>25</v>
      </c>
      <c r="G6320" s="1" t="s">
        <v>17</v>
      </c>
      <c r="H6320" s="1" t="str">
        <f>"66"</f>
        <v>66</v>
      </c>
      <c r="I6320" s="1" t="str">
        <f>"157.08"</f>
        <v>157.08</v>
      </c>
      <c r="J6320" s="1" t="str">
        <f t="shared" ref="J6320:N6320" si="3760">"0"</f>
        <v>0</v>
      </c>
      <c r="K6320" s="1" t="str">
        <f t="shared" si="3756"/>
        <v>103</v>
      </c>
      <c r="L6320" s="1" t="str">
        <f t="shared" si="3757"/>
        <v>47</v>
      </c>
      <c r="M6320" s="1" t="str">
        <f t="shared" si="3760"/>
        <v>0</v>
      </c>
      <c r="N6320" s="1" t="str">
        <f t="shared" si="3760"/>
        <v>0</v>
      </c>
      <c r="O6320" s="1" t="str">
        <f>"7.08"</f>
        <v>7.08</v>
      </c>
    </row>
    <row r="6321" s="1" customFormat="1" spans="1:15">
      <c r="A6321" s="1" t="str">
        <f t="shared" si="3704"/>
        <v>202406</v>
      </c>
      <c r="B6321" s="1" t="str">
        <f t="shared" si="3705"/>
        <v>150525100</v>
      </c>
      <c r="C6321" s="1" t="str">
        <f>"1014549670"</f>
        <v>1014549670</v>
      </c>
      <c r="D6321" s="1" t="s">
        <v>6166</v>
      </c>
      <c r="E6321" s="1" t="s">
        <v>6167</v>
      </c>
      <c r="F6321" s="1" t="s">
        <v>16</v>
      </c>
      <c r="G6321" s="1" t="s">
        <v>17</v>
      </c>
      <c r="H6321" s="1" t="str">
        <f>"65"</f>
        <v>65</v>
      </c>
      <c r="I6321" s="1" t="str">
        <f>"159.15"</f>
        <v>159.15</v>
      </c>
      <c r="J6321" s="1" t="str">
        <f t="shared" ref="J6321:N6321" si="3761">"0"</f>
        <v>0</v>
      </c>
      <c r="K6321" s="1" t="str">
        <f t="shared" si="3756"/>
        <v>103</v>
      </c>
      <c r="L6321" s="1" t="str">
        <f t="shared" si="3757"/>
        <v>47</v>
      </c>
      <c r="M6321" s="1" t="str">
        <f t="shared" si="3761"/>
        <v>0</v>
      </c>
      <c r="N6321" s="1" t="str">
        <f t="shared" si="3761"/>
        <v>0</v>
      </c>
      <c r="O6321" s="1" t="str">
        <f>"9.15"</f>
        <v>9.15</v>
      </c>
    </row>
    <row r="6322" s="1" customFormat="1" spans="1:15">
      <c r="A6322" s="1" t="str">
        <f t="shared" si="3704"/>
        <v>202406</v>
      </c>
      <c r="B6322" s="1" t="str">
        <f t="shared" si="3705"/>
        <v>150525100</v>
      </c>
      <c r="C6322" s="1" t="str">
        <f>"1014550175"</f>
        <v>1014550175</v>
      </c>
      <c r="D6322" s="1" t="str">
        <f>"152326195707023079"</f>
        <v>152326195707023079</v>
      </c>
      <c r="E6322" s="1" t="s">
        <v>6168</v>
      </c>
      <c r="F6322" s="1" t="s">
        <v>25</v>
      </c>
      <c r="G6322" s="1" t="s">
        <v>17</v>
      </c>
      <c r="H6322" s="1" t="str">
        <f t="shared" ref="H6322:H6324" si="3762">"67"</f>
        <v>67</v>
      </c>
      <c r="I6322" s="1" t="str">
        <f>"156.08"</f>
        <v>156.08</v>
      </c>
      <c r="J6322" s="1" t="str">
        <f t="shared" ref="J6322:N6322" si="3763">"0"</f>
        <v>0</v>
      </c>
      <c r="K6322" s="1" t="str">
        <f t="shared" si="3756"/>
        <v>103</v>
      </c>
      <c r="L6322" s="1" t="str">
        <f t="shared" si="3757"/>
        <v>47</v>
      </c>
      <c r="M6322" s="1" t="str">
        <f t="shared" si="3763"/>
        <v>0</v>
      </c>
      <c r="N6322" s="1" t="str">
        <f t="shared" si="3763"/>
        <v>0</v>
      </c>
      <c r="O6322" s="1" t="str">
        <f>"6.08"</f>
        <v>6.08</v>
      </c>
    </row>
    <row r="6323" s="1" customFormat="1" spans="1:15">
      <c r="A6323" s="1" t="str">
        <f t="shared" si="3704"/>
        <v>202406</v>
      </c>
      <c r="B6323" s="1" t="str">
        <f t="shared" si="3705"/>
        <v>150525100</v>
      </c>
      <c r="C6323" s="1" t="str">
        <f>"1014550176"</f>
        <v>1014550176</v>
      </c>
      <c r="D6323" s="1" t="str">
        <f>"152326195707153316"</f>
        <v>152326195707153316</v>
      </c>
      <c r="E6323" s="1" t="s">
        <v>6169</v>
      </c>
      <c r="F6323" s="1" t="s">
        <v>25</v>
      </c>
      <c r="G6323" s="1" t="s">
        <v>19</v>
      </c>
      <c r="H6323" s="1" t="str">
        <f t="shared" si="3762"/>
        <v>67</v>
      </c>
      <c r="I6323" s="1" t="str">
        <f>"156.08"</f>
        <v>156.08</v>
      </c>
      <c r="J6323" s="1" t="str">
        <f t="shared" ref="J6323:N6323" si="3764">"0"</f>
        <v>0</v>
      </c>
      <c r="K6323" s="1" t="str">
        <f t="shared" si="3756"/>
        <v>103</v>
      </c>
      <c r="L6323" s="1" t="str">
        <f t="shared" si="3757"/>
        <v>47</v>
      </c>
      <c r="M6323" s="1" t="str">
        <f t="shared" si="3764"/>
        <v>0</v>
      </c>
      <c r="N6323" s="1" t="str">
        <f t="shared" si="3764"/>
        <v>0</v>
      </c>
      <c r="O6323" s="1" t="str">
        <f>"6.08"</f>
        <v>6.08</v>
      </c>
    </row>
    <row r="6324" s="1" customFormat="1" spans="1:15">
      <c r="A6324" s="1" t="str">
        <f t="shared" si="3704"/>
        <v>202406</v>
      </c>
      <c r="B6324" s="1" t="str">
        <f t="shared" si="3705"/>
        <v>150525100</v>
      </c>
      <c r="C6324" s="1" t="str">
        <f>"1014550188"</f>
        <v>1014550188</v>
      </c>
      <c r="D6324" s="1" t="str">
        <f>"152326195710070669"</f>
        <v>152326195710070669</v>
      </c>
      <c r="E6324" s="1" t="s">
        <v>6170</v>
      </c>
      <c r="F6324" s="1" t="s">
        <v>16</v>
      </c>
      <c r="G6324" s="1" t="s">
        <v>19</v>
      </c>
      <c r="H6324" s="1" t="str">
        <f t="shared" si="3762"/>
        <v>67</v>
      </c>
      <c r="I6324" s="1" t="str">
        <f>"156.11"</f>
        <v>156.11</v>
      </c>
      <c r="J6324" s="1" t="str">
        <f t="shared" ref="J6324:N6324" si="3765">"0"</f>
        <v>0</v>
      </c>
      <c r="K6324" s="1" t="str">
        <f t="shared" si="3756"/>
        <v>103</v>
      </c>
      <c r="L6324" s="1" t="str">
        <f t="shared" si="3757"/>
        <v>47</v>
      </c>
      <c r="M6324" s="1" t="str">
        <f t="shared" si="3765"/>
        <v>0</v>
      </c>
      <c r="N6324" s="1" t="str">
        <f t="shared" si="3765"/>
        <v>0</v>
      </c>
      <c r="O6324" s="1" t="str">
        <f>"6.11"</f>
        <v>6.11</v>
      </c>
    </row>
    <row r="6325" s="1" customFormat="1" spans="1:15">
      <c r="A6325" s="1" t="str">
        <f t="shared" si="3704"/>
        <v>202406</v>
      </c>
      <c r="B6325" s="1" t="str">
        <f t="shared" si="3705"/>
        <v>150525100</v>
      </c>
      <c r="C6325" s="1" t="str">
        <f>"1014550667"</f>
        <v>1014550667</v>
      </c>
      <c r="D6325" s="1" t="str">
        <f>"152326195303093089"</f>
        <v>152326195303093089</v>
      </c>
      <c r="E6325" s="1" t="s">
        <v>6171</v>
      </c>
      <c r="F6325" s="1" t="s">
        <v>16</v>
      </c>
      <c r="G6325" s="1" t="s">
        <v>19</v>
      </c>
      <c r="H6325" s="1" t="str">
        <f t="shared" ref="H6325:H6327" si="3766">"71"</f>
        <v>71</v>
      </c>
      <c r="I6325" s="1" t="str">
        <f t="shared" ref="I6325:I6327" si="3767">"163.16"</f>
        <v>163.16</v>
      </c>
      <c r="J6325" s="1" t="str">
        <f t="shared" ref="J6325:N6325" si="3768">"0"</f>
        <v>0</v>
      </c>
      <c r="K6325" s="1" t="str">
        <f t="shared" si="3756"/>
        <v>103</v>
      </c>
      <c r="L6325" s="1" t="str">
        <f t="shared" si="3757"/>
        <v>47</v>
      </c>
      <c r="M6325" s="1" t="str">
        <f t="shared" si="3768"/>
        <v>0</v>
      </c>
      <c r="N6325" s="1" t="str">
        <f t="shared" si="3768"/>
        <v>0</v>
      </c>
      <c r="O6325" s="1" t="str">
        <f t="shared" ref="O6325:O6327" si="3769">"3.16"</f>
        <v>3.16</v>
      </c>
    </row>
    <row r="6326" s="1" customFormat="1" spans="1:15">
      <c r="A6326" s="1" t="str">
        <f t="shared" si="3704"/>
        <v>202406</v>
      </c>
      <c r="B6326" s="1" t="str">
        <f t="shared" si="3705"/>
        <v>150525100</v>
      </c>
      <c r="C6326" s="1" t="str">
        <f>"1014550679"</f>
        <v>1014550679</v>
      </c>
      <c r="D6326" s="1" t="str">
        <f>"152326195306200660"</f>
        <v>152326195306200660</v>
      </c>
      <c r="E6326" s="1" t="s">
        <v>1293</v>
      </c>
      <c r="F6326" s="1" t="s">
        <v>16</v>
      </c>
      <c r="G6326" s="1" t="s">
        <v>17</v>
      </c>
      <c r="H6326" s="1" t="str">
        <f t="shared" si="3766"/>
        <v>71</v>
      </c>
      <c r="I6326" s="1" t="str">
        <f t="shared" si="3767"/>
        <v>163.16</v>
      </c>
      <c r="J6326" s="1" t="str">
        <f t="shared" ref="J6326:N6326" si="3770">"0"</f>
        <v>0</v>
      </c>
      <c r="K6326" s="1" t="str">
        <f t="shared" si="3756"/>
        <v>103</v>
      </c>
      <c r="L6326" s="1" t="str">
        <f t="shared" si="3757"/>
        <v>47</v>
      </c>
      <c r="M6326" s="1" t="str">
        <f t="shared" si="3770"/>
        <v>0</v>
      </c>
      <c r="N6326" s="1" t="str">
        <f t="shared" si="3770"/>
        <v>0</v>
      </c>
      <c r="O6326" s="1" t="str">
        <f t="shared" si="3769"/>
        <v>3.16</v>
      </c>
    </row>
    <row r="6327" s="1" customFormat="1" spans="1:15">
      <c r="A6327" s="1" t="str">
        <f t="shared" si="3704"/>
        <v>202406</v>
      </c>
      <c r="B6327" s="1" t="str">
        <f t="shared" si="3705"/>
        <v>150525100</v>
      </c>
      <c r="C6327" s="1" t="str">
        <f>"1014550680"</f>
        <v>1014550680</v>
      </c>
      <c r="D6327" s="1" t="str">
        <f>"152326195306240662"</f>
        <v>152326195306240662</v>
      </c>
      <c r="E6327" s="1" t="s">
        <v>6172</v>
      </c>
      <c r="F6327" s="1" t="s">
        <v>16</v>
      </c>
      <c r="G6327" s="1" t="s">
        <v>19</v>
      </c>
      <c r="H6327" s="1" t="str">
        <f t="shared" si="3766"/>
        <v>71</v>
      </c>
      <c r="I6327" s="1" t="str">
        <f t="shared" si="3767"/>
        <v>163.16</v>
      </c>
      <c r="J6327" s="1" t="str">
        <f t="shared" ref="J6327:N6327" si="3771">"0"</f>
        <v>0</v>
      </c>
      <c r="K6327" s="1" t="str">
        <f t="shared" si="3756"/>
        <v>103</v>
      </c>
      <c r="L6327" s="1" t="str">
        <f t="shared" si="3757"/>
        <v>47</v>
      </c>
      <c r="M6327" s="1" t="str">
        <f t="shared" si="3771"/>
        <v>0</v>
      </c>
      <c r="N6327" s="1" t="str">
        <f t="shared" si="3771"/>
        <v>0</v>
      </c>
      <c r="O6327" s="1" t="str">
        <f t="shared" si="3769"/>
        <v>3.16</v>
      </c>
    </row>
    <row r="6328" s="1" customFormat="1" spans="1:15">
      <c r="A6328" s="1" t="str">
        <f t="shared" si="3704"/>
        <v>202406</v>
      </c>
      <c r="B6328" s="1" t="str">
        <f t="shared" si="3705"/>
        <v>150525100</v>
      </c>
      <c r="C6328" s="1" t="str">
        <f>"1040642172"</f>
        <v>1040642172</v>
      </c>
      <c r="D6328" s="1" t="str">
        <f>"152326196103223322"</f>
        <v>152326196103223322</v>
      </c>
      <c r="E6328" s="1" t="s">
        <v>6173</v>
      </c>
      <c r="F6328" s="1" t="s">
        <v>16</v>
      </c>
      <c r="G6328" s="1" t="s">
        <v>19</v>
      </c>
      <c r="H6328" s="1" t="str">
        <f>"63"</f>
        <v>63</v>
      </c>
      <c r="I6328" s="1" t="str">
        <f>"160.41"</f>
        <v>160.41</v>
      </c>
      <c r="J6328" s="1" t="str">
        <f t="shared" ref="J6328:N6328" si="3772">"0"</f>
        <v>0</v>
      </c>
      <c r="K6328" s="1" t="str">
        <f t="shared" si="3756"/>
        <v>103</v>
      </c>
      <c r="L6328" s="1" t="str">
        <f t="shared" si="3757"/>
        <v>47</v>
      </c>
      <c r="M6328" s="1" t="str">
        <f t="shared" si="3772"/>
        <v>0</v>
      </c>
      <c r="N6328" s="1" t="str">
        <f t="shared" si="3772"/>
        <v>0</v>
      </c>
      <c r="O6328" s="1" t="str">
        <f>"10.41"</f>
        <v>10.41</v>
      </c>
    </row>
    <row r="6329" s="1" customFormat="1" spans="1:15">
      <c r="A6329" s="1" t="str">
        <f t="shared" si="3704"/>
        <v>202406</v>
      </c>
      <c r="B6329" s="1" t="str">
        <f t="shared" si="3705"/>
        <v>150525100</v>
      </c>
      <c r="C6329" s="1" t="str">
        <f>"1040642227"</f>
        <v>1040642227</v>
      </c>
      <c r="D6329" s="1" t="str">
        <f>"152326195805253353"</f>
        <v>152326195805253353</v>
      </c>
      <c r="E6329" s="1" t="s">
        <v>794</v>
      </c>
      <c r="F6329" s="1" t="s">
        <v>25</v>
      </c>
      <c r="G6329" s="1" t="s">
        <v>19</v>
      </c>
      <c r="H6329" s="1" t="str">
        <f>"66"</f>
        <v>66</v>
      </c>
      <c r="I6329" s="1" t="str">
        <f>"206.17"</f>
        <v>206.17</v>
      </c>
      <c r="J6329" s="1" t="str">
        <f t="shared" ref="J6329:N6329" si="3773">"0"</f>
        <v>0</v>
      </c>
      <c r="K6329" s="1" t="str">
        <f t="shared" si="3756"/>
        <v>103</v>
      </c>
      <c r="L6329" s="1" t="str">
        <f t="shared" si="3757"/>
        <v>47</v>
      </c>
      <c r="M6329" s="1" t="str">
        <f t="shared" si="3773"/>
        <v>0</v>
      </c>
      <c r="N6329" s="1" t="str">
        <f t="shared" si="3773"/>
        <v>0</v>
      </c>
      <c r="O6329" s="1" t="str">
        <f>"56.17"</f>
        <v>56.17</v>
      </c>
    </row>
    <row r="6330" s="1" customFormat="1" spans="1:15">
      <c r="A6330" s="1" t="str">
        <f t="shared" si="3704"/>
        <v>202406</v>
      </c>
      <c r="B6330" s="1" t="str">
        <f t="shared" si="3705"/>
        <v>150525100</v>
      </c>
      <c r="C6330" s="1" t="str">
        <f>"1040642238"</f>
        <v>1040642238</v>
      </c>
      <c r="D6330" s="1" t="s">
        <v>6174</v>
      </c>
      <c r="E6330" s="1" t="s">
        <v>6175</v>
      </c>
      <c r="F6330" s="1" t="s">
        <v>25</v>
      </c>
      <c r="G6330" s="1" t="s">
        <v>19</v>
      </c>
      <c r="H6330" s="1" t="str">
        <f>"70"</f>
        <v>70</v>
      </c>
      <c r="I6330" s="1" t="str">
        <f>"153.56"</f>
        <v>153.56</v>
      </c>
      <c r="J6330" s="1" t="str">
        <f t="shared" ref="J6330:N6330" si="3774">"0"</f>
        <v>0</v>
      </c>
      <c r="K6330" s="1" t="str">
        <f t="shared" si="3756"/>
        <v>103</v>
      </c>
      <c r="L6330" s="1" t="str">
        <f t="shared" si="3757"/>
        <v>47</v>
      </c>
      <c r="M6330" s="1" t="str">
        <f t="shared" si="3774"/>
        <v>0</v>
      </c>
      <c r="N6330" s="1" t="str">
        <f t="shared" si="3774"/>
        <v>0</v>
      </c>
      <c r="O6330" s="1" t="str">
        <f>"3.56"</f>
        <v>3.56</v>
      </c>
    </row>
    <row r="6331" s="1" customFormat="1" spans="1:15">
      <c r="A6331" s="1" t="str">
        <f t="shared" si="3704"/>
        <v>202406</v>
      </c>
      <c r="B6331" s="1" t="str">
        <f t="shared" si="3705"/>
        <v>150525100</v>
      </c>
      <c r="C6331" s="1" t="str">
        <f>"1040641606"</f>
        <v>1040641606</v>
      </c>
      <c r="D6331" s="1" t="str">
        <f>"152326195712010926"</f>
        <v>152326195712010926</v>
      </c>
      <c r="E6331" s="1" t="s">
        <v>6176</v>
      </c>
      <c r="F6331" s="1" t="s">
        <v>16</v>
      </c>
      <c r="G6331" s="1" t="s">
        <v>19</v>
      </c>
      <c r="H6331" s="1" t="str">
        <f>"67"</f>
        <v>67</v>
      </c>
      <c r="I6331" s="1" t="str">
        <f>"155.87"</f>
        <v>155.87</v>
      </c>
      <c r="J6331" s="1" t="str">
        <f t="shared" ref="J6331:N6331" si="3775">"0"</f>
        <v>0</v>
      </c>
      <c r="K6331" s="1" t="str">
        <f t="shared" si="3756"/>
        <v>103</v>
      </c>
      <c r="L6331" s="1" t="str">
        <f t="shared" si="3757"/>
        <v>47</v>
      </c>
      <c r="M6331" s="1" t="str">
        <f t="shared" si="3775"/>
        <v>0</v>
      </c>
      <c r="N6331" s="1" t="str">
        <f t="shared" si="3775"/>
        <v>0</v>
      </c>
      <c r="O6331" s="1" t="str">
        <f>"5.87"</f>
        <v>5.87</v>
      </c>
    </row>
    <row r="6332" s="1" customFormat="1" spans="1:15">
      <c r="A6332" s="1" t="str">
        <f t="shared" si="3704"/>
        <v>202406</v>
      </c>
      <c r="B6332" s="1" t="str">
        <f t="shared" si="3705"/>
        <v>150525100</v>
      </c>
      <c r="C6332" s="1" t="str">
        <f>"1040641609"</f>
        <v>1040641609</v>
      </c>
      <c r="D6332" s="1" t="str">
        <f>"152326195704260917"</f>
        <v>152326195704260917</v>
      </c>
      <c r="E6332" s="1" t="s">
        <v>6177</v>
      </c>
      <c r="F6332" s="1" t="s">
        <v>25</v>
      </c>
      <c r="G6332" s="1" t="s">
        <v>19</v>
      </c>
      <c r="H6332" s="1" t="str">
        <f>"67"</f>
        <v>67</v>
      </c>
      <c r="I6332" s="1" t="str">
        <f>"155.02"</f>
        <v>155.02</v>
      </c>
      <c r="J6332" s="1" t="str">
        <f t="shared" ref="J6332:N6332" si="3776">"0"</f>
        <v>0</v>
      </c>
      <c r="K6332" s="1" t="str">
        <f t="shared" si="3756"/>
        <v>103</v>
      </c>
      <c r="L6332" s="1" t="str">
        <f t="shared" si="3757"/>
        <v>47</v>
      </c>
      <c r="M6332" s="1" t="str">
        <f t="shared" si="3776"/>
        <v>0</v>
      </c>
      <c r="N6332" s="1" t="str">
        <f t="shared" si="3776"/>
        <v>0</v>
      </c>
      <c r="O6332" s="1" t="str">
        <f>"5.02"</f>
        <v>5.02</v>
      </c>
    </row>
    <row r="6333" s="1" customFormat="1" spans="1:15">
      <c r="A6333" s="1" t="str">
        <f t="shared" si="3704"/>
        <v>202406</v>
      </c>
      <c r="B6333" s="1" t="str">
        <f t="shared" si="3705"/>
        <v>150525100</v>
      </c>
      <c r="C6333" s="1" t="str">
        <f>"1040641613"</f>
        <v>1040641613</v>
      </c>
      <c r="D6333" s="1" t="str">
        <f>"152326196110030924"</f>
        <v>152326196110030924</v>
      </c>
      <c r="E6333" s="1" t="s">
        <v>899</v>
      </c>
      <c r="F6333" s="1" t="s">
        <v>16</v>
      </c>
      <c r="G6333" s="1" t="s">
        <v>19</v>
      </c>
      <c r="H6333" s="1" t="str">
        <f>"63"</f>
        <v>63</v>
      </c>
      <c r="I6333" s="1" t="str">
        <f>"161.82"</f>
        <v>161.82</v>
      </c>
      <c r="J6333" s="1" t="str">
        <f t="shared" ref="J6333:N6333" si="3777">"0"</f>
        <v>0</v>
      </c>
      <c r="K6333" s="1" t="str">
        <f t="shared" si="3756"/>
        <v>103</v>
      </c>
      <c r="L6333" s="1" t="str">
        <f t="shared" si="3757"/>
        <v>47</v>
      </c>
      <c r="M6333" s="1" t="str">
        <f t="shared" si="3777"/>
        <v>0</v>
      </c>
      <c r="N6333" s="1" t="str">
        <f t="shared" si="3777"/>
        <v>0</v>
      </c>
      <c r="O6333" s="1" t="str">
        <f>"11.82"</f>
        <v>11.82</v>
      </c>
    </row>
    <row r="6334" s="1" customFormat="1" spans="1:15">
      <c r="A6334" s="1" t="str">
        <f t="shared" si="3704"/>
        <v>202406</v>
      </c>
      <c r="B6334" s="1" t="str">
        <f t="shared" si="3705"/>
        <v>150525100</v>
      </c>
      <c r="C6334" s="1" t="str">
        <f>"1014562636"</f>
        <v>1014562636</v>
      </c>
      <c r="D6334" s="1" t="s">
        <v>6178</v>
      </c>
      <c r="E6334" s="1" t="s">
        <v>6179</v>
      </c>
      <c r="F6334" s="1" t="s">
        <v>25</v>
      </c>
      <c r="G6334" s="1" t="s">
        <v>19</v>
      </c>
      <c r="H6334" s="1" t="str">
        <f>"65"</f>
        <v>65</v>
      </c>
      <c r="I6334" s="1" t="str">
        <f>"158.17"</f>
        <v>158.17</v>
      </c>
      <c r="J6334" s="1" t="str">
        <f t="shared" ref="J6334:N6334" si="3778">"0"</f>
        <v>0</v>
      </c>
      <c r="K6334" s="1" t="str">
        <f t="shared" si="3756"/>
        <v>103</v>
      </c>
      <c r="L6334" s="1" t="str">
        <f t="shared" si="3757"/>
        <v>47</v>
      </c>
      <c r="M6334" s="1" t="str">
        <f t="shared" si="3778"/>
        <v>0</v>
      </c>
      <c r="N6334" s="1" t="str">
        <f t="shared" si="3778"/>
        <v>0</v>
      </c>
      <c r="O6334" s="1" t="str">
        <f>"8.17"</f>
        <v>8.17</v>
      </c>
    </row>
    <row r="6335" s="1" customFormat="1" spans="1:15">
      <c r="A6335" s="1" t="str">
        <f t="shared" si="3704"/>
        <v>202406</v>
      </c>
      <c r="B6335" s="1" t="str">
        <f t="shared" si="3705"/>
        <v>150525100</v>
      </c>
      <c r="C6335" s="1" t="str">
        <f>"1014550700"</f>
        <v>1014550700</v>
      </c>
      <c r="D6335" s="1" t="str">
        <f>"152326195311063322"</f>
        <v>152326195311063322</v>
      </c>
      <c r="E6335" s="1" t="s">
        <v>6180</v>
      </c>
      <c r="F6335" s="1" t="s">
        <v>16</v>
      </c>
      <c r="G6335" s="1" t="s">
        <v>17</v>
      </c>
      <c r="H6335" s="1" t="str">
        <f t="shared" ref="H6335:H6337" si="3779">"71"</f>
        <v>71</v>
      </c>
      <c r="I6335" s="1" t="str">
        <f t="shared" ref="I6335:I6337" si="3780">"163.16"</f>
        <v>163.16</v>
      </c>
      <c r="J6335" s="1" t="str">
        <f t="shared" ref="J6335:N6335" si="3781">"0"</f>
        <v>0</v>
      </c>
      <c r="K6335" s="1" t="str">
        <f t="shared" si="3756"/>
        <v>103</v>
      </c>
      <c r="L6335" s="1" t="str">
        <f t="shared" si="3757"/>
        <v>47</v>
      </c>
      <c r="M6335" s="1" t="str">
        <f t="shared" si="3781"/>
        <v>0</v>
      </c>
      <c r="N6335" s="1" t="str">
        <f t="shared" si="3781"/>
        <v>0</v>
      </c>
      <c r="O6335" s="1" t="str">
        <f t="shared" ref="O6335:O6337" si="3782">"3.16"</f>
        <v>3.16</v>
      </c>
    </row>
    <row r="6336" s="1" customFormat="1" spans="1:15">
      <c r="A6336" s="1" t="str">
        <f t="shared" si="3704"/>
        <v>202406</v>
      </c>
      <c r="B6336" s="1" t="str">
        <f t="shared" si="3705"/>
        <v>150525100</v>
      </c>
      <c r="C6336" s="1" t="str">
        <f>"1014550706"</f>
        <v>1014550706</v>
      </c>
      <c r="D6336" s="1" t="str">
        <f>"152326195312040667"</f>
        <v>152326195312040667</v>
      </c>
      <c r="E6336" s="1" t="s">
        <v>6181</v>
      </c>
      <c r="F6336" s="1" t="s">
        <v>16</v>
      </c>
      <c r="G6336" s="1" t="s">
        <v>17</v>
      </c>
      <c r="H6336" s="1" t="str">
        <f t="shared" si="3779"/>
        <v>71</v>
      </c>
      <c r="I6336" s="1" t="str">
        <f t="shared" si="3780"/>
        <v>163.16</v>
      </c>
      <c r="J6336" s="1" t="str">
        <f t="shared" ref="J6336:N6336" si="3783">"0"</f>
        <v>0</v>
      </c>
      <c r="K6336" s="1" t="str">
        <f t="shared" si="3756"/>
        <v>103</v>
      </c>
      <c r="L6336" s="1" t="str">
        <f t="shared" si="3757"/>
        <v>47</v>
      </c>
      <c r="M6336" s="1" t="str">
        <f t="shared" si="3783"/>
        <v>0</v>
      </c>
      <c r="N6336" s="1" t="str">
        <f t="shared" si="3783"/>
        <v>0</v>
      </c>
      <c r="O6336" s="1" t="str">
        <f t="shared" si="3782"/>
        <v>3.16</v>
      </c>
    </row>
    <row r="6337" s="1" customFormat="1" spans="1:15">
      <c r="A6337" s="1" t="str">
        <f t="shared" si="3704"/>
        <v>202406</v>
      </c>
      <c r="B6337" s="1" t="str">
        <f t="shared" si="3705"/>
        <v>150525100</v>
      </c>
      <c r="C6337" s="1" t="str">
        <f>"1014550707"</f>
        <v>1014550707</v>
      </c>
      <c r="D6337" s="1" t="str">
        <f>"152326195312133820"</f>
        <v>152326195312133820</v>
      </c>
      <c r="E6337" s="1" t="s">
        <v>2260</v>
      </c>
      <c r="F6337" s="1" t="s">
        <v>16</v>
      </c>
      <c r="G6337" s="1" t="s">
        <v>17</v>
      </c>
      <c r="H6337" s="1" t="str">
        <f t="shared" si="3779"/>
        <v>71</v>
      </c>
      <c r="I6337" s="1" t="str">
        <f t="shared" si="3780"/>
        <v>163.16</v>
      </c>
      <c r="J6337" s="1" t="str">
        <f t="shared" ref="J6337:N6337" si="3784">"0"</f>
        <v>0</v>
      </c>
      <c r="K6337" s="1" t="str">
        <f t="shared" si="3756"/>
        <v>103</v>
      </c>
      <c r="L6337" s="1" t="str">
        <f t="shared" si="3757"/>
        <v>47</v>
      </c>
      <c r="M6337" s="1" t="str">
        <f t="shared" si="3784"/>
        <v>0</v>
      </c>
      <c r="N6337" s="1" t="str">
        <f t="shared" si="3784"/>
        <v>0</v>
      </c>
      <c r="O6337" s="1" t="str">
        <f t="shared" si="3782"/>
        <v>3.16</v>
      </c>
    </row>
    <row r="6338" s="1" customFormat="1" spans="1:15">
      <c r="A6338" s="1" t="str">
        <f t="shared" ref="A6338:A6401" si="3785">"202406"</f>
        <v>202406</v>
      </c>
      <c r="B6338" s="1" t="str">
        <f t="shared" ref="B6338:B6401" si="3786">"150525100"</f>
        <v>150525100</v>
      </c>
      <c r="C6338" s="1" t="str">
        <f>"1014561142"</f>
        <v>1014561142</v>
      </c>
      <c r="D6338" s="1" t="str">
        <f>"152326195502220423"</f>
        <v>152326195502220423</v>
      </c>
      <c r="E6338" s="1" t="s">
        <v>6182</v>
      </c>
      <c r="F6338" s="1" t="s">
        <v>16</v>
      </c>
      <c r="G6338" s="1" t="s">
        <v>19</v>
      </c>
      <c r="H6338" s="1" t="str">
        <f t="shared" ref="H6338:H6341" si="3787">"69"</f>
        <v>69</v>
      </c>
      <c r="I6338" s="1" t="str">
        <f t="shared" ref="I6338:I6341" si="3788">"155.1"</f>
        <v>155.1</v>
      </c>
      <c r="J6338" s="1" t="str">
        <f t="shared" ref="J6338:N6338" si="3789">"0"</f>
        <v>0</v>
      </c>
      <c r="K6338" s="1" t="str">
        <f t="shared" si="3756"/>
        <v>103</v>
      </c>
      <c r="L6338" s="1" t="str">
        <f t="shared" si="3757"/>
        <v>47</v>
      </c>
      <c r="M6338" s="1" t="str">
        <f t="shared" si="3789"/>
        <v>0</v>
      </c>
      <c r="N6338" s="1" t="str">
        <f t="shared" si="3789"/>
        <v>0</v>
      </c>
      <c r="O6338" s="1" t="str">
        <f t="shared" ref="O6338:O6341" si="3790">"5.1"</f>
        <v>5.1</v>
      </c>
    </row>
    <row r="6339" s="1" customFormat="1" spans="1:15">
      <c r="A6339" s="1" t="str">
        <f t="shared" si="3785"/>
        <v>202406</v>
      </c>
      <c r="B6339" s="1" t="str">
        <f t="shared" si="3786"/>
        <v>150525100</v>
      </c>
      <c r="C6339" s="1" t="str">
        <f>"1014561143"</f>
        <v>1014561143</v>
      </c>
      <c r="D6339" s="1" t="str">
        <f>"152326195502240424"</f>
        <v>152326195502240424</v>
      </c>
      <c r="E6339" s="1" t="s">
        <v>587</v>
      </c>
      <c r="F6339" s="1" t="s">
        <v>16</v>
      </c>
      <c r="G6339" s="1" t="s">
        <v>17</v>
      </c>
      <c r="H6339" s="1" t="str">
        <f t="shared" si="3787"/>
        <v>69</v>
      </c>
      <c r="I6339" s="1" t="str">
        <f t="shared" si="3788"/>
        <v>155.1</v>
      </c>
      <c r="J6339" s="1" t="str">
        <f t="shared" ref="J6339:N6339" si="3791">"0"</f>
        <v>0</v>
      </c>
      <c r="K6339" s="1" t="str">
        <f t="shared" si="3756"/>
        <v>103</v>
      </c>
      <c r="L6339" s="1" t="str">
        <f t="shared" si="3757"/>
        <v>47</v>
      </c>
      <c r="M6339" s="1" t="str">
        <f t="shared" si="3791"/>
        <v>0</v>
      </c>
      <c r="N6339" s="1" t="str">
        <f t="shared" si="3791"/>
        <v>0</v>
      </c>
      <c r="O6339" s="1" t="str">
        <f t="shared" si="3790"/>
        <v>5.1</v>
      </c>
    </row>
    <row r="6340" s="1" customFormat="1" spans="1:15">
      <c r="A6340" s="1" t="str">
        <f t="shared" si="3785"/>
        <v>202406</v>
      </c>
      <c r="B6340" s="1" t="str">
        <f t="shared" si="3786"/>
        <v>150525100</v>
      </c>
      <c r="C6340" s="1" t="str">
        <f>"1014561144"</f>
        <v>1014561144</v>
      </c>
      <c r="D6340" s="1" t="str">
        <f>"152326195502270420"</f>
        <v>152326195502270420</v>
      </c>
      <c r="E6340" s="1" t="s">
        <v>2656</v>
      </c>
      <c r="F6340" s="1" t="s">
        <v>16</v>
      </c>
      <c r="G6340" s="1" t="s">
        <v>17</v>
      </c>
      <c r="H6340" s="1" t="str">
        <f t="shared" si="3787"/>
        <v>69</v>
      </c>
      <c r="I6340" s="1" t="str">
        <f t="shared" si="3788"/>
        <v>155.1</v>
      </c>
      <c r="J6340" s="1" t="str">
        <f t="shared" ref="J6340:N6340" si="3792">"0"</f>
        <v>0</v>
      </c>
      <c r="K6340" s="1" t="str">
        <f t="shared" si="3756"/>
        <v>103</v>
      </c>
      <c r="L6340" s="1" t="str">
        <f t="shared" si="3757"/>
        <v>47</v>
      </c>
      <c r="M6340" s="1" t="str">
        <f t="shared" si="3792"/>
        <v>0</v>
      </c>
      <c r="N6340" s="1" t="str">
        <f t="shared" si="3792"/>
        <v>0</v>
      </c>
      <c r="O6340" s="1" t="str">
        <f t="shared" si="3790"/>
        <v>5.1</v>
      </c>
    </row>
    <row r="6341" s="1" customFormat="1" spans="1:15">
      <c r="A6341" s="1" t="str">
        <f t="shared" si="3785"/>
        <v>202406</v>
      </c>
      <c r="B6341" s="1" t="str">
        <f t="shared" si="3786"/>
        <v>150525100</v>
      </c>
      <c r="C6341" s="1" t="str">
        <f>"1014561154"</f>
        <v>1014561154</v>
      </c>
      <c r="D6341" s="1" t="str">
        <f>"152326195504160428"</f>
        <v>152326195504160428</v>
      </c>
      <c r="E6341" s="1" t="s">
        <v>5991</v>
      </c>
      <c r="F6341" s="1" t="s">
        <v>16</v>
      </c>
      <c r="G6341" s="1" t="s">
        <v>17</v>
      </c>
      <c r="H6341" s="1" t="str">
        <f t="shared" si="3787"/>
        <v>69</v>
      </c>
      <c r="I6341" s="1" t="str">
        <f t="shared" si="3788"/>
        <v>155.1</v>
      </c>
      <c r="J6341" s="1" t="str">
        <f t="shared" ref="J6341:N6341" si="3793">"0"</f>
        <v>0</v>
      </c>
      <c r="K6341" s="1" t="str">
        <f t="shared" si="3756"/>
        <v>103</v>
      </c>
      <c r="L6341" s="1" t="str">
        <f t="shared" si="3757"/>
        <v>47</v>
      </c>
      <c r="M6341" s="1" t="str">
        <f t="shared" si="3793"/>
        <v>0</v>
      </c>
      <c r="N6341" s="1" t="str">
        <f t="shared" si="3793"/>
        <v>0</v>
      </c>
      <c r="O6341" s="1" t="str">
        <f t="shared" si="3790"/>
        <v>5.1</v>
      </c>
    </row>
    <row r="6342" s="1" customFormat="1" spans="1:15">
      <c r="A6342" s="1" t="str">
        <f t="shared" si="3785"/>
        <v>202406</v>
      </c>
      <c r="B6342" s="1" t="str">
        <f t="shared" si="3786"/>
        <v>150525100</v>
      </c>
      <c r="C6342" s="1" t="str">
        <f>"1014562650"</f>
        <v>1014562650</v>
      </c>
      <c r="D6342" s="1" t="str">
        <f>"152326195412120410"</f>
        <v>152326195412120410</v>
      </c>
      <c r="E6342" s="1" t="s">
        <v>6183</v>
      </c>
      <c r="F6342" s="1" t="s">
        <v>25</v>
      </c>
      <c r="G6342" s="1" t="s">
        <v>17</v>
      </c>
      <c r="H6342" s="1" t="str">
        <f>"70"</f>
        <v>70</v>
      </c>
      <c r="I6342" s="1" t="str">
        <f>"156.73"</f>
        <v>156.73</v>
      </c>
      <c r="J6342" s="1" t="str">
        <f t="shared" ref="J6342:N6342" si="3794">"0"</f>
        <v>0</v>
      </c>
      <c r="K6342" s="1" t="str">
        <f t="shared" si="3756"/>
        <v>103</v>
      </c>
      <c r="L6342" s="1" t="str">
        <f t="shared" si="3757"/>
        <v>47</v>
      </c>
      <c r="M6342" s="1" t="str">
        <f t="shared" si="3794"/>
        <v>0</v>
      </c>
      <c r="N6342" s="1" t="str">
        <f t="shared" si="3794"/>
        <v>0</v>
      </c>
      <c r="O6342" s="1" t="str">
        <f>"6.73"</f>
        <v>6.73</v>
      </c>
    </row>
    <row r="6343" s="1" customFormat="1" spans="1:15">
      <c r="A6343" s="1" t="str">
        <f t="shared" si="3785"/>
        <v>202406</v>
      </c>
      <c r="B6343" s="1" t="str">
        <f t="shared" si="3786"/>
        <v>150525100</v>
      </c>
      <c r="C6343" s="1" t="str">
        <f>"1014583848"</f>
        <v>1014583848</v>
      </c>
      <c r="D6343" s="1" t="str">
        <f>"152326195909290423"</f>
        <v>152326195909290423</v>
      </c>
      <c r="E6343" s="1" t="s">
        <v>6184</v>
      </c>
      <c r="F6343" s="1" t="s">
        <v>16</v>
      </c>
      <c r="G6343" s="1" t="s">
        <v>19</v>
      </c>
      <c r="H6343" s="1" t="str">
        <f t="shared" ref="H6343:H6348" si="3795">"65"</f>
        <v>65</v>
      </c>
      <c r="I6343" s="1" t="str">
        <f>"158.18"</f>
        <v>158.18</v>
      </c>
      <c r="J6343" s="1" t="str">
        <f t="shared" ref="J6343:N6343" si="3796">"0"</f>
        <v>0</v>
      </c>
      <c r="K6343" s="1" t="str">
        <f t="shared" si="3756"/>
        <v>103</v>
      </c>
      <c r="L6343" s="1" t="str">
        <f t="shared" si="3757"/>
        <v>47</v>
      </c>
      <c r="M6343" s="1" t="str">
        <f t="shared" si="3796"/>
        <v>0</v>
      </c>
      <c r="N6343" s="1" t="str">
        <f t="shared" si="3796"/>
        <v>0</v>
      </c>
      <c r="O6343" s="1" t="str">
        <f>"8.18"</f>
        <v>8.18</v>
      </c>
    </row>
    <row r="6344" s="1" customFormat="1" spans="1:15">
      <c r="A6344" s="1" t="str">
        <f t="shared" si="3785"/>
        <v>202406</v>
      </c>
      <c r="B6344" s="1" t="str">
        <f t="shared" si="3786"/>
        <v>150525100</v>
      </c>
      <c r="C6344" s="1" t="str">
        <f>"1014583854"</f>
        <v>1014583854</v>
      </c>
      <c r="D6344" s="1" t="str">
        <f>"152326196012180662"</f>
        <v>152326196012180662</v>
      </c>
      <c r="E6344" s="1" t="s">
        <v>3555</v>
      </c>
      <c r="F6344" s="1" t="s">
        <v>16</v>
      </c>
      <c r="G6344" s="1" t="s">
        <v>19</v>
      </c>
      <c r="H6344" s="1" t="str">
        <f>"64"</f>
        <v>64</v>
      </c>
      <c r="I6344" s="1" t="str">
        <f>"158.79"</f>
        <v>158.79</v>
      </c>
      <c r="J6344" s="1" t="str">
        <f t="shared" ref="J6344:N6344" si="3797">"0"</f>
        <v>0</v>
      </c>
      <c r="K6344" s="1" t="str">
        <f t="shared" si="3756"/>
        <v>103</v>
      </c>
      <c r="L6344" s="1" t="str">
        <f t="shared" si="3757"/>
        <v>47</v>
      </c>
      <c r="M6344" s="1" t="str">
        <f t="shared" si="3797"/>
        <v>0</v>
      </c>
      <c r="N6344" s="1" t="str">
        <f t="shared" si="3797"/>
        <v>0</v>
      </c>
      <c r="O6344" s="1" t="str">
        <f>"8.79"</f>
        <v>8.79</v>
      </c>
    </row>
    <row r="6345" s="1" customFormat="1" spans="1:15">
      <c r="A6345" s="1" t="str">
        <f t="shared" si="3785"/>
        <v>202406</v>
      </c>
      <c r="B6345" s="1" t="str">
        <f t="shared" si="3786"/>
        <v>150525100</v>
      </c>
      <c r="C6345" s="1" t="str">
        <f>"1014583867"</f>
        <v>1014583867</v>
      </c>
      <c r="D6345" s="1" t="str">
        <f>"152326196303103827"</f>
        <v>152326196303103827</v>
      </c>
      <c r="E6345" s="1" t="s">
        <v>6185</v>
      </c>
      <c r="F6345" s="1" t="s">
        <v>16</v>
      </c>
      <c r="G6345" s="1" t="s">
        <v>19</v>
      </c>
      <c r="H6345" s="1" t="str">
        <f t="shared" ref="H6345:H6351" si="3798">"61"</f>
        <v>61</v>
      </c>
      <c r="I6345" s="1" t="str">
        <f>"164.94"</f>
        <v>164.94</v>
      </c>
      <c r="J6345" s="1" t="str">
        <f t="shared" ref="J6345:N6345" si="3799">"0"</f>
        <v>0</v>
      </c>
      <c r="K6345" s="1" t="str">
        <f t="shared" si="3756"/>
        <v>103</v>
      </c>
      <c r="L6345" s="1" t="str">
        <f t="shared" si="3757"/>
        <v>47</v>
      </c>
      <c r="M6345" s="1" t="str">
        <f t="shared" si="3799"/>
        <v>0</v>
      </c>
      <c r="N6345" s="1" t="str">
        <f t="shared" si="3799"/>
        <v>0</v>
      </c>
      <c r="O6345" s="1" t="str">
        <f>"14.94"</f>
        <v>14.94</v>
      </c>
    </row>
    <row r="6346" s="1" customFormat="1" spans="1:15">
      <c r="A6346" s="1" t="str">
        <f t="shared" si="3785"/>
        <v>202406</v>
      </c>
      <c r="B6346" s="1" t="str">
        <f t="shared" si="3786"/>
        <v>150525100</v>
      </c>
      <c r="C6346" s="1" t="str">
        <f>"1014584168"</f>
        <v>1014584168</v>
      </c>
      <c r="D6346" s="1" t="str">
        <f>"152326195904030665"</f>
        <v>152326195904030665</v>
      </c>
      <c r="E6346" s="1" t="s">
        <v>6186</v>
      </c>
      <c r="F6346" s="1" t="s">
        <v>16</v>
      </c>
      <c r="G6346" s="1" t="s">
        <v>17</v>
      </c>
      <c r="H6346" s="1" t="str">
        <f t="shared" si="3795"/>
        <v>65</v>
      </c>
      <c r="I6346" s="1" t="str">
        <f>"158.12"</f>
        <v>158.12</v>
      </c>
      <c r="J6346" s="1" t="str">
        <f t="shared" ref="J6346:N6346" si="3800">"0"</f>
        <v>0</v>
      </c>
      <c r="K6346" s="1" t="str">
        <f t="shared" si="3756"/>
        <v>103</v>
      </c>
      <c r="L6346" s="1" t="str">
        <f t="shared" si="3757"/>
        <v>47</v>
      </c>
      <c r="M6346" s="1" t="str">
        <f t="shared" si="3800"/>
        <v>0</v>
      </c>
      <c r="N6346" s="1" t="str">
        <f t="shared" si="3800"/>
        <v>0</v>
      </c>
      <c r="O6346" s="1" t="str">
        <f>"8.12"</f>
        <v>8.12</v>
      </c>
    </row>
    <row r="6347" s="1" customFormat="1" spans="1:15">
      <c r="A6347" s="1" t="str">
        <f t="shared" si="3785"/>
        <v>202406</v>
      </c>
      <c r="B6347" s="1" t="str">
        <f t="shared" si="3786"/>
        <v>150525100</v>
      </c>
      <c r="C6347" s="1" t="str">
        <f>"1014584170"</f>
        <v>1014584170</v>
      </c>
      <c r="D6347" s="1" t="str">
        <f>"152326195904210674"</f>
        <v>152326195904210674</v>
      </c>
      <c r="E6347" s="1" t="s">
        <v>6187</v>
      </c>
      <c r="F6347" s="1" t="s">
        <v>25</v>
      </c>
      <c r="G6347" s="1" t="s">
        <v>17</v>
      </c>
      <c r="H6347" s="1" t="str">
        <f t="shared" si="3795"/>
        <v>65</v>
      </c>
      <c r="I6347" s="1" t="str">
        <f>"159.16"</f>
        <v>159.16</v>
      </c>
      <c r="J6347" s="1" t="str">
        <f t="shared" ref="J6347:N6347" si="3801">"0"</f>
        <v>0</v>
      </c>
      <c r="K6347" s="1" t="str">
        <f t="shared" si="3756"/>
        <v>103</v>
      </c>
      <c r="L6347" s="1" t="str">
        <f t="shared" si="3757"/>
        <v>47</v>
      </c>
      <c r="M6347" s="1" t="str">
        <f t="shared" si="3801"/>
        <v>0</v>
      </c>
      <c r="N6347" s="1" t="str">
        <f t="shared" si="3801"/>
        <v>0</v>
      </c>
      <c r="O6347" s="1" t="str">
        <f>"9.16"</f>
        <v>9.16</v>
      </c>
    </row>
    <row r="6348" s="1" customFormat="1" spans="1:15">
      <c r="A6348" s="1" t="str">
        <f t="shared" si="3785"/>
        <v>202406</v>
      </c>
      <c r="B6348" s="1" t="str">
        <f t="shared" si="3786"/>
        <v>150525100</v>
      </c>
      <c r="C6348" s="1" t="str">
        <f>"1014584181"</f>
        <v>1014584181</v>
      </c>
      <c r="D6348" s="1" t="str">
        <f>"152326195909300054"</f>
        <v>152326195909300054</v>
      </c>
      <c r="E6348" s="1" t="s">
        <v>6188</v>
      </c>
      <c r="F6348" s="1" t="s">
        <v>25</v>
      </c>
      <c r="G6348" s="1" t="s">
        <v>17</v>
      </c>
      <c r="H6348" s="1" t="str">
        <f t="shared" si="3795"/>
        <v>65</v>
      </c>
      <c r="I6348" s="1" t="str">
        <f>"159.65"</f>
        <v>159.65</v>
      </c>
      <c r="J6348" s="1" t="str">
        <f t="shared" ref="J6348:N6348" si="3802">"0"</f>
        <v>0</v>
      </c>
      <c r="K6348" s="1" t="str">
        <f t="shared" si="3756"/>
        <v>103</v>
      </c>
      <c r="L6348" s="1" t="str">
        <f t="shared" si="3757"/>
        <v>47</v>
      </c>
      <c r="M6348" s="1" t="str">
        <f t="shared" si="3802"/>
        <v>0</v>
      </c>
      <c r="N6348" s="1" t="str">
        <f t="shared" si="3802"/>
        <v>0</v>
      </c>
      <c r="O6348" s="1" t="str">
        <f>"9.65"</f>
        <v>9.65</v>
      </c>
    </row>
    <row r="6349" s="1" customFormat="1" spans="1:15">
      <c r="A6349" s="1" t="str">
        <f t="shared" si="3785"/>
        <v>202406</v>
      </c>
      <c r="B6349" s="1" t="str">
        <f t="shared" si="3786"/>
        <v>150525100</v>
      </c>
      <c r="C6349" s="1" t="str">
        <f>"1014585277"</f>
        <v>1014585277</v>
      </c>
      <c r="D6349" s="1" t="str">
        <f>"152326196304230684"</f>
        <v>152326196304230684</v>
      </c>
      <c r="E6349" s="1" t="s">
        <v>6189</v>
      </c>
      <c r="F6349" s="1" t="s">
        <v>16</v>
      </c>
      <c r="G6349" s="1" t="s">
        <v>17</v>
      </c>
      <c r="H6349" s="1" t="str">
        <f t="shared" si="3798"/>
        <v>61</v>
      </c>
      <c r="I6349" s="1" t="str">
        <f>"165.81"</f>
        <v>165.81</v>
      </c>
      <c r="J6349" s="1" t="str">
        <f t="shared" ref="J6349:N6349" si="3803">"0"</f>
        <v>0</v>
      </c>
      <c r="K6349" s="1" t="str">
        <f t="shared" si="3756"/>
        <v>103</v>
      </c>
      <c r="L6349" s="1" t="str">
        <f t="shared" si="3757"/>
        <v>47</v>
      </c>
      <c r="M6349" s="1" t="str">
        <f t="shared" si="3803"/>
        <v>0</v>
      </c>
      <c r="N6349" s="1" t="str">
        <f t="shared" si="3803"/>
        <v>0</v>
      </c>
      <c r="O6349" s="1" t="str">
        <f>"15.81"</f>
        <v>15.81</v>
      </c>
    </row>
    <row r="6350" s="1" customFormat="1" spans="1:15">
      <c r="A6350" s="1" t="str">
        <f t="shared" si="3785"/>
        <v>202406</v>
      </c>
      <c r="B6350" s="1" t="str">
        <f t="shared" si="3786"/>
        <v>150525100</v>
      </c>
      <c r="C6350" s="1" t="str">
        <f>"1014585285"</f>
        <v>1014585285</v>
      </c>
      <c r="D6350" s="1" t="str">
        <f>"152326196307020674"</f>
        <v>152326196307020674</v>
      </c>
      <c r="E6350" s="1" t="s">
        <v>6190</v>
      </c>
      <c r="F6350" s="1" t="s">
        <v>25</v>
      </c>
      <c r="G6350" s="1" t="s">
        <v>17</v>
      </c>
      <c r="H6350" s="1" t="str">
        <f t="shared" si="3798"/>
        <v>61</v>
      </c>
      <c r="I6350" s="1" t="str">
        <f>"1155.21"</f>
        <v>1155.21</v>
      </c>
      <c r="J6350" s="1" t="str">
        <f>"990.18"</f>
        <v>990.18</v>
      </c>
      <c r="K6350" s="1" t="str">
        <f>"721"</f>
        <v>721</v>
      </c>
      <c r="L6350" s="1" t="str">
        <f>"329"</f>
        <v>329</v>
      </c>
      <c r="M6350" s="1" t="str">
        <f>"0"</f>
        <v>0</v>
      </c>
      <c r="N6350" s="1" t="str">
        <f>"0"</f>
        <v>0</v>
      </c>
      <c r="O6350" s="1" t="str">
        <f>"105.21"</f>
        <v>105.21</v>
      </c>
    </row>
    <row r="6351" s="1" customFormat="1" spans="1:15">
      <c r="A6351" s="1" t="str">
        <f t="shared" si="3785"/>
        <v>202406</v>
      </c>
      <c r="B6351" s="1" t="str">
        <f t="shared" si="3786"/>
        <v>150525100</v>
      </c>
      <c r="C6351" s="1" t="str">
        <f>"1014585290"</f>
        <v>1014585290</v>
      </c>
      <c r="D6351" s="1" t="str">
        <f>"152326196308020676"</f>
        <v>152326196308020676</v>
      </c>
      <c r="E6351" s="1" t="s">
        <v>6191</v>
      </c>
      <c r="F6351" s="1" t="s">
        <v>25</v>
      </c>
      <c r="G6351" s="1" t="s">
        <v>17</v>
      </c>
      <c r="H6351" s="1" t="str">
        <f t="shared" si="3798"/>
        <v>61</v>
      </c>
      <c r="I6351" s="1" t="str">
        <f>"165.05"</f>
        <v>165.05</v>
      </c>
      <c r="J6351" s="1" t="str">
        <f t="shared" ref="J6351:N6351" si="3804">"0"</f>
        <v>0</v>
      </c>
      <c r="K6351" s="1" t="str">
        <f t="shared" ref="K6351:K6383" si="3805">"103"</f>
        <v>103</v>
      </c>
      <c r="L6351" s="1" t="str">
        <f t="shared" ref="L6351:L6383" si="3806">"47"</f>
        <v>47</v>
      </c>
      <c r="M6351" s="1" t="str">
        <f t="shared" si="3804"/>
        <v>0</v>
      </c>
      <c r="N6351" s="1" t="str">
        <f t="shared" si="3804"/>
        <v>0</v>
      </c>
      <c r="O6351" s="1" t="str">
        <f>"15.05"</f>
        <v>15.05</v>
      </c>
    </row>
    <row r="6352" s="1" customFormat="1" spans="1:15">
      <c r="A6352" s="1" t="str">
        <f t="shared" si="3785"/>
        <v>202406</v>
      </c>
      <c r="B6352" s="1" t="str">
        <f t="shared" si="3786"/>
        <v>150525100</v>
      </c>
      <c r="C6352" s="1" t="str">
        <f>"1014552190"</f>
        <v>1014552190</v>
      </c>
      <c r="D6352" s="1" t="str">
        <f>"150525195508210026"</f>
        <v>150525195508210026</v>
      </c>
      <c r="E6352" s="1" t="s">
        <v>2406</v>
      </c>
      <c r="F6352" s="1" t="s">
        <v>16</v>
      </c>
      <c r="G6352" s="1" t="s">
        <v>17</v>
      </c>
      <c r="H6352" s="1" t="str">
        <f>"69"</f>
        <v>69</v>
      </c>
      <c r="I6352" s="1" t="str">
        <f>"154.86"</f>
        <v>154.86</v>
      </c>
      <c r="J6352" s="1" t="str">
        <f t="shared" ref="J6352:N6352" si="3807">"0"</f>
        <v>0</v>
      </c>
      <c r="K6352" s="1" t="str">
        <f t="shared" si="3805"/>
        <v>103</v>
      </c>
      <c r="L6352" s="1" t="str">
        <f t="shared" si="3806"/>
        <v>47</v>
      </c>
      <c r="M6352" s="1" t="str">
        <f t="shared" si="3807"/>
        <v>0</v>
      </c>
      <c r="N6352" s="1" t="str">
        <f t="shared" si="3807"/>
        <v>0</v>
      </c>
      <c r="O6352" s="1" t="str">
        <f>"4.86"</f>
        <v>4.86</v>
      </c>
    </row>
    <row r="6353" s="1" customFormat="1" spans="1:15">
      <c r="A6353" s="1" t="str">
        <f t="shared" si="3785"/>
        <v>202406</v>
      </c>
      <c r="B6353" s="1" t="str">
        <f t="shared" si="3786"/>
        <v>150525100</v>
      </c>
      <c r="C6353" s="1" t="str">
        <f>"1040641622"</f>
        <v>1040641622</v>
      </c>
      <c r="D6353" s="1" t="str">
        <f>"152326195603300916"</f>
        <v>152326195603300916</v>
      </c>
      <c r="E6353" s="1" t="s">
        <v>6192</v>
      </c>
      <c r="F6353" s="1" t="s">
        <v>25</v>
      </c>
      <c r="G6353" s="1" t="s">
        <v>19</v>
      </c>
      <c r="H6353" s="1" t="str">
        <f>"68"</f>
        <v>68</v>
      </c>
      <c r="I6353" s="1" t="str">
        <f>"155.02"</f>
        <v>155.02</v>
      </c>
      <c r="J6353" s="1" t="str">
        <f t="shared" ref="J6353:N6353" si="3808">"0"</f>
        <v>0</v>
      </c>
      <c r="K6353" s="1" t="str">
        <f t="shared" si="3805"/>
        <v>103</v>
      </c>
      <c r="L6353" s="1" t="str">
        <f t="shared" si="3806"/>
        <v>47</v>
      </c>
      <c r="M6353" s="1" t="str">
        <f t="shared" si="3808"/>
        <v>0</v>
      </c>
      <c r="N6353" s="1" t="str">
        <f t="shared" si="3808"/>
        <v>0</v>
      </c>
      <c r="O6353" s="1" t="str">
        <f>"5.02"</f>
        <v>5.02</v>
      </c>
    </row>
    <row r="6354" s="1" customFormat="1" spans="1:15">
      <c r="A6354" s="1" t="str">
        <f t="shared" si="3785"/>
        <v>202406</v>
      </c>
      <c r="B6354" s="1" t="str">
        <f t="shared" si="3786"/>
        <v>150525100</v>
      </c>
      <c r="C6354" s="1" t="str">
        <f>"1040641632"</f>
        <v>1040641632</v>
      </c>
      <c r="D6354" s="1" t="str">
        <f>"152326195707090925"</f>
        <v>152326195707090925</v>
      </c>
      <c r="E6354" s="1" t="s">
        <v>6193</v>
      </c>
      <c r="F6354" s="1" t="s">
        <v>16</v>
      </c>
      <c r="G6354" s="1" t="s">
        <v>19</v>
      </c>
      <c r="H6354" s="1" t="str">
        <f>"67"</f>
        <v>67</v>
      </c>
      <c r="I6354" s="1" t="str">
        <f>"155.27"</f>
        <v>155.27</v>
      </c>
      <c r="J6354" s="1" t="str">
        <f t="shared" ref="J6354:N6354" si="3809">"0"</f>
        <v>0</v>
      </c>
      <c r="K6354" s="1" t="str">
        <f t="shared" si="3805"/>
        <v>103</v>
      </c>
      <c r="L6354" s="1" t="str">
        <f t="shared" si="3806"/>
        <v>47</v>
      </c>
      <c r="M6354" s="1" t="str">
        <f t="shared" si="3809"/>
        <v>0</v>
      </c>
      <c r="N6354" s="1" t="str">
        <f t="shared" si="3809"/>
        <v>0</v>
      </c>
      <c r="O6354" s="1" t="str">
        <f>"5.27"</f>
        <v>5.27</v>
      </c>
    </row>
    <row r="6355" s="1" customFormat="1" spans="1:15">
      <c r="A6355" s="1" t="str">
        <f t="shared" si="3785"/>
        <v>202406</v>
      </c>
      <c r="B6355" s="1" t="str">
        <f t="shared" si="3786"/>
        <v>150525100</v>
      </c>
      <c r="C6355" s="1" t="str">
        <f>"1040641641"</f>
        <v>1040641641</v>
      </c>
      <c r="D6355" s="1" t="s">
        <v>6194</v>
      </c>
      <c r="E6355" s="1" t="s">
        <v>6195</v>
      </c>
      <c r="F6355" s="1" t="s">
        <v>16</v>
      </c>
      <c r="G6355" s="1" t="s">
        <v>19</v>
      </c>
      <c r="H6355" s="1" t="str">
        <f>"63"</f>
        <v>63</v>
      </c>
      <c r="I6355" s="1" t="str">
        <f>"160.14"</f>
        <v>160.14</v>
      </c>
      <c r="J6355" s="1" t="str">
        <f t="shared" ref="J6355:N6355" si="3810">"0"</f>
        <v>0</v>
      </c>
      <c r="K6355" s="1" t="str">
        <f t="shared" si="3805"/>
        <v>103</v>
      </c>
      <c r="L6355" s="1" t="str">
        <f t="shared" si="3806"/>
        <v>47</v>
      </c>
      <c r="M6355" s="1" t="str">
        <f t="shared" si="3810"/>
        <v>0</v>
      </c>
      <c r="N6355" s="1" t="str">
        <f t="shared" si="3810"/>
        <v>0</v>
      </c>
      <c r="O6355" s="1" t="str">
        <f>"10.14"</f>
        <v>10.14</v>
      </c>
    </row>
    <row r="6356" s="1" customFormat="1" spans="1:15">
      <c r="A6356" s="1" t="str">
        <f t="shared" si="3785"/>
        <v>202406</v>
      </c>
      <c r="B6356" s="1" t="str">
        <f t="shared" si="3786"/>
        <v>150525100</v>
      </c>
      <c r="C6356" s="1" t="str">
        <f>"1040641647"</f>
        <v>1040641647</v>
      </c>
      <c r="D6356" s="1" t="str">
        <f>"152326195908260927"</f>
        <v>152326195908260927</v>
      </c>
      <c r="E6356" s="1" t="s">
        <v>6196</v>
      </c>
      <c r="F6356" s="1" t="s">
        <v>16</v>
      </c>
      <c r="G6356" s="1" t="s">
        <v>19</v>
      </c>
      <c r="H6356" s="1" t="str">
        <f>"65"</f>
        <v>65</v>
      </c>
      <c r="I6356" s="1" t="str">
        <f>"157.32"</f>
        <v>157.32</v>
      </c>
      <c r="J6356" s="1" t="str">
        <f t="shared" ref="J6356:N6356" si="3811">"0"</f>
        <v>0</v>
      </c>
      <c r="K6356" s="1" t="str">
        <f t="shared" si="3805"/>
        <v>103</v>
      </c>
      <c r="L6356" s="1" t="str">
        <f t="shared" si="3806"/>
        <v>47</v>
      </c>
      <c r="M6356" s="1" t="str">
        <f t="shared" si="3811"/>
        <v>0</v>
      </c>
      <c r="N6356" s="1" t="str">
        <f t="shared" si="3811"/>
        <v>0</v>
      </c>
      <c r="O6356" s="1" t="str">
        <f>"7.32"</f>
        <v>7.32</v>
      </c>
    </row>
    <row r="6357" s="1" customFormat="1" spans="1:15">
      <c r="A6357" s="1" t="str">
        <f t="shared" si="3785"/>
        <v>202406</v>
      </c>
      <c r="B6357" s="1" t="str">
        <f t="shared" si="3786"/>
        <v>150525100</v>
      </c>
      <c r="C6357" s="1" t="str">
        <f>"1040641671"</f>
        <v>1040641671</v>
      </c>
      <c r="D6357" s="1" t="str">
        <f>"152326195510100683"</f>
        <v>152326195510100683</v>
      </c>
      <c r="E6357" s="1" t="s">
        <v>6197</v>
      </c>
      <c r="F6357" s="1" t="s">
        <v>16</v>
      </c>
      <c r="G6357" s="1" t="s">
        <v>17</v>
      </c>
      <c r="H6357" s="1" t="str">
        <f>"69"</f>
        <v>69</v>
      </c>
      <c r="I6357" s="1" t="str">
        <f>"154.26"</f>
        <v>154.26</v>
      </c>
      <c r="J6357" s="1" t="str">
        <f t="shared" ref="J6357:N6357" si="3812">"0"</f>
        <v>0</v>
      </c>
      <c r="K6357" s="1" t="str">
        <f t="shared" si="3805"/>
        <v>103</v>
      </c>
      <c r="L6357" s="1" t="str">
        <f t="shared" si="3806"/>
        <v>47</v>
      </c>
      <c r="M6357" s="1" t="str">
        <f t="shared" si="3812"/>
        <v>0</v>
      </c>
      <c r="N6357" s="1" t="str">
        <f t="shared" si="3812"/>
        <v>0</v>
      </c>
      <c r="O6357" s="1" t="str">
        <f>"4.26"</f>
        <v>4.26</v>
      </c>
    </row>
    <row r="6358" s="1" customFormat="1" spans="1:15">
      <c r="A6358" s="1" t="str">
        <f t="shared" si="3785"/>
        <v>202406</v>
      </c>
      <c r="B6358" s="1" t="str">
        <f t="shared" si="3786"/>
        <v>150525100</v>
      </c>
      <c r="C6358" s="1" t="str">
        <f>"1014561449"</f>
        <v>1014561449</v>
      </c>
      <c r="D6358" s="1" t="str">
        <f>"152326195312070428"</f>
        <v>152326195312070428</v>
      </c>
      <c r="E6358" s="1" t="s">
        <v>6198</v>
      </c>
      <c r="F6358" s="1" t="s">
        <v>16</v>
      </c>
      <c r="G6358" s="1" t="s">
        <v>17</v>
      </c>
      <c r="H6358" s="1" t="str">
        <f>"71"</f>
        <v>71</v>
      </c>
      <c r="I6358" s="1" t="str">
        <f>"162.91"</f>
        <v>162.91</v>
      </c>
      <c r="J6358" s="1" t="str">
        <f t="shared" ref="J6358:N6358" si="3813">"0"</f>
        <v>0</v>
      </c>
      <c r="K6358" s="1" t="str">
        <f t="shared" si="3805"/>
        <v>103</v>
      </c>
      <c r="L6358" s="1" t="str">
        <f t="shared" si="3806"/>
        <v>47</v>
      </c>
      <c r="M6358" s="1" t="str">
        <f t="shared" si="3813"/>
        <v>0</v>
      </c>
      <c r="N6358" s="1" t="str">
        <f t="shared" si="3813"/>
        <v>0</v>
      </c>
      <c r="O6358" s="1" t="str">
        <f>"2.91"</f>
        <v>2.91</v>
      </c>
    </row>
    <row r="6359" s="1" customFormat="1" spans="1:15">
      <c r="A6359" s="1" t="str">
        <f t="shared" si="3785"/>
        <v>202406</v>
      </c>
      <c r="B6359" s="1" t="str">
        <f t="shared" si="3786"/>
        <v>150525100</v>
      </c>
      <c r="C6359" s="1" t="str">
        <f>"1014561451"</f>
        <v>1014561451</v>
      </c>
      <c r="D6359" s="1" t="str">
        <f>"152326195312230428"</f>
        <v>152326195312230428</v>
      </c>
      <c r="E6359" s="1" t="s">
        <v>6199</v>
      </c>
      <c r="F6359" s="1" t="s">
        <v>16</v>
      </c>
      <c r="G6359" s="1" t="s">
        <v>17</v>
      </c>
      <c r="H6359" s="1" t="str">
        <f>"71"</f>
        <v>71</v>
      </c>
      <c r="I6359" s="1" t="str">
        <f>"163.16"</f>
        <v>163.16</v>
      </c>
      <c r="J6359" s="1" t="str">
        <f t="shared" ref="J6359:N6359" si="3814">"0"</f>
        <v>0</v>
      </c>
      <c r="K6359" s="1" t="str">
        <f t="shared" si="3805"/>
        <v>103</v>
      </c>
      <c r="L6359" s="1" t="str">
        <f t="shared" si="3806"/>
        <v>47</v>
      </c>
      <c r="M6359" s="1" t="str">
        <f t="shared" si="3814"/>
        <v>0</v>
      </c>
      <c r="N6359" s="1" t="str">
        <f t="shared" si="3814"/>
        <v>0</v>
      </c>
      <c r="O6359" s="1" t="str">
        <f>"3.16"</f>
        <v>3.16</v>
      </c>
    </row>
    <row r="6360" s="1" customFormat="1" spans="1:15">
      <c r="A6360" s="1" t="str">
        <f t="shared" si="3785"/>
        <v>202406</v>
      </c>
      <c r="B6360" s="1" t="str">
        <f t="shared" si="3786"/>
        <v>150525100</v>
      </c>
      <c r="C6360" s="1" t="str">
        <f>"1014561452"</f>
        <v>1014561452</v>
      </c>
      <c r="D6360" s="1" t="str">
        <f>"152326195401230411"</f>
        <v>152326195401230411</v>
      </c>
      <c r="E6360" s="1" t="s">
        <v>6200</v>
      </c>
      <c r="F6360" s="1" t="s">
        <v>25</v>
      </c>
      <c r="G6360" s="1" t="s">
        <v>17</v>
      </c>
      <c r="H6360" s="1" t="str">
        <f>"70"</f>
        <v>70</v>
      </c>
      <c r="I6360" s="1" t="str">
        <f>"164.14"</f>
        <v>164.14</v>
      </c>
      <c r="J6360" s="1" t="str">
        <f t="shared" ref="J6360:N6360" si="3815">"0"</f>
        <v>0</v>
      </c>
      <c r="K6360" s="1" t="str">
        <f t="shared" si="3805"/>
        <v>103</v>
      </c>
      <c r="L6360" s="1" t="str">
        <f t="shared" si="3806"/>
        <v>47</v>
      </c>
      <c r="M6360" s="1" t="str">
        <f t="shared" si="3815"/>
        <v>0</v>
      </c>
      <c r="N6360" s="1" t="str">
        <f t="shared" si="3815"/>
        <v>0</v>
      </c>
      <c r="O6360" s="1" t="str">
        <f>"4.14"</f>
        <v>4.14</v>
      </c>
    </row>
    <row r="6361" s="1" customFormat="1" spans="1:15">
      <c r="A6361" s="1" t="str">
        <f t="shared" si="3785"/>
        <v>202406</v>
      </c>
      <c r="B6361" s="1" t="str">
        <f t="shared" si="3786"/>
        <v>150525100</v>
      </c>
      <c r="C6361" s="1" t="str">
        <f>"1014562683"</f>
        <v>1014562683</v>
      </c>
      <c r="D6361" s="1" t="s">
        <v>6201</v>
      </c>
      <c r="E6361" s="1" t="s">
        <v>6202</v>
      </c>
      <c r="F6361" s="1" t="s">
        <v>25</v>
      </c>
      <c r="G6361" s="1" t="s">
        <v>17</v>
      </c>
      <c r="H6361" s="1" t="str">
        <f>"72"</f>
        <v>72</v>
      </c>
      <c r="I6361" s="1" t="str">
        <f>"162.16"</f>
        <v>162.16</v>
      </c>
      <c r="J6361" s="1" t="str">
        <f t="shared" ref="J6361:N6361" si="3816">"0"</f>
        <v>0</v>
      </c>
      <c r="K6361" s="1" t="str">
        <f t="shared" si="3805"/>
        <v>103</v>
      </c>
      <c r="L6361" s="1" t="str">
        <f t="shared" si="3806"/>
        <v>47</v>
      </c>
      <c r="M6361" s="1" t="str">
        <f t="shared" si="3816"/>
        <v>0</v>
      </c>
      <c r="N6361" s="1" t="str">
        <f t="shared" si="3816"/>
        <v>0</v>
      </c>
      <c r="O6361" s="1" t="str">
        <f>"2.16"</f>
        <v>2.16</v>
      </c>
    </row>
    <row r="6362" s="1" customFormat="1" spans="1:15">
      <c r="A6362" s="1" t="str">
        <f t="shared" si="3785"/>
        <v>202406</v>
      </c>
      <c r="B6362" s="1" t="str">
        <f t="shared" si="3786"/>
        <v>150525100</v>
      </c>
      <c r="C6362" s="1" t="str">
        <f>"1014562687"</f>
        <v>1014562687</v>
      </c>
      <c r="D6362" s="1" t="str">
        <f>"152326196211130430"</f>
        <v>152326196211130430</v>
      </c>
      <c r="E6362" s="1" t="s">
        <v>6203</v>
      </c>
      <c r="F6362" s="1" t="s">
        <v>25</v>
      </c>
      <c r="G6362" s="1" t="s">
        <v>17</v>
      </c>
      <c r="H6362" s="1" t="str">
        <f>"62"</f>
        <v>62</v>
      </c>
      <c r="I6362" s="1" t="str">
        <f>"164.9"</f>
        <v>164.9</v>
      </c>
      <c r="J6362" s="1" t="str">
        <f t="shared" ref="J6362:N6362" si="3817">"0"</f>
        <v>0</v>
      </c>
      <c r="K6362" s="1" t="str">
        <f t="shared" si="3805"/>
        <v>103</v>
      </c>
      <c r="L6362" s="1" t="str">
        <f t="shared" si="3806"/>
        <v>47</v>
      </c>
      <c r="M6362" s="1" t="str">
        <f t="shared" si="3817"/>
        <v>0</v>
      </c>
      <c r="N6362" s="1" t="str">
        <f t="shared" si="3817"/>
        <v>0</v>
      </c>
      <c r="O6362" s="1" t="str">
        <f>"14.9"</f>
        <v>14.9</v>
      </c>
    </row>
    <row r="6363" s="1" customFormat="1" spans="1:15">
      <c r="A6363" s="1" t="str">
        <f t="shared" si="3785"/>
        <v>202406</v>
      </c>
      <c r="B6363" s="1" t="str">
        <f t="shared" si="3786"/>
        <v>150525100</v>
      </c>
      <c r="C6363" s="1" t="str">
        <f>"1014583887"</f>
        <v>1014583887</v>
      </c>
      <c r="D6363" s="1" t="str">
        <f>"152326195503070674"</f>
        <v>152326195503070674</v>
      </c>
      <c r="E6363" s="1" t="s">
        <v>6204</v>
      </c>
      <c r="F6363" s="1" t="s">
        <v>25</v>
      </c>
      <c r="G6363" s="1" t="s">
        <v>17</v>
      </c>
      <c r="H6363" s="1" t="str">
        <f>"69"</f>
        <v>69</v>
      </c>
      <c r="I6363" s="1" t="str">
        <f>"155.09"</f>
        <v>155.09</v>
      </c>
      <c r="J6363" s="1" t="str">
        <f t="shared" ref="J6363:N6363" si="3818">"0"</f>
        <v>0</v>
      </c>
      <c r="K6363" s="1" t="str">
        <f t="shared" si="3805"/>
        <v>103</v>
      </c>
      <c r="L6363" s="1" t="str">
        <f t="shared" si="3806"/>
        <v>47</v>
      </c>
      <c r="M6363" s="1" t="str">
        <f t="shared" si="3818"/>
        <v>0</v>
      </c>
      <c r="N6363" s="1" t="str">
        <f t="shared" si="3818"/>
        <v>0</v>
      </c>
      <c r="O6363" s="1" t="str">
        <f>"5.09"</f>
        <v>5.09</v>
      </c>
    </row>
    <row r="6364" s="1" customFormat="1" spans="1:15">
      <c r="A6364" s="1" t="str">
        <f t="shared" si="3785"/>
        <v>202406</v>
      </c>
      <c r="B6364" s="1" t="str">
        <f t="shared" si="3786"/>
        <v>150525100</v>
      </c>
      <c r="C6364" s="1" t="str">
        <f>"1014583888"</f>
        <v>1014583888</v>
      </c>
      <c r="D6364" s="1" t="str">
        <f>"152326195503100693"</f>
        <v>152326195503100693</v>
      </c>
      <c r="E6364" s="1" t="s">
        <v>6205</v>
      </c>
      <c r="F6364" s="1" t="s">
        <v>25</v>
      </c>
      <c r="G6364" s="1" t="s">
        <v>17</v>
      </c>
      <c r="H6364" s="1" t="str">
        <f>"69"</f>
        <v>69</v>
      </c>
      <c r="I6364" s="1" t="str">
        <f>"154.94"</f>
        <v>154.94</v>
      </c>
      <c r="J6364" s="1" t="str">
        <f t="shared" ref="J6364:N6364" si="3819">"0"</f>
        <v>0</v>
      </c>
      <c r="K6364" s="1" t="str">
        <f t="shared" si="3805"/>
        <v>103</v>
      </c>
      <c r="L6364" s="1" t="str">
        <f t="shared" si="3806"/>
        <v>47</v>
      </c>
      <c r="M6364" s="1" t="str">
        <f t="shared" si="3819"/>
        <v>0</v>
      </c>
      <c r="N6364" s="1" t="str">
        <f t="shared" si="3819"/>
        <v>0</v>
      </c>
      <c r="O6364" s="1" t="str">
        <f>"4.94"</f>
        <v>4.94</v>
      </c>
    </row>
    <row r="6365" s="1" customFormat="1" spans="1:15">
      <c r="A6365" s="1" t="str">
        <f t="shared" si="3785"/>
        <v>202406</v>
      </c>
      <c r="B6365" s="1" t="str">
        <f t="shared" si="3786"/>
        <v>150525100</v>
      </c>
      <c r="C6365" s="1" t="str">
        <f>"1014584184"</f>
        <v>1014584184</v>
      </c>
      <c r="D6365" s="1" t="str">
        <f>"152326195910090664"</f>
        <v>152326195910090664</v>
      </c>
      <c r="E6365" s="1" t="s">
        <v>6206</v>
      </c>
      <c r="F6365" s="1" t="s">
        <v>16</v>
      </c>
      <c r="G6365" s="1" t="s">
        <v>17</v>
      </c>
      <c r="H6365" s="1" t="str">
        <f>"65"</f>
        <v>65</v>
      </c>
      <c r="I6365" s="1" t="str">
        <f>"157.43"</f>
        <v>157.43</v>
      </c>
      <c r="J6365" s="1" t="str">
        <f t="shared" ref="J6365:N6365" si="3820">"0"</f>
        <v>0</v>
      </c>
      <c r="K6365" s="1" t="str">
        <f t="shared" si="3805"/>
        <v>103</v>
      </c>
      <c r="L6365" s="1" t="str">
        <f t="shared" si="3806"/>
        <v>47</v>
      </c>
      <c r="M6365" s="1" t="str">
        <f t="shared" si="3820"/>
        <v>0</v>
      </c>
      <c r="N6365" s="1" t="str">
        <f t="shared" si="3820"/>
        <v>0</v>
      </c>
      <c r="O6365" s="1" t="str">
        <f>"7.43"</f>
        <v>7.43</v>
      </c>
    </row>
    <row r="6366" s="1" customFormat="1" spans="1:15">
      <c r="A6366" s="1" t="str">
        <f t="shared" si="3785"/>
        <v>202406</v>
      </c>
      <c r="B6366" s="1" t="str">
        <f t="shared" si="3786"/>
        <v>150525100</v>
      </c>
      <c r="C6366" s="1" t="str">
        <f>"1014584187"</f>
        <v>1014584187</v>
      </c>
      <c r="D6366" s="1" t="str">
        <f>"152326195911080425"</f>
        <v>152326195911080425</v>
      </c>
      <c r="E6366" s="1" t="s">
        <v>6186</v>
      </c>
      <c r="F6366" s="1" t="s">
        <v>16</v>
      </c>
      <c r="G6366" s="1" t="s">
        <v>17</v>
      </c>
      <c r="H6366" s="1" t="str">
        <f>"65"</f>
        <v>65</v>
      </c>
      <c r="I6366" s="1" t="str">
        <f>"158.2"</f>
        <v>158.2</v>
      </c>
      <c r="J6366" s="1" t="str">
        <f t="shared" ref="J6366:N6366" si="3821">"0"</f>
        <v>0</v>
      </c>
      <c r="K6366" s="1" t="str">
        <f t="shared" si="3805"/>
        <v>103</v>
      </c>
      <c r="L6366" s="1" t="str">
        <f t="shared" si="3806"/>
        <v>47</v>
      </c>
      <c r="M6366" s="1" t="str">
        <f t="shared" si="3821"/>
        <v>0</v>
      </c>
      <c r="N6366" s="1" t="str">
        <f t="shared" si="3821"/>
        <v>0</v>
      </c>
      <c r="O6366" s="1" t="str">
        <f>"8.2"</f>
        <v>8.2</v>
      </c>
    </row>
    <row r="6367" s="1" customFormat="1" spans="1:15">
      <c r="A6367" s="1" t="str">
        <f t="shared" si="3785"/>
        <v>202406</v>
      </c>
      <c r="B6367" s="1" t="str">
        <f t="shared" si="3786"/>
        <v>150525100</v>
      </c>
      <c r="C6367" s="1" t="str">
        <f>"1014584197"</f>
        <v>1014584197</v>
      </c>
      <c r="D6367" s="1" t="str">
        <f>"152326196003060415"</f>
        <v>152326196003060415</v>
      </c>
      <c r="E6367" s="1" t="s">
        <v>6207</v>
      </c>
      <c r="F6367" s="1" t="s">
        <v>25</v>
      </c>
      <c r="G6367" s="1" t="s">
        <v>17</v>
      </c>
      <c r="H6367" s="1" t="str">
        <f t="shared" ref="H6367:H6369" si="3822">"64"</f>
        <v>64</v>
      </c>
      <c r="I6367" s="1" t="str">
        <f>"159.18"</f>
        <v>159.18</v>
      </c>
      <c r="J6367" s="1" t="str">
        <f t="shared" ref="J6367:N6367" si="3823">"0"</f>
        <v>0</v>
      </c>
      <c r="K6367" s="1" t="str">
        <f t="shared" si="3805"/>
        <v>103</v>
      </c>
      <c r="L6367" s="1" t="str">
        <f t="shared" si="3806"/>
        <v>47</v>
      </c>
      <c r="M6367" s="1" t="str">
        <f t="shared" si="3823"/>
        <v>0</v>
      </c>
      <c r="N6367" s="1" t="str">
        <f t="shared" si="3823"/>
        <v>0</v>
      </c>
      <c r="O6367" s="1" t="str">
        <f>"9.18"</f>
        <v>9.18</v>
      </c>
    </row>
    <row r="6368" s="1" customFormat="1" spans="1:15">
      <c r="A6368" s="1" t="str">
        <f t="shared" si="3785"/>
        <v>202406</v>
      </c>
      <c r="B6368" s="1" t="str">
        <f t="shared" si="3786"/>
        <v>150525100</v>
      </c>
      <c r="C6368" s="1" t="str">
        <f>"1014549771"</f>
        <v>1014549771</v>
      </c>
      <c r="D6368" s="1" t="str">
        <f>"152326196005200661"</f>
        <v>152326196005200661</v>
      </c>
      <c r="E6368" s="1" t="s">
        <v>6208</v>
      </c>
      <c r="F6368" s="1" t="s">
        <v>16</v>
      </c>
      <c r="G6368" s="1" t="s">
        <v>19</v>
      </c>
      <c r="H6368" s="1" t="str">
        <f t="shared" si="3822"/>
        <v>64</v>
      </c>
      <c r="I6368" s="1" t="str">
        <f>"159.23"</f>
        <v>159.23</v>
      </c>
      <c r="J6368" s="1" t="str">
        <f t="shared" ref="J6368:N6368" si="3824">"0"</f>
        <v>0</v>
      </c>
      <c r="K6368" s="1" t="str">
        <f t="shared" si="3805"/>
        <v>103</v>
      </c>
      <c r="L6368" s="1" t="str">
        <f t="shared" si="3806"/>
        <v>47</v>
      </c>
      <c r="M6368" s="1" t="str">
        <f t="shared" si="3824"/>
        <v>0</v>
      </c>
      <c r="N6368" s="1" t="str">
        <f t="shared" si="3824"/>
        <v>0</v>
      </c>
      <c r="O6368" s="1" t="str">
        <f>"9.23"</f>
        <v>9.23</v>
      </c>
    </row>
    <row r="6369" s="1" customFormat="1" spans="1:15">
      <c r="A6369" s="1" t="str">
        <f t="shared" si="3785"/>
        <v>202406</v>
      </c>
      <c r="B6369" s="1" t="str">
        <f t="shared" si="3786"/>
        <v>150525100</v>
      </c>
      <c r="C6369" s="1" t="str">
        <f>"1014549772"</f>
        <v>1014549772</v>
      </c>
      <c r="D6369" s="1" t="str">
        <f>"152326196006010691"</f>
        <v>152326196006010691</v>
      </c>
      <c r="E6369" s="1" t="s">
        <v>6209</v>
      </c>
      <c r="F6369" s="1" t="s">
        <v>25</v>
      </c>
      <c r="G6369" s="1" t="s">
        <v>17</v>
      </c>
      <c r="H6369" s="1" t="str">
        <f t="shared" si="3822"/>
        <v>64</v>
      </c>
      <c r="I6369" s="1" t="str">
        <f>"158.26"</f>
        <v>158.26</v>
      </c>
      <c r="J6369" s="1" t="str">
        <f t="shared" ref="J6369:N6369" si="3825">"0"</f>
        <v>0</v>
      </c>
      <c r="K6369" s="1" t="str">
        <f t="shared" si="3805"/>
        <v>103</v>
      </c>
      <c r="L6369" s="1" t="str">
        <f t="shared" si="3806"/>
        <v>47</v>
      </c>
      <c r="M6369" s="1" t="str">
        <f t="shared" si="3825"/>
        <v>0</v>
      </c>
      <c r="N6369" s="1" t="str">
        <f t="shared" si="3825"/>
        <v>0</v>
      </c>
      <c r="O6369" s="1" t="str">
        <f>"8.26"</f>
        <v>8.26</v>
      </c>
    </row>
    <row r="6370" s="1" customFormat="1" spans="1:15">
      <c r="A6370" s="1" t="str">
        <f t="shared" si="3785"/>
        <v>202406</v>
      </c>
      <c r="B6370" s="1" t="str">
        <f t="shared" si="3786"/>
        <v>150525100</v>
      </c>
      <c r="C6370" s="1" t="str">
        <f>"1014550777"</f>
        <v>1014550777</v>
      </c>
      <c r="D6370" s="1" t="str">
        <f>"152326195312240669"</f>
        <v>152326195312240669</v>
      </c>
      <c r="E6370" s="1" t="s">
        <v>6210</v>
      </c>
      <c r="F6370" s="1" t="s">
        <v>16</v>
      </c>
      <c r="G6370" s="1" t="s">
        <v>17</v>
      </c>
      <c r="H6370" s="1" t="str">
        <f>"71"</f>
        <v>71</v>
      </c>
      <c r="I6370" s="1" t="str">
        <f>"163.16"</f>
        <v>163.16</v>
      </c>
      <c r="J6370" s="1" t="str">
        <f t="shared" ref="J6370:N6370" si="3826">"0"</f>
        <v>0</v>
      </c>
      <c r="K6370" s="1" t="str">
        <f t="shared" si="3805"/>
        <v>103</v>
      </c>
      <c r="L6370" s="1" t="str">
        <f t="shared" si="3806"/>
        <v>47</v>
      </c>
      <c r="M6370" s="1" t="str">
        <f t="shared" si="3826"/>
        <v>0</v>
      </c>
      <c r="N6370" s="1" t="str">
        <f t="shared" si="3826"/>
        <v>0</v>
      </c>
      <c r="O6370" s="1" t="str">
        <f>"3.16"</f>
        <v>3.16</v>
      </c>
    </row>
    <row r="6371" s="1" customFormat="1" spans="1:15">
      <c r="A6371" s="1" t="str">
        <f t="shared" si="3785"/>
        <v>202406</v>
      </c>
      <c r="B6371" s="1" t="str">
        <f t="shared" si="3786"/>
        <v>150525100</v>
      </c>
      <c r="C6371" s="1" t="str">
        <f>"1014584821"</f>
        <v>1014584821</v>
      </c>
      <c r="D6371" s="1" t="str">
        <f>"152326196305113324"</f>
        <v>152326196305113324</v>
      </c>
      <c r="E6371" s="1" t="s">
        <v>6211</v>
      </c>
      <c r="F6371" s="1" t="s">
        <v>16</v>
      </c>
      <c r="G6371" s="1" t="s">
        <v>19</v>
      </c>
      <c r="H6371" s="1" t="str">
        <f>"61"</f>
        <v>61</v>
      </c>
      <c r="I6371" s="1" t="str">
        <f>"163.09"</f>
        <v>163.09</v>
      </c>
      <c r="J6371" s="1" t="str">
        <f t="shared" ref="J6371:N6371" si="3827">"0"</f>
        <v>0</v>
      </c>
      <c r="K6371" s="1" t="str">
        <f t="shared" si="3805"/>
        <v>103</v>
      </c>
      <c r="L6371" s="1" t="str">
        <f t="shared" si="3806"/>
        <v>47</v>
      </c>
      <c r="M6371" s="1" t="str">
        <f t="shared" si="3827"/>
        <v>0</v>
      </c>
      <c r="N6371" s="1" t="str">
        <f t="shared" si="3827"/>
        <v>0</v>
      </c>
      <c r="O6371" s="1" t="str">
        <f>"13.09"</f>
        <v>13.09</v>
      </c>
    </row>
    <row r="6372" s="1" customFormat="1" spans="1:15">
      <c r="A6372" s="1" t="str">
        <f t="shared" si="3785"/>
        <v>202406</v>
      </c>
      <c r="B6372" s="1" t="str">
        <f t="shared" si="3786"/>
        <v>150525100</v>
      </c>
      <c r="C6372" s="1" t="str">
        <f>"1014585321"</f>
        <v>1014585321</v>
      </c>
      <c r="D6372" s="1" t="str">
        <f>"152326195503060660"</f>
        <v>152326195503060660</v>
      </c>
      <c r="E6372" s="1" t="s">
        <v>6212</v>
      </c>
      <c r="F6372" s="1" t="s">
        <v>16</v>
      </c>
      <c r="G6372" s="1" t="s">
        <v>96</v>
      </c>
      <c r="H6372" s="1" t="str">
        <f>"69"</f>
        <v>69</v>
      </c>
      <c r="I6372" s="1" t="str">
        <f>"155.09"</f>
        <v>155.09</v>
      </c>
      <c r="J6372" s="1" t="str">
        <f t="shared" ref="J6372:N6372" si="3828">"0"</f>
        <v>0</v>
      </c>
      <c r="K6372" s="1" t="str">
        <f t="shared" si="3805"/>
        <v>103</v>
      </c>
      <c r="L6372" s="1" t="str">
        <f t="shared" si="3806"/>
        <v>47</v>
      </c>
      <c r="M6372" s="1" t="str">
        <f t="shared" si="3828"/>
        <v>0</v>
      </c>
      <c r="N6372" s="1" t="str">
        <f t="shared" si="3828"/>
        <v>0</v>
      </c>
      <c r="O6372" s="1" t="str">
        <f>"5.09"</f>
        <v>5.09</v>
      </c>
    </row>
    <row r="6373" s="1" customFormat="1" spans="1:15">
      <c r="A6373" s="1" t="str">
        <f t="shared" si="3785"/>
        <v>202406</v>
      </c>
      <c r="B6373" s="1" t="str">
        <f t="shared" si="3786"/>
        <v>150525100</v>
      </c>
      <c r="C6373" s="1" t="str">
        <f>"1014585322"</f>
        <v>1014585322</v>
      </c>
      <c r="D6373" s="1" t="str">
        <f>"152326195607090661"</f>
        <v>152326195607090661</v>
      </c>
      <c r="E6373" s="1" t="s">
        <v>6213</v>
      </c>
      <c r="F6373" s="1" t="s">
        <v>16</v>
      </c>
      <c r="G6373" s="1" t="s">
        <v>96</v>
      </c>
      <c r="H6373" s="1" t="str">
        <f t="shared" ref="H6373:H6377" si="3829">"68"</f>
        <v>68</v>
      </c>
      <c r="I6373" s="1" t="str">
        <f>"155.77"</f>
        <v>155.77</v>
      </c>
      <c r="J6373" s="1" t="str">
        <f t="shared" ref="J6373:N6373" si="3830">"0"</f>
        <v>0</v>
      </c>
      <c r="K6373" s="1" t="str">
        <f t="shared" si="3805"/>
        <v>103</v>
      </c>
      <c r="L6373" s="1" t="str">
        <f t="shared" si="3806"/>
        <v>47</v>
      </c>
      <c r="M6373" s="1" t="str">
        <f t="shared" si="3830"/>
        <v>0</v>
      </c>
      <c r="N6373" s="1" t="str">
        <f t="shared" si="3830"/>
        <v>0</v>
      </c>
      <c r="O6373" s="1" t="str">
        <f>"5.77"</f>
        <v>5.77</v>
      </c>
    </row>
    <row r="6374" s="1" customFormat="1" spans="1:15">
      <c r="A6374" s="1" t="str">
        <f t="shared" si="3785"/>
        <v>202406</v>
      </c>
      <c r="B6374" s="1" t="str">
        <f t="shared" si="3786"/>
        <v>150525100</v>
      </c>
      <c r="C6374" s="1" t="str">
        <f>"1014561457"</f>
        <v>1014561457</v>
      </c>
      <c r="D6374" s="1" t="str">
        <f>"152326195406050428"</f>
        <v>152326195406050428</v>
      </c>
      <c r="E6374" s="1" t="s">
        <v>6214</v>
      </c>
      <c r="F6374" s="1" t="s">
        <v>16</v>
      </c>
      <c r="G6374" s="1" t="s">
        <v>17</v>
      </c>
      <c r="H6374" s="1" t="str">
        <f t="shared" ref="H6374:H6381" si="3831">"70"</f>
        <v>70</v>
      </c>
      <c r="I6374" s="1" t="str">
        <f>"153.91"</f>
        <v>153.91</v>
      </c>
      <c r="J6374" s="1" t="str">
        <f t="shared" ref="J6374:N6374" si="3832">"0"</f>
        <v>0</v>
      </c>
      <c r="K6374" s="1" t="str">
        <f t="shared" si="3805"/>
        <v>103</v>
      </c>
      <c r="L6374" s="1" t="str">
        <f t="shared" si="3806"/>
        <v>47</v>
      </c>
      <c r="M6374" s="1" t="str">
        <f t="shared" si="3832"/>
        <v>0</v>
      </c>
      <c r="N6374" s="1" t="str">
        <f t="shared" si="3832"/>
        <v>0</v>
      </c>
      <c r="O6374" s="1" t="str">
        <f>"3.91"</f>
        <v>3.91</v>
      </c>
    </row>
    <row r="6375" s="1" customFormat="1" spans="1:15">
      <c r="A6375" s="1" t="str">
        <f t="shared" si="3785"/>
        <v>202406</v>
      </c>
      <c r="B6375" s="1" t="str">
        <f t="shared" si="3786"/>
        <v>150525100</v>
      </c>
      <c r="C6375" s="1" t="str">
        <f>"1014561463"</f>
        <v>1014561463</v>
      </c>
      <c r="D6375" s="1" t="str">
        <f>"152326195407270422"</f>
        <v>152326195407270422</v>
      </c>
      <c r="E6375" s="1" t="s">
        <v>6215</v>
      </c>
      <c r="F6375" s="1" t="s">
        <v>16</v>
      </c>
      <c r="G6375" s="1" t="s">
        <v>17</v>
      </c>
      <c r="H6375" s="1" t="str">
        <f t="shared" si="3831"/>
        <v>70</v>
      </c>
      <c r="I6375" s="1" t="str">
        <f>"154.14"</f>
        <v>154.14</v>
      </c>
      <c r="J6375" s="1" t="str">
        <f t="shared" ref="J6375:N6375" si="3833">"0"</f>
        <v>0</v>
      </c>
      <c r="K6375" s="1" t="str">
        <f t="shared" si="3805"/>
        <v>103</v>
      </c>
      <c r="L6375" s="1" t="str">
        <f t="shared" si="3806"/>
        <v>47</v>
      </c>
      <c r="M6375" s="1" t="str">
        <f t="shared" si="3833"/>
        <v>0</v>
      </c>
      <c r="N6375" s="1" t="str">
        <f t="shared" si="3833"/>
        <v>0</v>
      </c>
      <c r="O6375" s="1" t="str">
        <f>"4.14"</f>
        <v>4.14</v>
      </c>
    </row>
    <row r="6376" s="1" customFormat="1" spans="1:15">
      <c r="A6376" s="1" t="str">
        <f t="shared" si="3785"/>
        <v>202406</v>
      </c>
      <c r="B6376" s="1" t="str">
        <f t="shared" si="3786"/>
        <v>150525100</v>
      </c>
      <c r="C6376" s="1" t="str">
        <f>"1014583914"</f>
        <v>1014583914</v>
      </c>
      <c r="D6376" s="1" t="str">
        <f>"152326195601193328"</f>
        <v>152326195601193328</v>
      </c>
      <c r="E6376" s="1" t="s">
        <v>6216</v>
      </c>
      <c r="F6376" s="1" t="s">
        <v>16</v>
      </c>
      <c r="G6376" s="1" t="s">
        <v>17</v>
      </c>
      <c r="H6376" s="1" t="str">
        <f t="shared" si="3829"/>
        <v>68</v>
      </c>
      <c r="I6376" s="1" t="str">
        <f>"155.96"</f>
        <v>155.96</v>
      </c>
      <c r="J6376" s="1" t="str">
        <f t="shared" ref="J6376:N6376" si="3834">"0"</f>
        <v>0</v>
      </c>
      <c r="K6376" s="1" t="str">
        <f t="shared" si="3805"/>
        <v>103</v>
      </c>
      <c r="L6376" s="1" t="str">
        <f t="shared" si="3806"/>
        <v>47</v>
      </c>
      <c r="M6376" s="1" t="str">
        <f t="shared" si="3834"/>
        <v>0</v>
      </c>
      <c r="N6376" s="1" t="str">
        <f t="shared" si="3834"/>
        <v>0</v>
      </c>
      <c r="O6376" s="1" t="str">
        <f>"5.96"</f>
        <v>5.96</v>
      </c>
    </row>
    <row r="6377" s="1" customFormat="1" spans="1:15">
      <c r="A6377" s="1" t="str">
        <f t="shared" si="3785"/>
        <v>202406</v>
      </c>
      <c r="B6377" s="1" t="str">
        <f t="shared" si="3786"/>
        <v>150525100</v>
      </c>
      <c r="C6377" s="1" t="str">
        <f>"1014583932"</f>
        <v>1014583932</v>
      </c>
      <c r="D6377" s="1" t="str">
        <f>"152326195606300663"</f>
        <v>152326195606300663</v>
      </c>
      <c r="E6377" s="1" t="s">
        <v>1731</v>
      </c>
      <c r="F6377" s="1" t="s">
        <v>16</v>
      </c>
      <c r="G6377" s="1" t="s">
        <v>17</v>
      </c>
      <c r="H6377" s="1" t="str">
        <f t="shared" si="3829"/>
        <v>68</v>
      </c>
      <c r="I6377" s="1" t="str">
        <f>"155.76"</f>
        <v>155.76</v>
      </c>
      <c r="J6377" s="1" t="str">
        <f t="shared" ref="J6377:N6377" si="3835">"0"</f>
        <v>0</v>
      </c>
      <c r="K6377" s="1" t="str">
        <f t="shared" si="3805"/>
        <v>103</v>
      </c>
      <c r="L6377" s="1" t="str">
        <f t="shared" si="3806"/>
        <v>47</v>
      </c>
      <c r="M6377" s="1" t="str">
        <f t="shared" si="3835"/>
        <v>0</v>
      </c>
      <c r="N6377" s="1" t="str">
        <f t="shared" si="3835"/>
        <v>0</v>
      </c>
      <c r="O6377" s="1" t="str">
        <f>"5.76"</f>
        <v>5.76</v>
      </c>
    </row>
    <row r="6378" s="1" customFormat="1" spans="1:15">
      <c r="A6378" s="1" t="str">
        <f t="shared" si="3785"/>
        <v>202406</v>
      </c>
      <c r="B6378" s="1" t="str">
        <f t="shared" si="3786"/>
        <v>150525100</v>
      </c>
      <c r="C6378" s="1" t="str">
        <f>"1014550793"</f>
        <v>1014550793</v>
      </c>
      <c r="D6378" s="1" t="str">
        <f>"152326195407020669"</f>
        <v>152326195407020669</v>
      </c>
      <c r="E6378" s="1" t="s">
        <v>6217</v>
      </c>
      <c r="F6378" s="1" t="s">
        <v>16</v>
      </c>
      <c r="G6378" s="1" t="s">
        <v>17</v>
      </c>
      <c r="H6378" s="1" t="str">
        <f t="shared" si="3831"/>
        <v>70</v>
      </c>
      <c r="I6378" s="1" t="str">
        <f t="shared" ref="I6378:I6381" si="3836">"154.15"</f>
        <v>154.15</v>
      </c>
      <c r="J6378" s="1" t="str">
        <f t="shared" ref="J6378:N6378" si="3837">"0"</f>
        <v>0</v>
      </c>
      <c r="K6378" s="1" t="str">
        <f t="shared" si="3805"/>
        <v>103</v>
      </c>
      <c r="L6378" s="1" t="str">
        <f t="shared" si="3806"/>
        <v>47</v>
      </c>
      <c r="M6378" s="1" t="str">
        <f t="shared" si="3837"/>
        <v>0</v>
      </c>
      <c r="N6378" s="1" t="str">
        <f t="shared" si="3837"/>
        <v>0</v>
      </c>
      <c r="O6378" s="1" t="str">
        <f t="shared" ref="O6378:O6381" si="3838">"4.15"</f>
        <v>4.15</v>
      </c>
    </row>
    <row r="6379" s="1" customFormat="1" spans="1:15">
      <c r="A6379" s="1" t="str">
        <f t="shared" si="3785"/>
        <v>202406</v>
      </c>
      <c r="B6379" s="1" t="str">
        <f t="shared" si="3786"/>
        <v>150525100</v>
      </c>
      <c r="C6379" s="1" t="str">
        <f>"1014550799"</f>
        <v>1014550799</v>
      </c>
      <c r="D6379" s="1" t="str">
        <f>"152326195409090679"</f>
        <v>152326195409090679</v>
      </c>
      <c r="E6379" s="1" t="s">
        <v>6218</v>
      </c>
      <c r="F6379" s="1" t="s">
        <v>25</v>
      </c>
      <c r="G6379" s="1" t="s">
        <v>19</v>
      </c>
      <c r="H6379" s="1" t="str">
        <f t="shared" si="3831"/>
        <v>70</v>
      </c>
      <c r="I6379" s="1" t="str">
        <f t="shared" si="3836"/>
        <v>154.15</v>
      </c>
      <c r="J6379" s="1" t="str">
        <f t="shared" ref="J6379:N6379" si="3839">"0"</f>
        <v>0</v>
      </c>
      <c r="K6379" s="1" t="str">
        <f t="shared" si="3805"/>
        <v>103</v>
      </c>
      <c r="L6379" s="1" t="str">
        <f t="shared" si="3806"/>
        <v>47</v>
      </c>
      <c r="M6379" s="1" t="str">
        <f t="shared" si="3839"/>
        <v>0</v>
      </c>
      <c r="N6379" s="1" t="str">
        <f t="shared" si="3839"/>
        <v>0</v>
      </c>
      <c r="O6379" s="1" t="str">
        <f t="shared" si="3838"/>
        <v>4.15</v>
      </c>
    </row>
    <row r="6380" s="1" customFormat="1" spans="1:15">
      <c r="A6380" s="1" t="str">
        <f t="shared" si="3785"/>
        <v>202406</v>
      </c>
      <c r="B6380" s="1" t="str">
        <f t="shared" si="3786"/>
        <v>150525100</v>
      </c>
      <c r="C6380" s="1" t="str">
        <f>"1014550809"</f>
        <v>1014550809</v>
      </c>
      <c r="D6380" s="1" t="str">
        <f>"152326195411093326"</f>
        <v>152326195411093326</v>
      </c>
      <c r="E6380" s="1" t="s">
        <v>2229</v>
      </c>
      <c r="F6380" s="1" t="s">
        <v>16</v>
      </c>
      <c r="G6380" s="1" t="s">
        <v>17</v>
      </c>
      <c r="H6380" s="1" t="str">
        <f t="shared" si="3831"/>
        <v>70</v>
      </c>
      <c r="I6380" s="1" t="str">
        <f t="shared" si="3836"/>
        <v>154.15</v>
      </c>
      <c r="J6380" s="1" t="str">
        <f t="shared" ref="J6380:N6380" si="3840">"0"</f>
        <v>0</v>
      </c>
      <c r="K6380" s="1" t="str">
        <f t="shared" si="3805"/>
        <v>103</v>
      </c>
      <c r="L6380" s="1" t="str">
        <f t="shared" si="3806"/>
        <v>47</v>
      </c>
      <c r="M6380" s="1" t="str">
        <f t="shared" si="3840"/>
        <v>0</v>
      </c>
      <c r="N6380" s="1" t="str">
        <f t="shared" si="3840"/>
        <v>0</v>
      </c>
      <c r="O6380" s="1" t="str">
        <f t="shared" si="3838"/>
        <v>4.15</v>
      </c>
    </row>
    <row r="6381" s="1" customFormat="1" spans="1:15">
      <c r="A6381" s="1" t="str">
        <f t="shared" si="3785"/>
        <v>202406</v>
      </c>
      <c r="B6381" s="1" t="str">
        <f t="shared" si="3786"/>
        <v>150525100</v>
      </c>
      <c r="C6381" s="1" t="str">
        <f>"1014550813"</f>
        <v>1014550813</v>
      </c>
      <c r="D6381" s="1" t="str">
        <f>"152326195412080666"</f>
        <v>152326195412080666</v>
      </c>
      <c r="E6381" s="1" t="s">
        <v>6219</v>
      </c>
      <c r="F6381" s="1" t="s">
        <v>16</v>
      </c>
      <c r="G6381" s="1" t="s">
        <v>17</v>
      </c>
      <c r="H6381" s="1" t="str">
        <f t="shared" si="3831"/>
        <v>70</v>
      </c>
      <c r="I6381" s="1" t="str">
        <f t="shared" si="3836"/>
        <v>154.15</v>
      </c>
      <c r="J6381" s="1" t="str">
        <f t="shared" ref="J6381:N6381" si="3841">"0"</f>
        <v>0</v>
      </c>
      <c r="K6381" s="1" t="str">
        <f t="shared" si="3805"/>
        <v>103</v>
      </c>
      <c r="L6381" s="1" t="str">
        <f t="shared" si="3806"/>
        <v>47</v>
      </c>
      <c r="M6381" s="1" t="str">
        <f t="shared" si="3841"/>
        <v>0</v>
      </c>
      <c r="N6381" s="1" t="str">
        <f t="shared" si="3841"/>
        <v>0</v>
      </c>
      <c r="O6381" s="1" t="str">
        <f t="shared" si="3838"/>
        <v>4.15</v>
      </c>
    </row>
    <row r="6382" s="1" customFormat="1" spans="1:15">
      <c r="A6382" s="1" t="str">
        <f t="shared" si="3785"/>
        <v>202406</v>
      </c>
      <c r="B6382" s="1" t="str">
        <f t="shared" si="3786"/>
        <v>150525100</v>
      </c>
      <c r="C6382" s="1" t="str">
        <f>"1014585350"</f>
        <v>1014585350</v>
      </c>
      <c r="D6382" s="1" t="str">
        <f>"152326195208130662"</f>
        <v>152326195208130662</v>
      </c>
      <c r="E6382" s="1" t="s">
        <v>6220</v>
      </c>
      <c r="F6382" s="1" t="s">
        <v>16</v>
      </c>
      <c r="G6382" s="1" t="s">
        <v>19</v>
      </c>
      <c r="H6382" s="1" t="str">
        <f>"72"</f>
        <v>72</v>
      </c>
      <c r="I6382" s="1" t="str">
        <f>"162.14"</f>
        <v>162.14</v>
      </c>
      <c r="J6382" s="1" t="str">
        <f t="shared" ref="J6382:N6382" si="3842">"0"</f>
        <v>0</v>
      </c>
      <c r="K6382" s="1" t="str">
        <f t="shared" si="3805"/>
        <v>103</v>
      </c>
      <c r="L6382" s="1" t="str">
        <f t="shared" si="3806"/>
        <v>47</v>
      </c>
      <c r="M6382" s="1" t="str">
        <f t="shared" si="3842"/>
        <v>0</v>
      </c>
      <c r="N6382" s="1" t="str">
        <f t="shared" si="3842"/>
        <v>0</v>
      </c>
      <c r="O6382" s="1" t="str">
        <f>"2.14"</f>
        <v>2.14</v>
      </c>
    </row>
    <row r="6383" s="1" customFormat="1" spans="1:15">
      <c r="A6383" s="1" t="str">
        <f t="shared" si="3785"/>
        <v>202406</v>
      </c>
      <c r="B6383" s="1" t="str">
        <f t="shared" si="3786"/>
        <v>150525100</v>
      </c>
      <c r="C6383" s="1" t="str">
        <f>"1014585353"</f>
        <v>1014585353</v>
      </c>
      <c r="D6383" s="1" t="str">
        <f>"152326195302143320"</f>
        <v>152326195302143320</v>
      </c>
      <c r="E6383" s="1" t="s">
        <v>6221</v>
      </c>
      <c r="F6383" s="1" t="s">
        <v>16</v>
      </c>
      <c r="G6383" s="1" t="s">
        <v>19</v>
      </c>
      <c r="H6383" s="1" t="str">
        <f>"71"</f>
        <v>71</v>
      </c>
      <c r="I6383" s="1" t="str">
        <f>"162.65"</f>
        <v>162.65</v>
      </c>
      <c r="J6383" s="1" t="str">
        <f t="shared" ref="J6383:N6383" si="3843">"0"</f>
        <v>0</v>
      </c>
      <c r="K6383" s="1" t="str">
        <f t="shared" si="3805"/>
        <v>103</v>
      </c>
      <c r="L6383" s="1" t="str">
        <f t="shared" si="3806"/>
        <v>47</v>
      </c>
      <c r="M6383" s="1" t="str">
        <f t="shared" si="3843"/>
        <v>0</v>
      </c>
      <c r="N6383" s="1" t="str">
        <f t="shared" si="3843"/>
        <v>0</v>
      </c>
      <c r="O6383" s="1" t="str">
        <f>"2.65"</f>
        <v>2.65</v>
      </c>
    </row>
    <row r="6384" s="1" customFormat="1" spans="1:15">
      <c r="A6384" s="1" t="str">
        <f t="shared" si="3785"/>
        <v>202406</v>
      </c>
      <c r="B6384" s="1" t="str">
        <f t="shared" si="3786"/>
        <v>150525100</v>
      </c>
      <c r="C6384" s="1" t="str">
        <f>"1014612863"</f>
        <v>1014612863</v>
      </c>
      <c r="D6384" s="1" t="str">
        <f>"152326194404140425"</f>
        <v>152326194404140425</v>
      </c>
      <c r="E6384" s="1" t="s">
        <v>6222</v>
      </c>
      <c r="F6384" s="1" t="s">
        <v>16</v>
      </c>
      <c r="G6384" s="1" t="s">
        <v>17</v>
      </c>
      <c r="H6384" s="1" t="str">
        <f>"80"</f>
        <v>80</v>
      </c>
      <c r="I6384" s="1" t="str">
        <f>"1680"</f>
        <v>1680</v>
      </c>
      <c r="J6384" s="1" t="str">
        <f t="shared" ref="J6384:O6384" si="3844">"0"</f>
        <v>0</v>
      </c>
      <c r="K6384" s="1" t="str">
        <f t="shared" si="3844"/>
        <v>0</v>
      </c>
      <c r="L6384" s="1" t="str">
        <f t="shared" si="3844"/>
        <v>0</v>
      </c>
      <c r="M6384" s="1" t="str">
        <f t="shared" si="3844"/>
        <v>0</v>
      </c>
      <c r="N6384" s="1" t="str">
        <f t="shared" si="3844"/>
        <v>0</v>
      </c>
      <c r="O6384" s="1" t="str">
        <f t="shared" si="3844"/>
        <v>0</v>
      </c>
    </row>
    <row r="6385" s="1" customFormat="1" spans="1:15">
      <c r="A6385" s="1" t="str">
        <f t="shared" si="3785"/>
        <v>202406</v>
      </c>
      <c r="B6385" s="1" t="str">
        <f t="shared" si="3786"/>
        <v>150525100</v>
      </c>
      <c r="C6385" s="1" t="str">
        <f>"1014612867"</f>
        <v>1014612867</v>
      </c>
      <c r="D6385" s="1" t="str">
        <f>"152326194509070427"</f>
        <v>152326194509070427</v>
      </c>
      <c r="E6385" s="1" t="s">
        <v>6223</v>
      </c>
      <c r="F6385" s="1" t="s">
        <v>16</v>
      </c>
      <c r="G6385" s="1" t="s">
        <v>17</v>
      </c>
      <c r="H6385" s="1" t="str">
        <f>"79"</f>
        <v>79</v>
      </c>
      <c r="I6385" s="1" t="str">
        <f t="shared" ref="I6385:I6388" si="3845">"160"</f>
        <v>160</v>
      </c>
      <c r="J6385" s="1" t="str">
        <f t="shared" ref="J6385:O6385" si="3846">"0"</f>
        <v>0</v>
      </c>
      <c r="K6385" s="1" t="str">
        <f t="shared" ref="K6385:K6390" si="3847">"103"</f>
        <v>103</v>
      </c>
      <c r="L6385" s="1" t="str">
        <f t="shared" ref="L6385:L6390" si="3848">"47"</f>
        <v>47</v>
      </c>
      <c r="M6385" s="1" t="str">
        <f t="shared" si="3846"/>
        <v>0</v>
      </c>
      <c r="N6385" s="1" t="str">
        <f t="shared" si="3846"/>
        <v>0</v>
      </c>
      <c r="O6385" s="1" t="str">
        <f t="shared" si="3846"/>
        <v>0</v>
      </c>
    </row>
    <row r="6386" s="1" customFormat="1" spans="1:15">
      <c r="A6386" s="1" t="str">
        <f t="shared" si="3785"/>
        <v>202406</v>
      </c>
      <c r="B6386" s="1" t="str">
        <f t="shared" si="3786"/>
        <v>150525100</v>
      </c>
      <c r="C6386" s="1" t="str">
        <f>"1014613145"</f>
        <v>1014613145</v>
      </c>
      <c r="D6386" s="1" t="str">
        <f>"152326194709140434"</f>
        <v>152326194709140434</v>
      </c>
      <c r="E6386" s="1" t="s">
        <v>6224</v>
      </c>
      <c r="F6386" s="1" t="s">
        <v>25</v>
      </c>
      <c r="G6386" s="1" t="s">
        <v>96</v>
      </c>
      <c r="H6386" s="1" t="str">
        <f>"77"</f>
        <v>77</v>
      </c>
      <c r="I6386" s="1" t="str">
        <f t="shared" si="3845"/>
        <v>160</v>
      </c>
      <c r="J6386" s="1" t="str">
        <f t="shared" ref="J6386:O6386" si="3849">"0"</f>
        <v>0</v>
      </c>
      <c r="K6386" s="1" t="str">
        <f t="shared" si="3847"/>
        <v>103</v>
      </c>
      <c r="L6386" s="1" t="str">
        <f t="shared" si="3848"/>
        <v>47</v>
      </c>
      <c r="M6386" s="1" t="str">
        <f t="shared" si="3849"/>
        <v>0</v>
      </c>
      <c r="N6386" s="1" t="str">
        <f t="shared" si="3849"/>
        <v>0</v>
      </c>
      <c r="O6386" s="1" t="str">
        <f t="shared" si="3849"/>
        <v>0</v>
      </c>
    </row>
    <row r="6387" s="1" customFormat="1" spans="1:15">
      <c r="A6387" s="1" t="str">
        <f t="shared" si="3785"/>
        <v>202406</v>
      </c>
      <c r="B6387" s="1" t="str">
        <f t="shared" si="3786"/>
        <v>150525100</v>
      </c>
      <c r="C6387" s="1" t="str">
        <f>"1014622201"</f>
        <v>1014622201</v>
      </c>
      <c r="D6387" s="1" t="str">
        <f>"152326193908040677"</f>
        <v>152326193908040677</v>
      </c>
      <c r="E6387" s="1" t="s">
        <v>6225</v>
      </c>
      <c r="F6387" s="1" t="s">
        <v>25</v>
      </c>
      <c r="G6387" s="1" t="s">
        <v>17</v>
      </c>
      <c r="H6387" s="1" t="str">
        <f>"85"</f>
        <v>85</v>
      </c>
      <c r="I6387" s="1" t="str">
        <f>"170"</f>
        <v>170</v>
      </c>
      <c r="J6387" s="1" t="str">
        <f t="shared" ref="J6387:O6387" si="3850">"0"</f>
        <v>0</v>
      </c>
      <c r="K6387" s="1" t="str">
        <f t="shared" si="3847"/>
        <v>103</v>
      </c>
      <c r="L6387" s="1" t="str">
        <f t="shared" si="3848"/>
        <v>47</v>
      </c>
      <c r="M6387" s="1" t="str">
        <f t="shared" si="3850"/>
        <v>0</v>
      </c>
      <c r="N6387" s="1" t="str">
        <f t="shared" si="3850"/>
        <v>0</v>
      </c>
      <c r="O6387" s="1" t="str">
        <f t="shared" si="3850"/>
        <v>0</v>
      </c>
    </row>
    <row r="6388" s="1" customFormat="1" spans="1:15">
      <c r="A6388" s="1" t="str">
        <f t="shared" si="3785"/>
        <v>202406</v>
      </c>
      <c r="B6388" s="1" t="str">
        <f t="shared" si="3786"/>
        <v>150525100</v>
      </c>
      <c r="C6388" s="1" t="str">
        <f>"1014622569"</f>
        <v>1014622569</v>
      </c>
      <c r="D6388" s="1" t="str">
        <f>"152326195003023329"</f>
        <v>152326195003023329</v>
      </c>
      <c r="E6388" s="1" t="s">
        <v>6226</v>
      </c>
      <c r="F6388" s="1" t="s">
        <v>16</v>
      </c>
      <c r="G6388" s="1" t="s">
        <v>19</v>
      </c>
      <c r="H6388" s="1" t="str">
        <f>"74"</f>
        <v>74</v>
      </c>
      <c r="I6388" s="1" t="str">
        <f t="shared" si="3845"/>
        <v>160</v>
      </c>
      <c r="J6388" s="1" t="str">
        <f t="shared" ref="J6388:O6388" si="3851">"0"</f>
        <v>0</v>
      </c>
      <c r="K6388" s="1" t="str">
        <f t="shared" si="3847"/>
        <v>103</v>
      </c>
      <c r="L6388" s="1" t="str">
        <f t="shared" si="3848"/>
        <v>47</v>
      </c>
      <c r="M6388" s="1" t="str">
        <f t="shared" si="3851"/>
        <v>0</v>
      </c>
      <c r="N6388" s="1" t="str">
        <f t="shared" si="3851"/>
        <v>0</v>
      </c>
      <c r="O6388" s="1" t="str">
        <f t="shared" si="3851"/>
        <v>0</v>
      </c>
    </row>
    <row r="6389" s="1" customFormat="1" spans="1:15">
      <c r="A6389" s="1" t="str">
        <f t="shared" si="3785"/>
        <v>202406</v>
      </c>
      <c r="B6389" s="1" t="str">
        <f t="shared" si="3786"/>
        <v>150525100</v>
      </c>
      <c r="C6389" s="1" t="str">
        <f>"1014622574"</f>
        <v>1014622574</v>
      </c>
      <c r="D6389" s="1" t="str">
        <f>"152326194402050418"</f>
        <v>152326194402050418</v>
      </c>
      <c r="E6389" s="1" t="s">
        <v>6227</v>
      </c>
      <c r="F6389" s="1" t="s">
        <v>25</v>
      </c>
      <c r="G6389" s="1" t="s">
        <v>17</v>
      </c>
      <c r="H6389" s="1" t="str">
        <f>"80"</f>
        <v>80</v>
      </c>
      <c r="I6389" s="1" t="str">
        <f>"170"</f>
        <v>170</v>
      </c>
      <c r="J6389" s="1" t="str">
        <f t="shared" ref="J6389:O6389" si="3852">"0"</f>
        <v>0</v>
      </c>
      <c r="K6389" s="1" t="str">
        <f t="shared" si="3847"/>
        <v>103</v>
      </c>
      <c r="L6389" s="1" t="str">
        <f t="shared" si="3848"/>
        <v>47</v>
      </c>
      <c r="M6389" s="1" t="str">
        <f t="shared" si="3852"/>
        <v>0</v>
      </c>
      <c r="N6389" s="1" t="str">
        <f t="shared" si="3852"/>
        <v>0</v>
      </c>
      <c r="O6389" s="1" t="str">
        <f t="shared" si="3852"/>
        <v>0</v>
      </c>
    </row>
    <row r="6390" s="1" customFormat="1" spans="1:15">
      <c r="A6390" s="1" t="str">
        <f t="shared" si="3785"/>
        <v>202406</v>
      </c>
      <c r="B6390" s="1" t="str">
        <f t="shared" si="3786"/>
        <v>150525100</v>
      </c>
      <c r="C6390" s="1" t="str">
        <f>"1014622596"</f>
        <v>1014622596</v>
      </c>
      <c r="D6390" s="1" t="str">
        <f>"152326195102020676"</f>
        <v>152326195102020676</v>
      </c>
      <c r="E6390" s="1" t="s">
        <v>6228</v>
      </c>
      <c r="F6390" s="1" t="s">
        <v>25</v>
      </c>
      <c r="G6390" s="1" t="s">
        <v>17</v>
      </c>
      <c r="H6390" s="1" t="str">
        <f t="shared" ref="H6390:H6393" si="3853">"73"</f>
        <v>73</v>
      </c>
      <c r="I6390" s="1" t="str">
        <f t="shared" ref="I6390:I6394" si="3854">"160"</f>
        <v>160</v>
      </c>
      <c r="J6390" s="1" t="str">
        <f t="shared" ref="J6390:O6390" si="3855">"0"</f>
        <v>0</v>
      </c>
      <c r="K6390" s="1" t="str">
        <f t="shared" si="3847"/>
        <v>103</v>
      </c>
      <c r="L6390" s="1" t="str">
        <f t="shared" si="3848"/>
        <v>47</v>
      </c>
      <c r="M6390" s="1" t="str">
        <f t="shared" si="3855"/>
        <v>0</v>
      </c>
      <c r="N6390" s="1" t="str">
        <f t="shared" si="3855"/>
        <v>0</v>
      </c>
      <c r="O6390" s="1" t="str">
        <f t="shared" si="3855"/>
        <v>0</v>
      </c>
    </row>
    <row r="6391" s="1" customFormat="1" spans="1:15">
      <c r="A6391" s="1" t="str">
        <f t="shared" si="3785"/>
        <v>202406</v>
      </c>
      <c r="B6391" s="1" t="str">
        <f t="shared" si="3786"/>
        <v>150525100</v>
      </c>
      <c r="C6391" s="1" t="str">
        <f>"1014623961"</f>
        <v>1014623961</v>
      </c>
      <c r="D6391" s="1" t="str">
        <f>"152326195102100668"</f>
        <v>152326195102100668</v>
      </c>
      <c r="E6391" s="1" t="s">
        <v>6229</v>
      </c>
      <c r="F6391" s="1" t="s">
        <v>16</v>
      </c>
      <c r="G6391" s="1" t="s">
        <v>96</v>
      </c>
      <c r="H6391" s="1" t="str">
        <f t="shared" si="3853"/>
        <v>73</v>
      </c>
      <c r="I6391" s="1" t="str">
        <f>"1740"</f>
        <v>1740</v>
      </c>
      <c r="J6391" s="1" t="str">
        <f t="shared" ref="J6391:O6391" si="3856">"0"</f>
        <v>0</v>
      </c>
      <c r="K6391" s="1" t="str">
        <f t="shared" si="3856"/>
        <v>0</v>
      </c>
      <c r="L6391" s="1" t="str">
        <f t="shared" si="3856"/>
        <v>0</v>
      </c>
      <c r="M6391" s="1" t="str">
        <f t="shared" si="3856"/>
        <v>0</v>
      </c>
      <c r="N6391" s="1" t="str">
        <f t="shared" si="3856"/>
        <v>0</v>
      </c>
      <c r="O6391" s="1" t="str">
        <f t="shared" si="3856"/>
        <v>0</v>
      </c>
    </row>
    <row r="6392" s="1" customFormat="1" spans="1:15">
      <c r="A6392" s="1" t="str">
        <f t="shared" si="3785"/>
        <v>202406</v>
      </c>
      <c r="B6392" s="1" t="str">
        <f t="shared" si="3786"/>
        <v>150525100</v>
      </c>
      <c r="C6392" s="1" t="str">
        <f>"1014623969"</f>
        <v>1014623969</v>
      </c>
      <c r="D6392" s="1" t="s">
        <v>6230</v>
      </c>
      <c r="E6392" s="1" t="s">
        <v>6231</v>
      </c>
      <c r="F6392" s="1" t="s">
        <v>16</v>
      </c>
      <c r="G6392" s="1" t="s">
        <v>19</v>
      </c>
      <c r="H6392" s="1" t="str">
        <f t="shared" si="3853"/>
        <v>73</v>
      </c>
      <c r="I6392" s="1" t="str">
        <f t="shared" si="3854"/>
        <v>160</v>
      </c>
      <c r="J6392" s="1" t="str">
        <f t="shared" ref="J6392:O6392" si="3857">"0"</f>
        <v>0</v>
      </c>
      <c r="K6392" s="1" t="str">
        <f t="shared" ref="K6392:K6455" si="3858">"103"</f>
        <v>103</v>
      </c>
      <c r="L6392" s="1" t="str">
        <f t="shared" ref="L6392:L6455" si="3859">"47"</f>
        <v>47</v>
      </c>
      <c r="M6392" s="1" t="str">
        <f t="shared" si="3857"/>
        <v>0</v>
      </c>
      <c r="N6392" s="1" t="str">
        <f t="shared" si="3857"/>
        <v>0</v>
      </c>
      <c r="O6392" s="1" t="str">
        <f t="shared" si="3857"/>
        <v>0</v>
      </c>
    </row>
    <row r="6393" s="1" customFormat="1" spans="1:15">
      <c r="A6393" s="1" t="str">
        <f t="shared" si="3785"/>
        <v>202406</v>
      </c>
      <c r="B6393" s="1" t="str">
        <f t="shared" si="3786"/>
        <v>150525100</v>
      </c>
      <c r="C6393" s="1" t="str">
        <f>"1014623971"</f>
        <v>1014623971</v>
      </c>
      <c r="D6393" s="1" t="str">
        <f>"152326195110110663"</f>
        <v>152326195110110663</v>
      </c>
      <c r="E6393" s="1" t="s">
        <v>2079</v>
      </c>
      <c r="F6393" s="1" t="s">
        <v>16</v>
      </c>
      <c r="G6393" s="1" t="s">
        <v>19</v>
      </c>
      <c r="H6393" s="1" t="str">
        <f t="shared" si="3853"/>
        <v>73</v>
      </c>
      <c r="I6393" s="1" t="str">
        <f t="shared" si="3854"/>
        <v>160</v>
      </c>
      <c r="J6393" s="1" t="str">
        <f t="shared" ref="J6393:O6393" si="3860">"0"</f>
        <v>0</v>
      </c>
      <c r="K6393" s="1" t="str">
        <f t="shared" si="3858"/>
        <v>103</v>
      </c>
      <c r="L6393" s="1" t="str">
        <f t="shared" si="3859"/>
        <v>47</v>
      </c>
      <c r="M6393" s="1" t="str">
        <f t="shared" si="3860"/>
        <v>0</v>
      </c>
      <c r="N6393" s="1" t="str">
        <f t="shared" si="3860"/>
        <v>0</v>
      </c>
      <c r="O6393" s="1" t="str">
        <f t="shared" si="3860"/>
        <v>0</v>
      </c>
    </row>
    <row r="6394" s="1" customFormat="1" spans="1:15">
      <c r="A6394" s="1" t="str">
        <f t="shared" si="3785"/>
        <v>202406</v>
      </c>
      <c r="B6394" s="1" t="str">
        <f t="shared" si="3786"/>
        <v>150525100</v>
      </c>
      <c r="C6394" s="1" t="str">
        <f>"1014623977"</f>
        <v>1014623977</v>
      </c>
      <c r="D6394" s="1" t="str">
        <f>"152326194908303080"</f>
        <v>152326194908303080</v>
      </c>
      <c r="E6394" s="1" t="s">
        <v>6232</v>
      </c>
      <c r="F6394" s="1" t="s">
        <v>16</v>
      </c>
      <c r="G6394" s="1" t="s">
        <v>19</v>
      </c>
      <c r="H6394" s="1" t="str">
        <f>"75"</f>
        <v>75</v>
      </c>
      <c r="I6394" s="1" t="str">
        <f t="shared" si="3854"/>
        <v>160</v>
      </c>
      <c r="J6394" s="1" t="str">
        <f t="shared" ref="J6394:O6394" si="3861">"0"</f>
        <v>0</v>
      </c>
      <c r="K6394" s="1" t="str">
        <f t="shared" si="3858"/>
        <v>103</v>
      </c>
      <c r="L6394" s="1" t="str">
        <f t="shared" si="3859"/>
        <v>47</v>
      </c>
      <c r="M6394" s="1" t="str">
        <f t="shared" si="3861"/>
        <v>0</v>
      </c>
      <c r="N6394" s="1" t="str">
        <f t="shared" si="3861"/>
        <v>0</v>
      </c>
      <c r="O6394" s="1" t="str">
        <f t="shared" si="3861"/>
        <v>0</v>
      </c>
    </row>
    <row r="6395" s="1" customFormat="1" spans="1:15">
      <c r="A6395" s="1" t="str">
        <f t="shared" si="3785"/>
        <v>202406</v>
      </c>
      <c r="B6395" s="1" t="str">
        <f t="shared" si="3786"/>
        <v>150525100</v>
      </c>
      <c r="C6395" s="1" t="str">
        <f>"1014623980"</f>
        <v>1014623980</v>
      </c>
      <c r="D6395" s="1" t="str">
        <f>"152326194005060671"</f>
        <v>152326194005060671</v>
      </c>
      <c r="E6395" s="1" t="s">
        <v>6233</v>
      </c>
      <c r="F6395" s="1" t="s">
        <v>25</v>
      </c>
      <c r="G6395" s="1" t="s">
        <v>17</v>
      </c>
      <c r="H6395" s="1" t="str">
        <f>"84"</f>
        <v>84</v>
      </c>
      <c r="I6395" s="1" t="str">
        <f t="shared" ref="I6395:I6397" si="3862">"170"</f>
        <v>170</v>
      </c>
      <c r="J6395" s="1" t="str">
        <f t="shared" ref="J6395:O6395" si="3863">"0"</f>
        <v>0</v>
      </c>
      <c r="K6395" s="1" t="str">
        <f t="shared" si="3858"/>
        <v>103</v>
      </c>
      <c r="L6395" s="1" t="str">
        <f t="shared" si="3859"/>
        <v>47</v>
      </c>
      <c r="M6395" s="1" t="str">
        <f t="shared" si="3863"/>
        <v>0</v>
      </c>
      <c r="N6395" s="1" t="str">
        <f t="shared" si="3863"/>
        <v>0</v>
      </c>
      <c r="O6395" s="1" t="str">
        <f t="shared" si="3863"/>
        <v>0</v>
      </c>
    </row>
    <row r="6396" s="1" customFormat="1" spans="1:15">
      <c r="A6396" s="1" t="str">
        <f t="shared" si="3785"/>
        <v>202406</v>
      </c>
      <c r="B6396" s="1" t="str">
        <f t="shared" si="3786"/>
        <v>150525100</v>
      </c>
      <c r="C6396" s="1" t="str">
        <f>"1014624436"</f>
        <v>1014624436</v>
      </c>
      <c r="D6396" s="1" t="str">
        <f>"152326194309180672"</f>
        <v>152326194309180672</v>
      </c>
      <c r="E6396" s="1" t="s">
        <v>6234</v>
      </c>
      <c r="F6396" s="1" t="s">
        <v>25</v>
      </c>
      <c r="G6396" s="1" t="s">
        <v>17</v>
      </c>
      <c r="H6396" s="1" t="str">
        <f>"81"</f>
        <v>81</v>
      </c>
      <c r="I6396" s="1" t="str">
        <f t="shared" si="3862"/>
        <v>170</v>
      </c>
      <c r="J6396" s="1" t="str">
        <f t="shared" ref="J6396:O6396" si="3864">"0"</f>
        <v>0</v>
      </c>
      <c r="K6396" s="1" t="str">
        <f t="shared" si="3858"/>
        <v>103</v>
      </c>
      <c r="L6396" s="1" t="str">
        <f t="shared" si="3859"/>
        <v>47</v>
      </c>
      <c r="M6396" s="1" t="str">
        <f t="shared" si="3864"/>
        <v>0</v>
      </c>
      <c r="N6396" s="1" t="str">
        <f t="shared" si="3864"/>
        <v>0</v>
      </c>
      <c r="O6396" s="1" t="str">
        <f t="shared" si="3864"/>
        <v>0</v>
      </c>
    </row>
    <row r="6397" s="1" customFormat="1" spans="1:15">
      <c r="A6397" s="1" t="str">
        <f t="shared" si="3785"/>
        <v>202406</v>
      </c>
      <c r="B6397" s="1" t="str">
        <f t="shared" si="3786"/>
        <v>150525100</v>
      </c>
      <c r="C6397" s="1" t="str">
        <f>"1014624443"</f>
        <v>1014624443</v>
      </c>
      <c r="D6397" s="1" t="str">
        <f>"152326193611250665"</f>
        <v>152326193611250665</v>
      </c>
      <c r="E6397" s="1" t="s">
        <v>6235</v>
      </c>
      <c r="F6397" s="1" t="s">
        <v>16</v>
      </c>
      <c r="G6397" s="1" t="s">
        <v>17</v>
      </c>
      <c r="H6397" s="1" t="str">
        <f>"88"</f>
        <v>88</v>
      </c>
      <c r="I6397" s="1" t="str">
        <f t="shared" si="3862"/>
        <v>170</v>
      </c>
      <c r="J6397" s="1" t="str">
        <f t="shared" ref="J6397:O6397" si="3865">"0"</f>
        <v>0</v>
      </c>
      <c r="K6397" s="1" t="str">
        <f t="shared" si="3858"/>
        <v>103</v>
      </c>
      <c r="L6397" s="1" t="str">
        <f t="shared" si="3859"/>
        <v>47</v>
      </c>
      <c r="M6397" s="1" t="str">
        <f t="shared" si="3865"/>
        <v>0</v>
      </c>
      <c r="N6397" s="1" t="str">
        <f t="shared" si="3865"/>
        <v>0</v>
      </c>
      <c r="O6397" s="1" t="str">
        <f t="shared" si="3865"/>
        <v>0</v>
      </c>
    </row>
    <row r="6398" s="1" customFormat="1" spans="1:15">
      <c r="A6398" s="1" t="str">
        <f t="shared" si="3785"/>
        <v>202406</v>
      </c>
      <c r="B6398" s="1" t="str">
        <f t="shared" si="3786"/>
        <v>150525100</v>
      </c>
      <c r="C6398" s="1" t="str">
        <f>"1014624461"</f>
        <v>1014624461</v>
      </c>
      <c r="D6398" s="1" t="str">
        <f>"152326194702240926"</f>
        <v>152326194702240926</v>
      </c>
      <c r="E6398" s="1" t="s">
        <v>6236</v>
      </c>
      <c r="F6398" s="1" t="s">
        <v>16</v>
      </c>
      <c r="G6398" s="1" t="s">
        <v>19</v>
      </c>
      <c r="H6398" s="1" t="str">
        <f>"77"</f>
        <v>77</v>
      </c>
      <c r="I6398" s="1" t="str">
        <f t="shared" ref="I6398:I6402" si="3866">"160"</f>
        <v>160</v>
      </c>
      <c r="J6398" s="1" t="str">
        <f t="shared" ref="J6398:O6398" si="3867">"0"</f>
        <v>0</v>
      </c>
      <c r="K6398" s="1" t="str">
        <f t="shared" si="3858"/>
        <v>103</v>
      </c>
      <c r="L6398" s="1" t="str">
        <f t="shared" si="3859"/>
        <v>47</v>
      </c>
      <c r="M6398" s="1" t="str">
        <f t="shared" si="3867"/>
        <v>0</v>
      </c>
      <c r="N6398" s="1" t="str">
        <f t="shared" si="3867"/>
        <v>0</v>
      </c>
      <c r="O6398" s="1" t="str">
        <f t="shared" si="3867"/>
        <v>0</v>
      </c>
    </row>
    <row r="6399" s="1" customFormat="1" spans="1:15">
      <c r="A6399" s="1" t="str">
        <f t="shared" si="3785"/>
        <v>202406</v>
      </c>
      <c r="B6399" s="1" t="str">
        <f t="shared" si="3786"/>
        <v>150525100</v>
      </c>
      <c r="C6399" s="1" t="str">
        <f>"1014629404"</f>
        <v>1014629404</v>
      </c>
      <c r="D6399" s="1" t="str">
        <f>"152326195103080013"</f>
        <v>152326195103080013</v>
      </c>
      <c r="E6399" s="1" t="s">
        <v>6237</v>
      </c>
      <c r="F6399" s="1" t="s">
        <v>25</v>
      </c>
      <c r="G6399" s="1" t="s">
        <v>17</v>
      </c>
      <c r="H6399" s="1" t="str">
        <f>"73"</f>
        <v>73</v>
      </c>
      <c r="I6399" s="1" t="str">
        <f>"207.88"</f>
        <v>207.88</v>
      </c>
      <c r="J6399" s="1" t="str">
        <f t="shared" ref="J6399:O6399" si="3868">"0"</f>
        <v>0</v>
      </c>
      <c r="K6399" s="1" t="str">
        <f t="shared" si="3858"/>
        <v>103</v>
      </c>
      <c r="L6399" s="1" t="str">
        <f t="shared" si="3859"/>
        <v>47</v>
      </c>
      <c r="M6399" s="1" t="str">
        <f t="shared" si="3868"/>
        <v>0</v>
      </c>
      <c r="N6399" s="1" t="str">
        <f>"47.88"</f>
        <v>47.88</v>
      </c>
      <c r="O6399" s="1" t="str">
        <f t="shared" si="3868"/>
        <v>0</v>
      </c>
    </row>
    <row r="6400" s="1" customFormat="1" spans="1:15">
      <c r="A6400" s="1" t="str">
        <f t="shared" si="3785"/>
        <v>202406</v>
      </c>
      <c r="B6400" s="1" t="str">
        <f t="shared" si="3786"/>
        <v>150525100</v>
      </c>
      <c r="C6400" s="1" t="str">
        <f>"1014619417"</f>
        <v>1014619417</v>
      </c>
      <c r="D6400" s="1" t="str">
        <f>"152326194806293854"</f>
        <v>152326194806293854</v>
      </c>
      <c r="E6400" s="1" t="s">
        <v>6238</v>
      </c>
      <c r="F6400" s="1" t="s">
        <v>25</v>
      </c>
      <c r="G6400" s="1" t="s">
        <v>17</v>
      </c>
      <c r="H6400" s="1" t="str">
        <f>"76"</f>
        <v>76</v>
      </c>
      <c r="I6400" s="1" t="str">
        <f t="shared" si="3866"/>
        <v>160</v>
      </c>
      <c r="J6400" s="1" t="str">
        <f t="shared" ref="J6400:O6400" si="3869">"0"</f>
        <v>0</v>
      </c>
      <c r="K6400" s="1" t="str">
        <f t="shared" si="3858"/>
        <v>103</v>
      </c>
      <c r="L6400" s="1" t="str">
        <f t="shared" si="3859"/>
        <v>47</v>
      </c>
      <c r="M6400" s="1" t="str">
        <f t="shared" si="3869"/>
        <v>0</v>
      </c>
      <c r="N6400" s="1" t="str">
        <f t="shared" si="3869"/>
        <v>0</v>
      </c>
      <c r="O6400" s="1" t="str">
        <f t="shared" si="3869"/>
        <v>0</v>
      </c>
    </row>
    <row r="6401" s="1" customFormat="1" spans="1:15">
      <c r="A6401" s="1" t="str">
        <f t="shared" si="3785"/>
        <v>202406</v>
      </c>
      <c r="B6401" s="1" t="str">
        <f t="shared" si="3786"/>
        <v>150525100</v>
      </c>
      <c r="C6401" s="1" t="str">
        <f>"1014619424"</f>
        <v>1014619424</v>
      </c>
      <c r="D6401" s="1" t="str">
        <f>"152326194903270419"</f>
        <v>152326194903270419</v>
      </c>
      <c r="E6401" s="1" t="s">
        <v>6239</v>
      </c>
      <c r="F6401" s="1" t="s">
        <v>25</v>
      </c>
      <c r="G6401" s="1" t="s">
        <v>17</v>
      </c>
      <c r="H6401" s="1" t="str">
        <f>"75"</f>
        <v>75</v>
      </c>
      <c r="I6401" s="1" t="str">
        <f t="shared" si="3866"/>
        <v>160</v>
      </c>
      <c r="J6401" s="1" t="str">
        <f t="shared" ref="J6401:O6401" si="3870">"0"</f>
        <v>0</v>
      </c>
      <c r="K6401" s="1" t="str">
        <f t="shared" si="3858"/>
        <v>103</v>
      </c>
      <c r="L6401" s="1" t="str">
        <f t="shared" si="3859"/>
        <v>47</v>
      </c>
      <c r="M6401" s="1" t="str">
        <f t="shared" si="3870"/>
        <v>0</v>
      </c>
      <c r="N6401" s="1" t="str">
        <f t="shared" si="3870"/>
        <v>0</v>
      </c>
      <c r="O6401" s="1" t="str">
        <f t="shared" si="3870"/>
        <v>0</v>
      </c>
    </row>
    <row r="6402" s="1" customFormat="1" spans="1:15">
      <c r="A6402" s="1" t="str">
        <f t="shared" ref="A6402:A6465" si="3871">"202406"</f>
        <v>202406</v>
      </c>
      <c r="B6402" s="1" t="str">
        <f t="shared" ref="B6402:B6465" si="3872">"150525100"</f>
        <v>150525100</v>
      </c>
      <c r="C6402" s="1" t="str">
        <f>"1014629833"</f>
        <v>1014629833</v>
      </c>
      <c r="D6402" s="1" t="str">
        <f>"152326195108163088"</f>
        <v>152326195108163088</v>
      </c>
      <c r="E6402" s="1" t="s">
        <v>6240</v>
      </c>
      <c r="F6402" s="1" t="s">
        <v>16</v>
      </c>
      <c r="G6402" s="1" t="s">
        <v>17</v>
      </c>
      <c r="H6402" s="1" t="str">
        <f>"73"</f>
        <v>73</v>
      </c>
      <c r="I6402" s="1" t="str">
        <f t="shared" si="3866"/>
        <v>160</v>
      </c>
      <c r="J6402" s="1" t="str">
        <f t="shared" ref="J6402:O6402" si="3873">"0"</f>
        <v>0</v>
      </c>
      <c r="K6402" s="1" t="str">
        <f t="shared" si="3858"/>
        <v>103</v>
      </c>
      <c r="L6402" s="1" t="str">
        <f t="shared" si="3859"/>
        <v>47</v>
      </c>
      <c r="M6402" s="1" t="str">
        <f t="shared" si="3873"/>
        <v>0</v>
      </c>
      <c r="N6402" s="1" t="str">
        <f t="shared" si="3873"/>
        <v>0</v>
      </c>
      <c r="O6402" s="1" t="str">
        <f t="shared" si="3873"/>
        <v>0</v>
      </c>
    </row>
    <row r="6403" s="1" customFormat="1" spans="1:15">
      <c r="A6403" s="1" t="str">
        <f t="shared" si="3871"/>
        <v>202406</v>
      </c>
      <c r="B6403" s="1" t="str">
        <f t="shared" si="3872"/>
        <v>150525100</v>
      </c>
      <c r="C6403" s="1" t="str">
        <f>"1014629835"</f>
        <v>1014629835</v>
      </c>
      <c r="D6403" s="1" t="str">
        <f>"152326193405283079"</f>
        <v>152326193405283079</v>
      </c>
      <c r="E6403" s="1" t="s">
        <v>6241</v>
      </c>
      <c r="F6403" s="1" t="s">
        <v>25</v>
      </c>
      <c r="G6403" s="1" t="s">
        <v>17</v>
      </c>
      <c r="H6403" s="1" t="str">
        <f>"90"</f>
        <v>90</v>
      </c>
      <c r="I6403" s="1" t="str">
        <f>"170"</f>
        <v>170</v>
      </c>
      <c r="J6403" s="1" t="str">
        <f t="shared" ref="J6403:O6403" si="3874">"0"</f>
        <v>0</v>
      </c>
      <c r="K6403" s="1" t="str">
        <f t="shared" si="3858"/>
        <v>103</v>
      </c>
      <c r="L6403" s="1" t="str">
        <f t="shared" si="3859"/>
        <v>47</v>
      </c>
      <c r="M6403" s="1" t="str">
        <f t="shared" si="3874"/>
        <v>0</v>
      </c>
      <c r="N6403" s="1" t="str">
        <f t="shared" si="3874"/>
        <v>0</v>
      </c>
      <c r="O6403" s="1" t="str">
        <f t="shared" si="3874"/>
        <v>0</v>
      </c>
    </row>
    <row r="6404" s="1" customFormat="1" spans="1:15">
      <c r="A6404" s="1" t="str">
        <f t="shared" si="3871"/>
        <v>202406</v>
      </c>
      <c r="B6404" s="1" t="str">
        <f t="shared" si="3872"/>
        <v>150525100</v>
      </c>
      <c r="C6404" s="1" t="str">
        <f>"1014629920"</f>
        <v>1014629920</v>
      </c>
      <c r="D6404" s="1" t="str">
        <f>"152326194907130018"</f>
        <v>152326194907130018</v>
      </c>
      <c r="E6404" s="1" t="s">
        <v>6242</v>
      </c>
      <c r="F6404" s="1" t="s">
        <v>25</v>
      </c>
      <c r="G6404" s="1" t="s">
        <v>17</v>
      </c>
      <c r="H6404" s="1" t="str">
        <f>"75"</f>
        <v>75</v>
      </c>
      <c r="I6404" s="1" t="str">
        <f>"160"</f>
        <v>160</v>
      </c>
      <c r="J6404" s="1" t="str">
        <f t="shared" ref="J6404:O6404" si="3875">"0"</f>
        <v>0</v>
      </c>
      <c r="K6404" s="1" t="str">
        <f t="shared" si="3858"/>
        <v>103</v>
      </c>
      <c r="L6404" s="1" t="str">
        <f t="shared" si="3859"/>
        <v>47</v>
      </c>
      <c r="M6404" s="1" t="str">
        <f t="shared" si="3875"/>
        <v>0</v>
      </c>
      <c r="N6404" s="1" t="str">
        <f t="shared" si="3875"/>
        <v>0</v>
      </c>
      <c r="O6404" s="1" t="str">
        <f t="shared" si="3875"/>
        <v>0</v>
      </c>
    </row>
    <row r="6405" s="1" customFormat="1" spans="1:15">
      <c r="A6405" s="1" t="str">
        <f t="shared" si="3871"/>
        <v>202406</v>
      </c>
      <c r="B6405" s="1" t="str">
        <f t="shared" si="3872"/>
        <v>150525100</v>
      </c>
      <c r="C6405" s="1" t="str">
        <f>"1014562749"</f>
        <v>1014562749</v>
      </c>
      <c r="D6405" s="1" t="str">
        <f>"152326195206170425"</f>
        <v>152326195206170425</v>
      </c>
      <c r="E6405" s="1" t="s">
        <v>2711</v>
      </c>
      <c r="F6405" s="1" t="s">
        <v>16</v>
      </c>
      <c r="G6405" s="1" t="s">
        <v>17</v>
      </c>
      <c r="H6405" s="1" t="str">
        <f>"72"</f>
        <v>72</v>
      </c>
      <c r="I6405" s="1" t="str">
        <f>"162.16"</f>
        <v>162.16</v>
      </c>
      <c r="J6405" s="1" t="str">
        <f t="shared" ref="J6405:N6405" si="3876">"0"</f>
        <v>0</v>
      </c>
      <c r="K6405" s="1" t="str">
        <f t="shared" si="3858"/>
        <v>103</v>
      </c>
      <c r="L6405" s="1" t="str">
        <f t="shared" si="3859"/>
        <v>47</v>
      </c>
      <c r="M6405" s="1" t="str">
        <f t="shared" si="3876"/>
        <v>0</v>
      </c>
      <c r="N6405" s="1" t="str">
        <f t="shared" si="3876"/>
        <v>0</v>
      </c>
      <c r="O6405" s="1" t="str">
        <f>"2.16"</f>
        <v>2.16</v>
      </c>
    </row>
    <row r="6406" s="1" customFormat="1" spans="1:15">
      <c r="A6406" s="1" t="str">
        <f t="shared" si="3871"/>
        <v>202406</v>
      </c>
      <c r="B6406" s="1" t="str">
        <f t="shared" si="3872"/>
        <v>150525100</v>
      </c>
      <c r="C6406" s="1" t="str">
        <f>"1014563119"</f>
        <v>1014563119</v>
      </c>
      <c r="D6406" s="1" t="s">
        <v>6243</v>
      </c>
      <c r="E6406" s="1" t="s">
        <v>6244</v>
      </c>
      <c r="F6406" s="1" t="s">
        <v>16</v>
      </c>
      <c r="G6406" s="1" t="s">
        <v>17</v>
      </c>
      <c r="H6406" s="1" t="str">
        <f>"67"</f>
        <v>67</v>
      </c>
      <c r="I6406" s="1" t="str">
        <f>"156.13"</f>
        <v>156.13</v>
      </c>
      <c r="J6406" s="1" t="str">
        <f t="shared" ref="J6406:N6406" si="3877">"0"</f>
        <v>0</v>
      </c>
      <c r="K6406" s="1" t="str">
        <f t="shared" si="3858"/>
        <v>103</v>
      </c>
      <c r="L6406" s="1" t="str">
        <f t="shared" si="3859"/>
        <v>47</v>
      </c>
      <c r="M6406" s="1" t="str">
        <f t="shared" si="3877"/>
        <v>0</v>
      </c>
      <c r="N6406" s="1" t="str">
        <f t="shared" si="3877"/>
        <v>0</v>
      </c>
      <c r="O6406" s="1" t="str">
        <f>"6.13"</f>
        <v>6.13</v>
      </c>
    </row>
    <row r="6407" s="1" customFormat="1" spans="1:15">
      <c r="A6407" s="1" t="str">
        <f t="shared" si="3871"/>
        <v>202406</v>
      </c>
      <c r="B6407" s="1" t="str">
        <f t="shared" si="3872"/>
        <v>150525100</v>
      </c>
      <c r="C6407" s="1" t="str">
        <f>"1014563121"</f>
        <v>1014563121</v>
      </c>
      <c r="D6407" s="1" t="str">
        <f>"152326195808270415"</f>
        <v>152326195808270415</v>
      </c>
      <c r="E6407" s="1" t="s">
        <v>6245</v>
      </c>
      <c r="F6407" s="1" t="s">
        <v>25</v>
      </c>
      <c r="G6407" s="1" t="s">
        <v>17</v>
      </c>
      <c r="H6407" s="1" t="str">
        <f>"66"</f>
        <v>66</v>
      </c>
      <c r="I6407" s="1" t="str">
        <f>"157.14"</f>
        <v>157.14</v>
      </c>
      <c r="J6407" s="1" t="str">
        <f t="shared" ref="J6407:N6407" si="3878">"0"</f>
        <v>0</v>
      </c>
      <c r="K6407" s="1" t="str">
        <f t="shared" si="3858"/>
        <v>103</v>
      </c>
      <c r="L6407" s="1" t="str">
        <f t="shared" si="3859"/>
        <v>47</v>
      </c>
      <c r="M6407" s="1" t="str">
        <f t="shared" si="3878"/>
        <v>0</v>
      </c>
      <c r="N6407" s="1" t="str">
        <f t="shared" si="3878"/>
        <v>0</v>
      </c>
      <c r="O6407" s="1" t="str">
        <f>"7.14"</f>
        <v>7.14</v>
      </c>
    </row>
    <row r="6408" s="1" customFormat="1" spans="1:15">
      <c r="A6408" s="1" t="str">
        <f t="shared" si="3871"/>
        <v>202406</v>
      </c>
      <c r="B6408" s="1" t="str">
        <f t="shared" si="3872"/>
        <v>150525100</v>
      </c>
      <c r="C6408" s="1" t="str">
        <f>"1014549832"</f>
        <v>1014549832</v>
      </c>
      <c r="D6408" s="1" t="str">
        <f>"152326196011173073"</f>
        <v>152326196011173073</v>
      </c>
      <c r="E6408" s="1" t="s">
        <v>6246</v>
      </c>
      <c r="F6408" s="1" t="s">
        <v>25</v>
      </c>
      <c r="G6408" s="1" t="s">
        <v>19</v>
      </c>
      <c r="H6408" s="1" t="str">
        <f>"64"</f>
        <v>64</v>
      </c>
      <c r="I6408" s="1" t="str">
        <f>"159.28"</f>
        <v>159.28</v>
      </c>
      <c r="J6408" s="1" t="str">
        <f t="shared" ref="J6408:N6408" si="3879">"0"</f>
        <v>0</v>
      </c>
      <c r="K6408" s="1" t="str">
        <f t="shared" si="3858"/>
        <v>103</v>
      </c>
      <c r="L6408" s="1" t="str">
        <f t="shared" si="3859"/>
        <v>47</v>
      </c>
      <c r="M6408" s="1" t="str">
        <f t="shared" si="3879"/>
        <v>0</v>
      </c>
      <c r="N6408" s="1" t="str">
        <f t="shared" si="3879"/>
        <v>0</v>
      </c>
      <c r="O6408" s="1" t="str">
        <f>"9.28"</f>
        <v>9.28</v>
      </c>
    </row>
    <row r="6409" s="1" customFormat="1" spans="1:15">
      <c r="A6409" s="1" t="str">
        <f t="shared" si="3871"/>
        <v>202406</v>
      </c>
      <c r="B6409" s="1" t="str">
        <f t="shared" si="3872"/>
        <v>150525100</v>
      </c>
      <c r="C6409" s="1" t="str">
        <f>"1014549836"</f>
        <v>1014549836</v>
      </c>
      <c r="D6409" s="1" t="str">
        <f>"152326196012210673"</f>
        <v>152326196012210673</v>
      </c>
      <c r="E6409" s="1" t="s">
        <v>6247</v>
      </c>
      <c r="F6409" s="1" t="s">
        <v>25</v>
      </c>
      <c r="G6409" s="1" t="s">
        <v>17</v>
      </c>
      <c r="H6409" s="1" t="str">
        <f>"64"</f>
        <v>64</v>
      </c>
      <c r="I6409" s="1" t="str">
        <f>"159.3"</f>
        <v>159.3</v>
      </c>
      <c r="J6409" s="1" t="str">
        <f t="shared" ref="J6409:N6409" si="3880">"0"</f>
        <v>0</v>
      </c>
      <c r="K6409" s="1" t="str">
        <f t="shared" si="3858"/>
        <v>103</v>
      </c>
      <c r="L6409" s="1" t="str">
        <f t="shared" si="3859"/>
        <v>47</v>
      </c>
      <c r="M6409" s="1" t="str">
        <f t="shared" si="3880"/>
        <v>0</v>
      </c>
      <c r="N6409" s="1" t="str">
        <f t="shared" si="3880"/>
        <v>0</v>
      </c>
      <c r="O6409" s="1" t="str">
        <f>"9.3"</f>
        <v>9.3</v>
      </c>
    </row>
    <row r="6410" s="1" customFormat="1" spans="1:15">
      <c r="A6410" s="1" t="str">
        <f t="shared" si="3871"/>
        <v>202406</v>
      </c>
      <c r="B6410" s="1" t="str">
        <f t="shared" si="3872"/>
        <v>150525100</v>
      </c>
      <c r="C6410" s="1" t="str">
        <f>"1014550340"</f>
        <v>1014550340</v>
      </c>
      <c r="D6410" s="1" t="str">
        <f>"152326196210040660"</f>
        <v>152326196210040660</v>
      </c>
      <c r="E6410" s="1" t="s">
        <v>6248</v>
      </c>
      <c r="F6410" s="1" t="s">
        <v>16</v>
      </c>
      <c r="G6410" s="1" t="s">
        <v>17</v>
      </c>
      <c r="H6410" s="1" t="str">
        <f t="shared" ref="H6410:H6413" si="3881">"62"</f>
        <v>62</v>
      </c>
      <c r="I6410" s="1" t="str">
        <f>"163.96"</f>
        <v>163.96</v>
      </c>
      <c r="J6410" s="1" t="str">
        <f t="shared" ref="J6410:N6410" si="3882">"0"</f>
        <v>0</v>
      </c>
      <c r="K6410" s="1" t="str">
        <f t="shared" si="3858"/>
        <v>103</v>
      </c>
      <c r="L6410" s="1" t="str">
        <f t="shared" si="3859"/>
        <v>47</v>
      </c>
      <c r="M6410" s="1" t="str">
        <f t="shared" si="3882"/>
        <v>0</v>
      </c>
      <c r="N6410" s="1" t="str">
        <f t="shared" si="3882"/>
        <v>0</v>
      </c>
      <c r="O6410" s="1" t="str">
        <f>"13.96"</f>
        <v>13.96</v>
      </c>
    </row>
    <row r="6411" s="1" customFormat="1" spans="1:15">
      <c r="A6411" s="1" t="str">
        <f t="shared" si="3871"/>
        <v>202406</v>
      </c>
      <c r="B6411" s="1" t="str">
        <f t="shared" si="3872"/>
        <v>150525100</v>
      </c>
      <c r="C6411" s="1" t="str">
        <f>"1014550345"</f>
        <v>1014550345</v>
      </c>
      <c r="D6411" s="1" t="str">
        <f>"152326196210260663"</f>
        <v>152326196210260663</v>
      </c>
      <c r="E6411" s="1" t="s">
        <v>6249</v>
      </c>
      <c r="F6411" s="1" t="s">
        <v>16</v>
      </c>
      <c r="G6411" s="1" t="s">
        <v>17</v>
      </c>
      <c r="H6411" s="1" t="str">
        <f t="shared" si="3881"/>
        <v>62</v>
      </c>
      <c r="I6411" s="1" t="str">
        <f>"163.16"</f>
        <v>163.16</v>
      </c>
      <c r="J6411" s="1" t="str">
        <f t="shared" ref="J6411:N6411" si="3883">"0"</f>
        <v>0</v>
      </c>
      <c r="K6411" s="1" t="str">
        <f t="shared" si="3858"/>
        <v>103</v>
      </c>
      <c r="L6411" s="1" t="str">
        <f t="shared" si="3859"/>
        <v>47</v>
      </c>
      <c r="M6411" s="1" t="str">
        <f t="shared" si="3883"/>
        <v>0</v>
      </c>
      <c r="N6411" s="1" t="str">
        <f t="shared" si="3883"/>
        <v>0</v>
      </c>
      <c r="O6411" s="1" t="str">
        <f>"13.16"</f>
        <v>13.16</v>
      </c>
    </row>
    <row r="6412" s="1" customFormat="1" spans="1:15">
      <c r="A6412" s="1" t="str">
        <f t="shared" si="3871"/>
        <v>202406</v>
      </c>
      <c r="B6412" s="1" t="str">
        <f t="shared" si="3872"/>
        <v>150525100</v>
      </c>
      <c r="C6412" s="1" t="str">
        <f>"1014550348"</f>
        <v>1014550348</v>
      </c>
      <c r="D6412" s="1" t="str">
        <f>"152326196211110704"</f>
        <v>152326196211110704</v>
      </c>
      <c r="E6412" s="1" t="s">
        <v>6250</v>
      </c>
      <c r="F6412" s="1" t="s">
        <v>16</v>
      </c>
      <c r="G6412" s="1" t="s">
        <v>17</v>
      </c>
      <c r="H6412" s="1" t="str">
        <f t="shared" si="3881"/>
        <v>62</v>
      </c>
      <c r="I6412" s="1" t="str">
        <f>"175.84"</f>
        <v>175.84</v>
      </c>
      <c r="J6412" s="1" t="str">
        <f t="shared" ref="J6412:N6412" si="3884">"0"</f>
        <v>0</v>
      </c>
      <c r="K6412" s="1" t="str">
        <f t="shared" si="3858"/>
        <v>103</v>
      </c>
      <c r="L6412" s="1" t="str">
        <f t="shared" si="3859"/>
        <v>47</v>
      </c>
      <c r="M6412" s="1" t="str">
        <f t="shared" si="3884"/>
        <v>0</v>
      </c>
      <c r="N6412" s="1" t="str">
        <f t="shared" si="3884"/>
        <v>0</v>
      </c>
      <c r="O6412" s="1" t="str">
        <f>"25.84"</f>
        <v>25.84</v>
      </c>
    </row>
    <row r="6413" s="1" customFormat="1" spans="1:15">
      <c r="A6413" s="1" t="str">
        <f t="shared" si="3871"/>
        <v>202406</v>
      </c>
      <c r="B6413" s="1" t="str">
        <f t="shared" si="3872"/>
        <v>150525100</v>
      </c>
      <c r="C6413" s="1" t="str">
        <f>"1014550350"</f>
        <v>1014550350</v>
      </c>
      <c r="D6413" s="1" t="str">
        <f>"152326196212100698"</f>
        <v>152326196212100698</v>
      </c>
      <c r="E6413" s="1" t="s">
        <v>110</v>
      </c>
      <c r="F6413" s="1" t="s">
        <v>25</v>
      </c>
      <c r="G6413" s="1" t="s">
        <v>17</v>
      </c>
      <c r="H6413" s="1" t="str">
        <f t="shared" si="3881"/>
        <v>62</v>
      </c>
      <c r="I6413" s="1" t="str">
        <f>"164.94"</f>
        <v>164.94</v>
      </c>
      <c r="J6413" s="1" t="str">
        <f t="shared" ref="J6413:N6413" si="3885">"0"</f>
        <v>0</v>
      </c>
      <c r="K6413" s="1" t="str">
        <f t="shared" si="3858"/>
        <v>103</v>
      </c>
      <c r="L6413" s="1" t="str">
        <f t="shared" si="3859"/>
        <v>47</v>
      </c>
      <c r="M6413" s="1" t="str">
        <f t="shared" si="3885"/>
        <v>0</v>
      </c>
      <c r="N6413" s="1" t="str">
        <f t="shared" si="3885"/>
        <v>0</v>
      </c>
      <c r="O6413" s="1" t="str">
        <f>"14.94"</f>
        <v>14.94</v>
      </c>
    </row>
    <row r="6414" s="1" customFormat="1" spans="1:15">
      <c r="A6414" s="1" t="str">
        <f t="shared" si="3871"/>
        <v>202406</v>
      </c>
      <c r="B6414" s="1" t="str">
        <f t="shared" si="3872"/>
        <v>150525100</v>
      </c>
      <c r="C6414" s="1" t="str">
        <f>"1014567709"</f>
        <v>1014567709</v>
      </c>
      <c r="D6414" s="1" t="str">
        <f>"152326195605243820"</f>
        <v>152326195605243820</v>
      </c>
      <c r="E6414" s="1" t="s">
        <v>6251</v>
      </c>
      <c r="F6414" s="1" t="s">
        <v>16</v>
      </c>
      <c r="G6414" s="1" t="s">
        <v>19</v>
      </c>
      <c r="H6414" s="1" t="str">
        <f t="shared" ref="H6414:H6419" si="3886">"68"</f>
        <v>68</v>
      </c>
      <c r="I6414" s="1" t="str">
        <f>"155.98"</f>
        <v>155.98</v>
      </c>
      <c r="J6414" s="1" t="str">
        <f t="shared" ref="J6414:N6414" si="3887">"0"</f>
        <v>0</v>
      </c>
      <c r="K6414" s="1" t="str">
        <f t="shared" si="3858"/>
        <v>103</v>
      </c>
      <c r="L6414" s="1" t="str">
        <f t="shared" si="3859"/>
        <v>47</v>
      </c>
      <c r="M6414" s="1" t="str">
        <f t="shared" si="3887"/>
        <v>0</v>
      </c>
      <c r="N6414" s="1" t="str">
        <f t="shared" si="3887"/>
        <v>0</v>
      </c>
      <c r="O6414" s="1" t="str">
        <f>"5.98"</f>
        <v>5.98</v>
      </c>
    </row>
    <row r="6415" s="1" customFormat="1" spans="1:15">
      <c r="A6415" s="1" t="str">
        <f t="shared" si="3871"/>
        <v>202406</v>
      </c>
      <c r="B6415" s="1" t="str">
        <f t="shared" si="3872"/>
        <v>150525100</v>
      </c>
      <c r="C6415" s="1" t="str">
        <f>"1014562790"</f>
        <v>1014562790</v>
      </c>
      <c r="D6415" s="1" t="str">
        <f>"152326195008150423"</f>
        <v>152326195008150423</v>
      </c>
      <c r="E6415" s="1" t="s">
        <v>6252</v>
      </c>
      <c r="F6415" s="1" t="s">
        <v>16</v>
      </c>
      <c r="G6415" s="1" t="s">
        <v>17</v>
      </c>
      <c r="H6415" s="1" t="str">
        <f>"74"</f>
        <v>74</v>
      </c>
      <c r="I6415" s="1" t="str">
        <f>"160"</f>
        <v>160</v>
      </c>
      <c r="J6415" s="1" t="str">
        <f t="shared" ref="J6415:O6415" si="3888">"0"</f>
        <v>0</v>
      </c>
      <c r="K6415" s="1" t="str">
        <f t="shared" si="3858"/>
        <v>103</v>
      </c>
      <c r="L6415" s="1" t="str">
        <f t="shared" si="3859"/>
        <v>47</v>
      </c>
      <c r="M6415" s="1" t="str">
        <f t="shared" si="3888"/>
        <v>0</v>
      </c>
      <c r="N6415" s="1" t="str">
        <f t="shared" si="3888"/>
        <v>0</v>
      </c>
      <c r="O6415" s="1" t="str">
        <f t="shared" si="3888"/>
        <v>0</v>
      </c>
    </row>
    <row r="6416" s="1" customFormat="1" spans="1:15">
      <c r="A6416" s="1" t="str">
        <f t="shared" si="3871"/>
        <v>202406</v>
      </c>
      <c r="B6416" s="1" t="str">
        <f t="shared" si="3872"/>
        <v>150525100</v>
      </c>
      <c r="C6416" s="1" t="str">
        <f>"1014563158"</f>
        <v>1014563158</v>
      </c>
      <c r="D6416" s="1" t="str">
        <f>"152326195605230448"</f>
        <v>152326195605230448</v>
      </c>
      <c r="E6416" s="1" t="s">
        <v>6253</v>
      </c>
      <c r="F6416" s="1" t="s">
        <v>16</v>
      </c>
      <c r="G6416" s="1" t="s">
        <v>17</v>
      </c>
      <c r="H6416" s="1" t="str">
        <f t="shared" si="3886"/>
        <v>68</v>
      </c>
      <c r="I6416" s="1" t="str">
        <f>"156.02"</f>
        <v>156.02</v>
      </c>
      <c r="J6416" s="1" t="str">
        <f t="shared" ref="J6416:N6416" si="3889">"0"</f>
        <v>0</v>
      </c>
      <c r="K6416" s="1" t="str">
        <f t="shared" si="3858"/>
        <v>103</v>
      </c>
      <c r="L6416" s="1" t="str">
        <f t="shared" si="3859"/>
        <v>47</v>
      </c>
      <c r="M6416" s="1" t="str">
        <f t="shared" si="3889"/>
        <v>0</v>
      </c>
      <c r="N6416" s="1" t="str">
        <f t="shared" si="3889"/>
        <v>0</v>
      </c>
      <c r="O6416" s="1" t="str">
        <f>"6.02"</f>
        <v>6.02</v>
      </c>
    </row>
    <row r="6417" s="1" customFormat="1" spans="1:15">
      <c r="A6417" s="1" t="str">
        <f t="shared" si="3871"/>
        <v>202406</v>
      </c>
      <c r="B6417" s="1" t="str">
        <f t="shared" si="3872"/>
        <v>150525100</v>
      </c>
      <c r="C6417" s="1" t="str">
        <f>"1014569603"</f>
        <v>1014569603</v>
      </c>
      <c r="D6417" s="1" t="str">
        <f>"152326196301040420"</f>
        <v>152326196301040420</v>
      </c>
      <c r="E6417" s="1" t="s">
        <v>6254</v>
      </c>
      <c r="F6417" s="1" t="s">
        <v>16</v>
      </c>
      <c r="G6417" s="1" t="s">
        <v>19</v>
      </c>
      <c r="H6417" s="1" t="str">
        <f>"62"</f>
        <v>62</v>
      </c>
      <c r="I6417" s="1" t="str">
        <f>"164.92"</f>
        <v>164.92</v>
      </c>
      <c r="J6417" s="1" t="str">
        <f t="shared" ref="J6417:N6417" si="3890">"0"</f>
        <v>0</v>
      </c>
      <c r="K6417" s="1" t="str">
        <f t="shared" si="3858"/>
        <v>103</v>
      </c>
      <c r="L6417" s="1" t="str">
        <f t="shared" si="3859"/>
        <v>47</v>
      </c>
      <c r="M6417" s="1" t="str">
        <f t="shared" si="3890"/>
        <v>0</v>
      </c>
      <c r="N6417" s="1" t="str">
        <f t="shared" si="3890"/>
        <v>0</v>
      </c>
      <c r="O6417" s="1" t="str">
        <f>"14.92"</f>
        <v>14.92</v>
      </c>
    </row>
    <row r="6418" s="1" customFormat="1" spans="1:15">
      <c r="A6418" s="1" t="str">
        <f t="shared" si="3871"/>
        <v>202406</v>
      </c>
      <c r="B6418" s="1" t="str">
        <f t="shared" si="3872"/>
        <v>150525100</v>
      </c>
      <c r="C6418" s="1" t="str">
        <f>"1014583994"</f>
        <v>1014583994</v>
      </c>
      <c r="D6418" s="1" t="str">
        <f>"152326195609130663"</f>
        <v>152326195609130663</v>
      </c>
      <c r="E6418" s="1" t="s">
        <v>6255</v>
      </c>
      <c r="F6418" s="1" t="s">
        <v>16</v>
      </c>
      <c r="G6418" s="1" t="s">
        <v>17</v>
      </c>
      <c r="H6418" s="1" t="str">
        <f t="shared" si="3886"/>
        <v>68</v>
      </c>
      <c r="I6418" s="1" t="str">
        <f>"156.01"</f>
        <v>156.01</v>
      </c>
      <c r="J6418" s="1" t="str">
        <f t="shared" ref="J6418:N6418" si="3891">"0"</f>
        <v>0</v>
      </c>
      <c r="K6418" s="1" t="str">
        <f t="shared" si="3858"/>
        <v>103</v>
      </c>
      <c r="L6418" s="1" t="str">
        <f t="shared" si="3859"/>
        <v>47</v>
      </c>
      <c r="M6418" s="1" t="str">
        <f t="shared" si="3891"/>
        <v>0</v>
      </c>
      <c r="N6418" s="1" t="str">
        <f t="shared" si="3891"/>
        <v>0</v>
      </c>
      <c r="O6418" s="1" t="str">
        <f>"6.01"</f>
        <v>6.01</v>
      </c>
    </row>
    <row r="6419" s="1" customFormat="1" spans="1:15">
      <c r="A6419" s="1" t="str">
        <f t="shared" si="3871"/>
        <v>202406</v>
      </c>
      <c r="B6419" s="1" t="str">
        <f t="shared" si="3872"/>
        <v>150525100</v>
      </c>
      <c r="C6419" s="1" t="str">
        <f>"1014584001"</f>
        <v>1014584001</v>
      </c>
      <c r="D6419" s="1" t="str">
        <f>"152326195610230661"</f>
        <v>152326195610230661</v>
      </c>
      <c r="E6419" s="1" t="s">
        <v>6256</v>
      </c>
      <c r="F6419" s="1" t="s">
        <v>16</v>
      </c>
      <c r="G6419" s="1" t="s">
        <v>17</v>
      </c>
      <c r="H6419" s="1" t="str">
        <f t="shared" si="3886"/>
        <v>68</v>
      </c>
      <c r="I6419" s="1" t="str">
        <f>"155.08"</f>
        <v>155.08</v>
      </c>
      <c r="J6419" s="1" t="str">
        <f t="shared" ref="J6419:N6419" si="3892">"0"</f>
        <v>0</v>
      </c>
      <c r="K6419" s="1" t="str">
        <f t="shared" si="3858"/>
        <v>103</v>
      </c>
      <c r="L6419" s="1" t="str">
        <f t="shared" si="3859"/>
        <v>47</v>
      </c>
      <c r="M6419" s="1" t="str">
        <f t="shared" si="3892"/>
        <v>0</v>
      </c>
      <c r="N6419" s="1" t="str">
        <f t="shared" si="3892"/>
        <v>0</v>
      </c>
      <c r="O6419" s="1" t="str">
        <f>"5.08"</f>
        <v>5.08</v>
      </c>
    </row>
    <row r="6420" s="1" customFormat="1" spans="1:15">
      <c r="A6420" s="1" t="str">
        <f t="shared" si="3871"/>
        <v>202406</v>
      </c>
      <c r="B6420" s="1" t="str">
        <f t="shared" si="3872"/>
        <v>150525100</v>
      </c>
      <c r="C6420" s="1" t="str">
        <f>"1014584282"</f>
        <v>1014584282</v>
      </c>
      <c r="D6420" s="1" t="str">
        <f>"152326196312140427"</f>
        <v>152326196312140427</v>
      </c>
      <c r="E6420" s="1" t="s">
        <v>6257</v>
      </c>
      <c r="F6420" s="1" t="s">
        <v>16</v>
      </c>
      <c r="G6420" s="1" t="s">
        <v>19</v>
      </c>
      <c r="H6420" s="1" t="str">
        <f>"61"</f>
        <v>61</v>
      </c>
      <c r="I6420" s="1" t="str">
        <f>"215.37"</f>
        <v>215.37</v>
      </c>
      <c r="J6420" s="1" t="str">
        <f t="shared" ref="J6420:N6420" si="3893">"0"</f>
        <v>0</v>
      </c>
      <c r="K6420" s="1" t="str">
        <f t="shared" si="3858"/>
        <v>103</v>
      </c>
      <c r="L6420" s="1" t="str">
        <f t="shared" si="3859"/>
        <v>47</v>
      </c>
      <c r="M6420" s="1" t="str">
        <f t="shared" si="3893"/>
        <v>0</v>
      </c>
      <c r="N6420" s="1" t="str">
        <f t="shared" si="3893"/>
        <v>0</v>
      </c>
      <c r="O6420" s="1" t="str">
        <f>"65.37"</f>
        <v>65.37</v>
      </c>
    </row>
    <row r="6421" s="1" customFormat="1" spans="1:15">
      <c r="A6421" s="1" t="str">
        <f t="shared" si="3871"/>
        <v>202406</v>
      </c>
      <c r="B6421" s="1" t="str">
        <f t="shared" si="3872"/>
        <v>150525100</v>
      </c>
      <c r="C6421" s="1" t="str">
        <f>"1014549853"</f>
        <v>1014549853</v>
      </c>
      <c r="D6421" s="1" t="str">
        <f>"152326196112163827"</f>
        <v>152326196112163827</v>
      </c>
      <c r="E6421" s="1" t="s">
        <v>1550</v>
      </c>
      <c r="F6421" s="1" t="s">
        <v>16</v>
      </c>
      <c r="G6421" s="1" t="s">
        <v>17</v>
      </c>
      <c r="H6421" s="1" t="str">
        <f>"63"</f>
        <v>63</v>
      </c>
      <c r="I6421" s="1" t="str">
        <f>"161.16"</f>
        <v>161.16</v>
      </c>
      <c r="J6421" s="1" t="str">
        <f t="shared" ref="J6421:N6421" si="3894">"0"</f>
        <v>0</v>
      </c>
      <c r="K6421" s="1" t="str">
        <f t="shared" si="3858"/>
        <v>103</v>
      </c>
      <c r="L6421" s="1" t="str">
        <f t="shared" si="3859"/>
        <v>47</v>
      </c>
      <c r="M6421" s="1" t="str">
        <f t="shared" si="3894"/>
        <v>0</v>
      </c>
      <c r="N6421" s="1" t="str">
        <f t="shared" si="3894"/>
        <v>0</v>
      </c>
      <c r="O6421" s="1" t="str">
        <f>"11.16"</f>
        <v>11.16</v>
      </c>
    </row>
    <row r="6422" s="1" customFormat="1" spans="1:15">
      <c r="A6422" s="1" t="str">
        <f t="shared" si="3871"/>
        <v>202406</v>
      </c>
      <c r="B6422" s="1" t="str">
        <f t="shared" si="3872"/>
        <v>150525100</v>
      </c>
      <c r="C6422" s="1" t="str">
        <f>"1014549871"</f>
        <v>1014549871</v>
      </c>
      <c r="D6422" s="1" t="str">
        <f>"152326196209130685"</f>
        <v>152326196209130685</v>
      </c>
      <c r="E6422" s="1" t="s">
        <v>6258</v>
      </c>
      <c r="F6422" s="1" t="s">
        <v>16</v>
      </c>
      <c r="G6422" s="1" t="s">
        <v>17</v>
      </c>
      <c r="H6422" s="1" t="str">
        <f>"62"</f>
        <v>62</v>
      </c>
      <c r="I6422" s="1" t="str">
        <f>"165.62"</f>
        <v>165.62</v>
      </c>
      <c r="J6422" s="1" t="str">
        <f t="shared" ref="J6422:N6422" si="3895">"0"</f>
        <v>0</v>
      </c>
      <c r="K6422" s="1" t="str">
        <f t="shared" si="3858"/>
        <v>103</v>
      </c>
      <c r="L6422" s="1" t="str">
        <f t="shared" si="3859"/>
        <v>47</v>
      </c>
      <c r="M6422" s="1" t="str">
        <f t="shared" si="3895"/>
        <v>0</v>
      </c>
      <c r="N6422" s="1" t="str">
        <f t="shared" si="3895"/>
        <v>0</v>
      </c>
      <c r="O6422" s="1" t="str">
        <f>"15.62"</f>
        <v>15.62</v>
      </c>
    </row>
    <row r="6423" s="1" customFormat="1" spans="1:15">
      <c r="A6423" s="1" t="str">
        <f t="shared" si="3871"/>
        <v>202406</v>
      </c>
      <c r="B6423" s="1" t="str">
        <f t="shared" si="3872"/>
        <v>150525100</v>
      </c>
      <c r="C6423" s="1" t="str">
        <f>"1014549872"</f>
        <v>1014549872</v>
      </c>
      <c r="D6423" s="1" t="str">
        <f>"152326196209240673"</f>
        <v>152326196209240673</v>
      </c>
      <c r="E6423" s="1" t="s">
        <v>6259</v>
      </c>
      <c r="F6423" s="1" t="s">
        <v>25</v>
      </c>
      <c r="G6423" s="1" t="s">
        <v>17</v>
      </c>
      <c r="H6423" s="1" t="str">
        <f>"62"</f>
        <v>62</v>
      </c>
      <c r="I6423" s="1" t="str">
        <f>"163.12"</f>
        <v>163.12</v>
      </c>
      <c r="J6423" s="1" t="str">
        <f t="shared" ref="J6423:N6423" si="3896">"0"</f>
        <v>0</v>
      </c>
      <c r="K6423" s="1" t="str">
        <f t="shared" si="3858"/>
        <v>103</v>
      </c>
      <c r="L6423" s="1" t="str">
        <f t="shared" si="3859"/>
        <v>47</v>
      </c>
      <c r="M6423" s="1" t="str">
        <f t="shared" si="3896"/>
        <v>0</v>
      </c>
      <c r="N6423" s="1" t="str">
        <f t="shared" si="3896"/>
        <v>0</v>
      </c>
      <c r="O6423" s="1" t="str">
        <f>"13.12"</f>
        <v>13.12</v>
      </c>
    </row>
    <row r="6424" s="1" customFormat="1" spans="1:15">
      <c r="A6424" s="1" t="str">
        <f t="shared" si="3871"/>
        <v>202406</v>
      </c>
      <c r="B6424" s="1" t="str">
        <f t="shared" si="3872"/>
        <v>150525100</v>
      </c>
      <c r="C6424" s="1" t="str">
        <f>"1014548980"</f>
        <v>1014548980</v>
      </c>
      <c r="D6424" s="1" t="str">
        <f>"152326196308293324"</f>
        <v>152326196308293324</v>
      </c>
      <c r="E6424" s="1" t="s">
        <v>6260</v>
      </c>
      <c r="F6424" s="1" t="s">
        <v>16</v>
      </c>
      <c r="G6424" s="1" t="s">
        <v>19</v>
      </c>
      <c r="H6424" s="1" t="str">
        <f>"61"</f>
        <v>61</v>
      </c>
      <c r="I6424" s="1" t="str">
        <f>"165.04"</f>
        <v>165.04</v>
      </c>
      <c r="J6424" s="1" t="str">
        <f t="shared" ref="J6424:N6424" si="3897">"0"</f>
        <v>0</v>
      </c>
      <c r="K6424" s="1" t="str">
        <f t="shared" si="3858"/>
        <v>103</v>
      </c>
      <c r="L6424" s="1" t="str">
        <f t="shared" si="3859"/>
        <v>47</v>
      </c>
      <c r="M6424" s="1" t="str">
        <f t="shared" si="3897"/>
        <v>0</v>
      </c>
      <c r="N6424" s="1" t="str">
        <f t="shared" si="3897"/>
        <v>0</v>
      </c>
      <c r="O6424" s="1" t="str">
        <f>"15.04"</f>
        <v>15.04</v>
      </c>
    </row>
    <row r="6425" s="1" customFormat="1" spans="1:15">
      <c r="A6425" s="1" t="str">
        <f t="shared" si="3871"/>
        <v>202406</v>
      </c>
      <c r="B6425" s="1" t="str">
        <f t="shared" si="3872"/>
        <v>150525100</v>
      </c>
      <c r="C6425" s="1" t="str">
        <f>"1014584921"</f>
        <v>1014584921</v>
      </c>
      <c r="D6425" s="1" t="str">
        <f>"152326195211220669"</f>
        <v>152326195211220669</v>
      </c>
      <c r="E6425" s="1" t="s">
        <v>257</v>
      </c>
      <c r="F6425" s="1" t="s">
        <v>16</v>
      </c>
      <c r="G6425" s="1" t="s">
        <v>17</v>
      </c>
      <c r="H6425" s="1" t="str">
        <f>"72"</f>
        <v>72</v>
      </c>
      <c r="I6425" s="1" t="str">
        <f t="shared" ref="I6425:I6428" si="3898">"162.14"</f>
        <v>162.14</v>
      </c>
      <c r="J6425" s="1" t="str">
        <f t="shared" ref="J6425:N6425" si="3899">"0"</f>
        <v>0</v>
      </c>
      <c r="K6425" s="1" t="str">
        <f t="shared" si="3858"/>
        <v>103</v>
      </c>
      <c r="L6425" s="1" t="str">
        <f t="shared" si="3859"/>
        <v>47</v>
      </c>
      <c r="M6425" s="1" t="str">
        <f t="shared" si="3899"/>
        <v>0</v>
      </c>
      <c r="N6425" s="1" t="str">
        <f t="shared" si="3899"/>
        <v>0</v>
      </c>
      <c r="O6425" s="1" t="str">
        <f t="shared" ref="O6425:O6428" si="3900">"2.14"</f>
        <v>2.14</v>
      </c>
    </row>
    <row r="6426" s="1" customFormat="1" spans="1:15">
      <c r="A6426" s="1" t="str">
        <f t="shared" si="3871"/>
        <v>202406</v>
      </c>
      <c r="B6426" s="1" t="str">
        <f t="shared" si="3872"/>
        <v>150525100</v>
      </c>
      <c r="C6426" s="1" t="str">
        <f>"1014584926"</f>
        <v>1014584926</v>
      </c>
      <c r="D6426" s="1" t="str">
        <f>"152326195212300425"</f>
        <v>152326195212300425</v>
      </c>
      <c r="E6426" s="1" t="s">
        <v>6261</v>
      </c>
      <c r="F6426" s="1" t="s">
        <v>16</v>
      </c>
      <c r="G6426" s="1" t="s">
        <v>17</v>
      </c>
      <c r="H6426" s="1" t="str">
        <f>"72"</f>
        <v>72</v>
      </c>
      <c r="I6426" s="1" t="str">
        <f t="shared" si="3898"/>
        <v>162.14</v>
      </c>
      <c r="J6426" s="1" t="str">
        <f t="shared" ref="J6426:N6426" si="3901">"0"</f>
        <v>0</v>
      </c>
      <c r="K6426" s="1" t="str">
        <f t="shared" si="3858"/>
        <v>103</v>
      </c>
      <c r="L6426" s="1" t="str">
        <f t="shared" si="3859"/>
        <v>47</v>
      </c>
      <c r="M6426" s="1" t="str">
        <f t="shared" si="3901"/>
        <v>0</v>
      </c>
      <c r="N6426" s="1" t="str">
        <f t="shared" si="3901"/>
        <v>0</v>
      </c>
      <c r="O6426" s="1" t="str">
        <f t="shared" si="3900"/>
        <v>2.14</v>
      </c>
    </row>
    <row r="6427" s="1" customFormat="1" spans="1:15">
      <c r="A6427" s="1" t="str">
        <f t="shared" si="3871"/>
        <v>202406</v>
      </c>
      <c r="B6427" s="1" t="str">
        <f t="shared" si="3872"/>
        <v>150525100</v>
      </c>
      <c r="C6427" s="1" t="str">
        <f>"1014584928"</f>
        <v>1014584928</v>
      </c>
      <c r="D6427" s="1" t="str">
        <f>"152326195301180410"</f>
        <v>152326195301180410</v>
      </c>
      <c r="E6427" s="1" t="s">
        <v>564</v>
      </c>
      <c r="F6427" s="1" t="s">
        <v>25</v>
      </c>
      <c r="G6427" s="1" t="s">
        <v>17</v>
      </c>
      <c r="H6427" s="1" t="str">
        <f>"71"</f>
        <v>71</v>
      </c>
      <c r="I6427" s="1" t="str">
        <f>"163.16"</f>
        <v>163.16</v>
      </c>
      <c r="J6427" s="1" t="str">
        <f t="shared" ref="J6427:N6427" si="3902">"0"</f>
        <v>0</v>
      </c>
      <c r="K6427" s="1" t="str">
        <f t="shared" si="3858"/>
        <v>103</v>
      </c>
      <c r="L6427" s="1" t="str">
        <f t="shared" si="3859"/>
        <v>47</v>
      </c>
      <c r="M6427" s="1" t="str">
        <f t="shared" si="3902"/>
        <v>0</v>
      </c>
      <c r="N6427" s="1" t="str">
        <f t="shared" si="3902"/>
        <v>0</v>
      </c>
      <c r="O6427" s="1" t="str">
        <f>"3.16"</f>
        <v>3.16</v>
      </c>
    </row>
    <row r="6428" s="1" customFormat="1" spans="1:15">
      <c r="A6428" s="1" t="str">
        <f t="shared" si="3871"/>
        <v>202406</v>
      </c>
      <c r="B6428" s="1" t="str">
        <f t="shared" si="3872"/>
        <v>150525100</v>
      </c>
      <c r="C6428" s="1" t="str">
        <f>"1014584929"</f>
        <v>1014584929</v>
      </c>
      <c r="D6428" s="1" t="str">
        <f>"152326195302010675"</f>
        <v>152326195302010675</v>
      </c>
      <c r="E6428" s="1" t="s">
        <v>6262</v>
      </c>
      <c r="F6428" s="1" t="s">
        <v>25</v>
      </c>
      <c r="G6428" s="1" t="s">
        <v>17</v>
      </c>
      <c r="H6428" s="1" t="str">
        <f>"71"</f>
        <v>71</v>
      </c>
      <c r="I6428" s="1" t="str">
        <f t="shared" si="3898"/>
        <v>162.14</v>
      </c>
      <c r="J6428" s="1" t="str">
        <f t="shared" ref="J6428:N6428" si="3903">"0"</f>
        <v>0</v>
      </c>
      <c r="K6428" s="1" t="str">
        <f t="shared" si="3858"/>
        <v>103</v>
      </c>
      <c r="L6428" s="1" t="str">
        <f t="shared" si="3859"/>
        <v>47</v>
      </c>
      <c r="M6428" s="1" t="str">
        <f t="shared" si="3903"/>
        <v>0</v>
      </c>
      <c r="N6428" s="1" t="str">
        <f t="shared" si="3903"/>
        <v>0</v>
      </c>
      <c r="O6428" s="1" t="str">
        <f t="shared" si="3900"/>
        <v>2.14</v>
      </c>
    </row>
    <row r="6429" s="1" customFormat="1" spans="1:15">
      <c r="A6429" s="1" t="str">
        <f t="shared" si="3871"/>
        <v>202406</v>
      </c>
      <c r="B6429" s="1" t="str">
        <f t="shared" si="3872"/>
        <v>150525100</v>
      </c>
      <c r="C6429" s="1" t="str">
        <f>"1040681494"</f>
        <v>1040681494</v>
      </c>
      <c r="D6429" s="1" t="str">
        <f>"152326195411143821"</f>
        <v>152326195411143821</v>
      </c>
      <c r="E6429" s="1" t="s">
        <v>6263</v>
      </c>
      <c r="F6429" s="1" t="s">
        <v>16</v>
      </c>
      <c r="G6429" s="1" t="s">
        <v>17</v>
      </c>
      <c r="H6429" s="1" t="str">
        <f>"70"</f>
        <v>70</v>
      </c>
      <c r="I6429" s="1" t="str">
        <f>"163.41"</f>
        <v>163.41</v>
      </c>
      <c r="J6429" s="1" t="str">
        <f t="shared" ref="J6429:N6429" si="3904">"0"</f>
        <v>0</v>
      </c>
      <c r="K6429" s="1" t="str">
        <f t="shared" si="3858"/>
        <v>103</v>
      </c>
      <c r="L6429" s="1" t="str">
        <f t="shared" si="3859"/>
        <v>47</v>
      </c>
      <c r="M6429" s="1" t="str">
        <f t="shared" si="3904"/>
        <v>0</v>
      </c>
      <c r="N6429" s="1" t="str">
        <f t="shared" si="3904"/>
        <v>0</v>
      </c>
      <c r="O6429" s="1" t="str">
        <f>"13.41"</f>
        <v>13.41</v>
      </c>
    </row>
    <row r="6430" s="1" customFormat="1" spans="1:15">
      <c r="A6430" s="1" t="str">
        <f t="shared" si="3871"/>
        <v>202406</v>
      </c>
      <c r="B6430" s="1" t="str">
        <f t="shared" si="3872"/>
        <v>150525100</v>
      </c>
      <c r="C6430" s="1" t="str">
        <f>"1040681530"</f>
        <v>1040681530</v>
      </c>
      <c r="D6430" s="1" t="str">
        <f>"152326195601033084"</f>
        <v>152326195601033084</v>
      </c>
      <c r="E6430" s="1" t="s">
        <v>6264</v>
      </c>
      <c r="F6430" s="1" t="s">
        <v>16</v>
      </c>
      <c r="G6430" s="1" t="s">
        <v>19</v>
      </c>
      <c r="H6430" s="1" t="str">
        <f>"69"</f>
        <v>69</v>
      </c>
      <c r="I6430" s="1" t="str">
        <f>"154.77"</f>
        <v>154.77</v>
      </c>
      <c r="J6430" s="1" t="str">
        <f t="shared" ref="J6430:N6430" si="3905">"0"</f>
        <v>0</v>
      </c>
      <c r="K6430" s="1" t="str">
        <f t="shared" si="3858"/>
        <v>103</v>
      </c>
      <c r="L6430" s="1" t="str">
        <f t="shared" si="3859"/>
        <v>47</v>
      </c>
      <c r="M6430" s="1" t="str">
        <f t="shared" si="3905"/>
        <v>0</v>
      </c>
      <c r="N6430" s="1" t="str">
        <f t="shared" si="3905"/>
        <v>0</v>
      </c>
      <c r="O6430" s="1" t="str">
        <f>"4.77"</f>
        <v>4.77</v>
      </c>
    </row>
    <row r="6431" s="1" customFormat="1" spans="1:15">
      <c r="A6431" s="1" t="str">
        <f t="shared" si="3871"/>
        <v>202406</v>
      </c>
      <c r="B6431" s="1" t="str">
        <f t="shared" si="3872"/>
        <v>150525100</v>
      </c>
      <c r="C6431" s="1" t="str">
        <f>"1040681538"</f>
        <v>1040681538</v>
      </c>
      <c r="D6431" s="1" t="str">
        <f>"152326195710053076"</f>
        <v>152326195710053076</v>
      </c>
      <c r="E6431" s="1" t="s">
        <v>6265</v>
      </c>
      <c r="F6431" s="1" t="s">
        <v>25</v>
      </c>
      <c r="G6431" s="1" t="s">
        <v>17</v>
      </c>
      <c r="H6431" s="1" t="str">
        <f>"67"</f>
        <v>67</v>
      </c>
      <c r="I6431" s="1" t="str">
        <f>"154.88"</f>
        <v>154.88</v>
      </c>
      <c r="J6431" s="1" t="str">
        <f t="shared" ref="J6431:N6431" si="3906">"0"</f>
        <v>0</v>
      </c>
      <c r="K6431" s="1" t="str">
        <f t="shared" si="3858"/>
        <v>103</v>
      </c>
      <c r="L6431" s="1" t="str">
        <f t="shared" si="3859"/>
        <v>47</v>
      </c>
      <c r="M6431" s="1" t="str">
        <f t="shared" si="3906"/>
        <v>0</v>
      </c>
      <c r="N6431" s="1" t="str">
        <f t="shared" si="3906"/>
        <v>0</v>
      </c>
      <c r="O6431" s="1" t="str">
        <f>"4.88"</f>
        <v>4.88</v>
      </c>
    </row>
    <row r="6432" s="1" customFormat="1" spans="1:15">
      <c r="A6432" s="1" t="str">
        <f t="shared" si="3871"/>
        <v>202406</v>
      </c>
      <c r="B6432" s="1" t="str">
        <f t="shared" si="3872"/>
        <v>150525100</v>
      </c>
      <c r="C6432" s="1" t="str">
        <f>"1040681610"</f>
        <v>1040681610</v>
      </c>
      <c r="D6432" s="1" t="str">
        <f>"152326195611173822"</f>
        <v>152326195611173822</v>
      </c>
      <c r="E6432" s="1" t="s">
        <v>6266</v>
      </c>
      <c r="F6432" s="1" t="s">
        <v>16</v>
      </c>
      <c r="G6432" s="1" t="s">
        <v>96</v>
      </c>
      <c r="H6432" s="1" t="str">
        <f>"68"</f>
        <v>68</v>
      </c>
      <c r="I6432" s="1" t="str">
        <f>"154.81"</f>
        <v>154.81</v>
      </c>
      <c r="J6432" s="1" t="str">
        <f t="shared" ref="J6432:N6432" si="3907">"0"</f>
        <v>0</v>
      </c>
      <c r="K6432" s="1" t="str">
        <f t="shared" si="3858"/>
        <v>103</v>
      </c>
      <c r="L6432" s="1" t="str">
        <f t="shared" si="3859"/>
        <v>47</v>
      </c>
      <c r="M6432" s="1" t="str">
        <f t="shared" si="3907"/>
        <v>0</v>
      </c>
      <c r="N6432" s="1" t="str">
        <f t="shared" si="3907"/>
        <v>0</v>
      </c>
      <c r="O6432" s="1" t="str">
        <f>"4.81"</f>
        <v>4.81</v>
      </c>
    </row>
    <row r="6433" s="1" customFormat="1" spans="1:15">
      <c r="A6433" s="1" t="str">
        <f t="shared" si="3871"/>
        <v>202406</v>
      </c>
      <c r="B6433" s="1" t="str">
        <f t="shared" si="3872"/>
        <v>150525100</v>
      </c>
      <c r="C6433" s="1" t="str">
        <f>"1040681614"</f>
        <v>1040681614</v>
      </c>
      <c r="D6433" s="1" t="str">
        <f>"152326196005103845"</f>
        <v>152326196005103845</v>
      </c>
      <c r="E6433" s="1" t="s">
        <v>6267</v>
      </c>
      <c r="F6433" s="1" t="s">
        <v>16</v>
      </c>
      <c r="G6433" s="1" t="s">
        <v>17</v>
      </c>
      <c r="H6433" s="1" t="str">
        <f>"64"</f>
        <v>64</v>
      </c>
      <c r="I6433" s="1" t="str">
        <f>"157.95"</f>
        <v>157.95</v>
      </c>
      <c r="J6433" s="1" t="str">
        <f t="shared" ref="J6433:N6433" si="3908">"0"</f>
        <v>0</v>
      </c>
      <c r="K6433" s="1" t="str">
        <f t="shared" si="3858"/>
        <v>103</v>
      </c>
      <c r="L6433" s="1" t="str">
        <f t="shared" si="3859"/>
        <v>47</v>
      </c>
      <c r="M6433" s="1" t="str">
        <f t="shared" si="3908"/>
        <v>0</v>
      </c>
      <c r="N6433" s="1" t="str">
        <f t="shared" si="3908"/>
        <v>0</v>
      </c>
      <c r="O6433" s="1" t="str">
        <f>"7.95"</f>
        <v>7.95</v>
      </c>
    </row>
    <row r="6434" s="1" customFormat="1" spans="1:15">
      <c r="A6434" s="1" t="str">
        <f t="shared" si="3871"/>
        <v>202406</v>
      </c>
      <c r="B6434" s="1" t="str">
        <f t="shared" si="3872"/>
        <v>150525100</v>
      </c>
      <c r="C6434" s="1" t="str">
        <f>"1014612782"</f>
        <v>1014612782</v>
      </c>
      <c r="D6434" s="1" t="str">
        <f>"152326194912220915"</f>
        <v>152326194912220915</v>
      </c>
      <c r="E6434" s="1" t="s">
        <v>6268</v>
      </c>
      <c r="F6434" s="1" t="s">
        <v>25</v>
      </c>
      <c r="G6434" s="1" t="s">
        <v>19</v>
      </c>
      <c r="H6434" s="1" t="str">
        <f>"75"</f>
        <v>75</v>
      </c>
      <c r="I6434" s="1" t="str">
        <f t="shared" ref="I6434:I6441" si="3909">"160"</f>
        <v>160</v>
      </c>
      <c r="J6434" s="1" t="str">
        <f t="shared" ref="J6434:O6434" si="3910">"0"</f>
        <v>0</v>
      </c>
      <c r="K6434" s="1" t="str">
        <f t="shared" si="3858"/>
        <v>103</v>
      </c>
      <c r="L6434" s="1" t="str">
        <f t="shared" si="3859"/>
        <v>47</v>
      </c>
      <c r="M6434" s="1" t="str">
        <f t="shared" si="3910"/>
        <v>0</v>
      </c>
      <c r="N6434" s="1" t="str">
        <f t="shared" si="3910"/>
        <v>0</v>
      </c>
      <c r="O6434" s="1" t="str">
        <f t="shared" si="3910"/>
        <v>0</v>
      </c>
    </row>
    <row r="6435" s="1" customFormat="1" spans="1:15">
      <c r="A6435" s="1" t="str">
        <f t="shared" si="3871"/>
        <v>202406</v>
      </c>
      <c r="B6435" s="1" t="str">
        <f t="shared" si="3872"/>
        <v>150525100</v>
      </c>
      <c r="C6435" s="1" t="str">
        <f>"1014612807"</f>
        <v>1014612807</v>
      </c>
      <c r="D6435" s="1" t="str">
        <f>"152326194905160918"</f>
        <v>152326194905160918</v>
      </c>
      <c r="E6435" s="1" t="s">
        <v>6269</v>
      </c>
      <c r="F6435" s="1" t="s">
        <v>25</v>
      </c>
      <c r="G6435" s="1" t="s">
        <v>19</v>
      </c>
      <c r="H6435" s="1" t="str">
        <f>"75"</f>
        <v>75</v>
      </c>
      <c r="I6435" s="1" t="str">
        <f t="shared" si="3909"/>
        <v>160</v>
      </c>
      <c r="J6435" s="1" t="str">
        <f t="shared" ref="J6435:O6435" si="3911">"0"</f>
        <v>0</v>
      </c>
      <c r="K6435" s="1" t="str">
        <f t="shared" si="3858"/>
        <v>103</v>
      </c>
      <c r="L6435" s="1" t="str">
        <f t="shared" si="3859"/>
        <v>47</v>
      </c>
      <c r="M6435" s="1" t="str">
        <f t="shared" si="3911"/>
        <v>0</v>
      </c>
      <c r="N6435" s="1" t="str">
        <f t="shared" si="3911"/>
        <v>0</v>
      </c>
      <c r="O6435" s="1" t="str">
        <f t="shared" si="3911"/>
        <v>0</v>
      </c>
    </row>
    <row r="6436" s="1" customFormat="1" spans="1:15">
      <c r="A6436" s="1" t="str">
        <f t="shared" si="3871"/>
        <v>202406</v>
      </c>
      <c r="B6436" s="1" t="str">
        <f t="shared" si="3872"/>
        <v>150525100</v>
      </c>
      <c r="C6436" s="1" t="str">
        <f>"1014613081"</f>
        <v>1014613081</v>
      </c>
      <c r="D6436" s="1" t="str">
        <f>"152326195101030418"</f>
        <v>152326195101030418</v>
      </c>
      <c r="E6436" s="1" t="s">
        <v>6270</v>
      </c>
      <c r="F6436" s="1" t="s">
        <v>25</v>
      </c>
      <c r="G6436" s="1" t="s">
        <v>17</v>
      </c>
      <c r="H6436" s="1" t="str">
        <f>"74"</f>
        <v>74</v>
      </c>
      <c r="I6436" s="1" t="str">
        <f t="shared" si="3909"/>
        <v>160</v>
      </c>
      <c r="J6436" s="1" t="str">
        <f t="shared" ref="J6436:O6436" si="3912">"0"</f>
        <v>0</v>
      </c>
      <c r="K6436" s="1" t="str">
        <f t="shared" si="3858"/>
        <v>103</v>
      </c>
      <c r="L6436" s="1" t="str">
        <f t="shared" si="3859"/>
        <v>47</v>
      </c>
      <c r="M6436" s="1" t="str">
        <f t="shared" si="3912"/>
        <v>0</v>
      </c>
      <c r="N6436" s="1" t="str">
        <f t="shared" si="3912"/>
        <v>0</v>
      </c>
      <c r="O6436" s="1" t="str">
        <f t="shared" si="3912"/>
        <v>0</v>
      </c>
    </row>
    <row r="6437" s="1" customFormat="1" spans="1:15">
      <c r="A6437" s="1" t="str">
        <f t="shared" si="3871"/>
        <v>202406</v>
      </c>
      <c r="B6437" s="1" t="str">
        <f t="shared" si="3872"/>
        <v>150525100</v>
      </c>
      <c r="C6437" s="1" t="str">
        <f>"1014622519"</f>
        <v>1014622519</v>
      </c>
      <c r="D6437" s="1" t="str">
        <f>"152326195106113327"</f>
        <v>152326195106113327</v>
      </c>
      <c r="E6437" s="1" t="s">
        <v>6271</v>
      </c>
      <c r="F6437" s="1" t="s">
        <v>16</v>
      </c>
      <c r="G6437" s="1" t="s">
        <v>17</v>
      </c>
      <c r="H6437" s="1" t="str">
        <f>"73"</f>
        <v>73</v>
      </c>
      <c r="I6437" s="1" t="str">
        <f t="shared" si="3909"/>
        <v>160</v>
      </c>
      <c r="J6437" s="1" t="str">
        <f t="shared" ref="J6437:O6437" si="3913">"0"</f>
        <v>0</v>
      </c>
      <c r="K6437" s="1" t="str">
        <f t="shared" si="3858"/>
        <v>103</v>
      </c>
      <c r="L6437" s="1" t="str">
        <f t="shared" si="3859"/>
        <v>47</v>
      </c>
      <c r="M6437" s="1" t="str">
        <f t="shared" si="3913"/>
        <v>0</v>
      </c>
      <c r="N6437" s="1" t="str">
        <f t="shared" si="3913"/>
        <v>0</v>
      </c>
      <c r="O6437" s="1" t="str">
        <f t="shared" si="3913"/>
        <v>0</v>
      </c>
    </row>
    <row r="6438" s="1" customFormat="1" spans="1:15">
      <c r="A6438" s="1" t="str">
        <f t="shared" si="3871"/>
        <v>202406</v>
      </c>
      <c r="B6438" s="1" t="str">
        <f t="shared" si="3872"/>
        <v>150525100</v>
      </c>
      <c r="C6438" s="1" t="str">
        <f>"1014623919"</f>
        <v>1014623919</v>
      </c>
      <c r="D6438" s="1" t="str">
        <f>"152326195109050691"</f>
        <v>152326195109050691</v>
      </c>
      <c r="E6438" s="1" t="s">
        <v>6272</v>
      </c>
      <c r="F6438" s="1" t="s">
        <v>25</v>
      </c>
      <c r="G6438" s="1" t="s">
        <v>17</v>
      </c>
      <c r="H6438" s="1" t="str">
        <f>"73"</f>
        <v>73</v>
      </c>
      <c r="I6438" s="1" t="str">
        <f t="shared" si="3909"/>
        <v>160</v>
      </c>
      <c r="J6438" s="1" t="str">
        <f t="shared" ref="J6438:O6438" si="3914">"0"</f>
        <v>0</v>
      </c>
      <c r="K6438" s="1" t="str">
        <f t="shared" si="3858"/>
        <v>103</v>
      </c>
      <c r="L6438" s="1" t="str">
        <f t="shared" si="3859"/>
        <v>47</v>
      </c>
      <c r="M6438" s="1" t="str">
        <f t="shared" si="3914"/>
        <v>0</v>
      </c>
      <c r="N6438" s="1" t="str">
        <f t="shared" si="3914"/>
        <v>0</v>
      </c>
      <c r="O6438" s="1" t="str">
        <f t="shared" si="3914"/>
        <v>0</v>
      </c>
    </row>
    <row r="6439" s="1" customFormat="1" spans="1:15">
      <c r="A6439" s="1" t="str">
        <f t="shared" si="3871"/>
        <v>202406</v>
      </c>
      <c r="B6439" s="1" t="str">
        <f t="shared" si="3872"/>
        <v>150525100</v>
      </c>
      <c r="C6439" s="1" t="str">
        <f>"1014624373"</f>
        <v>1014624373</v>
      </c>
      <c r="D6439" s="1" t="str">
        <f>"152326194804260928"</f>
        <v>152326194804260928</v>
      </c>
      <c r="E6439" s="1" t="s">
        <v>6273</v>
      </c>
      <c r="F6439" s="1" t="s">
        <v>16</v>
      </c>
      <c r="G6439" s="1" t="s">
        <v>19</v>
      </c>
      <c r="H6439" s="1" t="str">
        <f>"76"</f>
        <v>76</v>
      </c>
      <c r="I6439" s="1" t="str">
        <f t="shared" si="3909"/>
        <v>160</v>
      </c>
      <c r="J6439" s="1" t="str">
        <f t="shared" ref="J6439:O6439" si="3915">"0"</f>
        <v>0</v>
      </c>
      <c r="K6439" s="1" t="str">
        <f t="shared" si="3858"/>
        <v>103</v>
      </c>
      <c r="L6439" s="1" t="str">
        <f t="shared" si="3859"/>
        <v>47</v>
      </c>
      <c r="M6439" s="1" t="str">
        <f t="shared" si="3915"/>
        <v>0</v>
      </c>
      <c r="N6439" s="1" t="str">
        <f t="shared" si="3915"/>
        <v>0</v>
      </c>
      <c r="O6439" s="1" t="str">
        <f t="shared" si="3915"/>
        <v>0</v>
      </c>
    </row>
    <row r="6440" s="1" customFormat="1" spans="1:15">
      <c r="A6440" s="1" t="str">
        <f t="shared" si="3871"/>
        <v>202406</v>
      </c>
      <c r="B6440" s="1" t="str">
        <f t="shared" si="3872"/>
        <v>150525100</v>
      </c>
      <c r="C6440" s="1" t="str">
        <f>"1014624392"</f>
        <v>1014624392</v>
      </c>
      <c r="D6440" s="1" t="str">
        <f>"152326195007150923"</f>
        <v>152326195007150923</v>
      </c>
      <c r="E6440" s="1" t="s">
        <v>6274</v>
      </c>
      <c r="F6440" s="1" t="s">
        <v>16</v>
      </c>
      <c r="G6440" s="1" t="s">
        <v>19</v>
      </c>
      <c r="H6440" s="1" t="str">
        <f>"74"</f>
        <v>74</v>
      </c>
      <c r="I6440" s="1" t="str">
        <f t="shared" si="3909"/>
        <v>160</v>
      </c>
      <c r="J6440" s="1" t="str">
        <f t="shared" ref="J6440:O6440" si="3916">"0"</f>
        <v>0</v>
      </c>
      <c r="K6440" s="1" t="str">
        <f t="shared" si="3858"/>
        <v>103</v>
      </c>
      <c r="L6440" s="1" t="str">
        <f t="shared" si="3859"/>
        <v>47</v>
      </c>
      <c r="M6440" s="1" t="str">
        <f t="shared" si="3916"/>
        <v>0</v>
      </c>
      <c r="N6440" s="1" t="str">
        <f t="shared" si="3916"/>
        <v>0</v>
      </c>
      <c r="O6440" s="1" t="str">
        <f t="shared" si="3916"/>
        <v>0</v>
      </c>
    </row>
    <row r="6441" s="1" customFormat="1" spans="1:15">
      <c r="A6441" s="1" t="str">
        <f t="shared" si="3871"/>
        <v>202406</v>
      </c>
      <c r="B6441" s="1" t="str">
        <f t="shared" si="3872"/>
        <v>150525100</v>
      </c>
      <c r="C6441" s="1" t="str">
        <f>"1014623396"</f>
        <v>1014623396</v>
      </c>
      <c r="D6441" s="1" t="str">
        <f>"152326194711193826"</f>
        <v>152326194711193826</v>
      </c>
      <c r="E6441" s="1" t="s">
        <v>6275</v>
      </c>
      <c r="F6441" s="1" t="s">
        <v>16</v>
      </c>
      <c r="G6441" s="1" t="s">
        <v>19</v>
      </c>
      <c r="H6441" s="1" t="str">
        <f>"77"</f>
        <v>77</v>
      </c>
      <c r="I6441" s="1" t="str">
        <f t="shared" si="3909"/>
        <v>160</v>
      </c>
      <c r="J6441" s="1" t="str">
        <f t="shared" ref="J6441:O6441" si="3917">"0"</f>
        <v>0</v>
      </c>
      <c r="K6441" s="1" t="str">
        <f t="shared" si="3858"/>
        <v>103</v>
      </c>
      <c r="L6441" s="1" t="str">
        <f t="shared" si="3859"/>
        <v>47</v>
      </c>
      <c r="M6441" s="1" t="str">
        <f t="shared" si="3917"/>
        <v>0</v>
      </c>
      <c r="N6441" s="1" t="str">
        <f t="shared" si="3917"/>
        <v>0</v>
      </c>
      <c r="O6441" s="1" t="str">
        <f t="shared" si="3917"/>
        <v>0</v>
      </c>
    </row>
    <row r="6442" s="1" customFormat="1" spans="1:15">
      <c r="A6442" s="1" t="str">
        <f t="shared" si="3871"/>
        <v>202406</v>
      </c>
      <c r="B6442" s="1" t="str">
        <f t="shared" si="3872"/>
        <v>150525100</v>
      </c>
      <c r="C6442" s="1" t="str">
        <f>"1014623403"</f>
        <v>1014623403</v>
      </c>
      <c r="D6442" s="1" t="str">
        <f>"152326193712303826"</f>
        <v>152326193712303826</v>
      </c>
      <c r="E6442" s="1" t="s">
        <v>6276</v>
      </c>
      <c r="F6442" s="1" t="s">
        <v>16</v>
      </c>
      <c r="G6442" s="1" t="s">
        <v>19</v>
      </c>
      <c r="H6442" s="1" t="str">
        <f>"87"</f>
        <v>87</v>
      </c>
      <c r="I6442" s="1" t="str">
        <f>"170"</f>
        <v>170</v>
      </c>
      <c r="J6442" s="1" t="str">
        <f t="shared" ref="J6442:O6442" si="3918">"0"</f>
        <v>0</v>
      </c>
      <c r="K6442" s="1" t="str">
        <f t="shared" si="3858"/>
        <v>103</v>
      </c>
      <c r="L6442" s="1" t="str">
        <f t="shared" si="3859"/>
        <v>47</v>
      </c>
      <c r="M6442" s="1" t="str">
        <f t="shared" si="3918"/>
        <v>0</v>
      </c>
      <c r="N6442" s="1" t="str">
        <f t="shared" si="3918"/>
        <v>0</v>
      </c>
      <c r="O6442" s="1" t="str">
        <f t="shared" si="3918"/>
        <v>0</v>
      </c>
    </row>
    <row r="6443" s="1" customFormat="1" spans="1:15">
      <c r="A6443" s="1" t="str">
        <f t="shared" si="3871"/>
        <v>202406</v>
      </c>
      <c r="B6443" s="1" t="str">
        <f t="shared" si="3872"/>
        <v>150525100</v>
      </c>
      <c r="C6443" s="1" t="str">
        <f>"1014629305"</f>
        <v>1014629305</v>
      </c>
      <c r="D6443" s="1" t="str">
        <f>"152326194904263819"</f>
        <v>152326194904263819</v>
      </c>
      <c r="E6443" s="1" t="s">
        <v>6277</v>
      </c>
      <c r="F6443" s="1" t="s">
        <v>25</v>
      </c>
      <c r="G6443" s="1" t="s">
        <v>17</v>
      </c>
      <c r="H6443" s="1" t="str">
        <f t="shared" ref="H6443:H6446" si="3919">"75"</f>
        <v>75</v>
      </c>
      <c r="I6443" s="1" t="str">
        <f t="shared" ref="I6443:I6446" si="3920">"160"</f>
        <v>160</v>
      </c>
      <c r="J6443" s="1" t="str">
        <f t="shared" ref="J6443:O6443" si="3921">"0"</f>
        <v>0</v>
      </c>
      <c r="K6443" s="1" t="str">
        <f t="shared" si="3858"/>
        <v>103</v>
      </c>
      <c r="L6443" s="1" t="str">
        <f t="shared" si="3859"/>
        <v>47</v>
      </c>
      <c r="M6443" s="1" t="str">
        <f t="shared" si="3921"/>
        <v>0</v>
      </c>
      <c r="N6443" s="1" t="str">
        <f t="shared" si="3921"/>
        <v>0</v>
      </c>
      <c r="O6443" s="1" t="str">
        <f t="shared" si="3921"/>
        <v>0</v>
      </c>
    </row>
    <row r="6444" s="1" customFormat="1" spans="1:15">
      <c r="A6444" s="1" t="str">
        <f t="shared" si="3871"/>
        <v>202406</v>
      </c>
      <c r="B6444" s="1" t="str">
        <f t="shared" si="3872"/>
        <v>150525100</v>
      </c>
      <c r="C6444" s="1" t="str">
        <f>"1014629314"</f>
        <v>1014629314</v>
      </c>
      <c r="D6444" s="1" t="str">
        <f>"152326194904113810"</f>
        <v>152326194904113810</v>
      </c>
      <c r="E6444" s="1" t="s">
        <v>6278</v>
      </c>
      <c r="F6444" s="1" t="s">
        <v>25</v>
      </c>
      <c r="G6444" s="1" t="s">
        <v>17</v>
      </c>
      <c r="H6444" s="1" t="str">
        <f t="shared" si="3919"/>
        <v>75</v>
      </c>
      <c r="I6444" s="1" t="str">
        <f t="shared" si="3920"/>
        <v>160</v>
      </c>
      <c r="J6444" s="1" t="str">
        <f t="shared" ref="J6444:O6444" si="3922">"0"</f>
        <v>0</v>
      </c>
      <c r="K6444" s="1" t="str">
        <f t="shared" si="3858"/>
        <v>103</v>
      </c>
      <c r="L6444" s="1" t="str">
        <f t="shared" si="3859"/>
        <v>47</v>
      </c>
      <c r="M6444" s="1" t="str">
        <f t="shared" si="3922"/>
        <v>0</v>
      </c>
      <c r="N6444" s="1" t="str">
        <f t="shared" si="3922"/>
        <v>0</v>
      </c>
      <c r="O6444" s="1" t="str">
        <f t="shared" si="3922"/>
        <v>0</v>
      </c>
    </row>
    <row r="6445" s="1" customFormat="1" spans="1:15">
      <c r="A6445" s="1" t="str">
        <f t="shared" si="3871"/>
        <v>202406</v>
      </c>
      <c r="B6445" s="1" t="str">
        <f t="shared" si="3872"/>
        <v>150525100</v>
      </c>
      <c r="C6445" s="1" t="str">
        <f>"1014629415"</f>
        <v>1014629415</v>
      </c>
      <c r="D6445" s="1" t="str">
        <f>"152326194708163829"</f>
        <v>152326194708163829</v>
      </c>
      <c r="E6445" s="1" t="s">
        <v>6279</v>
      </c>
      <c r="F6445" s="1" t="s">
        <v>16</v>
      </c>
      <c r="G6445" s="1" t="s">
        <v>19</v>
      </c>
      <c r="H6445" s="1" t="str">
        <f>"77"</f>
        <v>77</v>
      </c>
      <c r="I6445" s="1" t="str">
        <f t="shared" si="3920"/>
        <v>160</v>
      </c>
      <c r="J6445" s="1" t="str">
        <f t="shared" ref="J6445:O6445" si="3923">"0"</f>
        <v>0</v>
      </c>
      <c r="K6445" s="1" t="str">
        <f t="shared" si="3858"/>
        <v>103</v>
      </c>
      <c r="L6445" s="1" t="str">
        <f t="shared" si="3859"/>
        <v>47</v>
      </c>
      <c r="M6445" s="1" t="str">
        <f t="shared" si="3923"/>
        <v>0</v>
      </c>
      <c r="N6445" s="1" t="str">
        <f t="shared" si="3923"/>
        <v>0</v>
      </c>
      <c r="O6445" s="1" t="str">
        <f t="shared" si="3923"/>
        <v>0</v>
      </c>
    </row>
    <row r="6446" s="1" customFormat="1" spans="1:15">
      <c r="A6446" s="1" t="str">
        <f t="shared" si="3871"/>
        <v>202406</v>
      </c>
      <c r="B6446" s="1" t="str">
        <f t="shared" si="3872"/>
        <v>150525100</v>
      </c>
      <c r="C6446" s="1" t="str">
        <f>"1014629432"</f>
        <v>1014629432</v>
      </c>
      <c r="D6446" s="1" t="str">
        <f>"152326194909210417"</f>
        <v>152326194909210417</v>
      </c>
      <c r="E6446" s="1" t="s">
        <v>6280</v>
      </c>
      <c r="F6446" s="1" t="s">
        <v>25</v>
      </c>
      <c r="G6446" s="1" t="s">
        <v>19</v>
      </c>
      <c r="H6446" s="1" t="str">
        <f t="shared" si="3919"/>
        <v>75</v>
      </c>
      <c r="I6446" s="1" t="str">
        <f t="shared" si="3920"/>
        <v>160</v>
      </c>
      <c r="J6446" s="1" t="str">
        <f t="shared" ref="J6446:O6446" si="3924">"0"</f>
        <v>0</v>
      </c>
      <c r="K6446" s="1" t="str">
        <f t="shared" si="3858"/>
        <v>103</v>
      </c>
      <c r="L6446" s="1" t="str">
        <f t="shared" si="3859"/>
        <v>47</v>
      </c>
      <c r="M6446" s="1" t="str">
        <f t="shared" si="3924"/>
        <v>0</v>
      </c>
      <c r="N6446" s="1" t="str">
        <f t="shared" si="3924"/>
        <v>0</v>
      </c>
      <c r="O6446" s="1" t="str">
        <f t="shared" si="3924"/>
        <v>0</v>
      </c>
    </row>
    <row r="6447" s="1" customFormat="1" spans="1:15">
      <c r="A6447" s="1" t="str">
        <f t="shared" si="3871"/>
        <v>202406</v>
      </c>
      <c r="B6447" s="1" t="str">
        <f t="shared" si="3872"/>
        <v>150525100</v>
      </c>
      <c r="C6447" s="1" t="str">
        <f>"1014629440"</f>
        <v>1014629440</v>
      </c>
      <c r="D6447" s="1" t="s">
        <v>6281</v>
      </c>
      <c r="E6447" s="1" t="s">
        <v>6282</v>
      </c>
      <c r="F6447" s="1" t="s">
        <v>25</v>
      </c>
      <c r="G6447" s="1" t="s">
        <v>19</v>
      </c>
      <c r="H6447" s="1" t="str">
        <f>"85"</f>
        <v>85</v>
      </c>
      <c r="I6447" s="1" t="str">
        <f>"170"</f>
        <v>170</v>
      </c>
      <c r="J6447" s="1" t="str">
        <f t="shared" ref="J6447:O6447" si="3925">"0"</f>
        <v>0</v>
      </c>
      <c r="K6447" s="1" t="str">
        <f t="shared" si="3858"/>
        <v>103</v>
      </c>
      <c r="L6447" s="1" t="str">
        <f t="shared" si="3859"/>
        <v>47</v>
      </c>
      <c r="M6447" s="1" t="str">
        <f t="shared" si="3925"/>
        <v>0</v>
      </c>
      <c r="N6447" s="1" t="str">
        <f t="shared" si="3925"/>
        <v>0</v>
      </c>
      <c r="O6447" s="1" t="str">
        <f t="shared" si="3925"/>
        <v>0</v>
      </c>
    </row>
    <row r="6448" s="1" customFormat="1" spans="1:15">
      <c r="A6448" s="1" t="str">
        <f t="shared" si="3871"/>
        <v>202406</v>
      </c>
      <c r="B6448" s="1" t="str">
        <f t="shared" si="3872"/>
        <v>150525100</v>
      </c>
      <c r="C6448" s="1" t="str">
        <f>"1014588964"</f>
        <v>1014588964</v>
      </c>
      <c r="D6448" s="1" t="str">
        <f>"152326195812220410"</f>
        <v>152326195812220410</v>
      </c>
      <c r="E6448" s="1" t="s">
        <v>6283</v>
      </c>
      <c r="F6448" s="1" t="s">
        <v>25</v>
      </c>
      <c r="G6448" s="1" t="s">
        <v>17</v>
      </c>
      <c r="H6448" s="1" t="str">
        <f>"66"</f>
        <v>66</v>
      </c>
      <c r="I6448" s="1" t="str">
        <f>"158.1"</f>
        <v>158.1</v>
      </c>
      <c r="J6448" s="1" t="str">
        <f t="shared" ref="J6448:N6448" si="3926">"0"</f>
        <v>0</v>
      </c>
      <c r="K6448" s="1" t="str">
        <f t="shared" si="3858"/>
        <v>103</v>
      </c>
      <c r="L6448" s="1" t="str">
        <f t="shared" si="3859"/>
        <v>47</v>
      </c>
      <c r="M6448" s="1" t="str">
        <f t="shared" si="3926"/>
        <v>0</v>
      </c>
      <c r="N6448" s="1" t="str">
        <f t="shared" si="3926"/>
        <v>0</v>
      </c>
      <c r="O6448" s="1" t="str">
        <f>"8.1"</f>
        <v>8.1</v>
      </c>
    </row>
    <row r="6449" s="1" customFormat="1" spans="1:15">
      <c r="A6449" s="1" t="str">
        <f t="shared" si="3871"/>
        <v>202406</v>
      </c>
      <c r="B6449" s="1" t="str">
        <f t="shared" si="3872"/>
        <v>150525100</v>
      </c>
      <c r="C6449" s="1" t="str">
        <f>"1014588973"</f>
        <v>1014588973</v>
      </c>
      <c r="D6449" s="1" t="str">
        <f>"152326195207010423"</f>
        <v>152326195207010423</v>
      </c>
      <c r="E6449" s="1" t="s">
        <v>6284</v>
      </c>
      <c r="F6449" s="1" t="s">
        <v>16</v>
      </c>
      <c r="G6449" s="1" t="s">
        <v>17</v>
      </c>
      <c r="H6449" s="1" t="str">
        <f>"72"</f>
        <v>72</v>
      </c>
      <c r="I6449" s="1" t="str">
        <f>"177.77"</f>
        <v>177.77</v>
      </c>
      <c r="J6449" s="1" t="str">
        <f t="shared" ref="J6449:N6449" si="3927">"0"</f>
        <v>0</v>
      </c>
      <c r="K6449" s="1" t="str">
        <f t="shared" si="3858"/>
        <v>103</v>
      </c>
      <c r="L6449" s="1" t="str">
        <f t="shared" si="3859"/>
        <v>47</v>
      </c>
      <c r="M6449" s="1" t="str">
        <f t="shared" si="3927"/>
        <v>0</v>
      </c>
      <c r="N6449" s="1" t="str">
        <f t="shared" si="3927"/>
        <v>0</v>
      </c>
      <c r="O6449" s="1" t="str">
        <f>"17.77"</f>
        <v>17.77</v>
      </c>
    </row>
    <row r="6450" s="1" customFormat="1" spans="1:15">
      <c r="A6450" s="1" t="str">
        <f t="shared" si="3871"/>
        <v>202406</v>
      </c>
      <c r="B6450" s="1" t="str">
        <f t="shared" si="3872"/>
        <v>150525100</v>
      </c>
      <c r="C6450" s="1" t="str">
        <f>"1014623921"</f>
        <v>1014623921</v>
      </c>
      <c r="D6450" s="1" t="str">
        <f>"152326194809050671"</f>
        <v>152326194809050671</v>
      </c>
      <c r="E6450" s="1" t="s">
        <v>6285</v>
      </c>
      <c r="F6450" s="1" t="s">
        <v>25</v>
      </c>
      <c r="G6450" s="1" t="s">
        <v>17</v>
      </c>
      <c r="H6450" s="1" t="str">
        <f>"76"</f>
        <v>76</v>
      </c>
      <c r="I6450" s="1" t="str">
        <f t="shared" ref="I6450:I6453" si="3928">"160"</f>
        <v>160</v>
      </c>
      <c r="J6450" s="1" t="str">
        <f t="shared" ref="J6450:O6450" si="3929">"0"</f>
        <v>0</v>
      </c>
      <c r="K6450" s="1" t="str">
        <f t="shared" si="3858"/>
        <v>103</v>
      </c>
      <c r="L6450" s="1" t="str">
        <f t="shared" si="3859"/>
        <v>47</v>
      </c>
      <c r="M6450" s="1" t="str">
        <f t="shared" si="3929"/>
        <v>0</v>
      </c>
      <c r="N6450" s="1" t="str">
        <f t="shared" si="3929"/>
        <v>0</v>
      </c>
      <c r="O6450" s="1" t="str">
        <f t="shared" si="3929"/>
        <v>0</v>
      </c>
    </row>
    <row r="6451" s="1" customFormat="1" spans="1:15">
      <c r="A6451" s="1" t="str">
        <f t="shared" si="3871"/>
        <v>202406</v>
      </c>
      <c r="B6451" s="1" t="str">
        <f t="shared" si="3872"/>
        <v>150525100</v>
      </c>
      <c r="C6451" s="1" t="str">
        <f>"1014623922"</f>
        <v>1014623922</v>
      </c>
      <c r="D6451" s="1" t="str">
        <f>"152326195009230679"</f>
        <v>152326195009230679</v>
      </c>
      <c r="E6451" s="1" t="s">
        <v>6286</v>
      </c>
      <c r="F6451" s="1" t="s">
        <v>25</v>
      </c>
      <c r="G6451" s="1" t="s">
        <v>17</v>
      </c>
      <c r="H6451" s="1" t="str">
        <f>"74"</f>
        <v>74</v>
      </c>
      <c r="I6451" s="1" t="str">
        <f t="shared" si="3928"/>
        <v>160</v>
      </c>
      <c r="J6451" s="1" t="str">
        <f t="shared" ref="J6451:O6451" si="3930">"0"</f>
        <v>0</v>
      </c>
      <c r="K6451" s="1" t="str">
        <f t="shared" si="3858"/>
        <v>103</v>
      </c>
      <c r="L6451" s="1" t="str">
        <f t="shared" si="3859"/>
        <v>47</v>
      </c>
      <c r="M6451" s="1" t="str">
        <f t="shared" si="3930"/>
        <v>0</v>
      </c>
      <c r="N6451" s="1" t="str">
        <f t="shared" si="3930"/>
        <v>0</v>
      </c>
      <c r="O6451" s="1" t="str">
        <f t="shared" si="3930"/>
        <v>0</v>
      </c>
    </row>
    <row r="6452" s="1" customFormat="1" spans="1:15">
      <c r="A6452" s="1" t="str">
        <f t="shared" si="3871"/>
        <v>202406</v>
      </c>
      <c r="B6452" s="1" t="str">
        <f t="shared" si="3872"/>
        <v>150525100</v>
      </c>
      <c r="C6452" s="1" t="str">
        <f>"1014623923"</f>
        <v>1014623923</v>
      </c>
      <c r="D6452" s="1" t="str">
        <f>"152326195010290660"</f>
        <v>152326195010290660</v>
      </c>
      <c r="E6452" s="1" t="s">
        <v>6287</v>
      </c>
      <c r="F6452" s="1" t="s">
        <v>16</v>
      </c>
      <c r="G6452" s="1" t="s">
        <v>17</v>
      </c>
      <c r="H6452" s="1" t="str">
        <f>"74"</f>
        <v>74</v>
      </c>
      <c r="I6452" s="1" t="str">
        <f t="shared" si="3928"/>
        <v>160</v>
      </c>
      <c r="J6452" s="1" t="str">
        <f t="shared" ref="J6452:O6452" si="3931">"0"</f>
        <v>0</v>
      </c>
      <c r="K6452" s="1" t="str">
        <f t="shared" si="3858"/>
        <v>103</v>
      </c>
      <c r="L6452" s="1" t="str">
        <f t="shared" si="3859"/>
        <v>47</v>
      </c>
      <c r="M6452" s="1" t="str">
        <f t="shared" si="3931"/>
        <v>0</v>
      </c>
      <c r="N6452" s="1" t="str">
        <f t="shared" si="3931"/>
        <v>0</v>
      </c>
      <c r="O6452" s="1" t="str">
        <f t="shared" si="3931"/>
        <v>0</v>
      </c>
    </row>
    <row r="6453" s="1" customFormat="1" spans="1:15">
      <c r="A6453" s="1" t="str">
        <f t="shared" si="3871"/>
        <v>202406</v>
      </c>
      <c r="B6453" s="1" t="str">
        <f t="shared" si="3872"/>
        <v>150525100</v>
      </c>
      <c r="C6453" s="1" t="str">
        <f>"1014623928"</f>
        <v>1014623928</v>
      </c>
      <c r="D6453" s="1" t="str">
        <f>"152326194810170670"</f>
        <v>152326194810170670</v>
      </c>
      <c r="E6453" s="1" t="s">
        <v>6288</v>
      </c>
      <c r="F6453" s="1" t="s">
        <v>25</v>
      </c>
      <c r="G6453" s="1" t="s">
        <v>17</v>
      </c>
      <c r="H6453" s="1" t="str">
        <f>"76"</f>
        <v>76</v>
      </c>
      <c r="I6453" s="1" t="str">
        <f t="shared" si="3928"/>
        <v>160</v>
      </c>
      <c r="J6453" s="1" t="str">
        <f t="shared" ref="J6453:O6453" si="3932">"0"</f>
        <v>0</v>
      </c>
      <c r="K6453" s="1" t="str">
        <f t="shared" si="3858"/>
        <v>103</v>
      </c>
      <c r="L6453" s="1" t="str">
        <f t="shared" si="3859"/>
        <v>47</v>
      </c>
      <c r="M6453" s="1" t="str">
        <f t="shared" si="3932"/>
        <v>0</v>
      </c>
      <c r="N6453" s="1" t="str">
        <f t="shared" si="3932"/>
        <v>0</v>
      </c>
      <c r="O6453" s="1" t="str">
        <f t="shared" si="3932"/>
        <v>0</v>
      </c>
    </row>
    <row r="6454" s="1" customFormat="1" spans="1:15">
      <c r="A6454" s="1" t="str">
        <f t="shared" si="3871"/>
        <v>202406</v>
      </c>
      <c r="B6454" s="1" t="str">
        <f t="shared" si="3872"/>
        <v>150525100</v>
      </c>
      <c r="C6454" s="1" t="str">
        <f>"1014623932"</f>
        <v>1014623932</v>
      </c>
      <c r="D6454" s="1" t="str">
        <f>"152326194310240660"</f>
        <v>152326194310240660</v>
      </c>
      <c r="E6454" s="1" t="s">
        <v>6289</v>
      </c>
      <c r="F6454" s="1" t="s">
        <v>16</v>
      </c>
      <c r="G6454" s="1" t="s">
        <v>17</v>
      </c>
      <c r="H6454" s="1" t="str">
        <f>"81"</f>
        <v>81</v>
      </c>
      <c r="I6454" s="1" t="str">
        <f t="shared" ref="I6454:I6456" si="3933">"170"</f>
        <v>170</v>
      </c>
      <c r="J6454" s="1" t="str">
        <f t="shared" ref="J6454:O6454" si="3934">"0"</f>
        <v>0</v>
      </c>
      <c r="K6454" s="1" t="str">
        <f t="shared" si="3858"/>
        <v>103</v>
      </c>
      <c r="L6454" s="1" t="str">
        <f t="shared" si="3859"/>
        <v>47</v>
      </c>
      <c r="M6454" s="1" t="str">
        <f t="shared" si="3934"/>
        <v>0</v>
      </c>
      <c r="N6454" s="1" t="str">
        <f t="shared" si="3934"/>
        <v>0</v>
      </c>
      <c r="O6454" s="1" t="str">
        <f t="shared" si="3934"/>
        <v>0</v>
      </c>
    </row>
    <row r="6455" s="1" customFormat="1" spans="1:15">
      <c r="A6455" s="1" t="str">
        <f t="shared" si="3871"/>
        <v>202406</v>
      </c>
      <c r="B6455" s="1" t="str">
        <f t="shared" si="3872"/>
        <v>150525100</v>
      </c>
      <c r="C6455" s="1" t="str">
        <f>"1014623949"</f>
        <v>1014623949</v>
      </c>
      <c r="D6455" s="1" t="str">
        <f>"152326194005130668"</f>
        <v>152326194005130668</v>
      </c>
      <c r="E6455" s="1" t="s">
        <v>6290</v>
      </c>
      <c r="F6455" s="1" t="s">
        <v>16</v>
      </c>
      <c r="G6455" s="1" t="s">
        <v>17</v>
      </c>
      <c r="H6455" s="1" t="str">
        <f>"84"</f>
        <v>84</v>
      </c>
      <c r="I6455" s="1" t="str">
        <f t="shared" si="3933"/>
        <v>170</v>
      </c>
      <c r="J6455" s="1" t="str">
        <f t="shared" ref="J6455:O6455" si="3935">"0"</f>
        <v>0</v>
      </c>
      <c r="K6455" s="1" t="str">
        <f t="shared" si="3858"/>
        <v>103</v>
      </c>
      <c r="L6455" s="1" t="str">
        <f t="shared" si="3859"/>
        <v>47</v>
      </c>
      <c r="M6455" s="1" t="str">
        <f t="shared" si="3935"/>
        <v>0</v>
      </c>
      <c r="N6455" s="1" t="str">
        <f t="shared" si="3935"/>
        <v>0</v>
      </c>
      <c r="O6455" s="1" t="str">
        <f t="shared" si="3935"/>
        <v>0</v>
      </c>
    </row>
    <row r="6456" s="1" customFormat="1" spans="1:15">
      <c r="A6456" s="1" t="str">
        <f t="shared" si="3871"/>
        <v>202406</v>
      </c>
      <c r="B6456" s="1" t="str">
        <f t="shared" si="3872"/>
        <v>150525100</v>
      </c>
      <c r="C6456" s="1" t="str">
        <f>"1014623950"</f>
        <v>1014623950</v>
      </c>
      <c r="D6456" s="1" t="str">
        <f>"152326193808230676"</f>
        <v>152326193808230676</v>
      </c>
      <c r="E6456" s="1" t="s">
        <v>6291</v>
      </c>
      <c r="F6456" s="1" t="s">
        <v>25</v>
      </c>
      <c r="G6456" s="1" t="s">
        <v>17</v>
      </c>
      <c r="H6456" s="1" t="str">
        <f>"86"</f>
        <v>86</v>
      </c>
      <c r="I6456" s="1" t="str">
        <f t="shared" si="3933"/>
        <v>170</v>
      </c>
      <c r="J6456" s="1" t="str">
        <f t="shared" ref="J6456:O6456" si="3936">"0"</f>
        <v>0</v>
      </c>
      <c r="K6456" s="1" t="str">
        <f t="shared" ref="K6456:K6466" si="3937">"103"</f>
        <v>103</v>
      </c>
      <c r="L6456" s="1" t="str">
        <f t="shared" ref="L6456:L6466" si="3938">"47"</f>
        <v>47</v>
      </c>
      <c r="M6456" s="1" t="str">
        <f t="shared" si="3936"/>
        <v>0</v>
      </c>
      <c r="N6456" s="1" t="str">
        <f t="shared" si="3936"/>
        <v>0</v>
      </c>
      <c r="O6456" s="1" t="str">
        <f t="shared" si="3936"/>
        <v>0</v>
      </c>
    </row>
    <row r="6457" s="1" customFormat="1" spans="1:15">
      <c r="A6457" s="1" t="str">
        <f t="shared" si="3871"/>
        <v>202406</v>
      </c>
      <c r="B6457" s="1" t="str">
        <f t="shared" si="3872"/>
        <v>150525100</v>
      </c>
      <c r="C6457" s="1" t="str">
        <f>"1014624403"</f>
        <v>1014624403</v>
      </c>
      <c r="D6457" s="1" t="str">
        <f>"152326195002120688"</f>
        <v>152326195002120688</v>
      </c>
      <c r="E6457" s="1" t="s">
        <v>1571</v>
      </c>
      <c r="F6457" s="1" t="s">
        <v>16</v>
      </c>
      <c r="G6457" s="1" t="s">
        <v>17</v>
      </c>
      <c r="H6457" s="1" t="str">
        <f t="shared" ref="H6457:H6460" si="3939">"74"</f>
        <v>74</v>
      </c>
      <c r="I6457" s="1" t="str">
        <f t="shared" ref="I6457:I6460" si="3940">"160"</f>
        <v>160</v>
      </c>
      <c r="J6457" s="1" t="str">
        <f t="shared" ref="J6457:O6457" si="3941">"0"</f>
        <v>0</v>
      </c>
      <c r="K6457" s="1" t="str">
        <f t="shared" si="3937"/>
        <v>103</v>
      </c>
      <c r="L6457" s="1" t="str">
        <f t="shared" si="3938"/>
        <v>47</v>
      </c>
      <c r="M6457" s="1" t="str">
        <f t="shared" si="3941"/>
        <v>0</v>
      </c>
      <c r="N6457" s="1" t="str">
        <f t="shared" si="3941"/>
        <v>0</v>
      </c>
      <c r="O6457" s="1" t="str">
        <f t="shared" si="3941"/>
        <v>0</v>
      </c>
    </row>
    <row r="6458" s="1" customFormat="1" spans="1:15">
      <c r="A6458" s="1" t="str">
        <f t="shared" si="3871"/>
        <v>202406</v>
      </c>
      <c r="B6458" s="1" t="str">
        <f t="shared" si="3872"/>
        <v>150525100</v>
      </c>
      <c r="C6458" s="1" t="str">
        <f>"1014619395"</f>
        <v>1014619395</v>
      </c>
      <c r="D6458" s="1" t="str">
        <f>"152326195005290674"</f>
        <v>152326195005290674</v>
      </c>
      <c r="E6458" s="1" t="s">
        <v>6292</v>
      </c>
      <c r="F6458" s="1" t="s">
        <v>25</v>
      </c>
      <c r="G6458" s="1" t="s">
        <v>17</v>
      </c>
      <c r="H6458" s="1" t="str">
        <f t="shared" si="3939"/>
        <v>74</v>
      </c>
      <c r="I6458" s="1" t="str">
        <f t="shared" si="3940"/>
        <v>160</v>
      </c>
      <c r="J6458" s="1" t="str">
        <f t="shared" ref="J6458:O6458" si="3942">"0"</f>
        <v>0</v>
      </c>
      <c r="K6458" s="1" t="str">
        <f t="shared" si="3937"/>
        <v>103</v>
      </c>
      <c r="L6458" s="1" t="str">
        <f t="shared" si="3938"/>
        <v>47</v>
      </c>
      <c r="M6458" s="1" t="str">
        <f t="shared" si="3942"/>
        <v>0</v>
      </c>
      <c r="N6458" s="1" t="str">
        <f t="shared" si="3942"/>
        <v>0</v>
      </c>
      <c r="O6458" s="1" t="str">
        <f t="shared" si="3942"/>
        <v>0</v>
      </c>
    </row>
    <row r="6459" s="1" customFormat="1" spans="1:15">
      <c r="A6459" s="1" t="str">
        <f t="shared" si="3871"/>
        <v>202406</v>
      </c>
      <c r="B6459" s="1" t="str">
        <f t="shared" si="3872"/>
        <v>150525100</v>
      </c>
      <c r="C6459" s="1" t="str">
        <f>"1014619412"</f>
        <v>1014619412</v>
      </c>
      <c r="D6459" s="1" t="str">
        <f>"152326194911193812"</f>
        <v>152326194911193812</v>
      </c>
      <c r="E6459" s="1" t="s">
        <v>4434</v>
      </c>
      <c r="F6459" s="1" t="s">
        <v>25</v>
      </c>
      <c r="G6459" s="1" t="s">
        <v>17</v>
      </c>
      <c r="H6459" s="1" t="str">
        <f>"75"</f>
        <v>75</v>
      </c>
      <c r="I6459" s="1" t="str">
        <f t="shared" si="3940"/>
        <v>160</v>
      </c>
      <c r="J6459" s="1" t="str">
        <f t="shared" ref="J6459:O6459" si="3943">"0"</f>
        <v>0</v>
      </c>
      <c r="K6459" s="1" t="str">
        <f t="shared" si="3937"/>
        <v>103</v>
      </c>
      <c r="L6459" s="1" t="str">
        <f t="shared" si="3938"/>
        <v>47</v>
      </c>
      <c r="M6459" s="1" t="str">
        <f t="shared" si="3943"/>
        <v>0</v>
      </c>
      <c r="N6459" s="1" t="str">
        <f t="shared" si="3943"/>
        <v>0</v>
      </c>
      <c r="O6459" s="1" t="str">
        <f t="shared" si="3943"/>
        <v>0</v>
      </c>
    </row>
    <row r="6460" s="1" customFormat="1" spans="1:15">
      <c r="A6460" s="1" t="str">
        <f t="shared" si="3871"/>
        <v>202406</v>
      </c>
      <c r="B6460" s="1" t="str">
        <f t="shared" si="3872"/>
        <v>150525100</v>
      </c>
      <c r="C6460" s="1" t="str">
        <f>"1014619413"</f>
        <v>1014619413</v>
      </c>
      <c r="D6460" s="1" t="s">
        <v>6293</v>
      </c>
      <c r="E6460" s="1" t="s">
        <v>6294</v>
      </c>
      <c r="F6460" s="1" t="s">
        <v>25</v>
      </c>
      <c r="G6460" s="1" t="s">
        <v>17</v>
      </c>
      <c r="H6460" s="1" t="str">
        <f t="shared" si="3939"/>
        <v>74</v>
      </c>
      <c r="I6460" s="1" t="str">
        <f t="shared" si="3940"/>
        <v>160</v>
      </c>
      <c r="J6460" s="1" t="str">
        <f t="shared" ref="J6460:O6460" si="3944">"0"</f>
        <v>0</v>
      </c>
      <c r="K6460" s="1" t="str">
        <f t="shared" si="3937"/>
        <v>103</v>
      </c>
      <c r="L6460" s="1" t="str">
        <f t="shared" si="3938"/>
        <v>47</v>
      </c>
      <c r="M6460" s="1" t="str">
        <f t="shared" si="3944"/>
        <v>0</v>
      </c>
      <c r="N6460" s="1" t="str">
        <f t="shared" si="3944"/>
        <v>0</v>
      </c>
      <c r="O6460" s="1" t="str">
        <f t="shared" si="3944"/>
        <v>0</v>
      </c>
    </row>
    <row r="6461" s="1" customFormat="1" spans="1:15">
      <c r="A6461" s="1" t="str">
        <f t="shared" si="3871"/>
        <v>202406</v>
      </c>
      <c r="B6461" s="1" t="str">
        <f t="shared" si="3872"/>
        <v>150525100</v>
      </c>
      <c r="C6461" s="1" t="str">
        <f>"1014629969"</f>
        <v>1014629969</v>
      </c>
      <c r="D6461" s="1" t="str">
        <f>"152326193905170011"</f>
        <v>152326193905170011</v>
      </c>
      <c r="E6461" s="1" t="s">
        <v>6295</v>
      </c>
      <c r="F6461" s="1" t="s">
        <v>25</v>
      </c>
      <c r="G6461" s="1" t="s">
        <v>19</v>
      </c>
      <c r="H6461" s="1" t="str">
        <f>"85"</f>
        <v>85</v>
      </c>
      <c r="I6461" s="1" t="str">
        <f>"170"</f>
        <v>170</v>
      </c>
      <c r="J6461" s="1" t="str">
        <f t="shared" ref="J6461:O6461" si="3945">"0"</f>
        <v>0</v>
      </c>
      <c r="K6461" s="1" t="str">
        <f t="shared" si="3937"/>
        <v>103</v>
      </c>
      <c r="L6461" s="1" t="str">
        <f t="shared" si="3938"/>
        <v>47</v>
      </c>
      <c r="M6461" s="1" t="str">
        <f t="shared" si="3945"/>
        <v>0</v>
      </c>
      <c r="N6461" s="1" t="str">
        <f t="shared" si="3945"/>
        <v>0</v>
      </c>
      <c r="O6461" s="1" t="str">
        <f t="shared" si="3945"/>
        <v>0</v>
      </c>
    </row>
    <row r="6462" s="1" customFormat="1" spans="1:15">
      <c r="A6462" s="1" t="str">
        <f t="shared" si="3871"/>
        <v>202406</v>
      </c>
      <c r="B6462" s="1" t="str">
        <f t="shared" si="3872"/>
        <v>150525100</v>
      </c>
      <c r="C6462" s="1" t="str">
        <f>"1014629981"</f>
        <v>1014629981</v>
      </c>
      <c r="D6462" s="1" t="str">
        <f>"152326194812083810"</f>
        <v>152326194812083810</v>
      </c>
      <c r="E6462" s="1" t="s">
        <v>6296</v>
      </c>
      <c r="F6462" s="1" t="s">
        <v>25</v>
      </c>
      <c r="G6462" s="1" t="s">
        <v>19</v>
      </c>
      <c r="H6462" s="1" t="str">
        <f>"76"</f>
        <v>76</v>
      </c>
      <c r="I6462" s="1" t="str">
        <f t="shared" ref="I6462:I6466" si="3946">"160"</f>
        <v>160</v>
      </c>
      <c r="J6462" s="1" t="str">
        <f t="shared" ref="J6462:O6462" si="3947">"0"</f>
        <v>0</v>
      </c>
      <c r="K6462" s="1" t="str">
        <f t="shared" si="3937"/>
        <v>103</v>
      </c>
      <c r="L6462" s="1" t="str">
        <f t="shared" si="3938"/>
        <v>47</v>
      </c>
      <c r="M6462" s="1" t="str">
        <f t="shared" si="3947"/>
        <v>0</v>
      </c>
      <c r="N6462" s="1" t="str">
        <f t="shared" si="3947"/>
        <v>0</v>
      </c>
      <c r="O6462" s="1" t="str">
        <f t="shared" si="3947"/>
        <v>0</v>
      </c>
    </row>
    <row r="6463" s="1" customFormat="1" spans="1:15">
      <c r="A6463" s="1" t="str">
        <f t="shared" si="3871"/>
        <v>202406</v>
      </c>
      <c r="B6463" s="1" t="str">
        <f t="shared" si="3872"/>
        <v>150525100</v>
      </c>
      <c r="C6463" s="1" t="str">
        <f>"1014629982"</f>
        <v>1014629982</v>
      </c>
      <c r="D6463" s="1" t="str">
        <f>"152326194909103814"</f>
        <v>152326194909103814</v>
      </c>
      <c r="E6463" s="1" t="s">
        <v>6297</v>
      </c>
      <c r="F6463" s="1" t="s">
        <v>25</v>
      </c>
      <c r="G6463" s="1" t="s">
        <v>17</v>
      </c>
      <c r="H6463" s="1" t="str">
        <f>"75"</f>
        <v>75</v>
      </c>
      <c r="I6463" s="1" t="str">
        <f t="shared" si="3946"/>
        <v>160</v>
      </c>
      <c r="J6463" s="1" t="str">
        <f t="shared" ref="J6463:O6463" si="3948">"0"</f>
        <v>0</v>
      </c>
      <c r="K6463" s="1" t="str">
        <f t="shared" si="3937"/>
        <v>103</v>
      </c>
      <c r="L6463" s="1" t="str">
        <f t="shared" si="3938"/>
        <v>47</v>
      </c>
      <c r="M6463" s="1" t="str">
        <f t="shared" si="3948"/>
        <v>0</v>
      </c>
      <c r="N6463" s="1" t="str">
        <f t="shared" si="3948"/>
        <v>0</v>
      </c>
      <c r="O6463" s="1" t="str">
        <f t="shared" si="3948"/>
        <v>0</v>
      </c>
    </row>
    <row r="6464" s="1" customFormat="1" spans="1:15">
      <c r="A6464" s="1" t="str">
        <f t="shared" si="3871"/>
        <v>202406</v>
      </c>
      <c r="B6464" s="1" t="str">
        <f t="shared" si="3872"/>
        <v>150525100</v>
      </c>
      <c r="C6464" s="1" t="str">
        <f>"1014588996"</f>
        <v>1014588996</v>
      </c>
      <c r="D6464" s="1" t="str">
        <f>"152326196009170420"</f>
        <v>152326196009170420</v>
      </c>
      <c r="E6464" s="1" t="s">
        <v>6298</v>
      </c>
      <c r="F6464" s="1" t="s">
        <v>16</v>
      </c>
      <c r="G6464" s="1" t="s">
        <v>19</v>
      </c>
      <c r="H6464" s="1" t="str">
        <f>"64"</f>
        <v>64</v>
      </c>
      <c r="I6464" s="1" t="str">
        <f>"159.28"</f>
        <v>159.28</v>
      </c>
      <c r="J6464" s="1" t="str">
        <f t="shared" ref="J6464:N6464" si="3949">"0"</f>
        <v>0</v>
      </c>
      <c r="K6464" s="1" t="str">
        <f t="shared" si="3937"/>
        <v>103</v>
      </c>
      <c r="L6464" s="1" t="str">
        <f t="shared" si="3938"/>
        <v>47</v>
      </c>
      <c r="M6464" s="1" t="str">
        <f t="shared" si="3949"/>
        <v>0</v>
      </c>
      <c r="N6464" s="1" t="str">
        <f t="shared" si="3949"/>
        <v>0</v>
      </c>
      <c r="O6464" s="1" t="str">
        <f>"9.28"</f>
        <v>9.28</v>
      </c>
    </row>
    <row r="6465" s="1" customFormat="1" spans="1:15">
      <c r="A6465" s="1" t="str">
        <f t="shared" si="3871"/>
        <v>202406</v>
      </c>
      <c r="B6465" s="1" t="str">
        <f t="shared" si="3872"/>
        <v>150525100</v>
      </c>
      <c r="C6465" s="1" t="str">
        <f>"1014612900"</f>
        <v>1014612900</v>
      </c>
      <c r="D6465" s="1" t="str">
        <f>"152326195111200927"</f>
        <v>152326195111200927</v>
      </c>
      <c r="E6465" s="1" t="s">
        <v>6299</v>
      </c>
      <c r="F6465" s="1" t="s">
        <v>16</v>
      </c>
      <c r="G6465" s="1" t="s">
        <v>19</v>
      </c>
      <c r="H6465" s="1" t="str">
        <f t="shared" ref="H6465:H6469" si="3950">"73"</f>
        <v>73</v>
      </c>
      <c r="I6465" s="1" t="str">
        <f t="shared" si="3946"/>
        <v>160</v>
      </c>
      <c r="J6465" s="1" t="str">
        <f t="shared" ref="J6465:O6465" si="3951">"0"</f>
        <v>0</v>
      </c>
      <c r="K6465" s="1" t="str">
        <f t="shared" si="3937"/>
        <v>103</v>
      </c>
      <c r="L6465" s="1" t="str">
        <f t="shared" si="3938"/>
        <v>47</v>
      </c>
      <c r="M6465" s="1" t="str">
        <f t="shared" si="3951"/>
        <v>0</v>
      </c>
      <c r="N6465" s="1" t="str">
        <f t="shared" si="3951"/>
        <v>0</v>
      </c>
      <c r="O6465" s="1" t="str">
        <f t="shared" si="3951"/>
        <v>0</v>
      </c>
    </row>
    <row r="6466" s="1" customFormat="1" spans="1:15">
      <c r="A6466" s="1" t="str">
        <f t="shared" ref="A6466:A6529" si="3952">"202406"</f>
        <v>202406</v>
      </c>
      <c r="B6466" s="1" t="str">
        <f t="shared" ref="B6466:B6529" si="3953">"150525100"</f>
        <v>150525100</v>
      </c>
      <c r="C6466" s="1" t="str">
        <f>"1014612902"</f>
        <v>1014612902</v>
      </c>
      <c r="D6466" s="1" t="str">
        <f>"152326195108070922"</f>
        <v>152326195108070922</v>
      </c>
      <c r="E6466" s="1" t="s">
        <v>6300</v>
      </c>
      <c r="F6466" s="1" t="s">
        <v>16</v>
      </c>
      <c r="G6466" s="1" t="s">
        <v>19</v>
      </c>
      <c r="H6466" s="1" t="str">
        <f t="shared" si="3950"/>
        <v>73</v>
      </c>
      <c r="I6466" s="1" t="str">
        <f t="shared" si="3946"/>
        <v>160</v>
      </c>
      <c r="J6466" s="1" t="str">
        <f t="shared" ref="J6466:O6466" si="3954">"0"</f>
        <v>0</v>
      </c>
      <c r="K6466" s="1" t="str">
        <f t="shared" si="3937"/>
        <v>103</v>
      </c>
      <c r="L6466" s="1" t="str">
        <f t="shared" si="3938"/>
        <v>47</v>
      </c>
      <c r="M6466" s="1" t="str">
        <f t="shared" si="3954"/>
        <v>0</v>
      </c>
      <c r="N6466" s="1" t="str">
        <f t="shared" si="3954"/>
        <v>0</v>
      </c>
      <c r="O6466" s="1" t="str">
        <f t="shared" si="3954"/>
        <v>0</v>
      </c>
    </row>
    <row r="6467" s="1" customFormat="1" spans="1:15">
      <c r="A6467" s="1" t="str">
        <f t="shared" si="3952"/>
        <v>202406</v>
      </c>
      <c r="B6467" s="1" t="str">
        <f t="shared" si="3953"/>
        <v>150525100</v>
      </c>
      <c r="C6467" s="1" t="str">
        <f>"1014612907"</f>
        <v>1014612907</v>
      </c>
      <c r="D6467" s="1" t="str">
        <f>"152326194707250920"</f>
        <v>152326194707250920</v>
      </c>
      <c r="E6467" s="1" t="s">
        <v>6301</v>
      </c>
      <c r="F6467" s="1" t="s">
        <v>16</v>
      </c>
      <c r="G6467" s="1" t="s">
        <v>19</v>
      </c>
      <c r="H6467" s="1" t="str">
        <f>"77"</f>
        <v>77</v>
      </c>
      <c r="I6467" s="1" t="str">
        <f>"1440"</f>
        <v>1440</v>
      </c>
      <c r="J6467" s="1" t="str">
        <f>"1280"</f>
        <v>1280</v>
      </c>
      <c r="K6467" s="1" t="str">
        <f>"927"</f>
        <v>927</v>
      </c>
      <c r="L6467" s="1" t="str">
        <f>"423"</f>
        <v>423</v>
      </c>
      <c r="M6467" s="1" t="str">
        <f t="shared" ref="M6467:O6467" si="3955">"0"</f>
        <v>0</v>
      </c>
      <c r="N6467" s="1" t="str">
        <f t="shared" si="3955"/>
        <v>0</v>
      </c>
      <c r="O6467" s="1" t="str">
        <f t="shared" si="3955"/>
        <v>0</v>
      </c>
    </row>
    <row r="6468" s="1" customFormat="1" spans="1:15">
      <c r="A6468" s="1" t="str">
        <f t="shared" si="3952"/>
        <v>202406</v>
      </c>
      <c r="B6468" s="1" t="str">
        <f t="shared" si="3953"/>
        <v>150525100</v>
      </c>
      <c r="C6468" s="1" t="str">
        <f>"1014613180"</f>
        <v>1014613180</v>
      </c>
      <c r="D6468" s="1" t="str">
        <f>"152326195107150912"</f>
        <v>152326195107150912</v>
      </c>
      <c r="E6468" s="1" t="s">
        <v>6302</v>
      </c>
      <c r="F6468" s="1" t="s">
        <v>25</v>
      </c>
      <c r="G6468" s="1" t="s">
        <v>19</v>
      </c>
      <c r="H6468" s="1" t="str">
        <f t="shared" si="3950"/>
        <v>73</v>
      </c>
      <c r="I6468" s="1" t="str">
        <f t="shared" ref="I6468:I6473" si="3956">"160"</f>
        <v>160</v>
      </c>
      <c r="J6468" s="1" t="str">
        <f t="shared" ref="J6468:O6468" si="3957">"0"</f>
        <v>0</v>
      </c>
      <c r="K6468" s="1" t="str">
        <f t="shared" ref="K6468:K6484" si="3958">"103"</f>
        <v>103</v>
      </c>
      <c r="L6468" s="1" t="str">
        <f t="shared" ref="L6468:L6484" si="3959">"47"</f>
        <v>47</v>
      </c>
      <c r="M6468" s="1" t="str">
        <f t="shared" si="3957"/>
        <v>0</v>
      </c>
      <c r="N6468" s="1" t="str">
        <f t="shared" si="3957"/>
        <v>0</v>
      </c>
      <c r="O6468" s="1" t="str">
        <f t="shared" si="3957"/>
        <v>0</v>
      </c>
    </row>
    <row r="6469" s="1" customFormat="1" spans="1:15">
      <c r="A6469" s="1" t="str">
        <f t="shared" si="3952"/>
        <v>202406</v>
      </c>
      <c r="B6469" s="1" t="str">
        <f t="shared" si="3953"/>
        <v>150525100</v>
      </c>
      <c r="C6469" s="1" t="str">
        <f>"1014613186"</f>
        <v>1014613186</v>
      </c>
      <c r="D6469" s="1" t="str">
        <f>"152326195112290936"</f>
        <v>152326195112290936</v>
      </c>
      <c r="E6469" s="1" t="s">
        <v>6303</v>
      </c>
      <c r="F6469" s="1" t="s">
        <v>25</v>
      </c>
      <c r="G6469" s="1" t="s">
        <v>19</v>
      </c>
      <c r="H6469" s="1" t="str">
        <f t="shared" si="3950"/>
        <v>73</v>
      </c>
      <c r="I6469" s="1" t="str">
        <f t="shared" si="3956"/>
        <v>160</v>
      </c>
      <c r="J6469" s="1" t="str">
        <f t="shared" ref="J6469:O6469" si="3960">"0"</f>
        <v>0</v>
      </c>
      <c r="K6469" s="1" t="str">
        <f t="shared" si="3958"/>
        <v>103</v>
      </c>
      <c r="L6469" s="1" t="str">
        <f t="shared" si="3959"/>
        <v>47</v>
      </c>
      <c r="M6469" s="1" t="str">
        <f t="shared" si="3960"/>
        <v>0</v>
      </c>
      <c r="N6469" s="1" t="str">
        <f t="shared" si="3960"/>
        <v>0</v>
      </c>
      <c r="O6469" s="1" t="str">
        <f t="shared" si="3960"/>
        <v>0</v>
      </c>
    </row>
    <row r="6470" s="1" customFormat="1" spans="1:15">
      <c r="A6470" s="1" t="str">
        <f t="shared" si="3952"/>
        <v>202406</v>
      </c>
      <c r="B6470" s="1" t="str">
        <f t="shared" si="3953"/>
        <v>150525100</v>
      </c>
      <c r="C6470" s="1" t="str">
        <f>"1014622223"</f>
        <v>1014622223</v>
      </c>
      <c r="D6470" s="1" t="str">
        <f>"152326194811163317"</f>
        <v>152326194811163317</v>
      </c>
      <c r="E6470" s="1" t="s">
        <v>6304</v>
      </c>
      <c r="F6470" s="1" t="s">
        <v>25</v>
      </c>
      <c r="G6470" s="1" t="s">
        <v>19</v>
      </c>
      <c r="H6470" s="1" t="str">
        <f>"76"</f>
        <v>76</v>
      </c>
      <c r="I6470" s="1" t="str">
        <f t="shared" si="3956"/>
        <v>160</v>
      </c>
      <c r="J6470" s="1" t="str">
        <f t="shared" ref="J6470:O6470" si="3961">"0"</f>
        <v>0</v>
      </c>
      <c r="K6470" s="1" t="str">
        <f t="shared" si="3958"/>
        <v>103</v>
      </c>
      <c r="L6470" s="1" t="str">
        <f t="shared" si="3959"/>
        <v>47</v>
      </c>
      <c r="M6470" s="1" t="str">
        <f t="shared" si="3961"/>
        <v>0</v>
      </c>
      <c r="N6470" s="1" t="str">
        <f t="shared" si="3961"/>
        <v>0</v>
      </c>
      <c r="O6470" s="1" t="str">
        <f t="shared" si="3961"/>
        <v>0</v>
      </c>
    </row>
    <row r="6471" s="1" customFormat="1" spans="1:15">
      <c r="A6471" s="1" t="str">
        <f t="shared" si="3952"/>
        <v>202406</v>
      </c>
      <c r="B6471" s="1" t="str">
        <f t="shared" si="3953"/>
        <v>150525100</v>
      </c>
      <c r="C6471" s="1" t="str">
        <f>"1014622629"</f>
        <v>1014622629</v>
      </c>
      <c r="D6471" s="1" t="str">
        <f>"152326194511160675"</f>
        <v>152326194511160675</v>
      </c>
      <c r="E6471" s="1" t="s">
        <v>6305</v>
      </c>
      <c r="F6471" s="1" t="s">
        <v>25</v>
      </c>
      <c r="G6471" s="1" t="s">
        <v>17</v>
      </c>
      <c r="H6471" s="1" t="str">
        <f>"79"</f>
        <v>79</v>
      </c>
      <c r="I6471" s="1" t="str">
        <f t="shared" si="3956"/>
        <v>160</v>
      </c>
      <c r="J6471" s="1" t="str">
        <f t="shared" ref="J6471:O6471" si="3962">"0"</f>
        <v>0</v>
      </c>
      <c r="K6471" s="1" t="str">
        <f t="shared" si="3958"/>
        <v>103</v>
      </c>
      <c r="L6471" s="1" t="str">
        <f t="shared" si="3959"/>
        <v>47</v>
      </c>
      <c r="M6471" s="1" t="str">
        <f t="shared" si="3962"/>
        <v>0</v>
      </c>
      <c r="N6471" s="1" t="str">
        <f t="shared" si="3962"/>
        <v>0</v>
      </c>
      <c r="O6471" s="1" t="str">
        <f t="shared" si="3962"/>
        <v>0</v>
      </c>
    </row>
    <row r="6472" s="1" customFormat="1" spans="1:15">
      <c r="A6472" s="1" t="str">
        <f t="shared" si="3952"/>
        <v>202406</v>
      </c>
      <c r="B6472" s="1" t="str">
        <f t="shared" si="3953"/>
        <v>150525100</v>
      </c>
      <c r="C6472" s="1" t="str">
        <f>"1014622631"</f>
        <v>1014622631</v>
      </c>
      <c r="D6472" s="1" t="str">
        <f>"152326194808190672"</f>
        <v>152326194808190672</v>
      </c>
      <c r="E6472" s="1" t="s">
        <v>6306</v>
      </c>
      <c r="F6472" s="1" t="s">
        <v>25</v>
      </c>
      <c r="G6472" s="1" t="s">
        <v>17</v>
      </c>
      <c r="H6472" s="1" t="str">
        <f>"76"</f>
        <v>76</v>
      </c>
      <c r="I6472" s="1" t="str">
        <f t="shared" si="3956"/>
        <v>160</v>
      </c>
      <c r="J6472" s="1" t="str">
        <f t="shared" ref="J6472:O6472" si="3963">"0"</f>
        <v>0</v>
      </c>
      <c r="K6472" s="1" t="str">
        <f t="shared" si="3958"/>
        <v>103</v>
      </c>
      <c r="L6472" s="1" t="str">
        <f t="shared" si="3959"/>
        <v>47</v>
      </c>
      <c r="M6472" s="1" t="str">
        <f t="shared" si="3963"/>
        <v>0</v>
      </c>
      <c r="N6472" s="1" t="str">
        <f t="shared" si="3963"/>
        <v>0</v>
      </c>
      <c r="O6472" s="1" t="str">
        <f t="shared" si="3963"/>
        <v>0</v>
      </c>
    </row>
    <row r="6473" s="1" customFormat="1" spans="1:15">
      <c r="A6473" s="1" t="str">
        <f t="shared" si="3952"/>
        <v>202406</v>
      </c>
      <c r="B6473" s="1" t="str">
        <f t="shared" si="3953"/>
        <v>150525100</v>
      </c>
      <c r="C6473" s="1" t="str">
        <f>"1014622632"</f>
        <v>1014622632</v>
      </c>
      <c r="D6473" s="1" t="str">
        <f>"152326195107140677"</f>
        <v>152326195107140677</v>
      </c>
      <c r="E6473" s="1" t="s">
        <v>6307</v>
      </c>
      <c r="F6473" s="1" t="s">
        <v>25</v>
      </c>
      <c r="G6473" s="1" t="s">
        <v>17</v>
      </c>
      <c r="H6473" s="1" t="str">
        <f>"73"</f>
        <v>73</v>
      </c>
      <c r="I6473" s="1" t="str">
        <f t="shared" si="3956"/>
        <v>160</v>
      </c>
      <c r="J6473" s="1" t="str">
        <f t="shared" ref="J6473:O6473" si="3964">"0"</f>
        <v>0</v>
      </c>
      <c r="K6473" s="1" t="str">
        <f t="shared" si="3958"/>
        <v>103</v>
      </c>
      <c r="L6473" s="1" t="str">
        <f t="shared" si="3959"/>
        <v>47</v>
      </c>
      <c r="M6473" s="1" t="str">
        <f t="shared" si="3964"/>
        <v>0</v>
      </c>
      <c r="N6473" s="1" t="str">
        <f t="shared" si="3964"/>
        <v>0</v>
      </c>
      <c r="O6473" s="1" t="str">
        <f t="shared" si="3964"/>
        <v>0</v>
      </c>
    </row>
    <row r="6474" s="1" customFormat="1" spans="1:15">
      <c r="A6474" s="1" t="str">
        <f t="shared" si="3952"/>
        <v>202406</v>
      </c>
      <c r="B6474" s="1" t="str">
        <f t="shared" si="3953"/>
        <v>150525100</v>
      </c>
      <c r="C6474" s="1" t="str">
        <f>"1014623986"</f>
        <v>1014623986</v>
      </c>
      <c r="D6474" s="1" t="str">
        <f>"152326194305110669"</f>
        <v>152326194305110669</v>
      </c>
      <c r="E6474" s="1" t="s">
        <v>6308</v>
      </c>
      <c r="F6474" s="1" t="s">
        <v>16</v>
      </c>
      <c r="G6474" s="1" t="s">
        <v>17</v>
      </c>
      <c r="H6474" s="1" t="str">
        <f>"81"</f>
        <v>81</v>
      </c>
      <c r="I6474" s="1" t="str">
        <f>"170"</f>
        <v>170</v>
      </c>
      <c r="J6474" s="1" t="str">
        <f t="shared" ref="J6474:O6474" si="3965">"0"</f>
        <v>0</v>
      </c>
      <c r="K6474" s="1" t="str">
        <f t="shared" si="3958"/>
        <v>103</v>
      </c>
      <c r="L6474" s="1" t="str">
        <f t="shared" si="3959"/>
        <v>47</v>
      </c>
      <c r="M6474" s="1" t="str">
        <f t="shared" si="3965"/>
        <v>0</v>
      </c>
      <c r="N6474" s="1" t="str">
        <f t="shared" si="3965"/>
        <v>0</v>
      </c>
      <c r="O6474" s="1" t="str">
        <f t="shared" si="3965"/>
        <v>0</v>
      </c>
    </row>
    <row r="6475" s="1" customFormat="1" spans="1:15">
      <c r="A6475" s="1" t="str">
        <f t="shared" si="3952"/>
        <v>202406</v>
      </c>
      <c r="B6475" s="1" t="str">
        <f t="shared" si="3953"/>
        <v>150525100</v>
      </c>
      <c r="C6475" s="1" t="str">
        <f>"1014623987"</f>
        <v>1014623987</v>
      </c>
      <c r="D6475" s="1" t="s">
        <v>6309</v>
      </c>
      <c r="E6475" s="1" t="s">
        <v>6310</v>
      </c>
      <c r="F6475" s="1" t="s">
        <v>25</v>
      </c>
      <c r="G6475" s="1" t="s">
        <v>17</v>
      </c>
      <c r="H6475" s="1" t="str">
        <f>"80"</f>
        <v>80</v>
      </c>
      <c r="I6475" s="1" t="str">
        <f>"170"</f>
        <v>170</v>
      </c>
      <c r="J6475" s="1" t="str">
        <f t="shared" ref="J6475:O6475" si="3966">"0"</f>
        <v>0</v>
      </c>
      <c r="K6475" s="1" t="str">
        <f t="shared" si="3958"/>
        <v>103</v>
      </c>
      <c r="L6475" s="1" t="str">
        <f t="shared" si="3959"/>
        <v>47</v>
      </c>
      <c r="M6475" s="1" t="str">
        <f t="shared" si="3966"/>
        <v>0</v>
      </c>
      <c r="N6475" s="1" t="str">
        <f t="shared" si="3966"/>
        <v>0</v>
      </c>
      <c r="O6475" s="1" t="str">
        <f t="shared" si="3966"/>
        <v>0</v>
      </c>
    </row>
    <row r="6476" s="1" customFormat="1" spans="1:15">
      <c r="A6476" s="1" t="str">
        <f t="shared" si="3952"/>
        <v>202406</v>
      </c>
      <c r="B6476" s="1" t="str">
        <f t="shared" si="3953"/>
        <v>150525100</v>
      </c>
      <c r="C6476" s="1" t="str">
        <f>"1014624465"</f>
        <v>1014624465</v>
      </c>
      <c r="D6476" s="1" t="str">
        <f>"152326194612180915"</f>
        <v>152326194612180915</v>
      </c>
      <c r="E6476" s="1" t="s">
        <v>6311</v>
      </c>
      <c r="F6476" s="1" t="s">
        <v>25</v>
      </c>
      <c r="G6476" s="1" t="s">
        <v>19</v>
      </c>
      <c r="H6476" s="1" t="str">
        <f>"78"</f>
        <v>78</v>
      </c>
      <c r="I6476" s="1" t="str">
        <f t="shared" ref="I6476:I6484" si="3967">"160"</f>
        <v>160</v>
      </c>
      <c r="J6476" s="1" t="str">
        <f t="shared" ref="J6476:O6476" si="3968">"0"</f>
        <v>0</v>
      </c>
      <c r="K6476" s="1" t="str">
        <f t="shared" si="3958"/>
        <v>103</v>
      </c>
      <c r="L6476" s="1" t="str">
        <f t="shared" si="3959"/>
        <v>47</v>
      </c>
      <c r="M6476" s="1" t="str">
        <f t="shared" si="3968"/>
        <v>0</v>
      </c>
      <c r="N6476" s="1" t="str">
        <f t="shared" si="3968"/>
        <v>0</v>
      </c>
      <c r="O6476" s="1" t="str">
        <f t="shared" si="3968"/>
        <v>0</v>
      </c>
    </row>
    <row r="6477" s="1" customFormat="1" spans="1:15">
      <c r="A6477" s="1" t="str">
        <f t="shared" si="3952"/>
        <v>202406</v>
      </c>
      <c r="B6477" s="1" t="str">
        <f t="shared" si="3953"/>
        <v>150525100</v>
      </c>
      <c r="C6477" s="1" t="str">
        <f>"1014624468"</f>
        <v>1014624468</v>
      </c>
      <c r="D6477" s="1" t="str">
        <f>"152326195107160926"</f>
        <v>152326195107160926</v>
      </c>
      <c r="E6477" s="1" t="s">
        <v>6312</v>
      </c>
      <c r="F6477" s="1" t="s">
        <v>16</v>
      </c>
      <c r="G6477" s="1" t="s">
        <v>19</v>
      </c>
      <c r="H6477" s="1" t="str">
        <f>"73"</f>
        <v>73</v>
      </c>
      <c r="I6477" s="1" t="str">
        <f t="shared" si="3967"/>
        <v>160</v>
      </c>
      <c r="J6477" s="1" t="str">
        <f t="shared" ref="J6477:O6477" si="3969">"0"</f>
        <v>0</v>
      </c>
      <c r="K6477" s="1" t="str">
        <f t="shared" si="3958"/>
        <v>103</v>
      </c>
      <c r="L6477" s="1" t="str">
        <f t="shared" si="3959"/>
        <v>47</v>
      </c>
      <c r="M6477" s="1" t="str">
        <f t="shared" si="3969"/>
        <v>0</v>
      </c>
      <c r="N6477" s="1" t="str">
        <f t="shared" si="3969"/>
        <v>0</v>
      </c>
      <c r="O6477" s="1" t="str">
        <f t="shared" si="3969"/>
        <v>0</v>
      </c>
    </row>
    <row r="6478" s="1" customFormat="1" spans="1:15">
      <c r="A6478" s="1" t="str">
        <f t="shared" si="3952"/>
        <v>202406</v>
      </c>
      <c r="B6478" s="1" t="str">
        <f t="shared" si="3953"/>
        <v>150525100</v>
      </c>
      <c r="C6478" s="1" t="str">
        <f>"1014624479"</f>
        <v>1014624479</v>
      </c>
      <c r="D6478" s="1" t="str">
        <f>"152326195012210919"</f>
        <v>152326195012210919</v>
      </c>
      <c r="E6478" s="1" t="s">
        <v>6313</v>
      </c>
      <c r="F6478" s="1" t="s">
        <v>25</v>
      </c>
      <c r="G6478" s="1" t="s">
        <v>19</v>
      </c>
      <c r="H6478" s="1" t="str">
        <f>"74"</f>
        <v>74</v>
      </c>
      <c r="I6478" s="1" t="str">
        <f t="shared" si="3967"/>
        <v>160</v>
      </c>
      <c r="J6478" s="1" t="str">
        <f t="shared" ref="J6478:O6478" si="3970">"0"</f>
        <v>0</v>
      </c>
      <c r="K6478" s="1" t="str">
        <f t="shared" si="3958"/>
        <v>103</v>
      </c>
      <c r="L6478" s="1" t="str">
        <f t="shared" si="3959"/>
        <v>47</v>
      </c>
      <c r="M6478" s="1" t="str">
        <f t="shared" si="3970"/>
        <v>0</v>
      </c>
      <c r="N6478" s="1" t="str">
        <f t="shared" si="3970"/>
        <v>0</v>
      </c>
      <c r="O6478" s="1" t="str">
        <f t="shared" si="3970"/>
        <v>0</v>
      </c>
    </row>
    <row r="6479" s="1" customFormat="1" spans="1:15">
      <c r="A6479" s="1" t="str">
        <f t="shared" si="3952"/>
        <v>202406</v>
      </c>
      <c r="B6479" s="1" t="str">
        <f t="shared" si="3953"/>
        <v>150525100</v>
      </c>
      <c r="C6479" s="1" t="str">
        <f>"1014619467"</f>
        <v>1014619467</v>
      </c>
      <c r="D6479" s="1" t="str">
        <f>"152326195104276376"</f>
        <v>152326195104276376</v>
      </c>
      <c r="E6479" s="1" t="s">
        <v>6314</v>
      </c>
      <c r="F6479" s="1" t="s">
        <v>25</v>
      </c>
      <c r="G6479" s="1" t="s">
        <v>17</v>
      </c>
      <c r="H6479" s="1" t="str">
        <f>"73"</f>
        <v>73</v>
      </c>
      <c r="I6479" s="1" t="str">
        <f t="shared" si="3967"/>
        <v>160</v>
      </c>
      <c r="J6479" s="1" t="str">
        <f t="shared" ref="J6479:O6479" si="3971">"0"</f>
        <v>0</v>
      </c>
      <c r="K6479" s="1" t="str">
        <f t="shared" si="3958"/>
        <v>103</v>
      </c>
      <c r="L6479" s="1" t="str">
        <f t="shared" si="3959"/>
        <v>47</v>
      </c>
      <c r="M6479" s="1" t="str">
        <f t="shared" si="3971"/>
        <v>0</v>
      </c>
      <c r="N6479" s="1" t="str">
        <f t="shared" si="3971"/>
        <v>0</v>
      </c>
      <c r="O6479" s="1" t="str">
        <f t="shared" si="3971"/>
        <v>0</v>
      </c>
    </row>
    <row r="6480" s="1" customFormat="1" spans="1:15">
      <c r="A6480" s="1" t="str">
        <f t="shared" si="3952"/>
        <v>202406</v>
      </c>
      <c r="B6480" s="1" t="str">
        <f t="shared" si="3953"/>
        <v>150525100</v>
      </c>
      <c r="C6480" s="1" t="str">
        <f>"1014619470"</f>
        <v>1014619470</v>
      </c>
      <c r="D6480" s="1" t="str">
        <f>"152326194702066112"</f>
        <v>152326194702066112</v>
      </c>
      <c r="E6480" s="1" t="s">
        <v>6315</v>
      </c>
      <c r="F6480" s="1" t="s">
        <v>25</v>
      </c>
      <c r="G6480" s="1" t="s">
        <v>17</v>
      </c>
      <c r="H6480" s="1" t="str">
        <f>"77"</f>
        <v>77</v>
      </c>
      <c r="I6480" s="1" t="str">
        <f t="shared" si="3967"/>
        <v>160</v>
      </c>
      <c r="J6480" s="1" t="str">
        <f t="shared" ref="J6480:O6480" si="3972">"0"</f>
        <v>0</v>
      </c>
      <c r="K6480" s="1" t="str">
        <f t="shared" si="3958"/>
        <v>103</v>
      </c>
      <c r="L6480" s="1" t="str">
        <f t="shared" si="3959"/>
        <v>47</v>
      </c>
      <c r="M6480" s="1" t="str">
        <f t="shared" si="3972"/>
        <v>0</v>
      </c>
      <c r="N6480" s="1" t="str">
        <f t="shared" si="3972"/>
        <v>0</v>
      </c>
      <c r="O6480" s="1" t="str">
        <f t="shared" si="3972"/>
        <v>0</v>
      </c>
    </row>
    <row r="6481" s="1" customFormat="1" spans="1:15">
      <c r="A6481" s="1" t="str">
        <f t="shared" si="3952"/>
        <v>202406</v>
      </c>
      <c r="B6481" s="1" t="str">
        <f t="shared" si="3953"/>
        <v>150525100</v>
      </c>
      <c r="C6481" s="1" t="str">
        <f>"1014619640"</f>
        <v>1014619640</v>
      </c>
      <c r="D6481" s="1" t="str">
        <f>"152326195004033086"</f>
        <v>152326195004033086</v>
      </c>
      <c r="E6481" s="1" t="s">
        <v>6316</v>
      </c>
      <c r="F6481" s="1" t="s">
        <v>16</v>
      </c>
      <c r="G6481" s="1" t="s">
        <v>17</v>
      </c>
      <c r="H6481" s="1" t="str">
        <f>"74"</f>
        <v>74</v>
      </c>
      <c r="I6481" s="1" t="str">
        <f t="shared" si="3967"/>
        <v>160</v>
      </c>
      <c r="J6481" s="1" t="str">
        <f t="shared" ref="J6481:O6481" si="3973">"0"</f>
        <v>0</v>
      </c>
      <c r="K6481" s="1" t="str">
        <f t="shared" si="3958"/>
        <v>103</v>
      </c>
      <c r="L6481" s="1" t="str">
        <f t="shared" si="3959"/>
        <v>47</v>
      </c>
      <c r="M6481" s="1" t="str">
        <f t="shared" si="3973"/>
        <v>0</v>
      </c>
      <c r="N6481" s="1" t="str">
        <f t="shared" si="3973"/>
        <v>0</v>
      </c>
      <c r="O6481" s="1" t="str">
        <f t="shared" si="3973"/>
        <v>0</v>
      </c>
    </row>
    <row r="6482" s="1" customFormat="1" spans="1:15">
      <c r="A6482" s="1" t="str">
        <f t="shared" si="3952"/>
        <v>202406</v>
      </c>
      <c r="B6482" s="1" t="str">
        <f t="shared" si="3953"/>
        <v>150525100</v>
      </c>
      <c r="C6482" s="1" t="str">
        <f>"1014629642"</f>
        <v>1014629642</v>
      </c>
      <c r="D6482" s="1" t="str">
        <f>"152326194901290029"</f>
        <v>152326194901290029</v>
      </c>
      <c r="E6482" s="1" t="s">
        <v>6317</v>
      </c>
      <c r="F6482" s="1" t="s">
        <v>16</v>
      </c>
      <c r="G6482" s="1" t="s">
        <v>17</v>
      </c>
      <c r="H6482" s="1" t="str">
        <f>"75"</f>
        <v>75</v>
      </c>
      <c r="I6482" s="1" t="str">
        <f t="shared" si="3967"/>
        <v>160</v>
      </c>
      <c r="J6482" s="1" t="str">
        <f t="shared" ref="J6482:O6482" si="3974">"0"</f>
        <v>0</v>
      </c>
      <c r="K6482" s="1" t="str">
        <f t="shared" si="3958"/>
        <v>103</v>
      </c>
      <c r="L6482" s="1" t="str">
        <f t="shared" si="3959"/>
        <v>47</v>
      </c>
      <c r="M6482" s="1" t="str">
        <f t="shared" si="3974"/>
        <v>0</v>
      </c>
      <c r="N6482" s="1" t="str">
        <f t="shared" si="3974"/>
        <v>0</v>
      </c>
      <c r="O6482" s="1" t="str">
        <f t="shared" si="3974"/>
        <v>0</v>
      </c>
    </row>
    <row r="6483" s="1" customFormat="1" spans="1:15">
      <c r="A6483" s="1" t="str">
        <f t="shared" si="3952"/>
        <v>202406</v>
      </c>
      <c r="B6483" s="1" t="str">
        <f t="shared" si="3953"/>
        <v>150525100</v>
      </c>
      <c r="C6483" s="1" t="str">
        <f>"1014629644"</f>
        <v>1014629644</v>
      </c>
      <c r="D6483" s="1" t="str">
        <f>"152326194801060031"</f>
        <v>152326194801060031</v>
      </c>
      <c r="E6483" s="1" t="s">
        <v>6318</v>
      </c>
      <c r="F6483" s="1" t="s">
        <v>25</v>
      </c>
      <c r="G6483" s="1" t="s">
        <v>17</v>
      </c>
      <c r="H6483" s="1" t="str">
        <f>"77"</f>
        <v>77</v>
      </c>
      <c r="I6483" s="1" t="str">
        <f t="shared" si="3967"/>
        <v>160</v>
      </c>
      <c r="J6483" s="1" t="str">
        <f t="shared" ref="J6483:O6483" si="3975">"0"</f>
        <v>0</v>
      </c>
      <c r="K6483" s="1" t="str">
        <f t="shared" si="3958"/>
        <v>103</v>
      </c>
      <c r="L6483" s="1" t="str">
        <f t="shared" si="3959"/>
        <v>47</v>
      </c>
      <c r="M6483" s="1" t="str">
        <f t="shared" si="3975"/>
        <v>0</v>
      </c>
      <c r="N6483" s="1" t="str">
        <f t="shared" si="3975"/>
        <v>0</v>
      </c>
      <c r="O6483" s="1" t="str">
        <f t="shared" si="3975"/>
        <v>0</v>
      </c>
    </row>
    <row r="6484" s="1" customFormat="1" spans="1:15">
      <c r="A6484" s="1" t="str">
        <f t="shared" si="3952"/>
        <v>202406</v>
      </c>
      <c r="B6484" s="1" t="str">
        <f t="shared" si="3953"/>
        <v>150525100</v>
      </c>
      <c r="C6484" s="1" t="str">
        <f>"1014629651"</f>
        <v>1014629651</v>
      </c>
      <c r="D6484" s="1" t="str">
        <f>"152326194606030021"</f>
        <v>152326194606030021</v>
      </c>
      <c r="E6484" s="1" t="s">
        <v>6319</v>
      </c>
      <c r="F6484" s="1" t="s">
        <v>16</v>
      </c>
      <c r="G6484" s="1" t="s">
        <v>17</v>
      </c>
      <c r="H6484" s="1" t="str">
        <f>"78"</f>
        <v>78</v>
      </c>
      <c r="I6484" s="1" t="str">
        <f t="shared" si="3967"/>
        <v>160</v>
      </c>
      <c r="J6484" s="1" t="str">
        <f t="shared" ref="J6484:O6484" si="3976">"0"</f>
        <v>0</v>
      </c>
      <c r="K6484" s="1" t="str">
        <f t="shared" si="3958"/>
        <v>103</v>
      </c>
      <c r="L6484" s="1" t="str">
        <f t="shared" si="3959"/>
        <v>47</v>
      </c>
      <c r="M6484" s="1" t="str">
        <f t="shared" si="3976"/>
        <v>0</v>
      </c>
      <c r="N6484" s="1" t="str">
        <f t="shared" si="3976"/>
        <v>0</v>
      </c>
      <c r="O6484" s="1" t="str">
        <f t="shared" si="3976"/>
        <v>0</v>
      </c>
    </row>
    <row r="6485" s="1" customFormat="1" spans="1:15">
      <c r="A6485" s="1" t="str">
        <f t="shared" si="3952"/>
        <v>202406</v>
      </c>
      <c r="B6485" s="1" t="str">
        <f t="shared" si="3953"/>
        <v>150525100</v>
      </c>
      <c r="C6485" s="1" t="str">
        <f>"1014629661"</f>
        <v>1014629661</v>
      </c>
      <c r="D6485" s="1" t="str">
        <f>"152326193103300013"</f>
        <v>152326193103300013</v>
      </c>
      <c r="E6485" s="1" t="s">
        <v>6320</v>
      </c>
      <c r="F6485" s="1" t="s">
        <v>25</v>
      </c>
      <c r="G6485" s="1" t="s">
        <v>17</v>
      </c>
      <c r="H6485" s="1" t="str">
        <f>"93"</f>
        <v>93</v>
      </c>
      <c r="I6485" s="1" t="str">
        <f>"1436"</f>
        <v>1436</v>
      </c>
      <c r="J6485" s="1" t="str">
        <f t="shared" ref="J6485:O6485" si="3977">"0"</f>
        <v>0</v>
      </c>
      <c r="K6485" s="1" t="str">
        <f t="shared" si="3977"/>
        <v>0</v>
      </c>
      <c r="L6485" s="1" t="str">
        <f t="shared" si="3977"/>
        <v>0</v>
      </c>
      <c r="M6485" s="1" t="str">
        <f t="shared" si="3977"/>
        <v>0</v>
      </c>
      <c r="N6485" s="1" t="str">
        <f t="shared" si="3977"/>
        <v>0</v>
      </c>
      <c r="O6485" s="1" t="str">
        <f t="shared" si="3977"/>
        <v>0</v>
      </c>
    </row>
    <row r="6486" s="1" customFormat="1" spans="1:15">
      <c r="A6486" s="1" t="str">
        <f t="shared" si="3952"/>
        <v>202406</v>
      </c>
      <c r="B6486" s="1" t="str">
        <f t="shared" si="3953"/>
        <v>150525100</v>
      </c>
      <c r="C6486" s="1" t="str">
        <f>"1014629667"</f>
        <v>1014629667</v>
      </c>
      <c r="D6486" s="1" t="str">
        <f>"152326194702050030"</f>
        <v>152326194702050030</v>
      </c>
      <c r="E6486" s="1" t="s">
        <v>6321</v>
      </c>
      <c r="F6486" s="1" t="s">
        <v>25</v>
      </c>
      <c r="G6486" s="1" t="s">
        <v>17</v>
      </c>
      <c r="H6486" s="1" t="str">
        <f>"77"</f>
        <v>77</v>
      </c>
      <c r="I6486" s="1" t="str">
        <f t="shared" ref="I6486:I6489" si="3978">"160"</f>
        <v>160</v>
      </c>
      <c r="J6486" s="1" t="str">
        <f t="shared" ref="J6486:O6486" si="3979">"0"</f>
        <v>0</v>
      </c>
      <c r="K6486" s="1" t="str">
        <f t="shared" ref="K6486:K6492" si="3980">"103"</f>
        <v>103</v>
      </c>
      <c r="L6486" s="1" t="str">
        <f t="shared" ref="L6486:L6492" si="3981">"47"</f>
        <v>47</v>
      </c>
      <c r="M6486" s="1" t="str">
        <f t="shared" si="3979"/>
        <v>0</v>
      </c>
      <c r="N6486" s="1" t="str">
        <f t="shared" si="3979"/>
        <v>0</v>
      </c>
      <c r="O6486" s="1" t="str">
        <f t="shared" si="3979"/>
        <v>0</v>
      </c>
    </row>
    <row r="6487" s="1" customFormat="1" spans="1:15">
      <c r="A6487" s="1" t="str">
        <f t="shared" si="3952"/>
        <v>202406</v>
      </c>
      <c r="B6487" s="1" t="str">
        <f t="shared" si="3953"/>
        <v>150525100</v>
      </c>
      <c r="C6487" s="1" t="str">
        <f>"1014629719"</f>
        <v>1014629719</v>
      </c>
      <c r="D6487" s="1" t="str">
        <f>"152326192906223109"</f>
        <v>152326192906223109</v>
      </c>
      <c r="E6487" s="1" t="s">
        <v>6322</v>
      </c>
      <c r="F6487" s="1" t="s">
        <v>16</v>
      </c>
      <c r="G6487" s="1" t="s">
        <v>17</v>
      </c>
      <c r="H6487" s="1" t="str">
        <f>"95"</f>
        <v>95</v>
      </c>
      <c r="I6487" s="1" t="str">
        <f t="shared" ref="I6487:I6492" si="3982">"170"</f>
        <v>170</v>
      </c>
      <c r="J6487" s="1" t="str">
        <f t="shared" ref="J6487:O6487" si="3983">"0"</f>
        <v>0</v>
      </c>
      <c r="K6487" s="1" t="str">
        <f t="shared" si="3980"/>
        <v>103</v>
      </c>
      <c r="L6487" s="1" t="str">
        <f t="shared" si="3981"/>
        <v>47</v>
      </c>
      <c r="M6487" s="1" t="str">
        <f t="shared" si="3983"/>
        <v>0</v>
      </c>
      <c r="N6487" s="1" t="str">
        <f t="shared" si="3983"/>
        <v>0</v>
      </c>
      <c r="O6487" s="1" t="str">
        <f t="shared" si="3983"/>
        <v>0</v>
      </c>
    </row>
    <row r="6488" s="1" customFormat="1" spans="1:15">
      <c r="A6488" s="1" t="str">
        <f t="shared" si="3952"/>
        <v>202406</v>
      </c>
      <c r="B6488" s="1" t="str">
        <f t="shared" si="3953"/>
        <v>150525100</v>
      </c>
      <c r="C6488" s="1" t="str">
        <f>"1014613257"</f>
        <v>1014613257</v>
      </c>
      <c r="D6488" s="1" t="str">
        <f>"152326194407240421"</f>
        <v>152326194407240421</v>
      </c>
      <c r="E6488" s="1" t="s">
        <v>6323</v>
      </c>
      <c r="F6488" s="1" t="s">
        <v>16</v>
      </c>
      <c r="G6488" s="1" t="s">
        <v>17</v>
      </c>
      <c r="H6488" s="1" t="str">
        <f>"80"</f>
        <v>80</v>
      </c>
      <c r="I6488" s="1" t="str">
        <f t="shared" si="3978"/>
        <v>160</v>
      </c>
      <c r="J6488" s="1" t="str">
        <f t="shared" ref="J6488:O6488" si="3984">"0"</f>
        <v>0</v>
      </c>
      <c r="K6488" s="1" t="str">
        <f t="shared" si="3980"/>
        <v>103</v>
      </c>
      <c r="L6488" s="1" t="str">
        <f t="shared" si="3981"/>
        <v>47</v>
      </c>
      <c r="M6488" s="1" t="str">
        <f t="shared" si="3984"/>
        <v>0</v>
      </c>
      <c r="N6488" s="1" t="str">
        <f t="shared" si="3984"/>
        <v>0</v>
      </c>
      <c r="O6488" s="1" t="str">
        <f t="shared" si="3984"/>
        <v>0</v>
      </c>
    </row>
    <row r="6489" s="1" customFormat="1" spans="1:15">
      <c r="A6489" s="1" t="str">
        <f t="shared" si="3952"/>
        <v>202406</v>
      </c>
      <c r="B6489" s="1" t="str">
        <f t="shared" si="3953"/>
        <v>150525100</v>
      </c>
      <c r="C6489" s="1" t="str">
        <f>"1014613266"</f>
        <v>1014613266</v>
      </c>
      <c r="D6489" s="1" t="str">
        <f>"152326195111150421"</f>
        <v>152326195111150421</v>
      </c>
      <c r="E6489" s="1" t="s">
        <v>6324</v>
      </c>
      <c r="F6489" s="1" t="s">
        <v>16</v>
      </c>
      <c r="G6489" s="1" t="s">
        <v>17</v>
      </c>
      <c r="H6489" s="1" t="str">
        <f>"73"</f>
        <v>73</v>
      </c>
      <c r="I6489" s="1" t="str">
        <f t="shared" si="3978"/>
        <v>160</v>
      </c>
      <c r="J6489" s="1" t="str">
        <f t="shared" ref="J6489:O6489" si="3985">"0"</f>
        <v>0</v>
      </c>
      <c r="K6489" s="1" t="str">
        <f t="shared" si="3980"/>
        <v>103</v>
      </c>
      <c r="L6489" s="1" t="str">
        <f t="shared" si="3981"/>
        <v>47</v>
      </c>
      <c r="M6489" s="1" t="str">
        <f t="shared" si="3985"/>
        <v>0</v>
      </c>
      <c r="N6489" s="1" t="str">
        <f t="shared" si="3985"/>
        <v>0</v>
      </c>
      <c r="O6489" s="1" t="str">
        <f t="shared" si="3985"/>
        <v>0</v>
      </c>
    </row>
    <row r="6490" s="1" customFormat="1" spans="1:15">
      <c r="A6490" s="1" t="str">
        <f t="shared" si="3952"/>
        <v>202406</v>
      </c>
      <c r="B6490" s="1" t="str">
        <f t="shared" si="3953"/>
        <v>150525100</v>
      </c>
      <c r="C6490" s="1" t="str">
        <f>"1014613267"</f>
        <v>1014613267</v>
      </c>
      <c r="D6490" s="1" t="str">
        <f>"152326194210270424"</f>
        <v>152326194210270424</v>
      </c>
      <c r="E6490" s="1" t="s">
        <v>1641</v>
      </c>
      <c r="F6490" s="1" t="s">
        <v>16</v>
      </c>
      <c r="G6490" s="1" t="s">
        <v>17</v>
      </c>
      <c r="H6490" s="1" t="str">
        <f>"82"</f>
        <v>82</v>
      </c>
      <c r="I6490" s="1" t="str">
        <f t="shared" si="3982"/>
        <v>170</v>
      </c>
      <c r="J6490" s="1" t="str">
        <f t="shared" ref="J6490:O6490" si="3986">"0"</f>
        <v>0</v>
      </c>
      <c r="K6490" s="1" t="str">
        <f t="shared" si="3980"/>
        <v>103</v>
      </c>
      <c r="L6490" s="1" t="str">
        <f t="shared" si="3981"/>
        <v>47</v>
      </c>
      <c r="M6490" s="1" t="str">
        <f t="shared" si="3986"/>
        <v>0</v>
      </c>
      <c r="N6490" s="1" t="str">
        <f t="shared" si="3986"/>
        <v>0</v>
      </c>
      <c r="O6490" s="1" t="str">
        <f t="shared" si="3986"/>
        <v>0</v>
      </c>
    </row>
    <row r="6491" s="1" customFormat="1" spans="1:15">
      <c r="A6491" s="1" t="str">
        <f t="shared" si="3952"/>
        <v>202406</v>
      </c>
      <c r="B6491" s="1" t="str">
        <f t="shared" si="3953"/>
        <v>150525100</v>
      </c>
      <c r="C6491" s="1" t="str">
        <f>"1014613270"</f>
        <v>1014613270</v>
      </c>
      <c r="D6491" s="1" t="str">
        <f>"152326194311080427"</f>
        <v>152326194311080427</v>
      </c>
      <c r="E6491" s="1" t="s">
        <v>4070</v>
      </c>
      <c r="F6491" s="1" t="s">
        <v>16</v>
      </c>
      <c r="G6491" s="1" t="s">
        <v>17</v>
      </c>
      <c r="H6491" s="1" t="str">
        <f>"81"</f>
        <v>81</v>
      </c>
      <c r="I6491" s="1" t="str">
        <f t="shared" si="3982"/>
        <v>170</v>
      </c>
      <c r="J6491" s="1" t="str">
        <f t="shared" ref="J6491:O6491" si="3987">"0"</f>
        <v>0</v>
      </c>
      <c r="K6491" s="1" t="str">
        <f t="shared" si="3980"/>
        <v>103</v>
      </c>
      <c r="L6491" s="1" t="str">
        <f t="shared" si="3981"/>
        <v>47</v>
      </c>
      <c r="M6491" s="1" t="str">
        <f t="shared" si="3987"/>
        <v>0</v>
      </c>
      <c r="N6491" s="1" t="str">
        <f t="shared" si="3987"/>
        <v>0</v>
      </c>
      <c r="O6491" s="1" t="str">
        <f t="shared" si="3987"/>
        <v>0</v>
      </c>
    </row>
    <row r="6492" s="1" customFormat="1" spans="1:15">
      <c r="A6492" s="1" t="str">
        <f t="shared" si="3952"/>
        <v>202406</v>
      </c>
      <c r="B6492" s="1" t="str">
        <f t="shared" si="3953"/>
        <v>150525100</v>
      </c>
      <c r="C6492" s="1" t="str">
        <f>"1014613277"</f>
        <v>1014613277</v>
      </c>
      <c r="D6492" s="1" t="s">
        <v>6325</v>
      </c>
      <c r="E6492" s="1" t="s">
        <v>6326</v>
      </c>
      <c r="F6492" s="1" t="s">
        <v>16</v>
      </c>
      <c r="G6492" s="1" t="s">
        <v>17</v>
      </c>
      <c r="H6492" s="1" t="str">
        <f>"88"</f>
        <v>88</v>
      </c>
      <c r="I6492" s="1" t="str">
        <f t="shared" si="3982"/>
        <v>170</v>
      </c>
      <c r="J6492" s="1" t="str">
        <f t="shared" ref="J6492:O6492" si="3988">"0"</f>
        <v>0</v>
      </c>
      <c r="K6492" s="1" t="str">
        <f t="shared" si="3980"/>
        <v>103</v>
      </c>
      <c r="L6492" s="1" t="str">
        <f t="shared" si="3981"/>
        <v>47</v>
      </c>
      <c r="M6492" s="1" t="str">
        <f t="shared" si="3988"/>
        <v>0</v>
      </c>
      <c r="N6492" s="1" t="str">
        <f t="shared" si="3988"/>
        <v>0</v>
      </c>
      <c r="O6492" s="1" t="str">
        <f t="shared" si="3988"/>
        <v>0</v>
      </c>
    </row>
    <row r="6493" s="1" customFormat="1" spans="1:15">
      <c r="A6493" s="1" t="str">
        <f t="shared" si="3952"/>
        <v>202406</v>
      </c>
      <c r="B6493" s="1" t="str">
        <f t="shared" si="3953"/>
        <v>150525100</v>
      </c>
      <c r="C6493" s="1" t="str">
        <f>"1014622324"</f>
        <v>1014622324</v>
      </c>
      <c r="D6493" s="1" t="str">
        <f>"152326194709190685"</f>
        <v>152326194709190685</v>
      </c>
      <c r="E6493" s="1" t="s">
        <v>6327</v>
      </c>
      <c r="F6493" s="1" t="s">
        <v>16</v>
      </c>
      <c r="G6493" s="1" t="s">
        <v>17</v>
      </c>
      <c r="H6493" s="1" t="str">
        <f>"77"</f>
        <v>77</v>
      </c>
      <c r="I6493" s="1" t="str">
        <f>"1600"</f>
        <v>1600</v>
      </c>
      <c r="J6493" s="1" t="str">
        <f>"1440"</f>
        <v>1440</v>
      </c>
      <c r="K6493" s="1" t="str">
        <f>"1030"</f>
        <v>1030</v>
      </c>
      <c r="L6493" s="1" t="str">
        <f>"470"</f>
        <v>470</v>
      </c>
      <c r="M6493" s="1" t="str">
        <f t="shared" ref="M6493:O6493" si="3989">"0"</f>
        <v>0</v>
      </c>
      <c r="N6493" s="1" t="str">
        <f t="shared" si="3989"/>
        <v>0</v>
      </c>
      <c r="O6493" s="1" t="str">
        <f t="shared" si="3989"/>
        <v>0</v>
      </c>
    </row>
    <row r="6494" s="1" customFormat="1" spans="1:15">
      <c r="A6494" s="1" t="str">
        <f t="shared" si="3952"/>
        <v>202406</v>
      </c>
      <c r="B6494" s="1" t="str">
        <f t="shared" si="3953"/>
        <v>150525100</v>
      </c>
      <c r="C6494" s="1" t="str">
        <f>"1014622697"</f>
        <v>1014622697</v>
      </c>
      <c r="D6494" s="1" t="str">
        <f>"152326195104110667"</f>
        <v>152326195104110667</v>
      </c>
      <c r="E6494" s="1" t="s">
        <v>6328</v>
      </c>
      <c r="F6494" s="1" t="s">
        <v>16</v>
      </c>
      <c r="G6494" s="1" t="s">
        <v>17</v>
      </c>
      <c r="H6494" s="1" t="str">
        <f t="shared" ref="H6494:H6498" si="3990">"73"</f>
        <v>73</v>
      </c>
      <c r="I6494" s="1" t="str">
        <f t="shared" ref="I6494:I6498" si="3991">"160"</f>
        <v>160</v>
      </c>
      <c r="J6494" s="1" t="str">
        <f t="shared" ref="J6494:O6494" si="3992">"0"</f>
        <v>0</v>
      </c>
      <c r="K6494" s="1" t="str">
        <f t="shared" ref="K6494:K6510" si="3993">"103"</f>
        <v>103</v>
      </c>
      <c r="L6494" s="1" t="str">
        <f t="shared" ref="L6494:L6510" si="3994">"47"</f>
        <v>47</v>
      </c>
      <c r="M6494" s="1" t="str">
        <f t="shared" si="3992"/>
        <v>0</v>
      </c>
      <c r="N6494" s="1" t="str">
        <f t="shared" si="3992"/>
        <v>0</v>
      </c>
      <c r="O6494" s="1" t="str">
        <f t="shared" si="3992"/>
        <v>0</v>
      </c>
    </row>
    <row r="6495" s="1" customFormat="1" spans="1:15">
      <c r="A6495" s="1" t="str">
        <f t="shared" si="3952"/>
        <v>202406</v>
      </c>
      <c r="B6495" s="1" t="str">
        <f t="shared" si="3953"/>
        <v>150525100</v>
      </c>
      <c r="C6495" s="1" t="str">
        <f>"1014624074"</f>
        <v>1014624074</v>
      </c>
      <c r="D6495" s="1" t="str">
        <f>"152326195101083085"</f>
        <v>152326195101083085</v>
      </c>
      <c r="E6495" s="1" t="s">
        <v>2854</v>
      </c>
      <c r="F6495" s="1" t="s">
        <v>16</v>
      </c>
      <c r="G6495" s="1" t="s">
        <v>17</v>
      </c>
      <c r="H6495" s="1" t="str">
        <f t="shared" si="3990"/>
        <v>73</v>
      </c>
      <c r="I6495" s="1" t="str">
        <f t="shared" si="3991"/>
        <v>160</v>
      </c>
      <c r="J6495" s="1" t="str">
        <f t="shared" ref="J6495:O6495" si="3995">"0"</f>
        <v>0</v>
      </c>
      <c r="K6495" s="1" t="str">
        <f t="shared" si="3993"/>
        <v>103</v>
      </c>
      <c r="L6495" s="1" t="str">
        <f t="shared" si="3994"/>
        <v>47</v>
      </c>
      <c r="M6495" s="1" t="str">
        <f t="shared" si="3995"/>
        <v>0</v>
      </c>
      <c r="N6495" s="1" t="str">
        <f t="shared" si="3995"/>
        <v>0</v>
      </c>
      <c r="O6495" s="1" t="str">
        <f t="shared" si="3995"/>
        <v>0</v>
      </c>
    </row>
    <row r="6496" s="1" customFormat="1" spans="1:15">
      <c r="A6496" s="1" t="str">
        <f t="shared" si="3952"/>
        <v>202406</v>
      </c>
      <c r="B6496" s="1" t="str">
        <f t="shared" si="3953"/>
        <v>150525100</v>
      </c>
      <c r="C6496" s="1" t="str">
        <f>"1014619722"</f>
        <v>1014619722</v>
      </c>
      <c r="D6496" s="1" t="str">
        <f>"152326194304010666"</f>
        <v>152326194304010666</v>
      </c>
      <c r="E6496" s="1" t="s">
        <v>6329</v>
      </c>
      <c r="F6496" s="1" t="s">
        <v>16</v>
      </c>
      <c r="G6496" s="1" t="s">
        <v>19</v>
      </c>
      <c r="H6496" s="1" t="str">
        <f>"81"</f>
        <v>81</v>
      </c>
      <c r="I6496" s="1" t="str">
        <f t="shared" ref="I6496:I6499" si="3996">"170"</f>
        <v>170</v>
      </c>
      <c r="J6496" s="1" t="str">
        <f t="shared" ref="J6496:O6496" si="3997">"0"</f>
        <v>0</v>
      </c>
      <c r="K6496" s="1" t="str">
        <f t="shared" si="3993"/>
        <v>103</v>
      </c>
      <c r="L6496" s="1" t="str">
        <f t="shared" si="3994"/>
        <v>47</v>
      </c>
      <c r="M6496" s="1" t="str">
        <f t="shared" si="3997"/>
        <v>0</v>
      </c>
      <c r="N6496" s="1" t="str">
        <f t="shared" si="3997"/>
        <v>0</v>
      </c>
      <c r="O6496" s="1" t="str">
        <f t="shared" si="3997"/>
        <v>0</v>
      </c>
    </row>
    <row r="6497" s="1" customFormat="1" spans="1:15">
      <c r="A6497" s="1" t="str">
        <f t="shared" si="3952"/>
        <v>202406</v>
      </c>
      <c r="B6497" s="1" t="str">
        <f t="shared" si="3953"/>
        <v>150525100</v>
      </c>
      <c r="C6497" s="1" t="str">
        <f>"1014619723"</f>
        <v>1014619723</v>
      </c>
      <c r="D6497" s="1" t="str">
        <f>"152326193809010667"</f>
        <v>152326193809010667</v>
      </c>
      <c r="E6497" s="1" t="s">
        <v>949</v>
      </c>
      <c r="F6497" s="1" t="s">
        <v>16</v>
      </c>
      <c r="G6497" s="1" t="s">
        <v>19</v>
      </c>
      <c r="H6497" s="1" t="str">
        <f>"86"</f>
        <v>86</v>
      </c>
      <c r="I6497" s="1" t="str">
        <f t="shared" si="3996"/>
        <v>170</v>
      </c>
      <c r="J6497" s="1" t="str">
        <f t="shared" ref="J6497:O6497" si="3998">"0"</f>
        <v>0</v>
      </c>
      <c r="K6497" s="1" t="str">
        <f t="shared" si="3993"/>
        <v>103</v>
      </c>
      <c r="L6497" s="1" t="str">
        <f t="shared" si="3994"/>
        <v>47</v>
      </c>
      <c r="M6497" s="1" t="str">
        <f t="shared" si="3998"/>
        <v>0</v>
      </c>
      <c r="N6497" s="1" t="str">
        <f t="shared" si="3998"/>
        <v>0</v>
      </c>
      <c r="O6497" s="1" t="str">
        <f t="shared" si="3998"/>
        <v>0</v>
      </c>
    </row>
    <row r="6498" s="1" customFormat="1" spans="1:15">
      <c r="A6498" s="1" t="str">
        <f t="shared" si="3952"/>
        <v>202406</v>
      </c>
      <c r="B6498" s="1" t="str">
        <f t="shared" si="3953"/>
        <v>150525100</v>
      </c>
      <c r="C6498" s="1" t="str">
        <f>"1014623092"</f>
        <v>1014623092</v>
      </c>
      <c r="D6498" s="1" t="str">
        <f>"152326195111130439"</f>
        <v>152326195111130439</v>
      </c>
      <c r="E6498" s="1" t="s">
        <v>6330</v>
      </c>
      <c r="F6498" s="1" t="s">
        <v>25</v>
      </c>
      <c r="G6498" s="1" t="s">
        <v>17</v>
      </c>
      <c r="H6498" s="1" t="str">
        <f t="shared" si="3990"/>
        <v>73</v>
      </c>
      <c r="I6498" s="1" t="str">
        <f t="shared" si="3991"/>
        <v>160</v>
      </c>
      <c r="J6498" s="1" t="str">
        <f t="shared" ref="J6498:O6498" si="3999">"0"</f>
        <v>0</v>
      </c>
      <c r="K6498" s="1" t="str">
        <f t="shared" si="3993"/>
        <v>103</v>
      </c>
      <c r="L6498" s="1" t="str">
        <f t="shared" si="3994"/>
        <v>47</v>
      </c>
      <c r="M6498" s="1" t="str">
        <f t="shared" si="3999"/>
        <v>0</v>
      </c>
      <c r="N6498" s="1" t="str">
        <f t="shared" si="3999"/>
        <v>0</v>
      </c>
      <c r="O6498" s="1" t="str">
        <f t="shared" si="3999"/>
        <v>0</v>
      </c>
    </row>
    <row r="6499" s="1" customFormat="1" spans="1:15">
      <c r="A6499" s="1" t="str">
        <f t="shared" si="3952"/>
        <v>202406</v>
      </c>
      <c r="B6499" s="1" t="str">
        <f t="shared" si="3953"/>
        <v>150525100</v>
      </c>
      <c r="C6499" s="1" t="str">
        <f>"1014623587"</f>
        <v>1014623587</v>
      </c>
      <c r="D6499" s="1" t="str">
        <f>"152326193907200018"</f>
        <v>152326193907200018</v>
      </c>
      <c r="E6499" s="1" t="s">
        <v>6331</v>
      </c>
      <c r="F6499" s="1" t="s">
        <v>25</v>
      </c>
      <c r="G6499" s="1" t="s">
        <v>17</v>
      </c>
      <c r="H6499" s="1" t="str">
        <f>"85"</f>
        <v>85</v>
      </c>
      <c r="I6499" s="1" t="str">
        <f t="shared" si="3996"/>
        <v>170</v>
      </c>
      <c r="J6499" s="1" t="str">
        <f t="shared" ref="J6499:O6499" si="4000">"0"</f>
        <v>0</v>
      </c>
      <c r="K6499" s="1" t="str">
        <f t="shared" si="3993"/>
        <v>103</v>
      </c>
      <c r="L6499" s="1" t="str">
        <f t="shared" si="3994"/>
        <v>47</v>
      </c>
      <c r="M6499" s="1" t="str">
        <f t="shared" si="4000"/>
        <v>0</v>
      </c>
      <c r="N6499" s="1" t="str">
        <f t="shared" si="4000"/>
        <v>0</v>
      </c>
      <c r="O6499" s="1" t="str">
        <f t="shared" si="4000"/>
        <v>0</v>
      </c>
    </row>
    <row r="6500" s="1" customFormat="1" spans="1:15">
      <c r="A6500" s="1" t="str">
        <f t="shared" si="3952"/>
        <v>202406</v>
      </c>
      <c r="B6500" s="1" t="str">
        <f t="shared" si="3953"/>
        <v>150525100</v>
      </c>
      <c r="C6500" s="1" t="str">
        <f>"1014623596"</f>
        <v>1014623596</v>
      </c>
      <c r="D6500" s="1" t="str">
        <f>"152326194709240435"</f>
        <v>152326194709240435</v>
      </c>
      <c r="E6500" s="1" t="s">
        <v>6332</v>
      </c>
      <c r="F6500" s="1" t="s">
        <v>25</v>
      </c>
      <c r="G6500" s="1" t="s">
        <v>17</v>
      </c>
      <c r="H6500" s="1" t="str">
        <f>"77"</f>
        <v>77</v>
      </c>
      <c r="I6500" s="1" t="str">
        <f t="shared" ref="I6500:I6509" si="4001">"160"</f>
        <v>160</v>
      </c>
      <c r="J6500" s="1" t="str">
        <f t="shared" ref="J6500:O6500" si="4002">"0"</f>
        <v>0</v>
      </c>
      <c r="K6500" s="1" t="str">
        <f t="shared" si="3993"/>
        <v>103</v>
      </c>
      <c r="L6500" s="1" t="str">
        <f t="shared" si="3994"/>
        <v>47</v>
      </c>
      <c r="M6500" s="1" t="str">
        <f t="shared" si="4002"/>
        <v>0</v>
      </c>
      <c r="N6500" s="1" t="str">
        <f t="shared" si="4002"/>
        <v>0</v>
      </c>
      <c r="O6500" s="1" t="str">
        <f t="shared" si="4002"/>
        <v>0</v>
      </c>
    </row>
    <row r="6501" s="1" customFormat="1" spans="1:15">
      <c r="A6501" s="1" t="str">
        <f t="shared" si="3952"/>
        <v>202406</v>
      </c>
      <c r="B6501" s="1" t="str">
        <f t="shared" si="3953"/>
        <v>150525100</v>
      </c>
      <c r="C6501" s="1" t="str">
        <f>"1014623597"</f>
        <v>1014623597</v>
      </c>
      <c r="D6501" s="1" t="str">
        <f>"152326195109140435"</f>
        <v>152326195109140435</v>
      </c>
      <c r="E6501" s="1" t="s">
        <v>6333</v>
      </c>
      <c r="F6501" s="1" t="s">
        <v>25</v>
      </c>
      <c r="G6501" s="1" t="s">
        <v>17</v>
      </c>
      <c r="H6501" s="1" t="str">
        <f>"73"</f>
        <v>73</v>
      </c>
      <c r="I6501" s="1" t="str">
        <f t="shared" si="4001"/>
        <v>160</v>
      </c>
      <c r="J6501" s="1" t="str">
        <f t="shared" ref="J6501:O6501" si="4003">"0"</f>
        <v>0</v>
      </c>
      <c r="K6501" s="1" t="str">
        <f t="shared" si="3993"/>
        <v>103</v>
      </c>
      <c r="L6501" s="1" t="str">
        <f t="shared" si="3994"/>
        <v>47</v>
      </c>
      <c r="M6501" s="1" t="str">
        <f t="shared" si="4003"/>
        <v>0</v>
      </c>
      <c r="N6501" s="1" t="str">
        <f t="shared" si="4003"/>
        <v>0</v>
      </c>
      <c r="O6501" s="1" t="str">
        <f t="shared" si="4003"/>
        <v>0</v>
      </c>
    </row>
    <row r="6502" s="1" customFormat="1" spans="1:15">
      <c r="A6502" s="1" t="str">
        <f t="shared" si="3952"/>
        <v>202406</v>
      </c>
      <c r="B6502" s="1" t="str">
        <f t="shared" si="3953"/>
        <v>150525100</v>
      </c>
      <c r="C6502" s="1" t="str">
        <f>"1014623598"</f>
        <v>1014623598</v>
      </c>
      <c r="D6502" s="1" t="str">
        <f>"152326194404030410"</f>
        <v>152326194404030410</v>
      </c>
      <c r="E6502" s="1" t="s">
        <v>6334</v>
      </c>
      <c r="F6502" s="1" t="s">
        <v>25</v>
      </c>
      <c r="G6502" s="1" t="s">
        <v>17</v>
      </c>
      <c r="H6502" s="1" t="str">
        <f>"80"</f>
        <v>80</v>
      </c>
      <c r="I6502" s="1" t="str">
        <f>"170"</f>
        <v>170</v>
      </c>
      <c r="J6502" s="1" t="str">
        <f t="shared" ref="J6502:O6502" si="4004">"0"</f>
        <v>0</v>
      </c>
      <c r="K6502" s="1" t="str">
        <f t="shared" si="3993"/>
        <v>103</v>
      </c>
      <c r="L6502" s="1" t="str">
        <f t="shared" si="3994"/>
        <v>47</v>
      </c>
      <c r="M6502" s="1" t="str">
        <f t="shared" si="4004"/>
        <v>0</v>
      </c>
      <c r="N6502" s="1" t="str">
        <f t="shared" si="4004"/>
        <v>0</v>
      </c>
      <c r="O6502" s="1" t="str">
        <f t="shared" si="4004"/>
        <v>0</v>
      </c>
    </row>
    <row r="6503" s="1" customFormat="1" spans="1:15">
      <c r="A6503" s="1" t="str">
        <f t="shared" si="3952"/>
        <v>202406</v>
      </c>
      <c r="B6503" s="1" t="str">
        <f t="shared" si="3953"/>
        <v>150525100</v>
      </c>
      <c r="C6503" s="1" t="str">
        <f>"1014630020"</f>
        <v>1014630020</v>
      </c>
      <c r="D6503" s="1" t="str">
        <f>"152326194711120029"</f>
        <v>152326194711120029</v>
      </c>
      <c r="E6503" s="1" t="s">
        <v>1561</v>
      </c>
      <c r="F6503" s="1" t="s">
        <v>16</v>
      </c>
      <c r="G6503" s="1" t="s">
        <v>17</v>
      </c>
      <c r="H6503" s="1" t="str">
        <f>"77"</f>
        <v>77</v>
      </c>
      <c r="I6503" s="1" t="str">
        <f t="shared" si="4001"/>
        <v>160</v>
      </c>
      <c r="J6503" s="1" t="str">
        <f t="shared" ref="J6503:O6503" si="4005">"0"</f>
        <v>0</v>
      </c>
      <c r="K6503" s="1" t="str">
        <f t="shared" si="3993"/>
        <v>103</v>
      </c>
      <c r="L6503" s="1" t="str">
        <f t="shared" si="3994"/>
        <v>47</v>
      </c>
      <c r="M6503" s="1" t="str">
        <f t="shared" si="4005"/>
        <v>0</v>
      </c>
      <c r="N6503" s="1" t="str">
        <f t="shared" si="4005"/>
        <v>0</v>
      </c>
      <c r="O6503" s="1" t="str">
        <f t="shared" si="4005"/>
        <v>0</v>
      </c>
    </row>
    <row r="6504" s="1" customFormat="1" spans="1:15">
      <c r="A6504" s="1" t="str">
        <f t="shared" si="3952"/>
        <v>202406</v>
      </c>
      <c r="B6504" s="1" t="str">
        <f t="shared" si="3953"/>
        <v>150525100</v>
      </c>
      <c r="C6504" s="1" t="str">
        <f>"1014630026"</f>
        <v>1014630026</v>
      </c>
      <c r="D6504" s="1" t="str">
        <f>"152326194803050662"</f>
        <v>152326194803050662</v>
      </c>
      <c r="E6504" s="1" t="s">
        <v>6335</v>
      </c>
      <c r="F6504" s="1" t="s">
        <v>16</v>
      </c>
      <c r="G6504" s="1" t="s">
        <v>17</v>
      </c>
      <c r="H6504" s="1" t="str">
        <f>"76"</f>
        <v>76</v>
      </c>
      <c r="I6504" s="1" t="str">
        <f t="shared" si="4001"/>
        <v>160</v>
      </c>
      <c r="J6504" s="1" t="str">
        <f t="shared" ref="J6504:O6504" si="4006">"0"</f>
        <v>0</v>
      </c>
      <c r="K6504" s="1" t="str">
        <f t="shared" si="3993"/>
        <v>103</v>
      </c>
      <c r="L6504" s="1" t="str">
        <f t="shared" si="3994"/>
        <v>47</v>
      </c>
      <c r="M6504" s="1" t="str">
        <f t="shared" si="4006"/>
        <v>0</v>
      </c>
      <c r="N6504" s="1" t="str">
        <f t="shared" si="4006"/>
        <v>0</v>
      </c>
      <c r="O6504" s="1" t="str">
        <f t="shared" si="4006"/>
        <v>0</v>
      </c>
    </row>
    <row r="6505" s="1" customFormat="1" spans="1:15">
      <c r="A6505" s="1" t="str">
        <f t="shared" si="3952"/>
        <v>202406</v>
      </c>
      <c r="B6505" s="1" t="str">
        <f t="shared" si="3953"/>
        <v>150525100</v>
      </c>
      <c r="C6505" s="1" t="str">
        <f>"1014630028"</f>
        <v>1014630028</v>
      </c>
      <c r="D6505" s="1" t="str">
        <f>"152326195103210674"</f>
        <v>152326195103210674</v>
      </c>
      <c r="E6505" s="1" t="s">
        <v>6336</v>
      </c>
      <c r="F6505" s="1" t="s">
        <v>25</v>
      </c>
      <c r="G6505" s="1" t="s">
        <v>17</v>
      </c>
      <c r="H6505" s="1" t="str">
        <f>"73"</f>
        <v>73</v>
      </c>
      <c r="I6505" s="1" t="str">
        <f t="shared" si="4001"/>
        <v>160</v>
      </c>
      <c r="J6505" s="1" t="str">
        <f t="shared" ref="J6505:O6505" si="4007">"0"</f>
        <v>0</v>
      </c>
      <c r="K6505" s="1" t="str">
        <f t="shared" si="3993"/>
        <v>103</v>
      </c>
      <c r="L6505" s="1" t="str">
        <f t="shared" si="3994"/>
        <v>47</v>
      </c>
      <c r="M6505" s="1" t="str">
        <f t="shared" si="4007"/>
        <v>0</v>
      </c>
      <c r="N6505" s="1" t="str">
        <f t="shared" si="4007"/>
        <v>0</v>
      </c>
      <c r="O6505" s="1" t="str">
        <f t="shared" si="4007"/>
        <v>0</v>
      </c>
    </row>
    <row r="6506" s="1" customFormat="1" spans="1:15">
      <c r="A6506" s="1" t="str">
        <f t="shared" si="3952"/>
        <v>202406</v>
      </c>
      <c r="B6506" s="1" t="str">
        <f t="shared" si="3953"/>
        <v>150525100</v>
      </c>
      <c r="C6506" s="1" t="str">
        <f>"1014630036"</f>
        <v>1014630036</v>
      </c>
      <c r="D6506" s="1" t="str">
        <f>"152326195012190663"</f>
        <v>152326195012190663</v>
      </c>
      <c r="E6506" s="1" t="s">
        <v>6337</v>
      </c>
      <c r="F6506" s="1" t="s">
        <v>16</v>
      </c>
      <c r="G6506" s="1" t="s">
        <v>19</v>
      </c>
      <c r="H6506" s="1" t="str">
        <f>"74"</f>
        <v>74</v>
      </c>
      <c r="I6506" s="1" t="str">
        <f t="shared" si="4001"/>
        <v>160</v>
      </c>
      <c r="J6506" s="1" t="str">
        <f t="shared" ref="J6506:O6506" si="4008">"0"</f>
        <v>0</v>
      </c>
      <c r="K6506" s="1" t="str">
        <f t="shared" si="3993"/>
        <v>103</v>
      </c>
      <c r="L6506" s="1" t="str">
        <f t="shared" si="3994"/>
        <v>47</v>
      </c>
      <c r="M6506" s="1" t="str">
        <f t="shared" si="4008"/>
        <v>0</v>
      </c>
      <c r="N6506" s="1" t="str">
        <f t="shared" si="4008"/>
        <v>0</v>
      </c>
      <c r="O6506" s="1" t="str">
        <f t="shared" si="4008"/>
        <v>0</v>
      </c>
    </row>
    <row r="6507" s="1" customFormat="1" spans="1:15">
      <c r="A6507" s="1" t="str">
        <f t="shared" si="3952"/>
        <v>202406</v>
      </c>
      <c r="B6507" s="1" t="str">
        <f t="shared" si="3953"/>
        <v>150525100</v>
      </c>
      <c r="C6507" s="1" t="str">
        <f>"1014630041"</f>
        <v>1014630041</v>
      </c>
      <c r="D6507" s="1" t="s">
        <v>6338</v>
      </c>
      <c r="E6507" s="1" t="s">
        <v>6339</v>
      </c>
      <c r="F6507" s="1" t="s">
        <v>16</v>
      </c>
      <c r="G6507" s="1" t="s">
        <v>17</v>
      </c>
      <c r="H6507" s="1" t="str">
        <f>"73"</f>
        <v>73</v>
      </c>
      <c r="I6507" s="1" t="str">
        <f t="shared" si="4001"/>
        <v>160</v>
      </c>
      <c r="J6507" s="1" t="str">
        <f t="shared" ref="J6507:O6507" si="4009">"0"</f>
        <v>0</v>
      </c>
      <c r="K6507" s="1" t="str">
        <f t="shared" si="3993"/>
        <v>103</v>
      </c>
      <c r="L6507" s="1" t="str">
        <f t="shared" si="3994"/>
        <v>47</v>
      </c>
      <c r="M6507" s="1" t="str">
        <f t="shared" si="4009"/>
        <v>0</v>
      </c>
      <c r="N6507" s="1" t="str">
        <f t="shared" si="4009"/>
        <v>0</v>
      </c>
      <c r="O6507" s="1" t="str">
        <f t="shared" si="4009"/>
        <v>0</v>
      </c>
    </row>
    <row r="6508" s="1" customFormat="1" spans="1:15">
      <c r="A6508" s="1" t="str">
        <f t="shared" si="3952"/>
        <v>202406</v>
      </c>
      <c r="B6508" s="1" t="str">
        <f t="shared" si="3953"/>
        <v>150525100</v>
      </c>
      <c r="C6508" s="1" t="str">
        <f>"1014630043"</f>
        <v>1014630043</v>
      </c>
      <c r="D6508" s="1" t="str">
        <f>"152326194909183076"</f>
        <v>152326194909183076</v>
      </c>
      <c r="E6508" s="1" t="s">
        <v>6340</v>
      </c>
      <c r="F6508" s="1" t="s">
        <v>25</v>
      </c>
      <c r="G6508" s="1" t="s">
        <v>17</v>
      </c>
      <c r="H6508" s="1" t="str">
        <f>"75"</f>
        <v>75</v>
      </c>
      <c r="I6508" s="1" t="str">
        <f t="shared" si="4001"/>
        <v>160</v>
      </c>
      <c r="J6508" s="1" t="str">
        <f t="shared" ref="J6508:O6508" si="4010">"0"</f>
        <v>0</v>
      </c>
      <c r="K6508" s="1" t="str">
        <f t="shared" si="3993"/>
        <v>103</v>
      </c>
      <c r="L6508" s="1" t="str">
        <f t="shared" si="3994"/>
        <v>47</v>
      </c>
      <c r="M6508" s="1" t="str">
        <f t="shared" si="4010"/>
        <v>0</v>
      </c>
      <c r="N6508" s="1" t="str">
        <f t="shared" si="4010"/>
        <v>0</v>
      </c>
      <c r="O6508" s="1" t="str">
        <f t="shared" si="4010"/>
        <v>0</v>
      </c>
    </row>
    <row r="6509" s="1" customFormat="1" spans="1:15">
      <c r="A6509" s="1" t="str">
        <f t="shared" si="3952"/>
        <v>202406</v>
      </c>
      <c r="B6509" s="1" t="str">
        <f t="shared" si="3953"/>
        <v>150525100</v>
      </c>
      <c r="C6509" s="1" t="str">
        <f>"1014630060"</f>
        <v>1014630060</v>
      </c>
      <c r="D6509" s="1" t="str">
        <f>"152326194808143083"</f>
        <v>152326194808143083</v>
      </c>
      <c r="E6509" s="1" t="s">
        <v>5318</v>
      </c>
      <c r="F6509" s="1" t="s">
        <v>16</v>
      </c>
      <c r="G6509" s="1" t="s">
        <v>17</v>
      </c>
      <c r="H6509" s="1" t="str">
        <f>"76"</f>
        <v>76</v>
      </c>
      <c r="I6509" s="1" t="str">
        <f t="shared" si="4001"/>
        <v>160</v>
      </c>
      <c r="J6509" s="1" t="str">
        <f t="shared" ref="J6509:O6509" si="4011">"0"</f>
        <v>0</v>
      </c>
      <c r="K6509" s="1" t="str">
        <f t="shared" si="3993"/>
        <v>103</v>
      </c>
      <c r="L6509" s="1" t="str">
        <f t="shared" si="3994"/>
        <v>47</v>
      </c>
      <c r="M6509" s="1" t="str">
        <f t="shared" si="4011"/>
        <v>0</v>
      </c>
      <c r="N6509" s="1" t="str">
        <f t="shared" si="4011"/>
        <v>0</v>
      </c>
      <c r="O6509" s="1" t="str">
        <f t="shared" si="4011"/>
        <v>0</v>
      </c>
    </row>
    <row r="6510" s="1" customFormat="1" spans="1:15">
      <c r="A6510" s="1" t="str">
        <f t="shared" si="3952"/>
        <v>202406</v>
      </c>
      <c r="B6510" s="1" t="str">
        <f t="shared" si="3953"/>
        <v>150525100</v>
      </c>
      <c r="C6510" s="1" t="str">
        <f>"1014612911"</f>
        <v>1014612911</v>
      </c>
      <c r="D6510" s="1" t="str">
        <f>"152326194404290925"</f>
        <v>152326194404290925</v>
      </c>
      <c r="E6510" s="1" t="s">
        <v>6341</v>
      </c>
      <c r="F6510" s="1" t="s">
        <v>16</v>
      </c>
      <c r="G6510" s="1" t="s">
        <v>19</v>
      </c>
      <c r="H6510" s="1" t="str">
        <f>"80"</f>
        <v>80</v>
      </c>
      <c r="I6510" s="1" t="str">
        <f>"170"</f>
        <v>170</v>
      </c>
      <c r="J6510" s="1" t="str">
        <f t="shared" ref="J6510:O6510" si="4012">"0"</f>
        <v>0</v>
      </c>
      <c r="K6510" s="1" t="str">
        <f t="shared" si="3993"/>
        <v>103</v>
      </c>
      <c r="L6510" s="1" t="str">
        <f t="shared" si="3994"/>
        <v>47</v>
      </c>
      <c r="M6510" s="1" t="str">
        <f t="shared" si="4012"/>
        <v>0</v>
      </c>
      <c r="N6510" s="1" t="str">
        <f t="shared" si="4012"/>
        <v>0</v>
      </c>
      <c r="O6510" s="1" t="str">
        <f t="shared" si="4012"/>
        <v>0</v>
      </c>
    </row>
    <row r="6511" s="1" customFormat="1" spans="1:15">
      <c r="A6511" s="1" t="str">
        <f t="shared" si="3952"/>
        <v>202406</v>
      </c>
      <c r="B6511" s="1" t="str">
        <f t="shared" si="3953"/>
        <v>150525100</v>
      </c>
      <c r="C6511" s="1" t="str">
        <f>"1014612917"</f>
        <v>1014612917</v>
      </c>
      <c r="D6511" s="1" t="str">
        <f>"152326195105130926"</f>
        <v>152326195105130926</v>
      </c>
      <c r="E6511" s="1" t="s">
        <v>6342</v>
      </c>
      <c r="F6511" s="1" t="s">
        <v>16</v>
      </c>
      <c r="G6511" s="1" t="s">
        <v>19</v>
      </c>
      <c r="H6511" s="1" t="str">
        <f>"73"</f>
        <v>73</v>
      </c>
      <c r="I6511" s="1" t="str">
        <f>"640"</f>
        <v>640</v>
      </c>
      <c r="J6511" s="1" t="str">
        <f>"480"</f>
        <v>480</v>
      </c>
      <c r="K6511" s="1" t="str">
        <f>"412"</f>
        <v>412</v>
      </c>
      <c r="L6511" s="1" t="str">
        <f>"188"</f>
        <v>188</v>
      </c>
      <c r="M6511" s="1" t="str">
        <f t="shared" ref="M6511:O6511" si="4013">"0"</f>
        <v>0</v>
      </c>
      <c r="N6511" s="1" t="str">
        <f t="shared" si="4013"/>
        <v>0</v>
      </c>
      <c r="O6511" s="1" t="str">
        <f t="shared" si="4013"/>
        <v>0</v>
      </c>
    </row>
    <row r="6512" s="1" customFormat="1" spans="1:15">
      <c r="A6512" s="1" t="str">
        <f t="shared" si="3952"/>
        <v>202406</v>
      </c>
      <c r="B6512" s="1" t="str">
        <f t="shared" si="3953"/>
        <v>150525100</v>
      </c>
      <c r="C6512" s="1" t="str">
        <f>"1014612918"</f>
        <v>1014612918</v>
      </c>
      <c r="D6512" s="1" t="str">
        <f>"152326195010290927"</f>
        <v>152326195010290927</v>
      </c>
      <c r="E6512" s="1" t="s">
        <v>6343</v>
      </c>
      <c r="F6512" s="1" t="s">
        <v>16</v>
      </c>
      <c r="G6512" s="1" t="s">
        <v>19</v>
      </c>
      <c r="H6512" s="1" t="str">
        <f>"74"</f>
        <v>74</v>
      </c>
      <c r="I6512" s="1" t="str">
        <f t="shared" ref="I6512:I6517" si="4014">"160"</f>
        <v>160</v>
      </c>
      <c r="J6512" s="1" t="str">
        <f t="shared" ref="J6512:O6512" si="4015">"0"</f>
        <v>0</v>
      </c>
      <c r="K6512" s="1" t="str">
        <f t="shared" ref="K6512:K6521" si="4016">"103"</f>
        <v>103</v>
      </c>
      <c r="L6512" s="1" t="str">
        <f t="shared" ref="L6512:L6521" si="4017">"47"</f>
        <v>47</v>
      </c>
      <c r="M6512" s="1" t="str">
        <f t="shared" si="4015"/>
        <v>0</v>
      </c>
      <c r="N6512" s="1" t="str">
        <f t="shared" si="4015"/>
        <v>0</v>
      </c>
      <c r="O6512" s="1" t="str">
        <f t="shared" si="4015"/>
        <v>0</v>
      </c>
    </row>
    <row r="6513" s="1" customFormat="1" spans="1:15">
      <c r="A6513" s="1" t="str">
        <f t="shared" si="3952"/>
        <v>202406</v>
      </c>
      <c r="B6513" s="1" t="str">
        <f t="shared" si="3953"/>
        <v>150525100</v>
      </c>
      <c r="C6513" s="1" t="str">
        <f>"1014612935"</f>
        <v>1014612935</v>
      </c>
      <c r="D6513" s="1" t="str">
        <f>"152326193803053324"</f>
        <v>152326193803053324</v>
      </c>
      <c r="E6513" s="1" t="s">
        <v>1406</v>
      </c>
      <c r="F6513" s="1" t="s">
        <v>16</v>
      </c>
      <c r="G6513" s="1" t="s">
        <v>17</v>
      </c>
      <c r="H6513" s="1" t="str">
        <f>"86"</f>
        <v>86</v>
      </c>
      <c r="I6513" s="1" t="str">
        <f>"170"</f>
        <v>170</v>
      </c>
      <c r="J6513" s="1" t="str">
        <f t="shared" ref="J6513:O6513" si="4018">"0"</f>
        <v>0</v>
      </c>
      <c r="K6513" s="1" t="str">
        <f t="shared" si="4016"/>
        <v>103</v>
      </c>
      <c r="L6513" s="1" t="str">
        <f t="shared" si="4017"/>
        <v>47</v>
      </c>
      <c r="M6513" s="1" t="str">
        <f t="shared" si="4018"/>
        <v>0</v>
      </c>
      <c r="N6513" s="1" t="str">
        <f t="shared" si="4018"/>
        <v>0</v>
      </c>
      <c r="O6513" s="1" t="str">
        <f t="shared" si="4018"/>
        <v>0</v>
      </c>
    </row>
    <row r="6514" s="1" customFormat="1" spans="1:15">
      <c r="A6514" s="1" t="str">
        <f t="shared" si="3952"/>
        <v>202406</v>
      </c>
      <c r="B6514" s="1" t="str">
        <f t="shared" si="3953"/>
        <v>150525100</v>
      </c>
      <c r="C6514" s="1" t="str">
        <f>"1014613218"</f>
        <v>1014613218</v>
      </c>
      <c r="D6514" s="1" t="str">
        <f>"152326195105080420"</f>
        <v>152326195105080420</v>
      </c>
      <c r="E6514" s="1" t="s">
        <v>6344</v>
      </c>
      <c r="F6514" s="1" t="s">
        <v>16</v>
      </c>
      <c r="G6514" s="1" t="s">
        <v>17</v>
      </c>
      <c r="H6514" s="1" t="str">
        <f>"73"</f>
        <v>73</v>
      </c>
      <c r="I6514" s="1" t="str">
        <f t="shared" si="4014"/>
        <v>160</v>
      </c>
      <c r="J6514" s="1" t="str">
        <f t="shared" ref="J6514:O6514" si="4019">"0"</f>
        <v>0</v>
      </c>
      <c r="K6514" s="1" t="str">
        <f t="shared" si="4016"/>
        <v>103</v>
      </c>
      <c r="L6514" s="1" t="str">
        <f t="shared" si="4017"/>
        <v>47</v>
      </c>
      <c r="M6514" s="1" t="str">
        <f t="shared" si="4019"/>
        <v>0</v>
      </c>
      <c r="N6514" s="1" t="str">
        <f t="shared" si="4019"/>
        <v>0</v>
      </c>
      <c r="O6514" s="1" t="str">
        <f t="shared" si="4019"/>
        <v>0</v>
      </c>
    </row>
    <row r="6515" s="1" customFormat="1" spans="1:15">
      <c r="A6515" s="1" t="str">
        <f t="shared" si="3952"/>
        <v>202406</v>
      </c>
      <c r="B6515" s="1" t="str">
        <f t="shared" si="3953"/>
        <v>150525100</v>
      </c>
      <c r="C6515" s="1" t="str">
        <f>"1014622246"</f>
        <v>1014622246</v>
      </c>
      <c r="D6515" s="1" t="str">
        <f>"152326195010160428"</f>
        <v>152326195010160428</v>
      </c>
      <c r="E6515" s="1" t="s">
        <v>6345</v>
      </c>
      <c r="F6515" s="1" t="s">
        <v>16</v>
      </c>
      <c r="G6515" s="1" t="s">
        <v>17</v>
      </c>
      <c r="H6515" s="1" t="str">
        <f>"74"</f>
        <v>74</v>
      </c>
      <c r="I6515" s="1" t="str">
        <f t="shared" si="4014"/>
        <v>160</v>
      </c>
      <c r="J6515" s="1" t="str">
        <f t="shared" ref="J6515:O6515" si="4020">"0"</f>
        <v>0</v>
      </c>
      <c r="K6515" s="1" t="str">
        <f t="shared" si="4016"/>
        <v>103</v>
      </c>
      <c r="L6515" s="1" t="str">
        <f t="shared" si="4017"/>
        <v>47</v>
      </c>
      <c r="M6515" s="1" t="str">
        <f t="shared" si="4020"/>
        <v>0</v>
      </c>
      <c r="N6515" s="1" t="str">
        <f t="shared" si="4020"/>
        <v>0</v>
      </c>
      <c r="O6515" s="1" t="str">
        <f t="shared" si="4020"/>
        <v>0</v>
      </c>
    </row>
    <row r="6516" s="1" customFormat="1" spans="1:15">
      <c r="A6516" s="1" t="str">
        <f t="shared" si="3952"/>
        <v>202406</v>
      </c>
      <c r="B6516" s="1" t="str">
        <f t="shared" si="3953"/>
        <v>150525100</v>
      </c>
      <c r="C6516" s="1" t="str">
        <f>"1014622636"</f>
        <v>1014622636</v>
      </c>
      <c r="D6516" s="1" t="str">
        <f>"152326194701170671"</f>
        <v>152326194701170671</v>
      </c>
      <c r="E6516" s="1" t="s">
        <v>6346</v>
      </c>
      <c r="F6516" s="1" t="s">
        <v>25</v>
      </c>
      <c r="G6516" s="1" t="s">
        <v>17</v>
      </c>
      <c r="H6516" s="1" t="str">
        <f>"77"</f>
        <v>77</v>
      </c>
      <c r="I6516" s="1" t="str">
        <f t="shared" si="4014"/>
        <v>160</v>
      </c>
      <c r="J6516" s="1" t="str">
        <f t="shared" ref="J6516:O6516" si="4021">"0"</f>
        <v>0</v>
      </c>
      <c r="K6516" s="1" t="str">
        <f t="shared" si="4016"/>
        <v>103</v>
      </c>
      <c r="L6516" s="1" t="str">
        <f t="shared" si="4017"/>
        <v>47</v>
      </c>
      <c r="M6516" s="1" t="str">
        <f t="shared" si="4021"/>
        <v>0</v>
      </c>
      <c r="N6516" s="1" t="str">
        <f t="shared" si="4021"/>
        <v>0</v>
      </c>
      <c r="O6516" s="1" t="str">
        <f t="shared" si="4021"/>
        <v>0</v>
      </c>
    </row>
    <row r="6517" s="1" customFormat="1" spans="1:15">
      <c r="A6517" s="1" t="str">
        <f t="shared" si="3952"/>
        <v>202406</v>
      </c>
      <c r="B6517" s="1" t="str">
        <f t="shared" si="3953"/>
        <v>150525100</v>
      </c>
      <c r="C6517" s="1" t="str">
        <f>"1014624522"</f>
        <v>1014624522</v>
      </c>
      <c r="D6517" s="1" t="str">
        <f>"152326194610180663"</f>
        <v>152326194610180663</v>
      </c>
      <c r="E6517" s="1" t="s">
        <v>6347</v>
      </c>
      <c r="F6517" s="1" t="s">
        <v>16</v>
      </c>
      <c r="G6517" s="1" t="s">
        <v>17</v>
      </c>
      <c r="H6517" s="1" t="str">
        <f>"78"</f>
        <v>78</v>
      </c>
      <c r="I6517" s="1" t="str">
        <f t="shared" si="4014"/>
        <v>160</v>
      </c>
      <c r="J6517" s="1" t="str">
        <f t="shared" ref="J6517:O6517" si="4022">"0"</f>
        <v>0</v>
      </c>
      <c r="K6517" s="1" t="str">
        <f t="shared" si="4016"/>
        <v>103</v>
      </c>
      <c r="L6517" s="1" t="str">
        <f t="shared" si="4017"/>
        <v>47</v>
      </c>
      <c r="M6517" s="1" t="str">
        <f t="shared" si="4022"/>
        <v>0</v>
      </c>
      <c r="N6517" s="1" t="str">
        <f t="shared" si="4022"/>
        <v>0</v>
      </c>
      <c r="O6517" s="1" t="str">
        <f t="shared" si="4022"/>
        <v>0</v>
      </c>
    </row>
    <row r="6518" s="1" customFormat="1" spans="1:15">
      <c r="A6518" s="1" t="str">
        <f t="shared" si="3952"/>
        <v>202406</v>
      </c>
      <c r="B6518" s="1" t="str">
        <f t="shared" si="3953"/>
        <v>150525100</v>
      </c>
      <c r="C6518" s="1" t="str">
        <f>"1014619510"</f>
        <v>1014619510</v>
      </c>
      <c r="D6518" s="1" t="str">
        <f>"152326193506043090"</f>
        <v>152326193506043090</v>
      </c>
      <c r="E6518" s="1" t="s">
        <v>6348</v>
      </c>
      <c r="F6518" s="1" t="s">
        <v>25</v>
      </c>
      <c r="G6518" s="1" t="s">
        <v>17</v>
      </c>
      <c r="H6518" s="1" t="str">
        <f>"89"</f>
        <v>89</v>
      </c>
      <c r="I6518" s="1" t="str">
        <f t="shared" ref="I6518:I6521" si="4023">"170"</f>
        <v>170</v>
      </c>
      <c r="J6518" s="1" t="str">
        <f t="shared" ref="J6518:O6518" si="4024">"0"</f>
        <v>0</v>
      </c>
      <c r="K6518" s="1" t="str">
        <f t="shared" si="4016"/>
        <v>103</v>
      </c>
      <c r="L6518" s="1" t="str">
        <f t="shared" si="4017"/>
        <v>47</v>
      </c>
      <c r="M6518" s="1" t="str">
        <f t="shared" si="4024"/>
        <v>0</v>
      </c>
      <c r="N6518" s="1" t="str">
        <f t="shared" si="4024"/>
        <v>0</v>
      </c>
      <c r="O6518" s="1" t="str">
        <f t="shared" si="4024"/>
        <v>0</v>
      </c>
    </row>
    <row r="6519" s="1" customFormat="1" spans="1:15">
      <c r="A6519" s="1" t="str">
        <f t="shared" si="3952"/>
        <v>202406</v>
      </c>
      <c r="B6519" s="1" t="str">
        <f t="shared" si="3953"/>
        <v>150525100</v>
      </c>
      <c r="C6519" s="1" t="str">
        <f>"1014619644"</f>
        <v>1014619644</v>
      </c>
      <c r="D6519" s="1" t="str">
        <f>"152326195101083106"</f>
        <v>152326195101083106</v>
      </c>
      <c r="E6519" s="1" t="s">
        <v>6349</v>
      </c>
      <c r="F6519" s="1" t="s">
        <v>16</v>
      </c>
      <c r="G6519" s="1" t="s">
        <v>17</v>
      </c>
      <c r="H6519" s="1" t="str">
        <f>"73"</f>
        <v>73</v>
      </c>
      <c r="I6519" s="1" t="str">
        <f>"160"</f>
        <v>160</v>
      </c>
      <c r="J6519" s="1" t="str">
        <f t="shared" ref="J6519:O6519" si="4025">"0"</f>
        <v>0</v>
      </c>
      <c r="K6519" s="1" t="str">
        <f t="shared" si="4016"/>
        <v>103</v>
      </c>
      <c r="L6519" s="1" t="str">
        <f t="shared" si="4017"/>
        <v>47</v>
      </c>
      <c r="M6519" s="1" t="str">
        <f t="shared" si="4025"/>
        <v>0</v>
      </c>
      <c r="N6519" s="1" t="str">
        <f t="shared" si="4025"/>
        <v>0</v>
      </c>
      <c r="O6519" s="1" t="str">
        <f t="shared" si="4025"/>
        <v>0</v>
      </c>
    </row>
    <row r="6520" s="1" customFormat="1" spans="1:15">
      <c r="A6520" s="1" t="str">
        <f t="shared" si="3952"/>
        <v>202406</v>
      </c>
      <c r="B6520" s="1" t="str">
        <f t="shared" si="3953"/>
        <v>150525100</v>
      </c>
      <c r="C6520" s="1" t="str">
        <f>"1014619666"</f>
        <v>1014619666</v>
      </c>
      <c r="D6520" s="1" t="str">
        <f>"152326194401143081"</f>
        <v>152326194401143081</v>
      </c>
      <c r="E6520" s="1" t="s">
        <v>1171</v>
      </c>
      <c r="F6520" s="1" t="s">
        <v>16</v>
      </c>
      <c r="G6520" s="1" t="s">
        <v>17</v>
      </c>
      <c r="H6520" s="1" t="str">
        <f>"80"</f>
        <v>80</v>
      </c>
      <c r="I6520" s="1" t="str">
        <f t="shared" si="4023"/>
        <v>170</v>
      </c>
      <c r="J6520" s="1" t="str">
        <f t="shared" ref="J6520:O6520" si="4026">"0"</f>
        <v>0</v>
      </c>
      <c r="K6520" s="1" t="str">
        <f t="shared" si="4016"/>
        <v>103</v>
      </c>
      <c r="L6520" s="1" t="str">
        <f t="shared" si="4017"/>
        <v>47</v>
      </c>
      <c r="M6520" s="1" t="str">
        <f t="shared" si="4026"/>
        <v>0</v>
      </c>
      <c r="N6520" s="1" t="str">
        <f t="shared" si="4026"/>
        <v>0</v>
      </c>
      <c r="O6520" s="1" t="str">
        <f t="shared" si="4026"/>
        <v>0</v>
      </c>
    </row>
    <row r="6521" s="1" customFormat="1" spans="1:15">
      <c r="A6521" s="1" t="str">
        <f t="shared" si="3952"/>
        <v>202406</v>
      </c>
      <c r="B6521" s="1" t="str">
        <f t="shared" si="3953"/>
        <v>150525100</v>
      </c>
      <c r="C6521" s="1" t="str">
        <f>"1014629954"</f>
        <v>1014629954</v>
      </c>
      <c r="D6521" s="1" t="str">
        <f>"152326194405120020"</f>
        <v>152326194405120020</v>
      </c>
      <c r="E6521" s="1" t="s">
        <v>1945</v>
      </c>
      <c r="F6521" s="1" t="s">
        <v>16</v>
      </c>
      <c r="G6521" s="1" t="s">
        <v>17</v>
      </c>
      <c r="H6521" s="1" t="str">
        <f>"80"</f>
        <v>80</v>
      </c>
      <c r="I6521" s="1" t="str">
        <f t="shared" si="4023"/>
        <v>170</v>
      </c>
      <c r="J6521" s="1" t="str">
        <f t="shared" ref="J6521:O6521" si="4027">"0"</f>
        <v>0</v>
      </c>
      <c r="K6521" s="1" t="str">
        <f t="shared" si="4016"/>
        <v>103</v>
      </c>
      <c r="L6521" s="1" t="str">
        <f t="shared" si="4017"/>
        <v>47</v>
      </c>
      <c r="M6521" s="1" t="str">
        <f t="shared" si="4027"/>
        <v>0</v>
      </c>
      <c r="N6521" s="1" t="str">
        <f t="shared" si="4027"/>
        <v>0</v>
      </c>
      <c r="O6521" s="1" t="str">
        <f t="shared" si="4027"/>
        <v>0</v>
      </c>
    </row>
    <row r="6522" s="1" customFormat="1" spans="1:15">
      <c r="A6522" s="1" t="str">
        <f t="shared" si="3952"/>
        <v>202406</v>
      </c>
      <c r="B6522" s="1" t="str">
        <f t="shared" si="3953"/>
        <v>150525100</v>
      </c>
      <c r="C6522" s="1" t="str">
        <f>"1014623001"</f>
        <v>1014623001</v>
      </c>
      <c r="D6522" s="1" t="s">
        <v>6350</v>
      </c>
      <c r="E6522" s="1" t="s">
        <v>700</v>
      </c>
      <c r="F6522" s="1" t="s">
        <v>16</v>
      </c>
      <c r="G6522" s="1" t="s">
        <v>17</v>
      </c>
      <c r="H6522" s="1" t="str">
        <f>"79"</f>
        <v>79</v>
      </c>
      <c r="I6522" s="1" t="str">
        <f>"640"</f>
        <v>640</v>
      </c>
      <c r="J6522" s="1" t="str">
        <f>"480"</f>
        <v>480</v>
      </c>
      <c r="K6522" s="1" t="str">
        <f>"412"</f>
        <v>412</v>
      </c>
      <c r="L6522" s="1" t="str">
        <f>"188"</f>
        <v>188</v>
      </c>
      <c r="M6522" s="1" t="str">
        <f t="shared" ref="M6522:O6522" si="4028">"0"</f>
        <v>0</v>
      </c>
      <c r="N6522" s="1" t="str">
        <f t="shared" si="4028"/>
        <v>0</v>
      </c>
      <c r="O6522" s="1" t="str">
        <f t="shared" si="4028"/>
        <v>0</v>
      </c>
    </row>
    <row r="6523" s="1" customFormat="1" spans="1:15">
      <c r="A6523" s="1" t="str">
        <f t="shared" si="3952"/>
        <v>202406</v>
      </c>
      <c r="B6523" s="1" t="str">
        <f t="shared" si="3953"/>
        <v>150525100</v>
      </c>
      <c r="C6523" s="1" t="str">
        <f>"1014623009"</f>
        <v>1014623009</v>
      </c>
      <c r="D6523" s="1" t="s">
        <v>6351</v>
      </c>
      <c r="E6523" s="1" t="s">
        <v>6352</v>
      </c>
      <c r="F6523" s="1" t="s">
        <v>16</v>
      </c>
      <c r="G6523" s="1" t="s">
        <v>17</v>
      </c>
      <c r="H6523" s="1" t="str">
        <f>"81"</f>
        <v>81</v>
      </c>
      <c r="I6523" s="1" t="str">
        <f t="shared" ref="I6523:I6525" si="4029">"170"</f>
        <v>170</v>
      </c>
      <c r="J6523" s="1" t="str">
        <f t="shared" ref="J6523:O6523" si="4030">"0"</f>
        <v>0</v>
      </c>
      <c r="K6523" s="1" t="str">
        <f t="shared" ref="K6523:K6526" si="4031">"103"</f>
        <v>103</v>
      </c>
      <c r="L6523" s="1" t="str">
        <f t="shared" ref="L6523:L6526" si="4032">"47"</f>
        <v>47</v>
      </c>
      <c r="M6523" s="1" t="str">
        <f t="shared" si="4030"/>
        <v>0</v>
      </c>
      <c r="N6523" s="1" t="str">
        <f t="shared" si="4030"/>
        <v>0</v>
      </c>
      <c r="O6523" s="1" t="str">
        <f t="shared" si="4030"/>
        <v>0</v>
      </c>
    </row>
    <row r="6524" s="1" customFormat="1" spans="1:15">
      <c r="A6524" s="1" t="str">
        <f t="shared" si="3952"/>
        <v>202406</v>
      </c>
      <c r="B6524" s="1" t="str">
        <f t="shared" si="3953"/>
        <v>150525100</v>
      </c>
      <c r="C6524" s="1" t="str">
        <f>"1014623012"</f>
        <v>1014623012</v>
      </c>
      <c r="D6524" s="1" t="str">
        <f>"152326194108143082"</f>
        <v>152326194108143082</v>
      </c>
      <c r="E6524" s="1" t="s">
        <v>6353</v>
      </c>
      <c r="F6524" s="1" t="s">
        <v>16</v>
      </c>
      <c r="G6524" s="1" t="s">
        <v>17</v>
      </c>
      <c r="H6524" s="1" t="str">
        <f>"83"</f>
        <v>83</v>
      </c>
      <c r="I6524" s="1" t="str">
        <f t="shared" si="4029"/>
        <v>170</v>
      </c>
      <c r="J6524" s="1" t="str">
        <f t="shared" ref="J6524:O6524" si="4033">"0"</f>
        <v>0</v>
      </c>
      <c r="K6524" s="1" t="str">
        <f t="shared" si="4031"/>
        <v>103</v>
      </c>
      <c r="L6524" s="1" t="str">
        <f t="shared" si="4032"/>
        <v>47</v>
      </c>
      <c r="M6524" s="1" t="str">
        <f t="shared" si="4033"/>
        <v>0</v>
      </c>
      <c r="N6524" s="1" t="str">
        <f t="shared" si="4033"/>
        <v>0</v>
      </c>
      <c r="O6524" s="1" t="str">
        <f t="shared" si="4033"/>
        <v>0</v>
      </c>
    </row>
    <row r="6525" s="1" customFormat="1" spans="1:15">
      <c r="A6525" s="1" t="str">
        <f t="shared" si="3952"/>
        <v>202406</v>
      </c>
      <c r="B6525" s="1" t="str">
        <f t="shared" si="3953"/>
        <v>150525100</v>
      </c>
      <c r="C6525" s="1" t="str">
        <f>"1014623026"</f>
        <v>1014623026</v>
      </c>
      <c r="D6525" s="1" t="str">
        <f>"152326193206250020"</f>
        <v>152326193206250020</v>
      </c>
      <c r="E6525" s="1" t="s">
        <v>6354</v>
      </c>
      <c r="F6525" s="1" t="s">
        <v>16</v>
      </c>
      <c r="G6525" s="1" t="s">
        <v>17</v>
      </c>
      <c r="H6525" s="1" t="str">
        <f>"92"</f>
        <v>92</v>
      </c>
      <c r="I6525" s="1" t="str">
        <f t="shared" si="4029"/>
        <v>170</v>
      </c>
      <c r="J6525" s="1" t="str">
        <f t="shared" ref="J6525:O6525" si="4034">"0"</f>
        <v>0</v>
      </c>
      <c r="K6525" s="1" t="str">
        <f t="shared" si="4031"/>
        <v>103</v>
      </c>
      <c r="L6525" s="1" t="str">
        <f t="shared" si="4032"/>
        <v>47</v>
      </c>
      <c r="M6525" s="1" t="str">
        <f t="shared" si="4034"/>
        <v>0</v>
      </c>
      <c r="N6525" s="1" t="str">
        <f t="shared" si="4034"/>
        <v>0</v>
      </c>
      <c r="O6525" s="1" t="str">
        <f t="shared" si="4034"/>
        <v>0</v>
      </c>
    </row>
    <row r="6526" s="1" customFormat="1" spans="1:15">
      <c r="A6526" s="1" t="str">
        <f t="shared" si="3952"/>
        <v>202406</v>
      </c>
      <c r="B6526" s="1" t="str">
        <f t="shared" si="3953"/>
        <v>150525100</v>
      </c>
      <c r="C6526" s="1" t="str">
        <f>"1014623030"</f>
        <v>1014623030</v>
      </c>
      <c r="D6526" s="1" t="str">
        <f>"152326194902260024"</f>
        <v>152326194902260024</v>
      </c>
      <c r="E6526" s="1" t="s">
        <v>6355</v>
      </c>
      <c r="F6526" s="1" t="s">
        <v>16</v>
      </c>
      <c r="G6526" s="1" t="s">
        <v>19</v>
      </c>
      <c r="H6526" s="1" t="str">
        <f>"75"</f>
        <v>75</v>
      </c>
      <c r="I6526" s="1" t="str">
        <f t="shared" ref="I6526:I6530" si="4035">"160"</f>
        <v>160</v>
      </c>
      <c r="J6526" s="1" t="str">
        <f t="shared" ref="J6526:O6526" si="4036">"0"</f>
        <v>0</v>
      </c>
      <c r="K6526" s="1" t="str">
        <f t="shared" si="4031"/>
        <v>103</v>
      </c>
      <c r="L6526" s="1" t="str">
        <f t="shared" si="4032"/>
        <v>47</v>
      </c>
      <c r="M6526" s="1" t="str">
        <f t="shared" si="4036"/>
        <v>0</v>
      </c>
      <c r="N6526" s="1" t="str">
        <f t="shared" si="4036"/>
        <v>0</v>
      </c>
      <c r="O6526" s="1" t="str">
        <f t="shared" si="4036"/>
        <v>0</v>
      </c>
    </row>
    <row r="6527" s="1" customFormat="1" spans="1:15">
      <c r="A6527" s="1" t="str">
        <f t="shared" si="3952"/>
        <v>202406</v>
      </c>
      <c r="B6527" s="1" t="str">
        <f t="shared" si="3953"/>
        <v>150525100</v>
      </c>
      <c r="C6527" s="1" t="str">
        <f>"1014629454"</f>
        <v>1014629454</v>
      </c>
      <c r="D6527" s="1" t="str">
        <f>"152326194604153810"</f>
        <v>152326194604153810</v>
      </c>
      <c r="E6527" s="1" t="s">
        <v>6356</v>
      </c>
      <c r="F6527" s="1" t="s">
        <v>25</v>
      </c>
      <c r="G6527" s="1" t="s">
        <v>19</v>
      </c>
      <c r="H6527" s="1" t="str">
        <f>"78"</f>
        <v>78</v>
      </c>
      <c r="I6527" s="1" t="str">
        <f>"1640"</f>
        <v>1640</v>
      </c>
      <c r="J6527" s="1" t="str">
        <f t="shared" ref="J6527:O6527" si="4037">"0"</f>
        <v>0</v>
      </c>
      <c r="K6527" s="1" t="str">
        <f t="shared" si="4037"/>
        <v>0</v>
      </c>
      <c r="L6527" s="1" t="str">
        <f t="shared" si="4037"/>
        <v>0</v>
      </c>
      <c r="M6527" s="1" t="str">
        <f t="shared" si="4037"/>
        <v>0</v>
      </c>
      <c r="N6527" s="1" t="str">
        <f t="shared" si="4037"/>
        <v>0</v>
      </c>
      <c r="O6527" s="1" t="str">
        <f t="shared" si="4037"/>
        <v>0</v>
      </c>
    </row>
    <row r="6528" s="1" customFormat="1" spans="1:15">
      <c r="A6528" s="1" t="str">
        <f t="shared" si="3952"/>
        <v>202406</v>
      </c>
      <c r="B6528" s="1" t="str">
        <f t="shared" si="3953"/>
        <v>150525100</v>
      </c>
      <c r="C6528" s="1" t="str">
        <f>"1014629471"</f>
        <v>1014629471</v>
      </c>
      <c r="D6528" s="1" t="str">
        <f>"152326194911103821"</f>
        <v>152326194911103821</v>
      </c>
      <c r="E6528" s="1" t="s">
        <v>6357</v>
      </c>
      <c r="F6528" s="1" t="s">
        <v>16</v>
      </c>
      <c r="G6528" s="1" t="s">
        <v>19</v>
      </c>
      <c r="H6528" s="1" t="str">
        <f>"75"</f>
        <v>75</v>
      </c>
      <c r="I6528" s="1" t="str">
        <f t="shared" si="4035"/>
        <v>160</v>
      </c>
      <c r="J6528" s="1" t="str">
        <f t="shared" ref="J6528:O6528" si="4038">"0"</f>
        <v>0</v>
      </c>
      <c r="K6528" s="1" t="str">
        <f t="shared" ref="K6528:K6547" si="4039">"103"</f>
        <v>103</v>
      </c>
      <c r="L6528" s="1" t="str">
        <f t="shared" ref="L6528:L6547" si="4040">"47"</f>
        <v>47</v>
      </c>
      <c r="M6528" s="1" t="str">
        <f t="shared" si="4038"/>
        <v>0</v>
      </c>
      <c r="N6528" s="1" t="str">
        <f t="shared" si="4038"/>
        <v>0</v>
      </c>
      <c r="O6528" s="1" t="str">
        <f t="shared" si="4038"/>
        <v>0</v>
      </c>
    </row>
    <row r="6529" s="1" customFormat="1" spans="1:15">
      <c r="A6529" s="1" t="str">
        <f t="shared" si="3952"/>
        <v>202406</v>
      </c>
      <c r="B6529" s="1" t="str">
        <f t="shared" si="3953"/>
        <v>150525100</v>
      </c>
      <c r="C6529" s="1" t="str">
        <f>"1014629552"</f>
        <v>1014629552</v>
      </c>
      <c r="D6529" s="1" t="str">
        <f>"152326194707203075"</f>
        <v>152326194707203075</v>
      </c>
      <c r="E6529" s="1" t="s">
        <v>6358</v>
      </c>
      <c r="F6529" s="1" t="s">
        <v>25</v>
      </c>
      <c r="G6529" s="1" t="s">
        <v>17</v>
      </c>
      <c r="H6529" s="1" t="str">
        <f>"77"</f>
        <v>77</v>
      </c>
      <c r="I6529" s="1" t="str">
        <f t="shared" si="4035"/>
        <v>160</v>
      </c>
      <c r="J6529" s="1" t="str">
        <f t="shared" ref="J6529:O6529" si="4041">"0"</f>
        <v>0</v>
      </c>
      <c r="K6529" s="1" t="str">
        <f t="shared" si="4039"/>
        <v>103</v>
      </c>
      <c r="L6529" s="1" t="str">
        <f t="shared" si="4040"/>
        <v>47</v>
      </c>
      <c r="M6529" s="1" t="str">
        <f t="shared" si="4041"/>
        <v>0</v>
      </c>
      <c r="N6529" s="1" t="str">
        <f t="shared" si="4041"/>
        <v>0</v>
      </c>
      <c r="O6529" s="1" t="str">
        <f t="shared" si="4041"/>
        <v>0</v>
      </c>
    </row>
    <row r="6530" s="1" customFormat="1" spans="1:15">
      <c r="A6530" s="1" t="str">
        <f t="shared" ref="A6530:A6593" si="4042">"202406"</f>
        <v>202406</v>
      </c>
      <c r="B6530" s="1" t="str">
        <f t="shared" ref="B6530:B6593" si="4043">"150525100"</f>
        <v>150525100</v>
      </c>
      <c r="C6530" s="1" t="str">
        <f>"1014629560"</f>
        <v>1014629560</v>
      </c>
      <c r="D6530" s="1" t="s">
        <v>6359</v>
      </c>
      <c r="E6530" s="1" t="s">
        <v>6360</v>
      </c>
      <c r="F6530" s="1" t="s">
        <v>25</v>
      </c>
      <c r="G6530" s="1" t="s">
        <v>17</v>
      </c>
      <c r="H6530" s="1" t="str">
        <f>"74"</f>
        <v>74</v>
      </c>
      <c r="I6530" s="1" t="str">
        <f t="shared" si="4035"/>
        <v>160</v>
      </c>
      <c r="J6530" s="1" t="str">
        <f t="shared" ref="J6530:O6530" si="4044">"0"</f>
        <v>0</v>
      </c>
      <c r="K6530" s="1" t="str">
        <f t="shared" si="4039"/>
        <v>103</v>
      </c>
      <c r="L6530" s="1" t="str">
        <f t="shared" si="4040"/>
        <v>47</v>
      </c>
      <c r="M6530" s="1" t="str">
        <f t="shared" si="4044"/>
        <v>0</v>
      </c>
      <c r="N6530" s="1" t="str">
        <f t="shared" si="4044"/>
        <v>0</v>
      </c>
      <c r="O6530" s="1" t="str">
        <f t="shared" si="4044"/>
        <v>0</v>
      </c>
    </row>
    <row r="6531" s="1" customFormat="1" spans="1:15">
      <c r="A6531" s="1" t="str">
        <f t="shared" si="4042"/>
        <v>202406</v>
      </c>
      <c r="B6531" s="1" t="str">
        <f t="shared" si="4043"/>
        <v>150525100</v>
      </c>
      <c r="C6531" s="1" t="str">
        <f>"1014589086"</f>
        <v>1014589086</v>
      </c>
      <c r="D6531" s="1" t="str">
        <f>"152326196102170425"</f>
        <v>152326196102170425</v>
      </c>
      <c r="E6531" s="1" t="s">
        <v>1843</v>
      </c>
      <c r="F6531" s="1" t="s">
        <v>16</v>
      </c>
      <c r="G6531" s="1" t="s">
        <v>17</v>
      </c>
      <c r="H6531" s="1" t="str">
        <f>"63"</f>
        <v>63</v>
      </c>
      <c r="I6531" s="1" t="str">
        <f>"161.01"</f>
        <v>161.01</v>
      </c>
      <c r="J6531" s="1" t="str">
        <f t="shared" ref="J6531:N6531" si="4045">"0"</f>
        <v>0</v>
      </c>
      <c r="K6531" s="1" t="str">
        <f t="shared" si="4039"/>
        <v>103</v>
      </c>
      <c r="L6531" s="1" t="str">
        <f t="shared" si="4040"/>
        <v>47</v>
      </c>
      <c r="M6531" s="1" t="str">
        <f t="shared" si="4045"/>
        <v>0</v>
      </c>
      <c r="N6531" s="1" t="str">
        <f t="shared" si="4045"/>
        <v>0</v>
      </c>
      <c r="O6531" s="1" t="str">
        <f>"11.01"</f>
        <v>11.01</v>
      </c>
    </row>
    <row r="6532" s="1" customFormat="1" spans="1:15">
      <c r="A6532" s="1" t="str">
        <f t="shared" si="4042"/>
        <v>202406</v>
      </c>
      <c r="B6532" s="1" t="str">
        <f t="shared" si="4043"/>
        <v>150525100</v>
      </c>
      <c r="C6532" s="1" t="str">
        <f>"1014589105"</f>
        <v>1014589105</v>
      </c>
      <c r="D6532" s="1" t="str">
        <f>"152326195312260416"</f>
        <v>152326195312260416</v>
      </c>
      <c r="E6532" s="1" t="s">
        <v>6361</v>
      </c>
      <c r="F6532" s="1" t="s">
        <v>25</v>
      </c>
      <c r="G6532" s="1" t="s">
        <v>17</v>
      </c>
      <c r="H6532" s="1" t="str">
        <f>"71"</f>
        <v>71</v>
      </c>
      <c r="I6532" s="1" t="str">
        <f>"163.17"</f>
        <v>163.17</v>
      </c>
      <c r="J6532" s="1" t="str">
        <f t="shared" ref="J6532:N6532" si="4046">"0"</f>
        <v>0</v>
      </c>
      <c r="K6532" s="1" t="str">
        <f t="shared" si="4039"/>
        <v>103</v>
      </c>
      <c r="L6532" s="1" t="str">
        <f t="shared" si="4040"/>
        <v>47</v>
      </c>
      <c r="M6532" s="1" t="str">
        <f t="shared" si="4046"/>
        <v>0</v>
      </c>
      <c r="N6532" s="1" t="str">
        <f t="shared" si="4046"/>
        <v>0</v>
      </c>
      <c r="O6532" s="1" t="str">
        <f>"3.17"</f>
        <v>3.17</v>
      </c>
    </row>
    <row r="6533" s="1" customFormat="1" spans="1:15">
      <c r="A6533" s="1" t="str">
        <f t="shared" si="4042"/>
        <v>202406</v>
      </c>
      <c r="B6533" s="1" t="str">
        <f t="shared" si="4043"/>
        <v>150525100</v>
      </c>
      <c r="C6533" s="1" t="str">
        <f>"1014613248"</f>
        <v>1014613248</v>
      </c>
      <c r="D6533" s="1" t="str">
        <f>"152326194902050422"</f>
        <v>152326194902050422</v>
      </c>
      <c r="E6533" s="1" t="s">
        <v>6362</v>
      </c>
      <c r="F6533" s="1" t="s">
        <v>16</v>
      </c>
      <c r="G6533" s="1" t="s">
        <v>17</v>
      </c>
      <c r="H6533" s="1" t="str">
        <f>"75"</f>
        <v>75</v>
      </c>
      <c r="I6533" s="1" t="str">
        <f t="shared" ref="I6533:I6542" si="4047">"160"</f>
        <v>160</v>
      </c>
      <c r="J6533" s="1" t="str">
        <f t="shared" ref="J6533:O6533" si="4048">"0"</f>
        <v>0</v>
      </c>
      <c r="K6533" s="1" t="str">
        <f t="shared" si="4039"/>
        <v>103</v>
      </c>
      <c r="L6533" s="1" t="str">
        <f t="shared" si="4040"/>
        <v>47</v>
      </c>
      <c r="M6533" s="1" t="str">
        <f t="shared" si="4048"/>
        <v>0</v>
      </c>
      <c r="N6533" s="1" t="str">
        <f t="shared" si="4048"/>
        <v>0</v>
      </c>
      <c r="O6533" s="1" t="str">
        <f t="shared" si="4048"/>
        <v>0</v>
      </c>
    </row>
    <row r="6534" s="1" customFormat="1" spans="1:15">
      <c r="A6534" s="1" t="str">
        <f t="shared" si="4042"/>
        <v>202406</v>
      </c>
      <c r="B6534" s="1" t="str">
        <f t="shared" si="4043"/>
        <v>150525100</v>
      </c>
      <c r="C6534" s="1" t="str">
        <f>"1014613250"</f>
        <v>1014613250</v>
      </c>
      <c r="D6534" s="1" t="str">
        <f>"152326194405070422"</f>
        <v>152326194405070422</v>
      </c>
      <c r="E6534" s="1" t="s">
        <v>1613</v>
      </c>
      <c r="F6534" s="1" t="s">
        <v>16</v>
      </c>
      <c r="G6534" s="1" t="s">
        <v>19</v>
      </c>
      <c r="H6534" s="1" t="str">
        <f>"80"</f>
        <v>80</v>
      </c>
      <c r="I6534" s="1" t="str">
        <f>"170"</f>
        <v>170</v>
      </c>
      <c r="J6534" s="1" t="str">
        <f t="shared" ref="J6534:O6534" si="4049">"0"</f>
        <v>0</v>
      </c>
      <c r="K6534" s="1" t="str">
        <f t="shared" si="4039"/>
        <v>103</v>
      </c>
      <c r="L6534" s="1" t="str">
        <f t="shared" si="4040"/>
        <v>47</v>
      </c>
      <c r="M6534" s="1" t="str">
        <f t="shared" si="4049"/>
        <v>0</v>
      </c>
      <c r="N6534" s="1" t="str">
        <f t="shared" si="4049"/>
        <v>0</v>
      </c>
      <c r="O6534" s="1" t="str">
        <f t="shared" si="4049"/>
        <v>0</v>
      </c>
    </row>
    <row r="6535" s="1" customFormat="1" spans="1:15">
      <c r="A6535" s="1" t="str">
        <f t="shared" si="4042"/>
        <v>202406</v>
      </c>
      <c r="B6535" s="1" t="str">
        <f t="shared" si="4043"/>
        <v>150525100</v>
      </c>
      <c r="C6535" s="1" t="str">
        <f>"1014621874"</f>
        <v>1014621874</v>
      </c>
      <c r="D6535" s="1" t="str">
        <f>"152326194805053314"</f>
        <v>152326194805053314</v>
      </c>
      <c r="E6535" s="1" t="s">
        <v>6363</v>
      </c>
      <c r="F6535" s="1" t="s">
        <v>25</v>
      </c>
      <c r="G6535" s="1" t="s">
        <v>17</v>
      </c>
      <c r="H6535" s="1" t="str">
        <f>"76"</f>
        <v>76</v>
      </c>
      <c r="I6535" s="1" t="str">
        <f t="shared" si="4047"/>
        <v>160</v>
      </c>
      <c r="J6535" s="1" t="str">
        <f t="shared" ref="J6535:O6535" si="4050">"0"</f>
        <v>0</v>
      </c>
      <c r="K6535" s="1" t="str">
        <f t="shared" si="4039"/>
        <v>103</v>
      </c>
      <c r="L6535" s="1" t="str">
        <f t="shared" si="4040"/>
        <v>47</v>
      </c>
      <c r="M6535" s="1" t="str">
        <f t="shared" si="4050"/>
        <v>0</v>
      </c>
      <c r="N6535" s="1" t="str">
        <f t="shared" si="4050"/>
        <v>0</v>
      </c>
      <c r="O6535" s="1" t="str">
        <f t="shared" si="4050"/>
        <v>0</v>
      </c>
    </row>
    <row r="6536" s="1" customFormat="1" spans="1:15">
      <c r="A6536" s="1" t="str">
        <f t="shared" si="4042"/>
        <v>202406</v>
      </c>
      <c r="B6536" s="1" t="str">
        <f t="shared" si="4043"/>
        <v>150525100</v>
      </c>
      <c r="C6536" s="1" t="str">
        <f>"1014621880"</f>
        <v>1014621880</v>
      </c>
      <c r="D6536" s="1" t="str">
        <f>"152326195009163314"</f>
        <v>152326195009163314</v>
      </c>
      <c r="E6536" s="1" t="s">
        <v>6364</v>
      </c>
      <c r="F6536" s="1" t="s">
        <v>25</v>
      </c>
      <c r="G6536" s="1" t="s">
        <v>17</v>
      </c>
      <c r="H6536" s="1" t="str">
        <f t="shared" ref="H6536:H6539" si="4051">"74"</f>
        <v>74</v>
      </c>
      <c r="I6536" s="1" t="str">
        <f t="shared" si="4047"/>
        <v>160</v>
      </c>
      <c r="J6536" s="1" t="str">
        <f t="shared" ref="J6536:O6536" si="4052">"0"</f>
        <v>0</v>
      </c>
      <c r="K6536" s="1" t="str">
        <f t="shared" si="4039"/>
        <v>103</v>
      </c>
      <c r="L6536" s="1" t="str">
        <f t="shared" si="4040"/>
        <v>47</v>
      </c>
      <c r="M6536" s="1" t="str">
        <f t="shared" si="4052"/>
        <v>0</v>
      </c>
      <c r="N6536" s="1" t="str">
        <f t="shared" si="4052"/>
        <v>0</v>
      </c>
      <c r="O6536" s="1" t="str">
        <f t="shared" si="4052"/>
        <v>0</v>
      </c>
    </row>
    <row r="6537" s="1" customFormat="1" spans="1:15">
      <c r="A6537" s="1" t="str">
        <f t="shared" si="4042"/>
        <v>202406</v>
      </c>
      <c r="B6537" s="1" t="str">
        <f t="shared" si="4043"/>
        <v>150525100</v>
      </c>
      <c r="C6537" s="1" t="str">
        <f>"1014622294"</f>
        <v>1014622294</v>
      </c>
      <c r="D6537" s="1" t="str">
        <f>"152326195003060701"</f>
        <v>152326195003060701</v>
      </c>
      <c r="E6537" s="1" t="s">
        <v>6365</v>
      </c>
      <c r="F6537" s="1" t="s">
        <v>16</v>
      </c>
      <c r="G6537" s="1" t="s">
        <v>19</v>
      </c>
      <c r="H6537" s="1" t="str">
        <f t="shared" si="4051"/>
        <v>74</v>
      </c>
      <c r="I6537" s="1" t="str">
        <f t="shared" si="4047"/>
        <v>160</v>
      </c>
      <c r="J6537" s="1" t="str">
        <f t="shared" ref="J6537:O6537" si="4053">"0"</f>
        <v>0</v>
      </c>
      <c r="K6537" s="1" t="str">
        <f t="shared" si="4039"/>
        <v>103</v>
      </c>
      <c r="L6537" s="1" t="str">
        <f t="shared" si="4040"/>
        <v>47</v>
      </c>
      <c r="M6537" s="1" t="str">
        <f t="shared" si="4053"/>
        <v>0</v>
      </c>
      <c r="N6537" s="1" t="str">
        <f t="shared" si="4053"/>
        <v>0</v>
      </c>
      <c r="O6537" s="1" t="str">
        <f t="shared" si="4053"/>
        <v>0</v>
      </c>
    </row>
    <row r="6538" s="1" customFormat="1" spans="1:15">
      <c r="A6538" s="1" t="str">
        <f t="shared" si="4042"/>
        <v>202406</v>
      </c>
      <c r="B6538" s="1" t="str">
        <f t="shared" si="4043"/>
        <v>150525100</v>
      </c>
      <c r="C6538" s="1" t="str">
        <f>"1014622295"</f>
        <v>1014622295</v>
      </c>
      <c r="D6538" s="1" t="str">
        <f>"152326194610090676"</f>
        <v>152326194610090676</v>
      </c>
      <c r="E6538" s="1" t="s">
        <v>6366</v>
      </c>
      <c r="F6538" s="1" t="s">
        <v>25</v>
      </c>
      <c r="G6538" s="1" t="s">
        <v>17</v>
      </c>
      <c r="H6538" s="1" t="str">
        <f>"78"</f>
        <v>78</v>
      </c>
      <c r="I6538" s="1" t="str">
        <f t="shared" si="4047"/>
        <v>160</v>
      </c>
      <c r="J6538" s="1" t="str">
        <f t="shared" ref="J6538:O6538" si="4054">"0"</f>
        <v>0</v>
      </c>
      <c r="K6538" s="1" t="str">
        <f t="shared" si="4039"/>
        <v>103</v>
      </c>
      <c r="L6538" s="1" t="str">
        <f t="shared" si="4040"/>
        <v>47</v>
      </c>
      <c r="M6538" s="1" t="str">
        <f t="shared" si="4054"/>
        <v>0</v>
      </c>
      <c r="N6538" s="1" t="str">
        <f t="shared" si="4054"/>
        <v>0</v>
      </c>
      <c r="O6538" s="1" t="str">
        <f t="shared" si="4054"/>
        <v>0</v>
      </c>
    </row>
    <row r="6539" s="1" customFormat="1" spans="1:15">
      <c r="A6539" s="1" t="str">
        <f t="shared" si="4042"/>
        <v>202406</v>
      </c>
      <c r="B6539" s="1" t="str">
        <f t="shared" si="4043"/>
        <v>150525100</v>
      </c>
      <c r="C6539" s="1" t="str">
        <f>"1014624041"</f>
        <v>1014624041</v>
      </c>
      <c r="D6539" s="1" t="str">
        <f>"152326195007143088"</f>
        <v>152326195007143088</v>
      </c>
      <c r="E6539" s="1" t="s">
        <v>6367</v>
      </c>
      <c r="F6539" s="1" t="s">
        <v>16</v>
      </c>
      <c r="G6539" s="1" t="s">
        <v>17</v>
      </c>
      <c r="H6539" s="1" t="str">
        <f t="shared" si="4051"/>
        <v>74</v>
      </c>
      <c r="I6539" s="1" t="str">
        <f t="shared" si="4047"/>
        <v>160</v>
      </c>
      <c r="J6539" s="1" t="str">
        <f t="shared" ref="J6539:O6539" si="4055">"0"</f>
        <v>0</v>
      </c>
      <c r="K6539" s="1" t="str">
        <f t="shared" si="4039"/>
        <v>103</v>
      </c>
      <c r="L6539" s="1" t="str">
        <f t="shared" si="4040"/>
        <v>47</v>
      </c>
      <c r="M6539" s="1" t="str">
        <f t="shared" si="4055"/>
        <v>0</v>
      </c>
      <c r="N6539" s="1" t="str">
        <f t="shared" si="4055"/>
        <v>0</v>
      </c>
      <c r="O6539" s="1" t="str">
        <f t="shared" si="4055"/>
        <v>0</v>
      </c>
    </row>
    <row r="6540" s="1" customFormat="1" spans="1:15">
      <c r="A6540" s="1" t="str">
        <f t="shared" si="4042"/>
        <v>202406</v>
      </c>
      <c r="B6540" s="1" t="str">
        <f t="shared" si="4043"/>
        <v>150525100</v>
      </c>
      <c r="C6540" s="1" t="str">
        <f>"1014619516"</f>
        <v>1014619516</v>
      </c>
      <c r="D6540" s="1" t="str">
        <f>"152326195111023078"</f>
        <v>152326195111023078</v>
      </c>
      <c r="E6540" s="1" t="s">
        <v>6368</v>
      </c>
      <c r="F6540" s="1" t="s">
        <v>25</v>
      </c>
      <c r="G6540" s="1" t="s">
        <v>17</v>
      </c>
      <c r="H6540" s="1" t="str">
        <f>"73"</f>
        <v>73</v>
      </c>
      <c r="I6540" s="1" t="str">
        <f t="shared" si="4047"/>
        <v>160</v>
      </c>
      <c r="J6540" s="1" t="str">
        <f t="shared" ref="J6540:O6540" si="4056">"0"</f>
        <v>0</v>
      </c>
      <c r="K6540" s="1" t="str">
        <f t="shared" si="4039"/>
        <v>103</v>
      </c>
      <c r="L6540" s="1" t="str">
        <f t="shared" si="4040"/>
        <v>47</v>
      </c>
      <c r="M6540" s="1" t="str">
        <f t="shared" si="4056"/>
        <v>0</v>
      </c>
      <c r="N6540" s="1" t="str">
        <f t="shared" si="4056"/>
        <v>0</v>
      </c>
      <c r="O6540" s="1" t="str">
        <f t="shared" si="4056"/>
        <v>0</v>
      </c>
    </row>
    <row r="6541" s="1" customFormat="1" spans="1:15">
      <c r="A6541" s="1" t="str">
        <f t="shared" si="4042"/>
        <v>202406</v>
      </c>
      <c r="B6541" s="1" t="str">
        <f t="shared" si="4043"/>
        <v>150525100</v>
      </c>
      <c r="C6541" s="1" t="str">
        <f>"1014619695"</f>
        <v>1014619695</v>
      </c>
      <c r="D6541" s="1" t="str">
        <f>"152326194701200666"</f>
        <v>152326194701200666</v>
      </c>
      <c r="E6541" s="1" t="s">
        <v>6369</v>
      </c>
      <c r="F6541" s="1" t="s">
        <v>16</v>
      </c>
      <c r="G6541" s="1" t="s">
        <v>19</v>
      </c>
      <c r="H6541" s="1" t="str">
        <f>"77"</f>
        <v>77</v>
      </c>
      <c r="I6541" s="1" t="str">
        <f t="shared" si="4047"/>
        <v>160</v>
      </c>
      <c r="J6541" s="1" t="str">
        <f t="shared" ref="J6541:O6541" si="4057">"0"</f>
        <v>0</v>
      </c>
      <c r="K6541" s="1" t="str">
        <f t="shared" si="4039"/>
        <v>103</v>
      </c>
      <c r="L6541" s="1" t="str">
        <f t="shared" si="4040"/>
        <v>47</v>
      </c>
      <c r="M6541" s="1" t="str">
        <f t="shared" si="4057"/>
        <v>0</v>
      </c>
      <c r="N6541" s="1" t="str">
        <f t="shared" si="4057"/>
        <v>0</v>
      </c>
      <c r="O6541" s="1" t="str">
        <f t="shared" si="4057"/>
        <v>0</v>
      </c>
    </row>
    <row r="6542" s="1" customFormat="1" spans="1:15">
      <c r="A6542" s="1" t="str">
        <f t="shared" si="4042"/>
        <v>202406</v>
      </c>
      <c r="B6542" s="1" t="str">
        <f t="shared" si="4043"/>
        <v>150525100</v>
      </c>
      <c r="C6542" s="1" t="str">
        <f>"1014623056"</f>
        <v>1014623056</v>
      </c>
      <c r="D6542" s="1" t="str">
        <f>"152326195008190425"</f>
        <v>152326195008190425</v>
      </c>
      <c r="E6542" s="1" t="s">
        <v>6370</v>
      </c>
      <c r="F6542" s="1" t="s">
        <v>16</v>
      </c>
      <c r="G6542" s="1" t="s">
        <v>17</v>
      </c>
      <c r="H6542" s="1" t="str">
        <f>"74"</f>
        <v>74</v>
      </c>
      <c r="I6542" s="1" t="str">
        <f t="shared" si="4047"/>
        <v>160</v>
      </c>
      <c r="J6542" s="1" t="str">
        <f t="shared" ref="J6542:O6542" si="4058">"0"</f>
        <v>0</v>
      </c>
      <c r="K6542" s="1" t="str">
        <f t="shared" si="4039"/>
        <v>103</v>
      </c>
      <c r="L6542" s="1" t="str">
        <f t="shared" si="4040"/>
        <v>47</v>
      </c>
      <c r="M6542" s="1" t="str">
        <f t="shared" si="4058"/>
        <v>0</v>
      </c>
      <c r="N6542" s="1" t="str">
        <f t="shared" si="4058"/>
        <v>0</v>
      </c>
      <c r="O6542" s="1" t="str">
        <f t="shared" si="4058"/>
        <v>0</v>
      </c>
    </row>
    <row r="6543" s="1" customFormat="1" spans="1:15">
      <c r="A6543" s="1" t="str">
        <f t="shared" si="4042"/>
        <v>202406</v>
      </c>
      <c r="B6543" s="1" t="str">
        <f t="shared" si="4043"/>
        <v>150525100</v>
      </c>
      <c r="C6543" s="1" t="str">
        <f>"1014589119"</f>
        <v>1014589119</v>
      </c>
      <c r="D6543" s="1" t="str">
        <f>"152326196008246374"</f>
        <v>152326196008246374</v>
      </c>
      <c r="E6543" s="1" t="s">
        <v>6371</v>
      </c>
      <c r="F6543" s="1" t="s">
        <v>25</v>
      </c>
      <c r="G6543" s="1" t="s">
        <v>17</v>
      </c>
      <c r="H6543" s="1" t="str">
        <f>"64"</f>
        <v>64</v>
      </c>
      <c r="I6543" s="1" t="str">
        <f>"159.25"</f>
        <v>159.25</v>
      </c>
      <c r="J6543" s="1" t="str">
        <f t="shared" ref="J6543:N6543" si="4059">"0"</f>
        <v>0</v>
      </c>
      <c r="K6543" s="1" t="str">
        <f t="shared" si="4039"/>
        <v>103</v>
      </c>
      <c r="L6543" s="1" t="str">
        <f t="shared" si="4040"/>
        <v>47</v>
      </c>
      <c r="M6543" s="1" t="str">
        <f t="shared" si="4059"/>
        <v>0</v>
      </c>
      <c r="N6543" s="1" t="str">
        <f t="shared" si="4059"/>
        <v>0</v>
      </c>
      <c r="O6543" s="1" t="str">
        <f>"9.25"</f>
        <v>9.25</v>
      </c>
    </row>
    <row r="6544" s="1" customFormat="1" spans="1:15">
      <c r="A6544" s="1" t="str">
        <f t="shared" si="4042"/>
        <v>202406</v>
      </c>
      <c r="B6544" s="1" t="str">
        <f t="shared" si="4043"/>
        <v>150525100</v>
      </c>
      <c r="C6544" s="1" t="str">
        <f>"1014589137"</f>
        <v>1014589137</v>
      </c>
      <c r="D6544" s="1" t="str">
        <f>"152326195703160412"</f>
        <v>152326195703160412</v>
      </c>
      <c r="E6544" s="1" t="s">
        <v>6372</v>
      </c>
      <c r="F6544" s="1" t="s">
        <v>25</v>
      </c>
      <c r="G6544" s="1" t="s">
        <v>17</v>
      </c>
      <c r="H6544" s="1" t="str">
        <f>"67"</f>
        <v>67</v>
      </c>
      <c r="I6544" s="1" t="str">
        <f>"158.37"</f>
        <v>158.37</v>
      </c>
      <c r="J6544" s="1" t="str">
        <f t="shared" ref="J6544:N6544" si="4060">"0"</f>
        <v>0</v>
      </c>
      <c r="K6544" s="1" t="str">
        <f t="shared" si="4039"/>
        <v>103</v>
      </c>
      <c r="L6544" s="1" t="str">
        <f t="shared" si="4040"/>
        <v>47</v>
      </c>
      <c r="M6544" s="1" t="str">
        <f t="shared" si="4060"/>
        <v>0</v>
      </c>
      <c r="N6544" s="1" t="str">
        <f t="shared" si="4060"/>
        <v>0</v>
      </c>
      <c r="O6544" s="1" t="str">
        <f>"8.37"</f>
        <v>8.37</v>
      </c>
    </row>
    <row r="6545" s="1" customFormat="1" spans="1:15">
      <c r="A6545" s="1" t="str">
        <f t="shared" si="4042"/>
        <v>202406</v>
      </c>
      <c r="B6545" s="1" t="str">
        <f t="shared" si="4043"/>
        <v>150525100</v>
      </c>
      <c r="C6545" s="1" t="str">
        <f>"1014589147"</f>
        <v>1014589147</v>
      </c>
      <c r="D6545" s="1" t="str">
        <f>"152326195508200415"</f>
        <v>152326195508200415</v>
      </c>
      <c r="E6545" s="1" t="s">
        <v>6373</v>
      </c>
      <c r="F6545" s="1" t="s">
        <v>25</v>
      </c>
      <c r="G6545" s="1" t="s">
        <v>17</v>
      </c>
      <c r="H6545" s="1" t="str">
        <f>"69"</f>
        <v>69</v>
      </c>
      <c r="I6545" s="1" t="str">
        <f>"155.1"</f>
        <v>155.1</v>
      </c>
      <c r="J6545" s="1" t="str">
        <f t="shared" ref="J6545:N6545" si="4061">"0"</f>
        <v>0</v>
      </c>
      <c r="K6545" s="1" t="str">
        <f t="shared" si="4039"/>
        <v>103</v>
      </c>
      <c r="L6545" s="1" t="str">
        <f t="shared" si="4040"/>
        <v>47</v>
      </c>
      <c r="M6545" s="1" t="str">
        <f t="shared" si="4061"/>
        <v>0</v>
      </c>
      <c r="N6545" s="1" t="str">
        <f t="shared" si="4061"/>
        <v>0</v>
      </c>
      <c r="O6545" s="1" t="str">
        <f>"5.1"</f>
        <v>5.1</v>
      </c>
    </row>
    <row r="6546" s="1" customFormat="1" spans="1:15">
      <c r="A6546" s="1" t="str">
        <f t="shared" si="4042"/>
        <v>202406</v>
      </c>
      <c r="B6546" s="1" t="str">
        <f t="shared" si="4043"/>
        <v>150525100</v>
      </c>
      <c r="C6546" s="1" t="str">
        <f>"1014589164"</f>
        <v>1014589164</v>
      </c>
      <c r="D6546" s="1" t="str">
        <f>"152326195604250420"</f>
        <v>152326195604250420</v>
      </c>
      <c r="E6546" s="1" t="s">
        <v>6374</v>
      </c>
      <c r="F6546" s="1" t="s">
        <v>16</v>
      </c>
      <c r="G6546" s="1" t="s">
        <v>17</v>
      </c>
      <c r="H6546" s="1" t="str">
        <f>"68"</f>
        <v>68</v>
      </c>
      <c r="I6546" s="1" t="str">
        <f>"156.02"</f>
        <v>156.02</v>
      </c>
      <c r="J6546" s="1" t="str">
        <f t="shared" ref="J6546:N6546" si="4062">"0"</f>
        <v>0</v>
      </c>
      <c r="K6546" s="1" t="str">
        <f t="shared" si="4039"/>
        <v>103</v>
      </c>
      <c r="L6546" s="1" t="str">
        <f t="shared" si="4040"/>
        <v>47</v>
      </c>
      <c r="M6546" s="1" t="str">
        <f t="shared" si="4062"/>
        <v>0</v>
      </c>
      <c r="N6546" s="1" t="str">
        <f t="shared" si="4062"/>
        <v>0</v>
      </c>
      <c r="O6546" s="1" t="str">
        <f>"6.02"</f>
        <v>6.02</v>
      </c>
    </row>
    <row r="6547" s="1" customFormat="1" spans="1:15">
      <c r="A6547" s="1" t="str">
        <f t="shared" si="4042"/>
        <v>202406</v>
      </c>
      <c r="B6547" s="1" t="str">
        <f t="shared" si="4043"/>
        <v>150525100</v>
      </c>
      <c r="C6547" s="1" t="str">
        <f>"1014589167"</f>
        <v>1014589167</v>
      </c>
      <c r="D6547" s="1" t="str">
        <f>"152326195606210414"</f>
        <v>152326195606210414</v>
      </c>
      <c r="E6547" s="1" t="s">
        <v>6375</v>
      </c>
      <c r="F6547" s="1" t="s">
        <v>25</v>
      </c>
      <c r="G6547" s="1" t="s">
        <v>17</v>
      </c>
      <c r="H6547" s="1" t="str">
        <f>"68"</f>
        <v>68</v>
      </c>
      <c r="I6547" s="1" t="str">
        <f>"156.02"</f>
        <v>156.02</v>
      </c>
      <c r="J6547" s="1" t="str">
        <f t="shared" ref="J6547:N6547" si="4063">"0"</f>
        <v>0</v>
      </c>
      <c r="K6547" s="1" t="str">
        <f t="shared" si="4039"/>
        <v>103</v>
      </c>
      <c r="L6547" s="1" t="str">
        <f t="shared" si="4040"/>
        <v>47</v>
      </c>
      <c r="M6547" s="1" t="str">
        <f t="shared" si="4063"/>
        <v>0</v>
      </c>
      <c r="N6547" s="1" t="str">
        <f t="shared" si="4063"/>
        <v>0</v>
      </c>
      <c r="O6547" s="1" t="str">
        <f>"6.02"</f>
        <v>6.02</v>
      </c>
    </row>
    <row r="6548" s="1" customFormat="1" spans="1:15">
      <c r="A6548" s="1" t="str">
        <f t="shared" si="4042"/>
        <v>202406</v>
      </c>
      <c r="B6548" s="1" t="str">
        <f t="shared" si="4043"/>
        <v>150525100</v>
      </c>
      <c r="C6548" s="1" t="str">
        <f>"1014613013"</f>
        <v>1014613013</v>
      </c>
      <c r="D6548" s="1" t="str">
        <f>"152326195009010924"</f>
        <v>152326195009010924</v>
      </c>
      <c r="E6548" s="1" t="s">
        <v>2211</v>
      </c>
      <c r="F6548" s="1" t="s">
        <v>16</v>
      </c>
      <c r="G6548" s="1" t="s">
        <v>19</v>
      </c>
      <c r="H6548" s="1" t="str">
        <f>"74"</f>
        <v>74</v>
      </c>
      <c r="I6548" s="1" t="str">
        <f>"1740"</f>
        <v>1740</v>
      </c>
      <c r="J6548" s="1" t="str">
        <f t="shared" ref="J6548:O6548" si="4064">"0"</f>
        <v>0</v>
      </c>
      <c r="K6548" s="1" t="str">
        <f t="shared" si="4064"/>
        <v>0</v>
      </c>
      <c r="L6548" s="1" t="str">
        <f t="shared" si="4064"/>
        <v>0</v>
      </c>
      <c r="M6548" s="1" t="str">
        <f t="shared" si="4064"/>
        <v>0</v>
      </c>
      <c r="N6548" s="1" t="str">
        <f t="shared" si="4064"/>
        <v>0</v>
      </c>
      <c r="O6548" s="1" t="str">
        <f t="shared" si="4064"/>
        <v>0</v>
      </c>
    </row>
    <row r="6549" s="1" customFormat="1" spans="1:15">
      <c r="A6549" s="1" t="str">
        <f t="shared" si="4042"/>
        <v>202406</v>
      </c>
      <c r="B6549" s="1" t="str">
        <f t="shared" si="4043"/>
        <v>150525100</v>
      </c>
      <c r="C6549" s="1" t="str">
        <f>"1014613026"</f>
        <v>1014613026</v>
      </c>
      <c r="D6549" s="1" t="str">
        <f>"152326194409040925"</f>
        <v>152326194409040925</v>
      </c>
      <c r="E6549" s="1" t="s">
        <v>6376</v>
      </c>
      <c r="F6549" s="1" t="s">
        <v>16</v>
      </c>
      <c r="G6549" s="1" t="s">
        <v>19</v>
      </c>
      <c r="H6549" s="1" t="str">
        <f>"80"</f>
        <v>80</v>
      </c>
      <c r="I6549" s="1" t="str">
        <f t="shared" ref="I6549:I6572" si="4065">"160"</f>
        <v>160</v>
      </c>
      <c r="J6549" s="1" t="str">
        <f t="shared" ref="J6549:O6549" si="4066">"0"</f>
        <v>0</v>
      </c>
      <c r="K6549" s="1" t="str">
        <f t="shared" ref="K6549:K6578" si="4067">"103"</f>
        <v>103</v>
      </c>
      <c r="L6549" s="1" t="str">
        <f t="shared" ref="L6549:L6578" si="4068">"47"</f>
        <v>47</v>
      </c>
      <c r="M6549" s="1" t="str">
        <f t="shared" si="4066"/>
        <v>0</v>
      </c>
      <c r="N6549" s="1" t="str">
        <f t="shared" si="4066"/>
        <v>0</v>
      </c>
      <c r="O6549" s="1" t="str">
        <f t="shared" si="4066"/>
        <v>0</v>
      </c>
    </row>
    <row r="6550" s="1" customFormat="1" spans="1:15">
      <c r="A6550" s="1" t="str">
        <f t="shared" si="4042"/>
        <v>202406</v>
      </c>
      <c r="B6550" s="1" t="str">
        <f t="shared" si="4043"/>
        <v>150525100</v>
      </c>
      <c r="C6550" s="1" t="str">
        <f>"1014613302"</f>
        <v>1014613302</v>
      </c>
      <c r="D6550" s="1" t="s">
        <v>6377</v>
      </c>
      <c r="E6550" s="1" t="s">
        <v>2833</v>
      </c>
      <c r="F6550" s="1" t="s">
        <v>25</v>
      </c>
      <c r="G6550" s="1" t="s">
        <v>17</v>
      </c>
      <c r="H6550" s="1" t="str">
        <f>"84"</f>
        <v>84</v>
      </c>
      <c r="I6550" s="1" t="str">
        <f t="shared" ref="I6550:I6553" si="4069">"170"</f>
        <v>170</v>
      </c>
      <c r="J6550" s="1" t="str">
        <f t="shared" ref="J6550:O6550" si="4070">"0"</f>
        <v>0</v>
      </c>
      <c r="K6550" s="1" t="str">
        <f t="shared" si="4067"/>
        <v>103</v>
      </c>
      <c r="L6550" s="1" t="str">
        <f t="shared" si="4068"/>
        <v>47</v>
      </c>
      <c r="M6550" s="1" t="str">
        <f t="shared" si="4070"/>
        <v>0</v>
      </c>
      <c r="N6550" s="1" t="str">
        <f t="shared" si="4070"/>
        <v>0</v>
      </c>
      <c r="O6550" s="1" t="str">
        <f t="shared" si="4070"/>
        <v>0</v>
      </c>
    </row>
    <row r="6551" s="1" customFormat="1" spans="1:15">
      <c r="A6551" s="1" t="str">
        <f t="shared" si="4042"/>
        <v>202406</v>
      </c>
      <c r="B6551" s="1" t="str">
        <f t="shared" si="4043"/>
        <v>150525100</v>
      </c>
      <c r="C6551" s="1" t="str">
        <f>"1014613312"</f>
        <v>1014613312</v>
      </c>
      <c r="D6551" s="1" t="str">
        <f>"152326193611060415"</f>
        <v>152326193611060415</v>
      </c>
      <c r="E6551" s="1" t="s">
        <v>6378</v>
      </c>
      <c r="F6551" s="1" t="s">
        <v>25</v>
      </c>
      <c r="G6551" s="1" t="s">
        <v>17</v>
      </c>
      <c r="H6551" s="1" t="str">
        <f>"88"</f>
        <v>88</v>
      </c>
      <c r="I6551" s="1" t="str">
        <f t="shared" si="4069"/>
        <v>170</v>
      </c>
      <c r="J6551" s="1" t="str">
        <f t="shared" ref="J6551:O6551" si="4071">"0"</f>
        <v>0</v>
      </c>
      <c r="K6551" s="1" t="str">
        <f t="shared" si="4067"/>
        <v>103</v>
      </c>
      <c r="L6551" s="1" t="str">
        <f t="shared" si="4068"/>
        <v>47</v>
      </c>
      <c r="M6551" s="1" t="str">
        <f t="shared" si="4071"/>
        <v>0</v>
      </c>
      <c r="N6551" s="1" t="str">
        <f t="shared" si="4071"/>
        <v>0</v>
      </c>
      <c r="O6551" s="1" t="str">
        <f t="shared" si="4071"/>
        <v>0</v>
      </c>
    </row>
    <row r="6552" s="1" customFormat="1" spans="1:15">
      <c r="A6552" s="1" t="str">
        <f t="shared" si="4042"/>
        <v>202406</v>
      </c>
      <c r="B6552" s="1" t="str">
        <f t="shared" si="4043"/>
        <v>150525100</v>
      </c>
      <c r="C6552" s="1" t="str">
        <f>"1014621942"</f>
        <v>1014621942</v>
      </c>
      <c r="D6552" s="1" t="str">
        <f>"152326194807110677"</f>
        <v>152326194807110677</v>
      </c>
      <c r="E6552" s="1" t="s">
        <v>6068</v>
      </c>
      <c r="F6552" s="1" t="s">
        <v>25</v>
      </c>
      <c r="G6552" s="1" t="s">
        <v>19</v>
      </c>
      <c r="H6552" s="1" t="str">
        <f>"76"</f>
        <v>76</v>
      </c>
      <c r="I6552" s="1" t="str">
        <f t="shared" si="4065"/>
        <v>160</v>
      </c>
      <c r="J6552" s="1" t="str">
        <f t="shared" ref="J6552:O6552" si="4072">"0"</f>
        <v>0</v>
      </c>
      <c r="K6552" s="1" t="str">
        <f t="shared" si="4067"/>
        <v>103</v>
      </c>
      <c r="L6552" s="1" t="str">
        <f t="shared" si="4068"/>
        <v>47</v>
      </c>
      <c r="M6552" s="1" t="str">
        <f t="shared" si="4072"/>
        <v>0</v>
      </c>
      <c r="N6552" s="1" t="str">
        <f t="shared" si="4072"/>
        <v>0</v>
      </c>
      <c r="O6552" s="1" t="str">
        <f t="shared" si="4072"/>
        <v>0</v>
      </c>
    </row>
    <row r="6553" s="1" customFormat="1" spans="1:15">
      <c r="A6553" s="1" t="str">
        <f t="shared" si="4042"/>
        <v>202406</v>
      </c>
      <c r="B6553" s="1" t="str">
        <f t="shared" si="4043"/>
        <v>150525100</v>
      </c>
      <c r="C6553" s="1" t="str">
        <f>"1014622339"</f>
        <v>1014622339</v>
      </c>
      <c r="D6553" s="1" t="str">
        <f>"152326194101200689"</f>
        <v>152326194101200689</v>
      </c>
      <c r="E6553" s="1" t="s">
        <v>6379</v>
      </c>
      <c r="F6553" s="1" t="s">
        <v>16</v>
      </c>
      <c r="G6553" s="1" t="s">
        <v>17</v>
      </c>
      <c r="H6553" s="1" t="str">
        <f>"83"</f>
        <v>83</v>
      </c>
      <c r="I6553" s="1" t="str">
        <f t="shared" si="4069"/>
        <v>170</v>
      </c>
      <c r="J6553" s="1" t="str">
        <f t="shared" ref="J6553:O6553" si="4073">"0"</f>
        <v>0</v>
      </c>
      <c r="K6553" s="1" t="str">
        <f t="shared" si="4067"/>
        <v>103</v>
      </c>
      <c r="L6553" s="1" t="str">
        <f t="shared" si="4068"/>
        <v>47</v>
      </c>
      <c r="M6553" s="1" t="str">
        <f t="shared" si="4073"/>
        <v>0</v>
      </c>
      <c r="N6553" s="1" t="str">
        <f t="shared" si="4073"/>
        <v>0</v>
      </c>
      <c r="O6553" s="1" t="str">
        <f t="shared" si="4073"/>
        <v>0</v>
      </c>
    </row>
    <row r="6554" s="1" customFormat="1" spans="1:15">
      <c r="A6554" s="1" t="str">
        <f t="shared" si="4042"/>
        <v>202406</v>
      </c>
      <c r="B6554" s="1" t="str">
        <f t="shared" si="4043"/>
        <v>150525100</v>
      </c>
      <c r="C6554" s="1" t="str">
        <f>"1014622346"</f>
        <v>1014622346</v>
      </c>
      <c r="D6554" s="1" t="str">
        <f>"152326195108090683"</f>
        <v>152326195108090683</v>
      </c>
      <c r="E6554" s="1" t="s">
        <v>6380</v>
      </c>
      <c r="F6554" s="1" t="s">
        <v>16</v>
      </c>
      <c r="G6554" s="1" t="s">
        <v>17</v>
      </c>
      <c r="H6554" s="1" t="str">
        <f t="shared" ref="H6554:H6558" si="4074">"73"</f>
        <v>73</v>
      </c>
      <c r="I6554" s="1" t="str">
        <f t="shared" si="4065"/>
        <v>160</v>
      </c>
      <c r="J6554" s="1" t="str">
        <f t="shared" ref="J6554:O6554" si="4075">"0"</f>
        <v>0</v>
      </c>
      <c r="K6554" s="1" t="str">
        <f t="shared" si="4067"/>
        <v>103</v>
      </c>
      <c r="L6554" s="1" t="str">
        <f t="shared" si="4068"/>
        <v>47</v>
      </c>
      <c r="M6554" s="1" t="str">
        <f t="shared" si="4075"/>
        <v>0</v>
      </c>
      <c r="N6554" s="1" t="str">
        <f t="shared" si="4075"/>
        <v>0</v>
      </c>
      <c r="O6554" s="1" t="str">
        <f t="shared" si="4075"/>
        <v>0</v>
      </c>
    </row>
    <row r="6555" s="1" customFormat="1" spans="1:15">
      <c r="A6555" s="1" t="str">
        <f t="shared" si="4042"/>
        <v>202406</v>
      </c>
      <c r="B6555" s="1" t="str">
        <f t="shared" si="4043"/>
        <v>150525100</v>
      </c>
      <c r="C6555" s="1" t="str">
        <f>"1014622732"</f>
        <v>1014622732</v>
      </c>
      <c r="D6555" s="1" t="str">
        <f>"152326195108053321"</f>
        <v>152326195108053321</v>
      </c>
      <c r="E6555" s="1" t="s">
        <v>6381</v>
      </c>
      <c r="F6555" s="1" t="s">
        <v>16</v>
      </c>
      <c r="G6555" s="1" t="s">
        <v>17</v>
      </c>
      <c r="H6555" s="1" t="str">
        <f t="shared" si="4074"/>
        <v>73</v>
      </c>
      <c r="I6555" s="1" t="str">
        <f t="shared" si="4065"/>
        <v>160</v>
      </c>
      <c r="J6555" s="1" t="str">
        <f t="shared" ref="J6555:O6555" si="4076">"0"</f>
        <v>0</v>
      </c>
      <c r="K6555" s="1" t="str">
        <f t="shared" si="4067"/>
        <v>103</v>
      </c>
      <c r="L6555" s="1" t="str">
        <f t="shared" si="4068"/>
        <v>47</v>
      </c>
      <c r="M6555" s="1" t="str">
        <f t="shared" si="4076"/>
        <v>0</v>
      </c>
      <c r="N6555" s="1" t="str">
        <f t="shared" si="4076"/>
        <v>0</v>
      </c>
      <c r="O6555" s="1" t="str">
        <f t="shared" si="4076"/>
        <v>0</v>
      </c>
    </row>
    <row r="6556" s="1" customFormat="1" spans="1:15">
      <c r="A6556" s="1" t="str">
        <f t="shared" si="4042"/>
        <v>202406</v>
      </c>
      <c r="B6556" s="1" t="str">
        <f t="shared" si="4043"/>
        <v>150525100</v>
      </c>
      <c r="C6556" s="1" t="str">
        <f>"1014622744"</f>
        <v>1014622744</v>
      </c>
      <c r="D6556" s="1" t="str">
        <f>"152326194909276379"</f>
        <v>152326194909276379</v>
      </c>
      <c r="E6556" s="1" t="s">
        <v>6382</v>
      </c>
      <c r="F6556" s="1" t="s">
        <v>25</v>
      </c>
      <c r="G6556" s="1" t="s">
        <v>17</v>
      </c>
      <c r="H6556" s="1" t="str">
        <f>"75"</f>
        <v>75</v>
      </c>
      <c r="I6556" s="1" t="str">
        <f t="shared" si="4065"/>
        <v>160</v>
      </c>
      <c r="J6556" s="1" t="str">
        <f t="shared" ref="J6556:O6556" si="4077">"0"</f>
        <v>0</v>
      </c>
      <c r="K6556" s="1" t="str">
        <f t="shared" si="4067"/>
        <v>103</v>
      </c>
      <c r="L6556" s="1" t="str">
        <f t="shared" si="4068"/>
        <v>47</v>
      </c>
      <c r="M6556" s="1" t="str">
        <f t="shared" si="4077"/>
        <v>0</v>
      </c>
      <c r="N6556" s="1" t="str">
        <f t="shared" si="4077"/>
        <v>0</v>
      </c>
      <c r="O6556" s="1" t="str">
        <f t="shared" si="4077"/>
        <v>0</v>
      </c>
    </row>
    <row r="6557" s="1" customFormat="1" spans="1:15">
      <c r="A6557" s="1" t="str">
        <f t="shared" si="4042"/>
        <v>202406</v>
      </c>
      <c r="B6557" s="1" t="str">
        <f t="shared" si="4043"/>
        <v>150525100</v>
      </c>
      <c r="C6557" s="1" t="str">
        <f>"1014622751"</f>
        <v>1014622751</v>
      </c>
      <c r="D6557" s="1" t="str">
        <f>"152326194811056378"</f>
        <v>152326194811056378</v>
      </c>
      <c r="E6557" s="1" t="s">
        <v>6383</v>
      </c>
      <c r="F6557" s="1" t="s">
        <v>25</v>
      </c>
      <c r="G6557" s="1" t="s">
        <v>17</v>
      </c>
      <c r="H6557" s="1" t="str">
        <f>"76"</f>
        <v>76</v>
      </c>
      <c r="I6557" s="1" t="str">
        <f t="shared" si="4065"/>
        <v>160</v>
      </c>
      <c r="J6557" s="1" t="str">
        <f t="shared" ref="J6557:O6557" si="4078">"0"</f>
        <v>0</v>
      </c>
      <c r="K6557" s="1" t="str">
        <f t="shared" si="4067"/>
        <v>103</v>
      </c>
      <c r="L6557" s="1" t="str">
        <f t="shared" si="4068"/>
        <v>47</v>
      </c>
      <c r="M6557" s="1" t="str">
        <f t="shared" si="4078"/>
        <v>0</v>
      </c>
      <c r="N6557" s="1" t="str">
        <f t="shared" si="4078"/>
        <v>0</v>
      </c>
      <c r="O6557" s="1" t="str">
        <f t="shared" si="4078"/>
        <v>0</v>
      </c>
    </row>
    <row r="6558" s="1" customFormat="1" spans="1:15">
      <c r="A6558" s="1" t="str">
        <f t="shared" si="4042"/>
        <v>202406</v>
      </c>
      <c r="B6558" s="1" t="str">
        <f t="shared" si="4043"/>
        <v>150525100</v>
      </c>
      <c r="C6558" s="1" t="str">
        <f>"1014624104"</f>
        <v>1014624104</v>
      </c>
      <c r="D6558" s="1" t="str">
        <f>"152326195107173081"</f>
        <v>152326195107173081</v>
      </c>
      <c r="E6558" s="1" t="s">
        <v>6384</v>
      </c>
      <c r="F6558" s="1" t="s">
        <v>16</v>
      </c>
      <c r="G6558" s="1" t="s">
        <v>17</v>
      </c>
      <c r="H6558" s="1" t="str">
        <f t="shared" si="4074"/>
        <v>73</v>
      </c>
      <c r="I6558" s="1" t="str">
        <f t="shared" si="4065"/>
        <v>160</v>
      </c>
      <c r="J6558" s="1" t="str">
        <f t="shared" ref="J6558:O6558" si="4079">"0"</f>
        <v>0</v>
      </c>
      <c r="K6558" s="1" t="str">
        <f t="shared" si="4067"/>
        <v>103</v>
      </c>
      <c r="L6558" s="1" t="str">
        <f t="shared" si="4068"/>
        <v>47</v>
      </c>
      <c r="M6558" s="1" t="str">
        <f t="shared" si="4079"/>
        <v>0</v>
      </c>
      <c r="N6558" s="1" t="str">
        <f t="shared" si="4079"/>
        <v>0</v>
      </c>
      <c r="O6558" s="1" t="str">
        <f t="shared" si="4079"/>
        <v>0</v>
      </c>
    </row>
    <row r="6559" s="1" customFormat="1" spans="1:15">
      <c r="A6559" s="1" t="str">
        <f t="shared" si="4042"/>
        <v>202406</v>
      </c>
      <c r="B6559" s="1" t="str">
        <f t="shared" si="4043"/>
        <v>150525100</v>
      </c>
      <c r="C6559" s="1" t="str">
        <f>"1014624115"</f>
        <v>1014624115</v>
      </c>
      <c r="D6559" s="1" t="str">
        <f>"152326195002023087"</f>
        <v>152326195002023087</v>
      </c>
      <c r="E6559" s="1" t="s">
        <v>6385</v>
      </c>
      <c r="F6559" s="1" t="s">
        <v>16</v>
      </c>
      <c r="G6559" s="1" t="s">
        <v>17</v>
      </c>
      <c r="H6559" s="1" t="str">
        <f>"74"</f>
        <v>74</v>
      </c>
      <c r="I6559" s="1" t="str">
        <f t="shared" si="4065"/>
        <v>160</v>
      </c>
      <c r="J6559" s="1" t="str">
        <f t="shared" ref="J6559:O6559" si="4080">"0"</f>
        <v>0</v>
      </c>
      <c r="K6559" s="1" t="str">
        <f t="shared" si="4067"/>
        <v>103</v>
      </c>
      <c r="L6559" s="1" t="str">
        <f t="shared" si="4068"/>
        <v>47</v>
      </c>
      <c r="M6559" s="1" t="str">
        <f t="shared" si="4080"/>
        <v>0</v>
      </c>
      <c r="N6559" s="1" t="str">
        <f t="shared" si="4080"/>
        <v>0</v>
      </c>
      <c r="O6559" s="1" t="str">
        <f t="shared" si="4080"/>
        <v>0</v>
      </c>
    </row>
    <row r="6560" s="1" customFormat="1" spans="1:15">
      <c r="A6560" s="1" t="str">
        <f t="shared" si="4042"/>
        <v>202406</v>
      </c>
      <c r="B6560" s="1" t="str">
        <f t="shared" si="4043"/>
        <v>150525100</v>
      </c>
      <c r="C6560" s="1" t="str">
        <f>"1014624617"</f>
        <v>1014624617</v>
      </c>
      <c r="D6560" s="1" t="s">
        <v>6386</v>
      </c>
      <c r="E6560" s="1" t="s">
        <v>6387</v>
      </c>
      <c r="F6560" s="1" t="s">
        <v>16</v>
      </c>
      <c r="G6560" s="1" t="s">
        <v>19</v>
      </c>
      <c r="H6560" s="1" t="str">
        <f>"77"</f>
        <v>77</v>
      </c>
      <c r="I6560" s="1" t="str">
        <f t="shared" si="4065"/>
        <v>160</v>
      </c>
      <c r="J6560" s="1" t="str">
        <f t="shared" ref="J6560:O6560" si="4081">"0"</f>
        <v>0</v>
      </c>
      <c r="K6560" s="1" t="str">
        <f t="shared" si="4067"/>
        <v>103</v>
      </c>
      <c r="L6560" s="1" t="str">
        <f t="shared" si="4068"/>
        <v>47</v>
      </c>
      <c r="M6560" s="1" t="str">
        <f t="shared" si="4081"/>
        <v>0</v>
      </c>
      <c r="N6560" s="1" t="str">
        <f t="shared" si="4081"/>
        <v>0</v>
      </c>
      <c r="O6560" s="1" t="str">
        <f t="shared" si="4081"/>
        <v>0</v>
      </c>
    </row>
    <row r="6561" s="1" customFormat="1" spans="1:15">
      <c r="A6561" s="1" t="str">
        <f t="shared" si="4042"/>
        <v>202406</v>
      </c>
      <c r="B6561" s="1" t="str">
        <f t="shared" si="4043"/>
        <v>150525100</v>
      </c>
      <c r="C6561" s="1" t="str">
        <f>"1014629260"</f>
        <v>1014629260</v>
      </c>
      <c r="D6561" s="1" t="str">
        <f>"152326194910250037"</f>
        <v>152326194910250037</v>
      </c>
      <c r="E6561" s="1" t="s">
        <v>6388</v>
      </c>
      <c r="F6561" s="1" t="s">
        <v>25</v>
      </c>
      <c r="G6561" s="1" t="s">
        <v>17</v>
      </c>
      <c r="H6561" s="1" t="str">
        <f>"75"</f>
        <v>75</v>
      </c>
      <c r="I6561" s="1" t="str">
        <f t="shared" si="4065"/>
        <v>160</v>
      </c>
      <c r="J6561" s="1" t="str">
        <f t="shared" ref="J6561:O6561" si="4082">"0"</f>
        <v>0</v>
      </c>
      <c r="K6561" s="1" t="str">
        <f t="shared" si="4067"/>
        <v>103</v>
      </c>
      <c r="L6561" s="1" t="str">
        <f t="shared" si="4068"/>
        <v>47</v>
      </c>
      <c r="M6561" s="1" t="str">
        <f t="shared" si="4082"/>
        <v>0</v>
      </c>
      <c r="N6561" s="1" t="str">
        <f t="shared" si="4082"/>
        <v>0</v>
      </c>
      <c r="O6561" s="1" t="str">
        <f t="shared" si="4082"/>
        <v>0</v>
      </c>
    </row>
    <row r="6562" s="1" customFormat="1" spans="1:15">
      <c r="A6562" s="1" t="str">
        <f t="shared" si="4042"/>
        <v>202406</v>
      </c>
      <c r="B6562" s="1" t="str">
        <f t="shared" si="4043"/>
        <v>150525100</v>
      </c>
      <c r="C6562" s="1" t="str">
        <f>"1014619580"</f>
        <v>1014619580</v>
      </c>
      <c r="D6562" s="1" t="str">
        <f>"152326195012230426"</f>
        <v>152326195012230426</v>
      </c>
      <c r="E6562" s="1" t="s">
        <v>6389</v>
      </c>
      <c r="F6562" s="1" t="s">
        <v>16</v>
      </c>
      <c r="G6562" s="1" t="s">
        <v>17</v>
      </c>
      <c r="H6562" s="1" t="str">
        <f>"74"</f>
        <v>74</v>
      </c>
      <c r="I6562" s="1" t="str">
        <f t="shared" si="4065"/>
        <v>160</v>
      </c>
      <c r="J6562" s="1" t="str">
        <f t="shared" ref="J6562:O6562" si="4083">"0"</f>
        <v>0</v>
      </c>
      <c r="K6562" s="1" t="str">
        <f t="shared" si="4067"/>
        <v>103</v>
      </c>
      <c r="L6562" s="1" t="str">
        <f t="shared" si="4068"/>
        <v>47</v>
      </c>
      <c r="M6562" s="1" t="str">
        <f t="shared" si="4083"/>
        <v>0</v>
      </c>
      <c r="N6562" s="1" t="str">
        <f t="shared" si="4083"/>
        <v>0</v>
      </c>
      <c r="O6562" s="1" t="str">
        <f t="shared" si="4083"/>
        <v>0</v>
      </c>
    </row>
    <row r="6563" s="1" customFormat="1" spans="1:15">
      <c r="A6563" s="1" t="str">
        <f t="shared" si="4042"/>
        <v>202406</v>
      </c>
      <c r="B6563" s="1" t="str">
        <f t="shared" si="4043"/>
        <v>150525100</v>
      </c>
      <c r="C6563" s="1" t="str">
        <f>"1014629367"</f>
        <v>1014629367</v>
      </c>
      <c r="D6563" s="1" t="str">
        <f>"152326195111230077"</f>
        <v>152326195111230077</v>
      </c>
      <c r="E6563" s="1" t="s">
        <v>6390</v>
      </c>
      <c r="F6563" s="1" t="s">
        <v>25</v>
      </c>
      <c r="G6563" s="1" t="s">
        <v>17</v>
      </c>
      <c r="H6563" s="1" t="str">
        <f>"73"</f>
        <v>73</v>
      </c>
      <c r="I6563" s="1" t="str">
        <f t="shared" si="4065"/>
        <v>160</v>
      </c>
      <c r="J6563" s="1" t="str">
        <f t="shared" ref="J6563:O6563" si="4084">"0"</f>
        <v>0</v>
      </c>
      <c r="K6563" s="1" t="str">
        <f t="shared" si="4067"/>
        <v>103</v>
      </c>
      <c r="L6563" s="1" t="str">
        <f t="shared" si="4068"/>
        <v>47</v>
      </c>
      <c r="M6563" s="1" t="str">
        <f t="shared" si="4084"/>
        <v>0</v>
      </c>
      <c r="N6563" s="1" t="str">
        <f t="shared" si="4084"/>
        <v>0</v>
      </c>
      <c r="O6563" s="1" t="str">
        <f t="shared" si="4084"/>
        <v>0</v>
      </c>
    </row>
    <row r="6564" s="1" customFormat="1" spans="1:15">
      <c r="A6564" s="1" t="str">
        <f t="shared" si="4042"/>
        <v>202406</v>
      </c>
      <c r="B6564" s="1" t="str">
        <f t="shared" si="4043"/>
        <v>150525100</v>
      </c>
      <c r="C6564" s="1" t="str">
        <f>"1014629371"</f>
        <v>1014629371</v>
      </c>
      <c r="D6564" s="1" t="str">
        <f>"152326194710200019"</f>
        <v>152326194710200019</v>
      </c>
      <c r="E6564" s="1" t="s">
        <v>52</v>
      </c>
      <c r="F6564" s="1" t="s">
        <v>25</v>
      </c>
      <c r="G6564" s="1" t="s">
        <v>17</v>
      </c>
      <c r="H6564" s="1" t="str">
        <f>"77"</f>
        <v>77</v>
      </c>
      <c r="I6564" s="1" t="str">
        <f t="shared" si="4065"/>
        <v>160</v>
      </c>
      <c r="J6564" s="1" t="str">
        <f t="shared" ref="J6564:O6564" si="4085">"0"</f>
        <v>0</v>
      </c>
      <c r="K6564" s="1" t="str">
        <f t="shared" si="4067"/>
        <v>103</v>
      </c>
      <c r="L6564" s="1" t="str">
        <f t="shared" si="4068"/>
        <v>47</v>
      </c>
      <c r="M6564" s="1" t="str">
        <f t="shared" si="4085"/>
        <v>0</v>
      </c>
      <c r="N6564" s="1" t="str">
        <f t="shared" si="4085"/>
        <v>0</v>
      </c>
      <c r="O6564" s="1" t="str">
        <f t="shared" si="4085"/>
        <v>0</v>
      </c>
    </row>
    <row r="6565" s="1" customFormat="1" spans="1:15">
      <c r="A6565" s="1" t="str">
        <f t="shared" si="4042"/>
        <v>202406</v>
      </c>
      <c r="B6565" s="1" t="str">
        <f t="shared" si="4043"/>
        <v>150525100</v>
      </c>
      <c r="C6565" s="1" t="str">
        <f>"1014623118"</f>
        <v>1014623118</v>
      </c>
      <c r="D6565" s="1" t="str">
        <f>"152326194907140427"</f>
        <v>152326194907140427</v>
      </c>
      <c r="E6565" s="1" t="s">
        <v>6391</v>
      </c>
      <c r="F6565" s="1" t="s">
        <v>16</v>
      </c>
      <c r="G6565" s="1" t="s">
        <v>17</v>
      </c>
      <c r="H6565" s="1" t="str">
        <f t="shared" ref="H6565:H6570" si="4086">"75"</f>
        <v>75</v>
      </c>
      <c r="I6565" s="1" t="str">
        <f t="shared" si="4065"/>
        <v>160</v>
      </c>
      <c r="J6565" s="1" t="str">
        <f t="shared" ref="J6565:O6565" si="4087">"0"</f>
        <v>0</v>
      </c>
      <c r="K6565" s="1" t="str">
        <f t="shared" si="4067"/>
        <v>103</v>
      </c>
      <c r="L6565" s="1" t="str">
        <f t="shared" si="4068"/>
        <v>47</v>
      </c>
      <c r="M6565" s="1" t="str">
        <f t="shared" si="4087"/>
        <v>0</v>
      </c>
      <c r="N6565" s="1" t="str">
        <f t="shared" si="4087"/>
        <v>0</v>
      </c>
      <c r="O6565" s="1" t="str">
        <f t="shared" si="4087"/>
        <v>0</v>
      </c>
    </row>
    <row r="6566" s="1" customFormat="1" spans="1:15">
      <c r="A6566" s="1" t="str">
        <f t="shared" si="4042"/>
        <v>202406</v>
      </c>
      <c r="B6566" s="1" t="str">
        <f t="shared" si="4043"/>
        <v>150525100</v>
      </c>
      <c r="C6566" s="1" t="str">
        <f>"1014623611"</f>
        <v>1014623611</v>
      </c>
      <c r="D6566" s="1" t="str">
        <f>"152326195001080418"</f>
        <v>152326195001080418</v>
      </c>
      <c r="E6566" s="1" t="s">
        <v>6392</v>
      </c>
      <c r="F6566" s="1" t="s">
        <v>25</v>
      </c>
      <c r="G6566" s="1" t="s">
        <v>17</v>
      </c>
      <c r="H6566" s="1" t="str">
        <f>"74"</f>
        <v>74</v>
      </c>
      <c r="I6566" s="1" t="str">
        <f t="shared" si="4065"/>
        <v>160</v>
      </c>
      <c r="J6566" s="1" t="str">
        <f t="shared" ref="J6566:O6566" si="4088">"0"</f>
        <v>0</v>
      </c>
      <c r="K6566" s="1" t="str">
        <f t="shared" si="4067"/>
        <v>103</v>
      </c>
      <c r="L6566" s="1" t="str">
        <f t="shared" si="4068"/>
        <v>47</v>
      </c>
      <c r="M6566" s="1" t="str">
        <f t="shared" si="4088"/>
        <v>0</v>
      </c>
      <c r="N6566" s="1" t="str">
        <f t="shared" si="4088"/>
        <v>0</v>
      </c>
      <c r="O6566" s="1" t="str">
        <f t="shared" si="4088"/>
        <v>0</v>
      </c>
    </row>
    <row r="6567" s="1" customFormat="1" spans="1:15">
      <c r="A6567" s="1" t="str">
        <f t="shared" si="4042"/>
        <v>202406</v>
      </c>
      <c r="B6567" s="1" t="str">
        <f t="shared" si="4043"/>
        <v>150525100</v>
      </c>
      <c r="C6567" s="1" t="str">
        <f>"1014623624"</f>
        <v>1014623624</v>
      </c>
      <c r="D6567" s="1" t="str">
        <f>"152326194903120410"</f>
        <v>152326194903120410</v>
      </c>
      <c r="E6567" s="1" t="s">
        <v>6393</v>
      </c>
      <c r="F6567" s="1" t="s">
        <v>25</v>
      </c>
      <c r="G6567" s="1" t="s">
        <v>17</v>
      </c>
      <c r="H6567" s="1" t="str">
        <f t="shared" si="4086"/>
        <v>75</v>
      </c>
      <c r="I6567" s="1" t="str">
        <f t="shared" si="4065"/>
        <v>160</v>
      </c>
      <c r="J6567" s="1" t="str">
        <f t="shared" ref="J6567:O6567" si="4089">"0"</f>
        <v>0</v>
      </c>
      <c r="K6567" s="1" t="str">
        <f t="shared" si="4067"/>
        <v>103</v>
      </c>
      <c r="L6567" s="1" t="str">
        <f t="shared" si="4068"/>
        <v>47</v>
      </c>
      <c r="M6567" s="1" t="str">
        <f t="shared" si="4089"/>
        <v>0</v>
      </c>
      <c r="N6567" s="1" t="str">
        <f t="shared" si="4089"/>
        <v>0</v>
      </c>
      <c r="O6567" s="1" t="str">
        <f t="shared" si="4089"/>
        <v>0</v>
      </c>
    </row>
    <row r="6568" s="1" customFormat="1" spans="1:15">
      <c r="A6568" s="1" t="str">
        <f t="shared" si="4042"/>
        <v>202406</v>
      </c>
      <c r="B6568" s="1" t="str">
        <f t="shared" si="4043"/>
        <v>150525100</v>
      </c>
      <c r="C6568" s="1" t="str">
        <f>"1014629739"</f>
        <v>1014629739</v>
      </c>
      <c r="D6568" s="1" t="str">
        <f>"152326195005033811"</f>
        <v>152326195005033811</v>
      </c>
      <c r="E6568" s="1" t="s">
        <v>6394</v>
      </c>
      <c r="F6568" s="1" t="s">
        <v>25</v>
      </c>
      <c r="G6568" s="1" t="s">
        <v>17</v>
      </c>
      <c r="H6568" s="1" t="str">
        <f>"74"</f>
        <v>74</v>
      </c>
      <c r="I6568" s="1" t="str">
        <f t="shared" si="4065"/>
        <v>160</v>
      </c>
      <c r="J6568" s="1" t="str">
        <f t="shared" ref="J6568:O6568" si="4090">"0"</f>
        <v>0</v>
      </c>
      <c r="K6568" s="1" t="str">
        <f t="shared" si="4067"/>
        <v>103</v>
      </c>
      <c r="L6568" s="1" t="str">
        <f t="shared" si="4068"/>
        <v>47</v>
      </c>
      <c r="M6568" s="1" t="str">
        <f t="shared" si="4090"/>
        <v>0</v>
      </c>
      <c r="N6568" s="1" t="str">
        <f t="shared" si="4090"/>
        <v>0</v>
      </c>
      <c r="O6568" s="1" t="str">
        <f t="shared" si="4090"/>
        <v>0</v>
      </c>
    </row>
    <row r="6569" s="1" customFormat="1" spans="1:15">
      <c r="A6569" s="1" t="str">
        <f t="shared" si="4042"/>
        <v>202406</v>
      </c>
      <c r="B6569" s="1" t="str">
        <f t="shared" si="4043"/>
        <v>150525100</v>
      </c>
      <c r="C6569" s="1" t="str">
        <f>"1014629745"</f>
        <v>1014629745</v>
      </c>
      <c r="D6569" s="1" t="str">
        <f>"152326195105103821"</f>
        <v>152326195105103821</v>
      </c>
      <c r="E6569" s="1" t="s">
        <v>6395</v>
      </c>
      <c r="F6569" s="1" t="s">
        <v>16</v>
      </c>
      <c r="G6569" s="1" t="s">
        <v>17</v>
      </c>
      <c r="H6569" s="1" t="str">
        <f>"73"</f>
        <v>73</v>
      </c>
      <c r="I6569" s="1" t="str">
        <f t="shared" si="4065"/>
        <v>160</v>
      </c>
      <c r="J6569" s="1" t="str">
        <f t="shared" ref="J6569:O6569" si="4091">"0"</f>
        <v>0</v>
      </c>
      <c r="K6569" s="1" t="str">
        <f t="shared" si="4067"/>
        <v>103</v>
      </c>
      <c r="L6569" s="1" t="str">
        <f t="shared" si="4068"/>
        <v>47</v>
      </c>
      <c r="M6569" s="1" t="str">
        <f t="shared" si="4091"/>
        <v>0</v>
      </c>
      <c r="N6569" s="1" t="str">
        <f t="shared" si="4091"/>
        <v>0</v>
      </c>
      <c r="O6569" s="1" t="str">
        <f t="shared" si="4091"/>
        <v>0</v>
      </c>
    </row>
    <row r="6570" s="1" customFormat="1" spans="1:15">
      <c r="A6570" s="1" t="str">
        <f t="shared" si="4042"/>
        <v>202406</v>
      </c>
      <c r="B6570" s="1" t="str">
        <f t="shared" si="4043"/>
        <v>150525100</v>
      </c>
      <c r="C6570" s="1" t="str">
        <f>"1014629752"</f>
        <v>1014629752</v>
      </c>
      <c r="D6570" s="1" t="str">
        <f>"152326194907093827"</f>
        <v>152326194907093827</v>
      </c>
      <c r="E6570" s="1" t="s">
        <v>6396</v>
      </c>
      <c r="F6570" s="1" t="s">
        <v>16</v>
      </c>
      <c r="G6570" s="1" t="s">
        <v>17</v>
      </c>
      <c r="H6570" s="1" t="str">
        <f t="shared" si="4086"/>
        <v>75</v>
      </c>
      <c r="I6570" s="1" t="str">
        <f t="shared" si="4065"/>
        <v>160</v>
      </c>
      <c r="J6570" s="1" t="str">
        <f t="shared" ref="J6570:O6570" si="4092">"0"</f>
        <v>0</v>
      </c>
      <c r="K6570" s="1" t="str">
        <f t="shared" si="4067"/>
        <v>103</v>
      </c>
      <c r="L6570" s="1" t="str">
        <f t="shared" si="4068"/>
        <v>47</v>
      </c>
      <c r="M6570" s="1" t="str">
        <f t="shared" si="4092"/>
        <v>0</v>
      </c>
      <c r="N6570" s="1" t="str">
        <f t="shared" si="4092"/>
        <v>0</v>
      </c>
      <c r="O6570" s="1" t="str">
        <f t="shared" si="4092"/>
        <v>0</v>
      </c>
    </row>
    <row r="6571" s="1" customFormat="1" spans="1:15">
      <c r="A6571" s="1" t="str">
        <f t="shared" si="4042"/>
        <v>202406</v>
      </c>
      <c r="B6571" s="1" t="str">
        <f t="shared" si="4043"/>
        <v>150525100</v>
      </c>
      <c r="C6571" s="1" t="str">
        <f>"1014629811"</f>
        <v>1014629811</v>
      </c>
      <c r="D6571" s="1" t="str">
        <f>"152326195111260014"</f>
        <v>152326195111260014</v>
      </c>
      <c r="E6571" s="1" t="s">
        <v>3430</v>
      </c>
      <c r="F6571" s="1" t="s">
        <v>25</v>
      </c>
      <c r="G6571" s="1" t="s">
        <v>17</v>
      </c>
      <c r="H6571" s="1" t="str">
        <f>"73"</f>
        <v>73</v>
      </c>
      <c r="I6571" s="1" t="str">
        <f t="shared" si="4065"/>
        <v>160</v>
      </c>
      <c r="J6571" s="1" t="str">
        <f t="shared" ref="J6571:O6571" si="4093">"0"</f>
        <v>0</v>
      </c>
      <c r="K6571" s="1" t="str">
        <f t="shared" si="4067"/>
        <v>103</v>
      </c>
      <c r="L6571" s="1" t="str">
        <f t="shared" si="4068"/>
        <v>47</v>
      </c>
      <c r="M6571" s="1" t="str">
        <f t="shared" si="4093"/>
        <v>0</v>
      </c>
      <c r="N6571" s="1" t="str">
        <f t="shared" si="4093"/>
        <v>0</v>
      </c>
      <c r="O6571" s="1" t="str">
        <f t="shared" si="4093"/>
        <v>0</v>
      </c>
    </row>
    <row r="6572" s="1" customFormat="1" spans="1:15">
      <c r="A6572" s="1" t="str">
        <f t="shared" si="4042"/>
        <v>202406</v>
      </c>
      <c r="B6572" s="1" t="str">
        <f t="shared" si="4043"/>
        <v>150525100</v>
      </c>
      <c r="C6572" s="1" t="str">
        <f>"1014629856"</f>
        <v>1014629856</v>
      </c>
      <c r="D6572" s="1" t="str">
        <f>"152326194901033081"</f>
        <v>152326194901033081</v>
      </c>
      <c r="E6572" s="1" t="s">
        <v>1731</v>
      </c>
      <c r="F6572" s="1" t="s">
        <v>16</v>
      </c>
      <c r="G6572" s="1" t="s">
        <v>17</v>
      </c>
      <c r="H6572" s="1" t="str">
        <f>"76"</f>
        <v>76</v>
      </c>
      <c r="I6572" s="1" t="str">
        <f t="shared" si="4065"/>
        <v>160</v>
      </c>
      <c r="J6572" s="1" t="str">
        <f t="shared" ref="J6572:O6572" si="4094">"0"</f>
        <v>0</v>
      </c>
      <c r="K6572" s="1" t="str">
        <f t="shared" si="4067"/>
        <v>103</v>
      </c>
      <c r="L6572" s="1" t="str">
        <f t="shared" si="4068"/>
        <v>47</v>
      </c>
      <c r="M6572" s="1" t="str">
        <f t="shared" si="4094"/>
        <v>0</v>
      </c>
      <c r="N6572" s="1" t="str">
        <f t="shared" si="4094"/>
        <v>0</v>
      </c>
      <c r="O6572" s="1" t="str">
        <f t="shared" si="4094"/>
        <v>0</v>
      </c>
    </row>
    <row r="6573" s="1" customFormat="1" spans="1:15">
      <c r="A6573" s="1" t="str">
        <f t="shared" si="4042"/>
        <v>202406</v>
      </c>
      <c r="B6573" s="1" t="str">
        <f t="shared" si="4043"/>
        <v>150525100</v>
      </c>
      <c r="C6573" s="1" t="str">
        <f>"1014589184"</f>
        <v>1014589184</v>
      </c>
      <c r="D6573" s="1" t="str">
        <f>"152326195610260422"</f>
        <v>152326195610260422</v>
      </c>
      <c r="E6573" s="1" t="s">
        <v>213</v>
      </c>
      <c r="F6573" s="1" t="s">
        <v>16</v>
      </c>
      <c r="G6573" s="1" t="s">
        <v>17</v>
      </c>
      <c r="H6573" s="1" t="str">
        <f>"68"</f>
        <v>68</v>
      </c>
      <c r="I6573" s="1" t="str">
        <f>"156.02"</f>
        <v>156.02</v>
      </c>
      <c r="J6573" s="1" t="str">
        <f t="shared" ref="J6573:N6573" si="4095">"0"</f>
        <v>0</v>
      </c>
      <c r="K6573" s="1" t="str">
        <f t="shared" si="4067"/>
        <v>103</v>
      </c>
      <c r="L6573" s="1" t="str">
        <f t="shared" si="4068"/>
        <v>47</v>
      </c>
      <c r="M6573" s="1" t="str">
        <f t="shared" si="4095"/>
        <v>0</v>
      </c>
      <c r="N6573" s="1" t="str">
        <f t="shared" si="4095"/>
        <v>0</v>
      </c>
      <c r="O6573" s="1" t="str">
        <f>"6.02"</f>
        <v>6.02</v>
      </c>
    </row>
    <row r="6574" s="1" customFormat="1" spans="1:15">
      <c r="A6574" s="1" t="str">
        <f t="shared" si="4042"/>
        <v>202406</v>
      </c>
      <c r="B6574" s="1" t="str">
        <f t="shared" si="4043"/>
        <v>150525100</v>
      </c>
      <c r="C6574" s="1" t="str">
        <f>"1014589185"</f>
        <v>1014589185</v>
      </c>
      <c r="D6574" s="1" t="str">
        <f>"152326196004270422"</f>
        <v>152326196004270422</v>
      </c>
      <c r="E6574" s="1" t="s">
        <v>6397</v>
      </c>
      <c r="F6574" s="1" t="s">
        <v>16</v>
      </c>
      <c r="G6574" s="1" t="s">
        <v>17</v>
      </c>
      <c r="H6574" s="1" t="str">
        <f>"64"</f>
        <v>64</v>
      </c>
      <c r="I6574" s="1" t="str">
        <f>"165.8"</f>
        <v>165.8</v>
      </c>
      <c r="J6574" s="1" t="str">
        <f t="shared" ref="J6574:N6574" si="4096">"0"</f>
        <v>0</v>
      </c>
      <c r="K6574" s="1" t="str">
        <f t="shared" si="4067"/>
        <v>103</v>
      </c>
      <c r="L6574" s="1" t="str">
        <f t="shared" si="4068"/>
        <v>47</v>
      </c>
      <c r="M6574" s="1" t="str">
        <f t="shared" si="4096"/>
        <v>0</v>
      </c>
      <c r="N6574" s="1" t="str">
        <f t="shared" si="4096"/>
        <v>0</v>
      </c>
      <c r="O6574" s="1" t="str">
        <f>"15.8"</f>
        <v>15.8</v>
      </c>
    </row>
    <row r="6575" s="1" customFormat="1" spans="1:15">
      <c r="A6575" s="1" t="str">
        <f t="shared" si="4042"/>
        <v>202406</v>
      </c>
      <c r="B6575" s="1" t="str">
        <f t="shared" si="4043"/>
        <v>150525100</v>
      </c>
      <c r="C6575" s="1" t="str">
        <f>"1014589196"</f>
        <v>1014589196</v>
      </c>
      <c r="D6575" s="1" t="str">
        <f>"152326195909280444"</f>
        <v>152326195909280444</v>
      </c>
      <c r="E6575" s="1" t="s">
        <v>6398</v>
      </c>
      <c r="F6575" s="1" t="s">
        <v>16</v>
      </c>
      <c r="G6575" s="1" t="s">
        <v>17</v>
      </c>
      <c r="H6575" s="1" t="str">
        <f>"65"</f>
        <v>65</v>
      </c>
      <c r="I6575" s="1" t="str">
        <f>"158.19"</f>
        <v>158.19</v>
      </c>
      <c r="J6575" s="1" t="str">
        <f t="shared" ref="J6575:N6575" si="4097">"0"</f>
        <v>0</v>
      </c>
      <c r="K6575" s="1" t="str">
        <f t="shared" si="4067"/>
        <v>103</v>
      </c>
      <c r="L6575" s="1" t="str">
        <f t="shared" si="4068"/>
        <v>47</v>
      </c>
      <c r="M6575" s="1" t="str">
        <f t="shared" si="4097"/>
        <v>0</v>
      </c>
      <c r="N6575" s="1" t="str">
        <f t="shared" si="4097"/>
        <v>0</v>
      </c>
      <c r="O6575" s="1" t="str">
        <f>"8.19"</f>
        <v>8.19</v>
      </c>
    </row>
    <row r="6576" s="1" customFormat="1" spans="1:15">
      <c r="A6576" s="1" t="str">
        <f t="shared" si="4042"/>
        <v>202406</v>
      </c>
      <c r="B6576" s="1" t="str">
        <f t="shared" si="4043"/>
        <v>150525100</v>
      </c>
      <c r="C6576" s="1" t="str">
        <f>"1014589211"</f>
        <v>1014589211</v>
      </c>
      <c r="D6576" s="1" t="s">
        <v>6399</v>
      </c>
      <c r="E6576" s="1" t="s">
        <v>6400</v>
      </c>
      <c r="F6576" s="1" t="s">
        <v>25</v>
      </c>
      <c r="G6576" s="1" t="s">
        <v>17</v>
      </c>
      <c r="H6576" s="1" t="str">
        <f>"72"</f>
        <v>72</v>
      </c>
      <c r="I6576" s="1" t="str">
        <f>"162.15"</f>
        <v>162.15</v>
      </c>
      <c r="J6576" s="1" t="str">
        <f t="shared" ref="J6576:N6576" si="4098">"0"</f>
        <v>0</v>
      </c>
      <c r="K6576" s="1" t="str">
        <f t="shared" si="4067"/>
        <v>103</v>
      </c>
      <c r="L6576" s="1" t="str">
        <f t="shared" si="4068"/>
        <v>47</v>
      </c>
      <c r="M6576" s="1" t="str">
        <f t="shared" si="4098"/>
        <v>0</v>
      </c>
      <c r="N6576" s="1" t="str">
        <f t="shared" si="4098"/>
        <v>0</v>
      </c>
      <c r="O6576" s="1" t="str">
        <f>"2.15"</f>
        <v>2.15</v>
      </c>
    </row>
    <row r="6577" s="1" customFormat="1" spans="1:15">
      <c r="A6577" s="1" t="str">
        <f t="shared" si="4042"/>
        <v>202406</v>
      </c>
      <c r="B6577" s="1" t="str">
        <f t="shared" si="4043"/>
        <v>150525100</v>
      </c>
      <c r="C6577" s="1" t="str">
        <f>"1014624856"</f>
        <v>1014624856</v>
      </c>
      <c r="D6577" s="1" t="str">
        <f>"152326195101150663"</f>
        <v>152326195101150663</v>
      </c>
      <c r="E6577" s="1" t="s">
        <v>6401</v>
      </c>
      <c r="F6577" s="1" t="s">
        <v>16</v>
      </c>
      <c r="G6577" s="1" t="s">
        <v>19</v>
      </c>
      <c r="H6577" s="1" t="str">
        <f>"73"</f>
        <v>73</v>
      </c>
      <c r="I6577" s="1" t="str">
        <f t="shared" ref="I6577:I6585" si="4099">"160"</f>
        <v>160</v>
      </c>
      <c r="J6577" s="1" t="str">
        <f t="shared" ref="J6577:O6577" si="4100">"0"</f>
        <v>0</v>
      </c>
      <c r="K6577" s="1" t="str">
        <f t="shared" si="4067"/>
        <v>103</v>
      </c>
      <c r="L6577" s="1" t="str">
        <f t="shared" si="4068"/>
        <v>47</v>
      </c>
      <c r="M6577" s="1" t="str">
        <f t="shared" si="4100"/>
        <v>0</v>
      </c>
      <c r="N6577" s="1" t="str">
        <f t="shared" si="4100"/>
        <v>0</v>
      </c>
      <c r="O6577" s="1" t="str">
        <f t="shared" si="4100"/>
        <v>0</v>
      </c>
    </row>
    <row r="6578" s="1" customFormat="1" spans="1:15">
      <c r="A6578" s="1" t="str">
        <f t="shared" si="4042"/>
        <v>202406</v>
      </c>
      <c r="B6578" s="1" t="str">
        <f t="shared" si="4043"/>
        <v>150525100</v>
      </c>
      <c r="C6578" s="1" t="str">
        <f>"1014624876"</f>
        <v>1014624876</v>
      </c>
      <c r="D6578" s="1" t="str">
        <f>"152326194502170417"</f>
        <v>152326194502170417</v>
      </c>
      <c r="E6578" s="1" t="s">
        <v>6402</v>
      </c>
      <c r="F6578" s="1" t="s">
        <v>25</v>
      </c>
      <c r="G6578" s="1" t="s">
        <v>17</v>
      </c>
      <c r="H6578" s="1" t="str">
        <f>"79"</f>
        <v>79</v>
      </c>
      <c r="I6578" s="1" t="str">
        <f t="shared" si="4099"/>
        <v>160</v>
      </c>
      <c r="J6578" s="1" t="str">
        <f t="shared" ref="J6578:O6578" si="4101">"0"</f>
        <v>0</v>
      </c>
      <c r="K6578" s="1" t="str">
        <f t="shared" si="4067"/>
        <v>103</v>
      </c>
      <c r="L6578" s="1" t="str">
        <f t="shared" si="4068"/>
        <v>47</v>
      </c>
      <c r="M6578" s="1" t="str">
        <f t="shared" si="4101"/>
        <v>0</v>
      </c>
      <c r="N6578" s="1" t="str">
        <f t="shared" si="4101"/>
        <v>0</v>
      </c>
      <c r="O6578" s="1" t="str">
        <f t="shared" si="4101"/>
        <v>0</v>
      </c>
    </row>
    <row r="6579" s="1" customFormat="1" spans="1:15">
      <c r="A6579" s="1" t="str">
        <f t="shared" si="4042"/>
        <v>202406</v>
      </c>
      <c r="B6579" s="1" t="str">
        <f t="shared" si="4043"/>
        <v>150525100</v>
      </c>
      <c r="C6579" s="1" t="str">
        <f>"1014640989"</f>
        <v>1014640989</v>
      </c>
      <c r="D6579" s="1" t="s">
        <v>6403</v>
      </c>
      <c r="E6579" s="1" t="s">
        <v>6404</v>
      </c>
      <c r="F6579" s="1" t="s">
        <v>25</v>
      </c>
      <c r="G6579" s="1" t="s">
        <v>17</v>
      </c>
      <c r="H6579" s="1" t="str">
        <f>"70"</f>
        <v>70</v>
      </c>
      <c r="I6579" s="1" t="str">
        <f>"3767.11"</f>
        <v>3767.11</v>
      </c>
      <c r="J6579" s="1" t="str">
        <f>"1868.92"</f>
        <v>1868.92</v>
      </c>
      <c r="K6579" s="1" t="str">
        <f>"1394.66"</f>
        <v>1394.66</v>
      </c>
      <c r="L6579" s="1" t="str">
        <f>"564"</f>
        <v>564</v>
      </c>
      <c r="M6579" s="1" t="str">
        <f>"0"</f>
        <v>0</v>
      </c>
      <c r="N6579" s="1" t="str">
        <f>"0"</f>
        <v>0</v>
      </c>
      <c r="O6579" s="1" t="str">
        <f>"43.92"</f>
        <v>43.92</v>
      </c>
    </row>
    <row r="6580" s="1" customFormat="1" spans="1:15">
      <c r="A6580" s="1" t="str">
        <f t="shared" si="4042"/>
        <v>202406</v>
      </c>
      <c r="B6580" s="1" t="str">
        <f t="shared" si="4043"/>
        <v>150525100</v>
      </c>
      <c r="C6580" s="1" t="str">
        <f>"1014624826"</f>
        <v>1014624826</v>
      </c>
      <c r="D6580" s="1" t="s">
        <v>6405</v>
      </c>
      <c r="E6580" s="1" t="s">
        <v>6406</v>
      </c>
      <c r="F6580" s="1" t="s">
        <v>16</v>
      </c>
      <c r="G6580" s="1" t="s">
        <v>17</v>
      </c>
      <c r="H6580" s="1" t="str">
        <f>"75"</f>
        <v>75</v>
      </c>
      <c r="I6580" s="1" t="str">
        <f t="shared" si="4099"/>
        <v>160</v>
      </c>
      <c r="J6580" s="1" t="str">
        <f t="shared" ref="J6580:O6580" si="4102">"0"</f>
        <v>0</v>
      </c>
      <c r="K6580" s="1" t="str">
        <f t="shared" ref="K6580:K6587" si="4103">"103"</f>
        <v>103</v>
      </c>
      <c r="L6580" s="1" t="str">
        <f t="shared" ref="L6580:L6587" si="4104">"47"</f>
        <v>47</v>
      </c>
      <c r="M6580" s="1" t="str">
        <f t="shared" si="4102"/>
        <v>0</v>
      </c>
      <c r="N6580" s="1" t="str">
        <f t="shared" si="4102"/>
        <v>0</v>
      </c>
      <c r="O6580" s="1" t="str">
        <f t="shared" si="4102"/>
        <v>0</v>
      </c>
    </row>
    <row r="6581" s="1" customFormat="1" spans="1:15">
      <c r="A6581" s="1" t="str">
        <f t="shared" si="4042"/>
        <v>202406</v>
      </c>
      <c r="B6581" s="1" t="str">
        <f t="shared" si="4043"/>
        <v>150525100</v>
      </c>
      <c r="C6581" s="1" t="str">
        <f>"1014624846"</f>
        <v>1014624846</v>
      </c>
      <c r="D6581" s="1" t="s">
        <v>6407</v>
      </c>
      <c r="E6581" s="1" t="s">
        <v>6408</v>
      </c>
      <c r="F6581" s="1" t="s">
        <v>16</v>
      </c>
      <c r="G6581" s="1" t="s">
        <v>17</v>
      </c>
      <c r="H6581" s="1" t="str">
        <f>"74"</f>
        <v>74</v>
      </c>
      <c r="I6581" s="1" t="str">
        <f t="shared" si="4099"/>
        <v>160</v>
      </c>
      <c r="J6581" s="1" t="str">
        <f t="shared" ref="J6581:O6581" si="4105">"0"</f>
        <v>0</v>
      </c>
      <c r="K6581" s="1" t="str">
        <f t="shared" si="4103"/>
        <v>103</v>
      </c>
      <c r="L6581" s="1" t="str">
        <f t="shared" si="4104"/>
        <v>47</v>
      </c>
      <c r="M6581" s="1" t="str">
        <f t="shared" si="4105"/>
        <v>0</v>
      </c>
      <c r="N6581" s="1" t="str">
        <f t="shared" si="4105"/>
        <v>0</v>
      </c>
      <c r="O6581" s="1" t="str">
        <f t="shared" si="4105"/>
        <v>0</v>
      </c>
    </row>
    <row r="6582" s="1" customFormat="1" spans="1:15">
      <c r="A6582" s="1" t="str">
        <f t="shared" si="4042"/>
        <v>202406</v>
      </c>
      <c r="B6582" s="1" t="str">
        <f t="shared" si="4043"/>
        <v>150525100</v>
      </c>
      <c r="C6582" s="1" t="str">
        <f>"1014625282"</f>
        <v>1014625282</v>
      </c>
      <c r="D6582" s="1" t="str">
        <f>"152326194706223322"</f>
        <v>152326194706223322</v>
      </c>
      <c r="E6582" s="1" t="s">
        <v>4740</v>
      </c>
      <c r="F6582" s="1" t="s">
        <v>16</v>
      </c>
      <c r="G6582" s="1" t="s">
        <v>19</v>
      </c>
      <c r="H6582" s="1" t="str">
        <f>"77"</f>
        <v>77</v>
      </c>
      <c r="I6582" s="1" t="str">
        <f t="shared" si="4099"/>
        <v>160</v>
      </c>
      <c r="J6582" s="1" t="str">
        <f t="shared" ref="J6582:O6582" si="4106">"0"</f>
        <v>0</v>
      </c>
      <c r="K6582" s="1" t="str">
        <f t="shared" si="4103"/>
        <v>103</v>
      </c>
      <c r="L6582" s="1" t="str">
        <f t="shared" si="4104"/>
        <v>47</v>
      </c>
      <c r="M6582" s="1" t="str">
        <f t="shared" si="4106"/>
        <v>0</v>
      </c>
      <c r="N6582" s="1" t="str">
        <f t="shared" si="4106"/>
        <v>0</v>
      </c>
      <c r="O6582" s="1" t="str">
        <f t="shared" si="4106"/>
        <v>0</v>
      </c>
    </row>
    <row r="6583" s="1" customFormat="1" spans="1:15">
      <c r="A6583" s="1" t="str">
        <f t="shared" si="4042"/>
        <v>202406</v>
      </c>
      <c r="B6583" s="1" t="str">
        <f t="shared" si="4043"/>
        <v>150525100</v>
      </c>
      <c r="C6583" s="1" t="str">
        <f>"1014625284"</f>
        <v>1014625284</v>
      </c>
      <c r="D6583" s="1" t="s">
        <v>6409</v>
      </c>
      <c r="E6583" s="1" t="s">
        <v>3961</v>
      </c>
      <c r="F6583" s="1" t="s">
        <v>16</v>
      </c>
      <c r="G6583" s="1" t="s">
        <v>19</v>
      </c>
      <c r="H6583" s="1" t="str">
        <f>"77"</f>
        <v>77</v>
      </c>
      <c r="I6583" s="1" t="str">
        <f t="shared" si="4099"/>
        <v>160</v>
      </c>
      <c r="J6583" s="1" t="str">
        <f t="shared" ref="J6583:O6583" si="4107">"0"</f>
        <v>0</v>
      </c>
      <c r="K6583" s="1" t="str">
        <f t="shared" si="4103"/>
        <v>103</v>
      </c>
      <c r="L6583" s="1" t="str">
        <f t="shared" si="4104"/>
        <v>47</v>
      </c>
      <c r="M6583" s="1" t="str">
        <f t="shared" si="4107"/>
        <v>0</v>
      </c>
      <c r="N6583" s="1" t="str">
        <f t="shared" si="4107"/>
        <v>0</v>
      </c>
      <c r="O6583" s="1" t="str">
        <f t="shared" si="4107"/>
        <v>0</v>
      </c>
    </row>
    <row r="6584" s="1" customFormat="1" spans="1:15">
      <c r="A6584" s="1" t="str">
        <f t="shared" si="4042"/>
        <v>202406</v>
      </c>
      <c r="B6584" s="1" t="str">
        <f t="shared" si="4043"/>
        <v>150525100</v>
      </c>
      <c r="C6584" s="1" t="str">
        <f>"1014625308"</f>
        <v>1014625308</v>
      </c>
      <c r="D6584" s="1" t="str">
        <f>"152326195007203327"</f>
        <v>152326195007203327</v>
      </c>
      <c r="E6584" s="1" t="s">
        <v>2229</v>
      </c>
      <c r="F6584" s="1" t="s">
        <v>16</v>
      </c>
      <c r="G6584" s="1" t="s">
        <v>19</v>
      </c>
      <c r="H6584" s="1" t="str">
        <f>"74"</f>
        <v>74</v>
      </c>
      <c r="I6584" s="1" t="str">
        <f t="shared" si="4099"/>
        <v>160</v>
      </c>
      <c r="J6584" s="1" t="str">
        <f t="shared" ref="J6584:O6584" si="4108">"0"</f>
        <v>0</v>
      </c>
      <c r="K6584" s="1" t="str">
        <f t="shared" si="4103"/>
        <v>103</v>
      </c>
      <c r="L6584" s="1" t="str">
        <f t="shared" si="4104"/>
        <v>47</v>
      </c>
      <c r="M6584" s="1" t="str">
        <f t="shared" si="4108"/>
        <v>0</v>
      </c>
      <c r="N6584" s="1" t="str">
        <f t="shared" si="4108"/>
        <v>0</v>
      </c>
      <c r="O6584" s="1" t="str">
        <f t="shared" si="4108"/>
        <v>0</v>
      </c>
    </row>
    <row r="6585" s="1" customFormat="1" spans="1:15">
      <c r="A6585" s="1" t="str">
        <f t="shared" si="4042"/>
        <v>202406</v>
      </c>
      <c r="B6585" s="1" t="str">
        <f t="shared" si="4043"/>
        <v>150525100</v>
      </c>
      <c r="C6585" s="1" t="str">
        <f>"1014624679"</f>
        <v>1014624679</v>
      </c>
      <c r="D6585" s="1" t="str">
        <f>"152326195102100422"</f>
        <v>152326195102100422</v>
      </c>
      <c r="E6585" s="1" t="s">
        <v>6410</v>
      </c>
      <c r="F6585" s="1" t="s">
        <v>16</v>
      </c>
      <c r="G6585" s="1" t="s">
        <v>17</v>
      </c>
      <c r="H6585" s="1" t="str">
        <f>"73"</f>
        <v>73</v>
      </c>
      <c r="I6585" s="1" t="str">
        <f t="shared" si="4099"/>
        <v>160</v>
      </c>
      <c r="J6585" s="1" t="str">
        <f t="shared" ref="J6585:O6585" si="4109">"0"</f>
        <v>0</v>
      </c>
      <c r="K6585" s="1" t="str">
        <f t="shared" si="4103"/>
        <v>103</v>
      </c>
      <c r="L6585" s="1" t="str">
        <f t="shared" si="4104"/>
        <v>47</v>
      </c>
      <c r="M6585" s="1" t="str">
        <f t="shared" si="4109"/>
        <v>0</v>
      </c>
      <c r="N6585" s="1" t="str">
        <f t="shared" si="4109"/>
        <v>0</v>
      </c>
      <c r="O6585" s="1" t="str">
        <f t="shared" si="4109"/>
        <v>0</v>
      </c>
    </row>
    <row r="6586" s="1" customFormat="1" spans="1:15">
      <c r="A6586" s="1" t="str">
        <f t="shared" si="4042"/>
        <v>202406</v>
      </c>
      <c r="B6586" s="1" t="str">
        <f t="shared" si="4043"/>
        <v>150525100</v>
      </c>
      <c r="C6586" s="1" t="str">
        <f>"1014624680"</f>
        <v>1014624680</v>
      </c>
      <c r="D6586" s="1" t="str">
        <f>"152326193904090423"</f>
        <v>152326193904090423</v>
      </c>
      <c r="E6586" s="1" t="s">
        <v>6411</v>
      </c>
      <c r="F6586" s="1" t="s">
        <v>16</v>
      </c>
      <c r="G6586" s="1" t="s">
        <v>19</v>
      </c>
      <c r="H6586" s="1" t="str">
        <f>"85"</f>
        <v>85</v>
      </c>
      <c r="I6586" s="1" t="str">
        <f>"170"</f>
        <v>170</v>
      </c>
      <c r="J6586" s="1" t="str">
        <f t="shared" ref="J6586:O6586" si="4110">"0"</f>
        <v>0</v>
      </c>
      <c r="K6586" s="1" t="str">
        <f t="shared" si="4103"/>
        <v>103</v>
      </c>
      <c r="L6586" s="1" t="str">
        <f t="shared" si="4104"/>
        <v>47</v>
      </c>
      <c r="M6586" s="1" t="str">
        <f t="shared" si="4110"/>
        <v>0</v>
      </c>
      <c r="N6586" s="1" t="str">
        <f t="shared" si="4110"/>
        <v>0</v>
      </c>
      <c r="O6586" s="1" t="str">
        <f t="shared" si="4110"/>
        <v>0</v>
      </c>
    </row>
    <row r="6587" s="1" customFormat="1" spans="1:15">
      <c r="A6587" s="1" t="str">
        <f t="shared" si="4042"/>
        <v>202406</v>
      </c>
      <c r="B6587" s="1" t="str">
        <f t="shared" si="4043"/>
        <v>150525100</v>
      </c>
      <c r="C6587" s="1" t="str">
        <f>"1014624898"</f>
        <v>1014624898</v>
      </c>
      <c r="D6587" s="1" t="str">
        <f>"152326194310150411"</f>
        <v>152326194310150411</v>
      </c>
      <c r="E6587" s="1" t="s">
        <v>6412</v>
      </c>
      <c r="F6587" s="1" t="s">
        <v>25</v>
      </c>
      <c r="G6587" s="1" t="s">
        <v>17</v>
      </c>
      <c r="H6587" s="1" t="str">
        <f>"81"</f>
        <v>81</v>
      </c>
      <c r="I6587" s="1" t="str">
        <f>"170"</f>
        <v>170</v>
      </c>
      <c r="J6587" s="1" t="str">
        <f t="shared" ref="J6587:O6587" si="4111">"0"</f>
        <v>0</v>
      </c>
      <c r="K6587" s="1" t="str">
        <f t="shared" si="4103"/>
        <v>103</v>
      </c>
      <c r="L6587" s="1" t="str">
        <f t="shared" si="4104"/>
        <v>47</v>
      </c>
      <c r="M6587" s="1" t="str">
        <f t="shared" si="4111"/>
        <v>0</v>
      </c>
      <c r="N6587" s="1" t="str">
        <f t="shared" si="4111"/>
        <v>0</v>
      </c>
      <c r="O6587" s="1" t="str">
        <f t="shared" si="4111"/>
        <v>0</v>
      </c>
    </row>
    <row r="6588" s="1" customFormat="1" spans="1:15">
      <c r="A6588" s="1" t="str">
        <f t="shared" si="4042"/>
        <v>202406</v>
      </c>
      <c r="B6588" s="1" t="str">
        <f t="shared" si="4043"/>
        <v>150525100</v>
      </c>
      <c r="C6588" s="1" t="str">
        <f>"1014624900"</f>
        <v>1014624900</v>
      </c>
      <c r="D6588" s="1" t="str">
        <f>"152326194803270411"</f>
        <v>152326194803270411</v>
      </c>
      <c r="E6588" s="1" t="s">
        <v>6413</v>
      </c>
      <c r="F6588" s="1" t="s">
        <v>25</v>
      </c>
      <c r="G6588" s="1" t="s">
        <v>17</v>
      </c>
      <c r="H6588" s="1" t="str">
        <f>"76"</f>
        <v>76</v>
      </c>
      <c r="I6588" s="1" t="str">
        <f>"1600"</f>
        <v>1600</v>
      </c>
      <c r="J6588" s="1" t="str">
        <f>"1440"</f>
        <v>1440</v>
      </c>
      <c r="K6588" s="1" t="str">
        <f>"1030"</f>
        <v>1030</v>
      </c>
      <c r="L6588" s="1" t="str">
        <f>"470"</f>
        <v>470</v>
      </c>
      <c r="M6588" s="1" t="str">
        <f t="shared" ref="M6588:O6588" si="4112">"0"</f>
        <v>0</v>
      </c>
      <c r="N6588" s="1" t="str">
        <f t="shared" si="4112"/>
        <v>0</v>
      </c>
      <c r="O6588" s="1" t="str">
        <f t="shared" si="4112"/>
        <v>0</v>
      </c>
    </row>
    <row r="6589" s="1" customFormat="1" spans="1:15">
      <c r="A6589" s="1" t="str">
        <f t="shared" si="4042"/>
        <v>202406</v>
      </c>
      <c r="B6589" s="1" t="str">
        <f t="shared" si="4043"/>
        <v>150525100</v>
      </c>
      <c r="C6589" s="1" t="str">
        <f>"1014625351"</f>
        <v>1014625351</v>
      </c>
      <c r="D6589" s="1" t="str">
        <f>"152326194610173818"</f>
        <v>152326194610173818</v>
      </c>
      <c r="E6589" s="1" t="s">
        <v>6414</v>
      </c>
      <c r="F6589" s="1" t="s">
        <v>25</v>
      </c>
      <c r="G6589" s="1" t="s">
        <v>17</v>
      </c>
      <c r="H6589" s="1" t="str">
        <f t="shared" ref="H6589:H6593" si="4113">"78"</f>
        <v>78</v>
      </c>
      <c r="I6589" s="1" t="str">
        <f t="shared" ref="I6589:I6593" si="4114">"160"</f>
        <v>160</v>
      </c>
      <c r="J6589" s="1" t="str">
        <f t="shared" ref="J6589:O6589" si="4115">"0"</f>
        <v>0</v>
      </c>
      <c r="K6589" s="1" t="str">
        <f t="shared" ref="K6589:K6593" si="4116">"103"</f>
        <v>103</v>
      </c>
      <c r="L6589" s="1" t="str">
        <f t="shared" ref="L6589:L6593" si="4117">"47"</f>
        <v>47</v>
      </c>
      <c r="M6589" s="1" t="str">
        <f t="shared" si="4115"/>
        <v>0</v>
      </c>
      <c r="N6589" s="1" t="str">
        <f t="shared" si="4115"/>
        <v>0</v>
      </c>
      <c r="O6589" s="1" t="str">
        <f t="shared" si="4115"/>
        <v>0</v>
      </c>
    </row>
    <row r="6590" s="1" customFormat="1" spans="1:15">
      <c r="A6590" s="1" t="str">
        <f t="shared" si="4042"/>
        <v>202406</v>
      </c>
      <c r="B6590" s="1" t="str">
        <f t="shared" si="4043"/>
        <v>150525100</v>
      </c>
      <c r="C6590" s="1" t="str">
        <f>"1014619066"</f>
        <v>1014619066</v>
      </c>
      <c r="D6590" s="1" t="str">
        <f>"152326194608083813"</f>
        <v>152326194608083813</v>
      </c>
      <c r="E6590" s="1" t="s">
        <v>6415</v>
      </c>
      <c r="F6590" s="1" t="s">
        <v>25</v>
      </c>
      <c r="G6590" s="1" t="s">
        <v>19</v>
      </c>
      <c r="H6590" s="1" t="str">
        <f t="shared" si="4113"/>
        <v>78</v>
      </c>
      <c r="I6590" s="1" t="str">
        <f t="shared" si="4114"/>
        <v>160</v>
      </c>
      <c r="J6590" s="1" t="str">
        <f t="shared" ref="J6590:O6590" si="4118">"0"</f>
        <v>0</v>
      </c>
      <c r="K6590" s="1" t="str">
        <f t="shared" si="4116"/>
        <v>103</v>
      </c>
      <c r="L6590" s="1" t="str">
        <f t="shared" si="4117"/>
        <v>47</v>
      </c>
      <c r="M6590" s="1" t="str">
        <f t="shared" si="4118"/>
        <v>0</v>
      </c>
      <c r="N6590" s="1" t="str">
        <f t="shared" si="4118"/>
        <v>0</v>
      </c>
      <c r="O6590" s="1" t="str">
        <f t="shared" si="4118"/>
        <v>0</v>
      </c>
    </row>
    <row r="6591" s="1" customFormat="1" spans="1:15">
      <c r="A6591" s="1" t="str">
        <f t="shared" si="4042"/>
        <v>202406</v>
      </c>
      <c r="B6591" s="1" t="str">
        <f t="shared" si="4043"/>
        <v>150525100</v>
      </c>
      <c r="C6591" s="1" t="str">
        <f>"1014641066"</f>
        <v>1014641066</v>
      </c>
      <c r="D6591" s="1" t="str">
        <f>"152326196303183820"</f>
        <v>152326196303183820</v>
      </c>
      <c r="E6591" s="1" t="s">
        <v>6416</v>
      </c>
      <c r="F6591" s="1" t="s">
        <v>16</v>
      </c>
      <c r="G6591" s="1" t="s">
        <v>17</v>
      </c>
      <c r="H6591" s="1" t="str">
        <f>"61"</f>
        <v>61</v>
      </c>
      <c r="I6591" s="1" t="str">
        <f>"164.94"</f>
        <v>164.94</v>
      </c>
      <c r="J6591" s="1" t="str">
        <f t="shared" ref="J6591:N6591" si="4119">"0"</f>
        <v>0</v>
      </c>
      <c r="K6591" s="1" t="str">
        <f t="shared" si="4116"/>
        <v>103</v>
      </c>
      <c r="L6591" s="1" t="str">
        <f t="shared" si="4117"/>
        <v>47</v>
      </c>
      <c r="M6591" s="1" t="str">
        <f t="shared" si="4119"/>
        <v>0</v>
      </c>
      <c r="N6591" s="1" t="str">
        <f t="shared" si="4119"/>
        <v>0</v>
      </c>
      <c r="O6591" s="1" t="str">
        <f>"14.94"</f>
        <v>14.94</v>
      </c>
    </row>
    <row r="6592" s="1" customFormat="1" spans="1:15">
      <c r="A6592" s="1" t="str">
        <f t="shared" si="4042"/>
        <v>202406</v>
      </c>
      <c r="B6592" s="1" t="str">
        <f t="shared" si="4043"/>
        <v>150525100</v>
      </c>
      <c r="C6592" s="1" t="str">
        <f>"1014625403"</f>
        <v>1014625403</v>
      </c>
      <c r="D6592" s="1" t="str">
        <f>"152326194911130440"</f>
        <v>152326194911130440</v>
      </c>
      <c r="E6592" s="1" t="s">
        <v>6417</v>
      </c>
      <c r="F6592" s="1" t="s">
        <v>16</v>
      </c>
      <c r="G6592" s="1" t="s">
        <v>17</v>
      </c>
      <c r="H6592" s="1" t="str">
        <f>"75"</f>
        <v>75</v>
      </c>
      <c r="I6592" s="1" t="str">
        <f t="shared" si="4114"/>
        <v>160</v>
      </c>
      <c r="J6592" s="1" t="str">
        <f t="shared" ref="J6592:O6592" si="4120">"0"</f>
        <v>0</v>
      </c>
      <c r="K6592" s="1" t="str">
        <f t="shared" si="4116"/>
        <v>103</v>
      </c>
      <c r="L6592" s="1" t="str">
        <f t="shared" si="4117"/>
        <v>47</v>
      </c>
      <c r="M6592" s="1" t="str">
        <f t="shared" si="4120"/>
        <v>0</v>
      </c>
      <c r="N6592" s="1" t="str">
        <f t="shared" si="4120"/>
        <v>0</v>
      </c>
      <c r="O6592" s="1" t="str">
        <f t="shared" si="4120"/>
        <v>0</v>
      </c>
    </row>
    <row r="6593" s="1" customFormat="1" spans="1:15">
      <c r="A6593" s="1" t="str">
        <f t="shared" si="4042"/>
        <v>202406</v>
      </c>
      <c r="B6593" s="1" t="str">
        <f t="shared" si="4043"/>
        <v>150525100</v>
      </c>
      <c r="C6593" s="1" t="str">
        <f>"1014625416"</f>
        <v>1014625416</v>
      </c>
      <c r="D6593" s="1" t="str">
        <f>"152326194602120660"</f>
        <v>152326194602120660</v>
      </c>
      <c r="E6593" s="1" t="s">
        <v>6418</v>
      </c>
      <c r="F6593" s="1" t="s">
        <v>16</v>
      </c>
      <c r="G6593" s="1" t="s">
        <v>17</v>
      </c>
      <c r="H6593" s="1" t="str">
        <f t="shared" si="4113"/>
        <v>78</v>
      </c>
      <c r="I6593" s="1" t="str">
        <f t="shared" si="4114"/>
        <v>160</v>
      </c>
      <c r="J6593" s="1" t="str">
        <f t="shared" ref="J6593:O6593" si="4121">"0"</f>
        <v>0</v>
      </c>
      <c r="K6593" s="1" t="str">
        <f t="shared" si="4116"/>
        <v>103</v>
      </c>
      <c r="L6593" s="1" t="str">
        <f t="shared" si="4117"/>
        <v>47</v>
      </c>
      <c r="M6593" s="1" t="str">
        <f t="shared" si="4121"/>
        <v>0</v>
      </c>
      <c r="N6593" s="1" t="str">
        <f t="shared" si="4121"/>
        <v>0</v>
      </c>
      <c r="O6593" s="1" t="str">
        <f t="shared" si="4121"/>
        <v>0</v>
      </c>
    </row>
    <row r="6594" s="1" customFormat="1" spans="1:15">
      <c r="A6594" s="1" t="str">
        <f t="shared" ref="A6594:A6657" si="4122">"202406"</f>
        <v>202406</v>
      </c>
      <c r="B6594" s="1" t="str">
        <f t="shared" ref="B6594:B6657" si="4123">"150525100"</f>
        <v>150525100</v>
      </c>
      <c r="C6594" s="1" t="str">
        <f>"1014625430"</f>
        <v>1014625430</v>
      </c>
      <c r="D6594" s="1" t="str">
        <f>"152326194209220665"</f>
        <v>152326194209220665</v>
      </c>
      <c r="E6594" s="1" t="s">
        <v>2648</v>
      </c>
      <c r="F6594" s="1" t="s">
        <v>16</v>
      </c>
      <c r="G6594" s="1" t="s">
        <v>17</v>
      </c>
      <c r="H6594" s="1" t="str">
        <f>"82"</f>
        <v>82</v>
      </c>
      <c r="I6594" s="1" t="str">
        <f>"1680"</f>
        <v>1680</v>
      </c>
      <c r="J6594" s="1" t="str">
        <f t="shared" ref="J6594:O6594" si="4124">"0"</f>
        <v>0</v>
      </c>
      <c r="K6594" s="1" t="str">
        <f t="shared" si="4124"/>
        <v>0</v>
      </c>
      <c r="L6594" s="1" t="str">
        <f t="shared" si="4124"/>
        <v>0</v>
      </c>
      <c r="M6594" s="1" t="str">
        <f t="shared" si="4124"/>
        <v>0</v>
      </c>
      <c r="N6594" s="1" t="str">
        <f t="shared" si="4124"/>
        <v>0</v>
      </c>
      <c r="O6594" s="1" t="str">
        <f t="shared" si="4124"/>
        <v>0</v>
      </c>
    </row>
    <row r="6595" s="1" customFormat="1" spans="1:15">
      <c r="A6595" s="1" t="str">
        <f t="shared" si="4122"/>
        <v>202406</v>
      </c>
      <c r="B6595" s="1" t="str">
        <f t="shared" si="4123"/>
        <v>150525100</v>
      </c>
      <c r="C6595" s="1" t="str">
        <f>"1014641123"</f>
        <v>1014641123</v>
      </c>
      <c r="D6595" s="1" t="str">
        <f>"152326196301210426"</f>
        <v>152326196301210426</v>
      </c>
      <c r="E6595" s="1" t="s">
        <v>6419</v>
      </c>
      <c r="F6595" s="1" t="s">
        <v>16</v>
      </c>
      <c r="G6595" s="1" t="s">
        <v>17</v>
      </c>
      <c r="H6595" s="1" t="str">
        <f>"61"</f>
        <v>61</v>
      </c>
      <c r="I6595" s="1" t="str">
        <f>"164.67"</f>
        <v>164.67</v>
      </c>
      <c r="J6595" s="1" t="str">
        <f t="shared" ref="J6595:N6595" si="4125">"0"</f>
        <v>0</v>
      </c>
      <c r="K6595" s="1" t="str">
        <f t="shared" ref="K6595:K6599" si="4126">"103"</f>
        <v>103</v>
      </c>
      <c r="L6595" s="1" t="str">
        <f t="shared" ref="L6595:L6599" si="4127">"47"</f>
        <v>47</v>
      </c>
      <c r="M6595" s="1" t="str">
        <f t="shared" si="4125"/>
        <v>0</v>
      </c>
      <c r="N6595" s="1" t="str">
        <f t="shared" si="4125"/>
        <v>0</v>
      </c>
      <c r="O6595" s="1" t="str">
        <f>"14.67"</f>
        <v>14.67</v>
      </c>
    </row>
    <row r="6596" s="1" customFormat="1" spans="1:15">
      <c r="A6596" s="1" t="str">
        <f t="shared" si="4122"/>
        <v>202406</v>
      </c>
      <c r="B6596" s="1" t="str">
        <f t="shared" si="4123"/>
        <v>150525100</v>
      </c>
      <c r="C6596" s="1" t="str">
        <f>"1014641124"</f>
        <v>1014641124</v>
      </c>
      <c r="D6596" s="1" t="str">
        <f>"152326195910180416"</f>
        <v>152326195910180416</v>
      </c>
      <c r="E6596" s="1" t="s">
        <v>6420</v>
      </c>
      <c r="F6596" s="1" t="s">
        <v>25</v>
      </c>
      <c r="G6596" s="1" t="s">
        <v>17</v>
      </c>
      <c r="H6596" s="1" t="str">
        <f>"65"</f>
        <v>65</v>
      </c>
      <c r="I6596" s="1" t="str">
        <f>"158.21"</f>
        <v>158.21</v>
      </c>
      <c r="J6596" s="1" t="str">
        <f t="shared" ref="J6596:N6596" si="4128">"0"</f>
        <v>0</v>
      </c>
      <c r="K6596" s="1" t="str">
        <f t="shared" si="4126"/>
        <v>103</v>
      </c>
      <c r="L6596" s="1" t="str">
        <f t="shared" si="4127"/>
        <v>47</v>
      </c>
      <c r="M6596" s="1" t="str">
        <f t="shared" si="4128"/>
        <v>0</v>
      </c>
      <c r="N6596" s="1" t="str">
        <f t="shared" si="4128"/>
        <v>0</v>
      </c>
      <c r="O6596" s="1" t="str">
        <f>"8.21"</f>
        <v>8.21</v>
      </c>
    </row>
    <row r="6597" s="1" customFormat="1" spans="1:15">
      <c r="A6597" s="1" t="str">
        <f t="shared" si="4122"/>
        <v>202406</v>
      </c>
      <c r="B6597" s="1" t="str">
        <f t="shared" si="4123"/>
        <v>150525100</v>
      </c>
      <c r="C6597" s="1" t="str">
        <f>"1014624962"</f>
        <v>1014624962</v>
      </c>
      <c r="D6597" s="1" t="str">
        <f>"152326193603180679"</f>
        <v>152326193603180679</v>
      </c>
      <c r="E6597" s="1" t="s">
        <v>6421</v>
      </c>
      <c r="F6597" s="1" t="s">
        <v>25</v>
      </c>
      <c r="G6597" s="1" t="s">
        <v>17</v>
      </c>
      <c r="H6597" s="1" t="str">
        <f>"88"</f>
        <v>88</v>
      </c>
      <c r="I6597" s="1" t="str">
        <f>"170"</f>
        <v>170</v>
      </c>
      <c r="J6597" s="1" t="str">
        <f t="shared" ref="J6597:O6597" si="4129">"0"</f>
        <v>0</v>
      </c>
      <c r="K6597" s="1" t="str">
        <f t="shared" si="4126"/>
        <v>103</v>
      </c>
      <c r="L6597" s="1" t="str">
        <f t="shared" si="4127"/>
        <v>47</v>
      </c>
      <c r="M6597" s="1" t="str">
        <f t="shared" si="4129"/>
        <v>0</v>
      </c>
      <c r="N6597" s="1" t="str">
        <f t="shared" si="4129"/>
        <v>0</v>
      </c>
      <c r="O6597" s="1" t="str">
        <f t="shared" si="4129"/>
        <v>0</v>
      </c>
    </row>
    <row r="6598" s="1" customFormat="1" spans="1:15">
      <c r="A6598" s="1" t="str">
        <f t="shared" si="4122"/>
        <v>202406</v>
      </c>
      <c r="B6598" s="1" t="str">
        <f t="shared" si="4123"/>
        <v>150525100</v>
      </c>
      <c r="C6598" s="1" t="str">
        <f>"1014624994"</f>
        <v>1014624994</v>
      </c>
      <c r="D6598" s="1" t="str">
        <f>"152326194512240677"</f>
        <v>152326194512240677</v>
      </c>
      <c r="E6598" s="1" t="s">
        <v>1320</v>
      </c>
      <c r="F6598" s="1" t="s">
        <v>25</v>
      </c>
      <c r="G6598" s="1" t="s">
        <v>17</v>
      </c>
      <c r="H6598" s="1" t="str">
        <f>"79"</f>
        <v>79</v>
      </c>
      <c r="I6598" s="1" t="str">
        <f>"160"</f>
        <v>160</v>
      </c>
      <c r="J6598" s="1" t="str">
        <f t="shared" ref="J6598:O6598" si="4130">"0"</f>
        <v>0</v>
      </c>
      <c r="K6598" s="1" t="str">
        <f t="shared" si="4126"/>
        <v>103</v>
      </c>
      <c r="L6598" s="1" t="str">
        <f t="shared" si="4127"/>
        <v>47</v>
      </c>
      <c r="M6598" s="1" t="str">
        <f t="shared" si="4130"/>
        <v>0</v>
      </c>
      <c r="N6598" s="1" t="str">
        <f t="shared" si="4130"/>
        <v>0</v>
      </c>
      <c r="O6598" s="1" t="str">
        <f t="shared" si="4130"/>
        <v>0</v>
      </c>
    </row>
    <row r="6599" s="1" customFormat="1" spans="1:15">
      <c r="A6599" s="1" t="str">
        <f t="shared" si="4122"/>
        <v>202406</v>
      </c>
      <c r="B6599" s="1" t="str">
        <f t="shared" si="4123"/>
        <v>150525100</v>
      </c>
      <c r="C6599" s="1" t="str">
        <f>"1014625474"</f>
        <v>1014625474</v>
      </c>
      <c r="D6599" s="1" t="str">
        <f>"152326195110203317"</f>
        <v>152326195110203317</v>
      </c>
      <c r="E6599" s="1" t="s">
        <v>6422</v>
      </c>
      <c r="F6599" s="1" t="s">
        <v>25</v>
      </c>
      <c r="G6599" s="1" t="s">
        <v>19</v>
      </c>
      <c r="H6599" s="1" t="str">
        <f>"73"</f>
        <v>73</v>
      </c>
      <c r="I6599" s="1" t="str">
        <f>"160"</f>
        <v>160</v>
      </c>
      <c r="J6599" s="1" t="str">
        <f t="shared" ref="J6599:O6599" si="4131">"0"</f>
        <v>0</v>
      </c>
      <c r="K6599" s="1" t="str">
        <f t="shared" si="4126"/>
        <v>103</v>
      </c>
      <c r="L6599" s="1" t="str">
        <f t="shared" si="4127"/>
        <v>47</v>
      </c>
      <c r="M6599" s="1" t="str">
        <f t="shared" si="4131"/>
        <v>0</v>
      </c>
      <c r="N6599" s="1" t="str">
        <f t="shared" si="4131"/>
        <v>0</v>
      </c>
      <c r="O6599" s="1" t="str">
        <f t="shared" si="4131"/>
        <v>0</v>
      </c>
    </row>
    <row r="6600" s="1" customFormat="1" spans="1:15">
      <c r="A6600" s="1" t="str">
        <f t="shared" si="4122"/>
        <v>202406</v>
      </c>
      <c r="B6600" s="1" t="str">
        <f t="shared" si="4123"/>
        <v>150525100</v>
      </c>
      <c r="C6600" s="1" t="str">
        <f>"1014625495"</f>
        <v>1014625495</v>
      </c>
      <c r="D6600" s="1" t="str">
        <f>"152326195110163335"</f>
        <v>152326195110163335</v>
      </c>
      <c r="E6600" s="1" t="s">
        <v>6423</v>
      </c>
      <c r="F6600" s="1" t="s">
        <v>25</v>
      </c>
      <c r="G6600" s="1" t="s">
        <v>19</v>
      </c>
      <c r="H6600" s="1" t="str">
        <f>"73"</f>
        <v>73</v>
      </c>
      <c r="I6600" s="1" t="str">
        <f>"1600"</f>
        <v>1600</v>
      </c>
      <c r="J6600" s="1" t="str">
        <f>"1440"</f>
        <v>1440</v>
      </c>
      <c r="K6600" s="1" t="str">
        <f>"1030"</f>
        <v>1030</v>
      </c>
      <c r="L6600" s="1" t="str">
        <f>"470"</f>
        <v>470</v>
      </c>
      <c r="M6600" s="1" t="str">
        <f t="shared" ref="M6600:O6600" si="4132">"0"</f>
        <v>0</v>
      </c>
      <c r="N6600" s="1" t="str">
        <f t="shared" si="4132"/>
        <v>0</v>
      </c>
      <c r="O6600" s="1" t="str">
        <f t="shared" si="4132"/>
        <v>0</v>
      </c>
    </row>
    <row r="6601" s="1" customFormat="1" spans="1:15">
      <c r="A6601" s="1" t="str">
        <f t="shared" si="4122"/>
        <v>202406</v>
      </c>
      <c r="B6601" s="1" t="str">
        <f t="shared" si="4123"/>
        <v>150525100</v>
      </c>
      <c r="C6601" s="1" t="str">
        <f>"1014660508"</f>
        <v>1014660508</v>
      </c>
      <c r="D6601" s="1" t="s">
        <v>6424</v>
      </c>
      <c r="E6601" s="1" t="s">
        <v>6425</v>
      </c>
      <c r="F6601" s="1" t="s">
        <v>25</v>
      </c>
      <c r="G6601" s="1" t="s">
        <v>17</v>
      </c>
      <c r="H6601" s="1" t="str">
        <f t="shared" ref="H6601:H6603" si="4133">"68"</f>
        <v>68</v>
      </c>
      <c r="I6601" s="1" t="str">
        <f>"166.37"</f>
        <v>166.37</v>
      </c>
      <c r="J6601" s="1" t="str">
        <f t="shared" ref="J6601:N6601" si="4134">"0"</f>
        <v>0</v>
      </c>
      <c r="K6601" s="1" t="str">
        <f t="shared" ref="K6601:K6664" si="4135">"103"</f>
        <v>103</v>
      </c>
      <c r="L6601" s="1" t="str">
        <f t="shared" ref="L6601:L6664" si="4136">"47"</f>
        <v>47</v>
      </c>
      <c r="M6601" s="1" t="str">
        <f t="shared" si="4134"/>
        <v>0</v>
      </c>
      <c r="N6601" s="1" t="str">
        <f t="shared" si="4134"/>
        <v>0</v>
      </c>
      <c r="O6601" s="1" t="str">
        <f>"16.37"</f>
        <v>16.37</v>
      </c>
    </row>
    <row r="6602" s="1" customFormat="1" spans="1:15">
      <c r="A6602" s="1" t="str">
        <f t="shared" si="4122"/>
        <v>202406</v>
      </c>
      <c r="B6602" s="1" t="str">
        <f t="shared" si="4123"/>
        <v>150525100</v>
      </c>
      <c r="C6602" s="1" t="str">
        <f>"1014642614"</f>
        <v>1014642614</v>
      </c>
      <c r="D6602" s="1" t="str">
        <f>"152326195612223836"</f>
        <v>152326195612223836</v>
      </c>
      <c r="E6602" s="1" t="s">
        <v>6426</v>
      </c>
      <c r="F6602" s="1" t="s">
        <v>25</v>
      </c>
      <c r="G6602" s="1" t="s">
        <v>17</v>
      </c>
      <c r="H6602" s="1" t="str">
        <f t="shared" si="4133"/>
        <v>68</v>
      </c>
      <c r="I6602" s="1" t="str">
        <f>"156.04"</f>
        <v>156.04</v>
      </c>
      <c r="J6602" s="1" t="str">
        <f t="shared" ref="J6602:N6602" si="4137">"0"</f>
        <v>0</v>
      </c>
      <c r="K6602" s="1" t="str">
        <f t="shared" si="4135"/>
        <v>103</v>
      </c>
      <c r="L6602" s="1" t="str">
        <f t="shared" si="4136"/>
        <v>47</v>
      </c>
      <c r="M6602" s="1" t="str">
        <f t="shared" si="4137"/>
        <v>0</v>
      </c>
      <c r="N6602" s="1" t="str">
        <f t="shared" si="4137"/>
        <v>0</v>
      </c>
      <c r="O6602" s="1" t="str">
        <f>"6.04"</f>
        <v>6.04</v>
      </c>
    </row>
    <row r="6603" s="1" customFormat="1" spans="1:15">
      <c r="A6603" s="1" t="str">
        <f t="shared" si="4122"/>
        <v>202406</v>
      </c>
      <c r="B6603" s="1" t="str">
        <f t="shared" si="4123"/>
        <v>150525100</v>
      </c>
      <c r="C6603" s="1" t="str">
        <f>"1014642616"</f>
        <v>1014642616</v>
      </c>
      <c r="D6603" s="1" t="str">
        <f>"152326195611193823"</f>
        <v>152326195611193823</v>
      </c>
      <c r="E6603" s="1" t="s">
        <v>6427</v>
      </c>
      <c r="F6603" s="1" t="s">
        <v>16</v>
      </c>
      <c r="G6603" s="1" t="s">
        <v>96</v>
      </c>
      <c r="H6603" s="1" t="str">
        <f t="shared" si="4133"/>
        <v>68</v>
      </c>
      <c r="I6603" s="1" t="str">
        <f>"156.04"</f>
        <v>156.04</v>
      </c>
      <c r="J6603" s="1" t="str">
        <f t="shared" ref="J6603:N6603" si="4138">"0"</f>
        <v>0</v>
      </c>
      <c r="K6603" s="1" t="str">
        <f t="shared" si="4135"/>
        <v>103</v>
      </c>
      <c r="L6603" s="1" t="str">
        <f t="shared" si="4136"/>
        <v>47</v>
      </c>
      <c r="M6603" s="1" t="str">
        <f t="shared" si="4138"/>
        <v>0</v>
      </c>
      <c r="N6603" s="1" t="str">
        <f t="shared" si="4138"/>
        <v>0</v>
      </c>
      <c r="O6603" s="1" t="str">
        <f>"6.04"</f>
        <v>6.04</v>
      </c>
    </row>
    <row r="6604" s="1" customFormat="1" spans="1:15">
      <c r="A6604" s="1" t="str">
        <f t="shared" si="4122"/>
        <v>202406</v>
      </c>
      <c r="B6604" s="1" t="str">
        <f t="shared" si="4123"/>
        <v>150525100</v>
      </c>
      <c r="C6604" s="1" t="str">
        <f>"1014642603"</f>
        <v>1014642603</v>
      </c>
      <c r="D6604" s="1" t="str">
        <f>"152326195312080677"</f>
        <v>152326195312080677</v>
      </c>
      <c r="E6604" s="1" t="s">
        <v>6428</v>
      </c>
      <c r="F6604" s="1" t="s">
        <v>25</v>
      </c>
      <c r="G6604" s="1" t="s">
        <v>17</v>
      </c>
      <c r="H6604" s="1" t="str">
        <f>"71"</f>
        <v>71</v>
      </c>
      <c r="I6604" s="1" t="str">
        <f>"162.71"</f>
        <v>162.71</v>
      </c>
      <c r="J6604" s="1" t="str">
        <f t="shared" ref="J6604:N6604" si="4139">"0"</f>
        <v>0</v>
      </c>
      <c r="K6604" s="1" t="str">
        <f t="shared" si="4135"/>
        <v>103</v>
      </c>
      <c r="L6604" s="1" t="str">
        <f t="shared" si="4136"/>
        <v>47</v>
      </c>
      <c r="M6604" s="1" t="str">
        <f t="shared" si="4139"/>
        <v>0</v>
      </c>
      <c r="N6604" s="1" t="str">
        <f t="shared" si="4139"/>
        <v>0</v>
      </c>
      <c r="O6604" s="1" t="str">
        <f>"2.71"</f>
        <v>2.71</v>
      </c>
    </row>
    <row r="6605" s="1" customFormat="1" spans="1:15">
      <c r="A6605" s="1" t="str">
        <f t="shared" si="4122"/>
        <v>202406</v>
      </c>
      <c r="B6605" s="1" t="str">
        <f t="shared" si="4123"/>
        <v>150525100</v>
      </c>
      <c r="C6605" s="1" t="str">
        <f>"1040681707"</f>
        <v>1040681707</v>
      </c>
      <c r="D6605" s="1" t="str">
        <f>"152326196010113327"</f>
        <v>152326196010113327</v>
      </c>
      <c r="E6605" s="1" t="s">
        <v>6429</v>
      </c>
      <c r="F6605" s="1" t="s">
        <v>16</v>
      </c>
      <c r="G6605" s="1" t="s">
        <v>19</v>
      </c>
      <c r="H6605" s="1" t="str">
        <f>"64"</f>
        <v>64</v>
      </c>
      <c r="I6605" s="1" t="str">
        <f>"158"</f>
        <v>158</v>
      </c>
      <c r="J6605" s="1" t="str">
        <f t="shared" ref="J6605:N6605" si="4140">"0"</f>
        <v>0</v>
      </c>
      <c r="K6605" s="1" t="str">
        <f t="shared" si="4135"/>
        <v>103</v>
      </c>
      <c r="L6605" s="1" t="str">
        <f t="shared" si="4136"/>
        <v>47</v>
      </c>
      <c r="M6605" s="1" t="str">
        <f t="shared" si="4140"/>
        <v>0</v>
      </c>
      <c r="N6605" s="1" t="str">
        <f t="shared" si="4140"/>
        <v>0</v>
      </c>
      <c r="O6605" s="1" t="str">
        <f>"8"</f>
        <v>8</v>
      </c>
    </row>
    <row r="6606" s="1" customFormat="1" spans="1:15">
      <c r="A6606" s="1" t="str">
        <f t="shared" si="4122"/>
        <v>202406</v>
      </c>
      <c r="B6606" s="1" t="str">
        <f t="shared" si="4123"/>
        <v>150525100</v>
      </c>
      <c r="C6606" s="1" t="str">
        <f>"1040681718"</f>
        <v>1040681718</v>
      </c>
      <c r="D6606" s="1" t="str">
        <f>"152326196304160444"</f>
        <v>152326196304160444</v>
      </c>
      <c r="E6606" s="1" t="s">
        <v>3680</v>
      </c>
      <c r="F6606" s="1" t="s">
        <v>16</v>
      </c>
      <c r="G6606" s="1" t="s">
        <v>17</v>
      </c>
      <c r="H6606" s="1" t="str">
        <f>"61"</f>
        <v>61</v>
      </c>
      <c r="I6606" s="1" t="str">
        <f>"171.03"</f>
        <v>171.03</v>
      </c>
      <c r="J6606" s="1" t="str">
        <f t="shared" ref="J6606:N6606" si="4141">"0"</f>
        <v>0</v>
      </c>
      <c r="K6606" s="1" t="str">
        <f t="shared" si="4135"/>
        <v>103</v>
      </c>
      <c r="L6606" s="1" t="str">
        <f t="shared" si="4136"/>
        <v>47</v>
      </c>
      <c r="M6606" s="1" t="str">
        <f t="shared" si="4141"/>
        <v>0</v>
      </c>
      <c r="N6606" s="1" t="str">
        <f t="shared" si="4141"/>
        <v>0</v>
      </c>
      <c r="O6606" s="1" t="str">
        <f>"21.03"</f>
        <v>21.03</v>
      </c>
    </row>
    <row r="6607" s="1" customFormat="1" spans="1:15">
      <c r="A6607" s="1" t="str">
        <f t="shared" si="4122"/>
        <v>202406</v>
      </c>
      <c r="B6607" s="1" t="str">
        <f t="shared" si="4123"/>
        <v>150525100</v>
      </c>
      <c r="C6607" s="1" t="str">
        <f>"1040681724"</f>
        <v>1040681724</v>
      </c>
      <c r="D6607" s="1" t="str">
        <f>"152326196401010421"</f>
        <v>152326196401010421</v>
      </c>
      <c r="E6607" s="1" t="s">
        <v>6430</v>
      </c>
      <c r="F6607" s="1" t="s">
        <v>16</v>
      </c>
      <c r="G6607" s="1" t="s">
        <v>17</v>
      </c>
      <c r="H6607" s="1" t="str">
        <f>"61"</f>
        <v>61</v>
      </c>
      <c r="I6607" s="1" t="str">
        <f>"172.9"</f>
        <v>172.9</v>
      </c>
      <c r="J6607" s="1" t="str">
        <f t="shared" ref="J6607:N6607" si="4142">"0"</f>
        <v>0</v>
      </c>
      <c r="K6607" s="1" t="str">
        <f t="shared" si="4135"/>
        <v>103</v>
      </c>
      <c r="L6607" s="1" t="str">
        <f t="shared" si="4136"/>
        <v>47</v>
      </c>
      <c r="M6607" s="1" t="str">
        <f t="shared" si="4142"/>
        <v>0</v>
      </c>
      <c r="N6607" s="1" t="str">
        <f t="shared" si="4142"/>
        <v>0</v>
      </c>
      <c r="O6607" s="1" t="str">
        <f>"22.9"</f>
        <v>22.9</v>
      </c>
    </row>
    <row r="6608" s="1" customFormat="1" spans="1:15">
      <c r="A6608" s="1" t="str">
        <f t="shared" si="4122"/>
        <v>202406</v>
      </c>
      <c r="B6608" s="1" t="str">
        <f t="shared" si="4123"/>
        <v>150525100</v>
      </c>
      <c r="C6608" s="1" t="str">
        <f>"1040681755"</f>
        <v>1040681755</v>
      </c>
      <c r="D6608" s="1" t="str">
        <f>"152326195704063315"</f>
        <v>152326195704063315</v>
      </c>
      <c r="E6608" s="1" t="s">
        <v>6431</v>
      </c>
      <c r="F6608" s="1" t="s">
        <v>25</v>
      </c>
      <c r="G6608" s="1" t="s">
        <v>17</v>
      </c>
      <c r="H6608" s="1" t="str">
        <f>"67"</f>
        <v>67</v>
      </c>
      <c r="I6608" s="1" t="str">
        <f>"154.87"</f>
        <v>154.87</v>
      </c>
      <c r="J6608" s="1" t="str">
        <f t="shared" ref="J6608:N6608" si="4143">"0"</f>
        <v>0</v>
      </c>
      <c r="K6608" s="1" t="str">
        <f t="shared" si="4135"/>
        <v>103</v>
      </c>
      <c r="L6608" s="1" t="str">
        <f t="shared" si="4136"/>
        <v>47</v>
      </c>
      <c r="M6608" s="1" t="str">
        <f t="shared" si="4143"/>
        <v>0</v>
      </c>
      <c r="N6608" s="1" t="str">
        <f t="shared" si="4143"/>
        <v>0</v>
      </c>
      <c r="O6608" s="1" t="str">
        <f>"4.87"</f>
        <v>4.87</v>
      </c>
    </row>
    <row r="6609" s="1" customFormat="1" spans="1:15">
      <c r="A6609" s="1" t="str">
        <f t="shared" si="4122"/>
        <v>202406</v>
      </c>
      <c r="B6609" s="1" t="str">
        <f t="shared" si="4123"/>
        <v>150525100</v>
      </c>
      <c r="C6609" s="1" t="str">
        <f>"1040681765"</f>
        <v>1040681765</v>
      </c>
      <c r="D6609" s="1" t="str">
        <f>"152326195612163319"</f>
        <v>152326195612163319</v>
      </c>
      <c r="E6609" s="1" t="s">
        <v>6432</v>
      </c>
      <c r="F6609" s="1" t="s">
        <v>25</v>
      </c>
      <c r="G6609" s="1" t="s">
        <v>19</v>
      </c>
      <c r="H6609" s="1" t="str">
        <f>"68"</f>
        <v>68</v>
      </c>
      <c r="I6609" s="1" t="str">
        <f>"154.85"</f>
        <v>154.85</v>
      </c>
      <c r="J6609" s="1" t="str">
        <f t="shared" ref="J6609:N6609" si="4144">"0"</f>
        <v>0</v>
      </c>
      <c r="K6609" s="1" t="str">
        <f t="shared" si="4135"/>
        <v>103</v>
      </c>
      <c r="L6609" s="1" t="str">
        <f t="shared" si="4136"/>
        <v>47</v>
      </c>
      <c r="M6609" s="1" t="str">
        <f t="shared" si="4144"/>
        <v>0</v>
      </c>
      <c r="N6609" s="1" t="str">
        <f t="shared" si="4144"/>
        <v>0</v>
      </c>
      <c r="O6609" s="1" t="str">
        <f>"4.85"</f>
        <v>4.85</v>
      </c>
    </row>
    <row r="6610" s="1" customFormat="1" spans="1:15">
      <c r="A6610" s="1" t="str">
        <f t="shared" si="4122"/>
        <v>202406</v>
      </c>
      <c r="B6610" s="1" t="str">
        <f t="shared" si="4123"/>
        <v>150525100</v>
      </c>
      <c r="C6610" s="1" t="str">
        <f>"1040681814"</f>
        <v>1040681814</v>
      </c>
      <c r="D6610" s="1" t="str">
        <f>"152326195407170675"</f>
        <v>152326195407170675</v>
      </c>
      <c r="E6610" s="1" t="s">
        <v>6433</v>
      </c>
      <c r="F6610" s="1" t="s">
        <v>25</v>
      </c>
      <c r="G6610" s="1" t="s">
        <v>17</v>
      </c>
      <c r="H6610" s="1" t="str">
        <f>"70"</f>
        <v>70</v>
      </c>
      <c r="I6610" s="1" t="str">
        <f>"152.93"</f>
        <v>152.93</v>
      </c>
      <c r="J6610" s="1" t="str">
        <f t="shared" ref="J6610:N6610" si="4145">"0"</f>
        <v>0</v>
      </c>
      <c r="K6610" s="1" t="str">
        <f t="shared" si="4135"/>
        <v>103</v>
      </c>
      <c r="L6610" s="1" t="str">
        <f t="shared" si="4136"/>
        <v>47</v>
      </c>
      <c r="M6610" s="1" t="str">
        <f t="shared" si="4145"/>
        <v>0</v>
      </c>
      <c r="N6610" s="1" t="str">
        <f t="shared" si="4145"/>
        <v>0</v>
      </c>
      <c r="O6610" s="1" t="str">
        <f>"2.93"</f>
        <v>2.93</v>
      </c>
    </row>
    <row r="6611" s="1" customFormat="1" spans="1:15">
      <c r="A6611" s="1" t="str">
        <f t="shared" si="4122"/>
        <v>202406</v>
      </c>
      <c r="B6611" s="1" t="str">
        <f t="shared" si="4123"/>
        <v>150525100</v>
      </c>
      <c r="C6611" s="1" t="str">
        <f>"1040681697"</f>
        <v>1040681697</v>
      </c>
      <c r="D6611" s="1" t="str">
        <f>"152326195907113327"</f>
        <v>152326195907113327</v>
      </c>
      <c r="E6611" s="1" t="s">
        <v>6434</v>
      </c>
      <c r="F6611" s="1" t="s">
        <v>16</v>
      </c>
      <c r="G6611" s="1" t="s">
        <v>19</v>
      </c>
      <c r="H6611" s="1" t="str">
        <f>"65"</f>
        <v>65</v>
      </c>
      <c r="I6611" s="1" t="str">
        <f>"156.92"</f>
        <v>156.92</v>
      </c>
      <c r="J6611" s="1" t="str">
        <f t="shared" ref="J6611:N6611" si="4146">"0"</f>
        <v>0</v>
      </c>
      <c r="K6611" s="1" t="str">
        <f t="shared" si="4135"/>
        <v>103</v>
      </c>
      <c r="L6611" s="1" t="str">
        <f t="shared" si="4136"/>
        <v>47</v>
      </c>
      <c r="M6611" s="1" t="str">
        <f t="shared" si="4146"/>
        <v>0</v>
      </c>
      <c r="N6611" s="1" t="str">
        <f t="shared" si="4146"/>
        <v>0</v>
      </c>
      <c r="O6611" s="1" t="str">
        <f>"6.92"</f>
        <v>6.92</v>
      </c>
    </row>
    <row r="6612" s="1" customFormat="1" spans="1:15">
      <c r="A6612" s="1" t="str">
        <f t="shared" si="4122"/>
        <v>202406</v>
      </c>
      <c r="B6612" s="1" t="str">
        <f t="shared" si="4123"/>
        <v>150525100</v>
      </c>
      <c r="C6612" s="1" t="str">
        <f>"1040681781"</f>
        <v>1040681781</v>
      </c>
      <c r="D6612" s="1" t="str">
        <f>"152326195909100669"</f>
        <v>152326195909100669</v>
      </c>
      <c r="E6612" s="1" t="s">
        <v>6435</v>
      </c>
      <c r="F6612" s="1" t="s">
        <v>16</v>
      </c>
      <c r="G6612" s="1" t="s">
        <v>17</v>
      </c>
      <c r="H6612" s="1" t="str">
        <f>"65"</f>
        <v>65</v>
      </c>
      <c r="I6612" s="1" t="str">
        <f>"156.92"</f>
        <v>156.92</v>
      </c>
      <c r="J6612" s="1" t="str">
        <f t="shared" ref="J6612:N6612" si="4147">"0"</f>
        <v>0</v>
      </c>
      <c r="K6612" s="1" t="str">
        <f t="shared" si="4135"/>
        <v>103</v>
      </c>
      <c r="L6612" s="1" t="str">
        <f t="shared" si="4136"/>
        <v>47</v>
      </c>
      <c r="M6612" s="1" t="str">
        <f t="shared" si="4147"/>
        <v>0</v>
      </c>
      <c r="N6612" s="1" t="str">
        <f t="shared" si="4147"/>
        <v>0</v>
      </c>
      <c r="O6612" s="1" t="str">
        <f>"6.92"</f>
        <v>6.92</v>
      </c>
    </row>
    <row r="6613" s="1" customFormat="1" spans="1:15">
      <c r="A6613" s="1" t="str">
        <f t="shared" si="4122"/>
        <v>202406</v>
      </c>
      <c r="B6613" s="1" t="str">
        <f t="shared" si="4123"/>
        <v>150525100</v>
      </c>
      <c r="C6613" s="1" t="str">
        <f>"1040681783"</f>
        <v>1040681783</v>
      </c>
      <c r="D6613" s="1" t="str">
        <f>"152326196107230693"</f>
        <v>152326196107230693</v>
      </c>
      <c r="E6613" s="1" t="s">
        <v>1122</v>
      </c>
      <c r="F6613" s="1" t="s">
        <v>25</v>
      </c>
      <c r="G6613" s="1" t="s">
        <v>17</v>
      </c>
      <c r="H6613" s="1" t="str">
        <f>"63"</f>
        <v>63</v>
      </c>
      <c r="I6613" s="1" t="str">
        <f>"159.78"</f>
        <v>159.78</v>
      </c>
      <c r="J6613" s="1" t="str">
        <f t="shared" ref="J6613:N6613" si="4148">"0"</f>
        <v>0</v>
      </c>
      <c r="K6613" s="1" t="str">
        <f t="shared" si="4135"/>
        <v>103</v>
      </c>
      <c r="L6613" s="1" t="str">
        <f t="shared" si="4136"/>
        <v>47</v>
      </c>
      <c r="M6613" s="1" t="str">
        <f t="shared" si="4148"/>
        <v>0</v>
      </c>
      <c r="N6613" s="1" t="str">
        <f t="shared" si="4148"/>
        <v>0</v>
      </c>
      <c r="O6613" s="1" t="str">
        <f>"9.78"</f>
        <v>9.78</v>
      </c>
    </row>
    <row r="6614" s="1" customFormat="1" spans="1:15">
      <c r="A6614" s="1" t="str">
        <f t="shared" si="4122"/>
        <v>202406</v>
      </c>
      <c r="B6614" s="1" t="str">
        <f t="shared" si="4123"/>
        <v>150525100</v>
      </c>
      <c r="C6614" s="1" t="str">
        <f>"1040681804"</f>
        <v>1040681804</v>
      </c>
      <c r="D6614" s="1" t="str">
        <f>"152326195205010665"</f>
        <v>152326195205010665</v>
      </c>
      <c r="E6614" s="1" t="s">
        <v>2091</v>
      </c>
      <c r="F6614" s="1" t="s">
        <v>16</v>
      </c>
      <c r="G6614" s="1" t="s">
        <v>17</v>
      </c>
      <c r="H6614" s="1" t="str">
        <f>"72"</f>
        <v>72</v>
      </c>
      <c r="I6614" s="1" t="str">
        <f>"161.47"</f>
        <v>161.47</v>
      </c>
      <c r="J6614" s="1" t="str">
        <f t="shared" ref="J6614:N6614" si="4149">"0"</f>
        <v>0</v>
      </c>
      <c r="K6614" s="1" t="str">
        <f t="shared" si="4135"/>
        <v>103</v>
      </c>
      <c r="L6614" s="1" t="str">
        <f t="shared" si="4136"/>
        <v>47</v>
      </c>
      <c r="M6614" s="1" t="str">
        <f t="shared" si="4149"/>
        <v>0</v>
      </c>
      <c r="N6614" s="1" t="str">
        <f t="shared" si="4149"/>
        <v>0</v>
      </c>
      <c r="O6614" s="1" t="str">
        <f>"1.47"</f>
        <v>1.47</v>
      </c>
    </row>
    <row r="6615" s="1" customFormat="1" spans="1:15">
      <c r="A6615" s="1" t="str">
        <f t="shared" si="4122"/>
        <v>202406</v>
      </c>
      <c r="B6615" s="1" t="str">
        <f t="shared" si="4123"/>
        <v>150525100</v>
      </c>
      <c r="C6615" s="1" t="str">
        <f>"1040681817"</f>
        <v>1040681817</v>
      </c>
      <c r="D6615" s="1" t="str">
        <f>"152326196305270696"</f>
        <v>152326196305270696</v>
      </c>
      <c r="E6615" s="1" t="s">
        <v>6436</v>
      </c>
      <c r="F6615" s="1" t="s">
        <v>25</v>
      </c>
      <c r="G6615" s="1" t="s">
        <v>17</v>
      </c>
      <c r="H6615" s="1" t="str">
        <f t="shared" ref="H6615:H6620" si="4150">"61"</f>
        <v>61</v>
      </c>
      <c r="I6615" s="1" t="str">
        <f>"165.82"</f>
        <v>165.82</v>
      </c>
      <c r="J6615" s="1" t="str">
        <f t="shared" ref="J6615:N6615" si="4151">"0"</f>
        <v>0</v>
      </c>
      <c r="K6615" s="1" t="str">
        <f t="shared" si="4135"/>
        <v>103</v>
      </c>
      <c r="L6615" s="1" t="str">
        <f t="shared" si="4136"/>
        <v>47</v>
      </c>
      <c r="M6615" s="1" t="str">
        <f t="shared" si="4151"/>
        <v>0</v>
      </c>
      <c r="N6615" s="1" t="str">
        <f t="shared" si="4151"/>
        <v>0</v>
      </c>
      <c r="O6615" s="1" t="str">
        <f>"15.82"</f>
        <v>15.82</v>
      </c>
    </row>
    <row r="6616" s="1" customFormat="1" spans="1:15">
      <c r="A6616" s="1" t="str">
        <f t="shared" si="4122"/>
        <v>202406</v>
      </c>
      <c r="B6616" s="1" t="str">
        <f t="shared" si="4123"/>
        <v>150525100</v>
      </c>
      <c r="C6616" s="1" t="str">
        <f>"1040681822"</f>
        <v>1040681822</v>
      </c>
      <c r="D6616" s="1" t="str">
        <f>"152326195401130664"</f>
        <v>152326195401130664</v>
      </c>
      <c r="E6616" s="1" t="s">
        <v>6437</v>
      </c>
      <c r="F6616" s="1" t="s">
        <v>16</v>
      </c>
      <c r="G6616" s="1" t="s">
        <v>17</v>
      </c>
      <c r="H6616" s="1" t="str">
        <f>"70"</f>
        <v>70</v>
      </c>
      <c r="I6616" s="1" t="str">
        <f>"162.93"</f>
        <v>162.93</v>
      </c>
      <c r="J6616" s="1" t="str">
        <f t="shared" ref="J6616:N6616" si="4152">"0"</f>
        <v>0</v>
      </c>
      <c r="K6616" s="1" t="str">
        <f t="shared" si="4135"/>
        <v>103</v>
      </c>
      <c r="L6616" s="1" t="str">
        <f t="shared" si="4136"/>
        <v>47</v>
      </c>
      <c r="M6616" s="1" t="str">
        <f t="shared" si="4152"/>
        <v>0</v>
      </c>
      <c r="N6616" s="1" t="str">
        <f t="shared" si="4152"/>
        <v>0</v>
      </c>
      <c r="O6616" s="1" t="str">
        <f>"2.93"</f>
        <v>2.93</v>
      </c>
    </row>
    <row r="6617" s="1" customFormat="1" spans="1:15">
      <c r="A6617" s="1" t="str">
        <f t="shared" si="4122"/>
        <v>202406</v>
      </c>
      <c r="B6617" s="1" t="str">
        <f t="shared" si="4123"/>
        <v>150525100</v>
      </c>
      <c r="C6617" s="1" t="str">
        <f>"1040681844"</f>
        <v>1040681844</v>
      </c>
      <c r="D6617" s="1" t="str">
        <f>"152326196302100413"</f>
        <v>152326196302100413</v>
      </c>
      <c r="E6617" s="1" t="s">
        <v>6438</v>
      </c>
      <c r="F6617" s="1" t="s">
        <v>25</v>
      </c>
      <c r="G6617" s="1" t="s">
        <v>17</v>
      </c>
      <c r="H6617" s="1" t="str">
        <f t="shared" si="4150"/>
        <v>61</v>
      </c>
      <c r="I6617" s="1" t="str">
        <f>"163.62"</f>
        <v>163.62</v>
      </c>
      <c r="J6617" s="1" t="str">
        <f t="shared" ref="J6617:N6617" si="4153">"0"</f>
        <v>0</v>
      </c>
      <c r="K6617" s="1" t="str">
        <f t="shared" si="4135"/>
        <v>103</v>
      </c>
      <c r="L6617" s="1" t="str">
        <f t="shared" si="4136"/>
        <v>47</v>
      </c>
      <c r="M6617" s="1" t="str">
        <f t="shared" si="4153"/>
        <v>0</v>
      </c>
      <c r="N6617" s="1" t="str">
        <f t="shared" si="4153"/>
        <v>0</v>
      </c>
      <c r="O6617" s="1" t="str">
        <f>"13.62"</f>
        <v>13.62</v>
      </c>
    </row>
    <row r="6618" s="1" customFormat="1" spans="1:15">
      <c r="A6618" s="1" t="str">
        <f t="shared" si="4122"/>
        <v>202406</v>
      </c>
      <c r="B6618" s="1" t="str">
        <f t="shared" si="4123"/>
        <v>150525100</v>
      </c>
      <c r="C6618" s="1" t="str">
        <f>"1040682138"</f>
        <v>1040682138</v>
      </c>
      <c r="D6618" s="1" t="str">
        <f>"152326195911020668"</f>
        <v>152326195911020668</v>
      </c>
      <c r="E6618" s="1" t="s">
        <v>1128</v>
      </c>
      <c r="F6618" s="1" t="s">
        <v>16</v>
      </c>
      <c r="G6618" s="1" t="s">
        <v>17</v>
      </c>
      <c r="H6618" s="1" t="str">
        <f>"65"</f>
        <v>65</v>
      </c>
      <c r="I6618" s="1" t="str">
        <f>"156.97"</f>
        <v>156.97</v>
      </c>
      <c r="J6618" s="1" t="str">
        <f t="shared" ref="J6618:N6618" si="4154">"0"</f>
        <v>0</v>
      </c>
      <c r="K6618" s="1" t="str">
        <f t="shared" si="4135"/>
        <v>103</v>
      </c>
      <c r="L6618" s="1" t="str">
        <f t="shared" si="4136"/>
        <v>47</v>
      </c>
      <c r="M6618" s="1" t="str">
        <f t="shared" si="4154"/>
        <v>0</v>
      </c>
      <c r="N6618" s="1" t="str">
        <f t="shared" si="4154"/>
        <v>0</v>
      </c>
      <c r="O6618" s="1" t="str">
        <f>"6.97"</f>
        <v>6.97</v>
      </c>
    </row>
    <row r="6619" s="1" customFormat="1" spans="1:15">
      <c r="A6619" s="1" t="str">
        <f t="shared" si="4122"/>
        <v>202406</v>
      </c>
      <c r="B6619" s="1" t="str">
        <f t="shared" si="4123"/>
        <v>150525100</v>
      </c>
      <c r="C6619" s="1" t="str">
        <f>"1040682144"</f>
        <v>1040682144</v>
      </c>
      <c r="D6619" s="1" t="str">
        <f>"152326195601020662"</f>
        <v>152326195601020662</v>
      </c>
      <c r="E6619" s="1" t="s">
        <v>6439</v>
      </c>
      <c r="F6619" s="1" t="s">
        <v>16</v>
      </c>
      <c r="G6619" s="1" t="s">
        <v>19</v>
      </c>
      <c r="H6619" s="1" t="str">
        <f t="shared" ref="H6619:H6624" si="4155">"69"</f>
        <v>69</v>
      </c>
      <c r="I6619" s="1" t="str">
        <f>"154.84"</f>
        <v>154.84</v>
      </c>
      <c r="J6619" s="1" t="str">
        <f t="shared" ref="J6619:N6619" si="4156">"0"</f>
        <v>0</v>
      </c>
      <c r="K6619" s="1" t="str">
        <f t="shared" si="4135"/>
        <v>103</v>
      </c>
      <c r="L6619" s="1" t="str">
        <f t="shared" si="4136"/>
        <v>47</v>
      </c>
      <c r="M6619" s="1" t="str">
        <f t="shared" si="4156"/>
        <v>0</v>
      </c>
      <c r="N6619" s="1" t="str">
        <f t="shared" si="4156"/>
        <v>0</v>
      </c>
      <c r="O6619" s="1" t="str">
        <f>"4.84"</f>
        <v>4.84</v>
      </c>
    </row>
    <row r="6620" s="1" customFormat="1" spans="1:15">
      <c r="A6620" s="1" t="str">
        <f t="shared" si="4122"/>
        <v>202406</v>
      </c>
      <c r="B6620" s="1" t="str">
        <f t="shared" si="4123"/>
        <v>150525100</v>
      </c>
      <c r="C6620" s="1" t="str">
        <f>"1040682180"</f>
        <v>1040682180</v>
      </c>
      <c r="D6620" s="1" t="str">
        <f>"152326196302090411"</f>
        <v>152326196302090411</v>
      </c>
      <c r="E6620" s="1" t="s">
        <v>6440</v>
      </c>
      <c r="F6620" s="1" t="s">
        <v>25</v>
      </c>
      <c r="G6620" s="1" t="s">
        <v>17</v>
      </c>
      <c r="H6620" s="1" t="str">
        <f t="shared" si="4150"/>
        <v>61</v>
      </c>
      <c r="I6620" s="1" t="str">
        <f>"163.6"</f>
        <v>163.6</v>
      </c>
      <c r="J6620" s="1" t="str">
        <f t="shared" ref="J6620:N6620" si="4157">"0"</f>
        <v>0</v>
      </c>
      <c r="K6620" s="1" t="str">
        <f t="shared" si="4135"/>
        <v>103</v>
      </c>
      <c r="L6620" s="1" t="str">
        <f t="shared" si="4136"/>
        <v>47</v>
      </c>
      <c r="M6620" s="1" t="str">
        <f t="shared" si="4157"/>
        <v>0</v>
      </c>
      <c r="N6620" s="1" t="str">
        <f t="shared" si="4157"/>
        <v>0</v>
      </c>
      <c r="O6620" s="1" t="str">
        <f>"13.6"</f>
        <v>13.6</v>
      </c>
    </row>
    <row r="6621" s="1" customFormat="1" spans="1:15">
      <c r="A6621" s="1" t="str">
        <f t="shared" si="4122"/>
        <v>202406</v>
      </c>
      <c r="B6621" s="1" t="str">
        <f t="shared" si="4123"/>
        <v>150525100</v>
      </c>
      <c r="C6621" s="1" t="str">
        <f>"1040681943"</f>
        <v>1040681943</v>
      </c>
      <c r="D6621" s="1" t="str">
        <f>"152326195401023076"</f>
        <v>152326195401023076</v>
      </c>
      <c r="E6621" s="1" t="s">
        <v>6441</v>
      </c>
      <c r="F6621" s="1" t="s">
        <v>25</v>
      </c>
      <c r="G6621" s="1" t="s">
        <v>19</v>
      </c>
      <c r="H6621" s="1" t="str">
        <f>"71"</f>
        <v>71</v>
      </c>
      <c r="I6621" s="1" t="str">
        <f>"162.95"</f>
        <v>162.95</v>
      </c>
      <c r="J6621" s="1" t="str">
        <f t="shared" ref="J6621:N6621" si="4158">"0"</f>
        <v>0</v>
      </c>
      <c r="K6621" s="1" t="str">
        <f t="shared" si="4135"/>
        <v>103</v>
      </c>
      <c r="L6621" s="1" t="str">
        <f t="shared" si="4136"/>
        <v>47</v>
      </c>
      <c r="M6621" s="1" t="str">
        <f t="shared" si="4158"/>
        <v>0</v>
      </c>
      <c r="N6621" s="1" t="str">
        <f t="shared" si="4158"/>
        <v>0</v>
      </c>
      <c r="O6621" s="1" t="str">
        <f>"2.95"</f>
        <v>2.95</v>
      </c>
    </row>
    <row r="6622" s="1" customFormat="1" spans="1:15">
      <c r="A6622" s="1" t="str">
        <f t="shared" si="4122"/>
        <v>202406</v>
      </c>
      <c r="B6622" s="1" t="str">
        <f t="shared" si="4123"/>
        <v>150525100</v>
      </c>
      <c r="C6622" s="1" t="str">
        <f>"1040681950"</f>
        <v>1040681950</v>
      </c>
      <c r="D6622" s="1" t="str">
        <f>"152326195502123826"</f>
        <v>152326195502123826</v>
      </c>
      <c r="E6622" s="1" t="s">
        <v>6442</v>
      </c>
      <c r="F6622" s="1" t="s">
        <v>16</v>
      </c>
      <c r="G6622" s="1" t="s">
        <v>19</v>
      </c>
      <c r="H6622" s="1" t="str">
        <f t="shared" si="4155"/>
        <v>69</v>
      </c>
      <c r="I6622" s="1" t="str">
        <f>"153.88"</f>
        <v>153.88</v>
      </c>
      <c r="J6622" s="1" t="str">
        <f t="shared" ref="J6622:N6622" si="4159">"0"</f>
        <v>0</v>
      </c>
      <c r="K6622" s="1" t="str">
        <f t="shared" si="4135"/>
        <v>103</v>
      </c>
      <c r="L6622" s="1" t="str">
        <f t="shared" si="4136"/>
        <v>47</v>
      </c>
      <c r="M6622" s="1" t="str">
        <f t="shared" si="4159"/>
        <v>0</v>
      </c>
      <c r="N6622" s="1" t="str">
        <f t="shared" si="4159"/>
        <v>0</v>
      </c>
      <c r="O6622" s="1" t="str">
        <f>"3.88"</f>
        <v>3.88</v>
      </c>
    </row>
    <row r="6623" s="1" customFormat="1" spans="1:15">
      <c r="A6623" s="1" t="str">
        <f t="shared" si="4122"/>
        <v>202406</v>
      </c>
      <c r="B6623" s="1" t="str">
        <f t="shared" si="4123"/>
        <v>150525100</v>
      </c>
      <c r="C6623" s="1" t="str">
        <f>"1040682035"</f>
        <v>1040682035</v>
      </c>
      <c r="D6623" s="1" t="str">
        <f>"152326195612103340"</f>
        <v>152326195612103340</v>
      </c>
      <c r="E6623" s="1" t="s">
        <v>6443</v>
      </c>
      <c r="F6623" s="1" t="s">
        <v>16</v>
      </c>
      <c r="G6623" s="1" t="s">
        <v>17</v>
      </c>
      <c r="H6623" s="1" t="str">
        <f>"68"</f>
        <v>68</v>
      </c>
      <c r="I6623" s="1" t="str">
        <f>"154.84"</f>
        <v>154.84</v>
      </c>
      <c r="J6623" s="1" t="str">
        <f t="shared" ref="J6623:N6623" si="4160">"0"</f>
        <v>0</v>
      </c>
      <c r="K6623" s="1" t="str">
        <f t="shared" si="4135"/>
        <v>103</v>
      </c>
      <c r="L6623" s="1" t="str">
        <f t="shared" si="4136"/>
        <v>47</v>
      </c>
      <c r="M6623" s="1" t="str">
        <f t="shared" si="4160"/>
        <v>0</v>
      </c>
      <c r="N6623" s="1" t="str">
        <f t="shared" si="4160"/>
        <v>0</v>
      </c>
      <c r="O6623" s="1" t="str">
        <f>"4.84"</f>
        <v>4.84</v>
      </c>
    </row>
    <row r="6624" s="1" customFormat="1" spans="1:15">
      <c r="A6624" s="1" t="str">
        <f t="shared" si="4122"/>
        <v>202406</v>
      </c>
      <c r="B6624" s="1" t="str">
        <f t="shared" si="4123"/>
        <v>150525100</v>
      </c>
      <c r="C6624" s="1" t="str">
        <f>"1040682042"</f>
        <v>1040682042</v>
      </c>
      <c r="D6624" s="1" t="str">
        <f>"152326195503220919"</f>
        <v>152326195503220919</v>
      </c>
      <c r="E6624" s="1" t="s">
        <v>6444</v>
      </c>
      <c r="F6624" s="1" t="s">
        <v>25</v>
      </c>
      <c r="G6624" s="1" t="s">
        <v>19</v>
      </c>
      <c r="H6624" s="1" t="str">
        <f t="shared" si="4155"/>
        <v>69</v>
      </c>
      <c r="I6624" s="1" t="str">
        <f>"153.88"</f>
        <v>153.88</v>
      </c>
      <c r="J6624" s="1" t="str">
        <f t="shared" ref="J6624:N6624" si="4161">"0"</f>
        <v>0</v>
      </c>
      <c r="K6624" s="1" t="str">
        <f t="shared" si="4135"/>
        <v>103</v>
      </c>
      <c r="L6624" s="1" t="str">
        <f t="shared" si="4136"/>
        <v>47</v>
      </c>
      <c r="M6624" s="1" t="str">
        <f t="shared" si="4161"/>
        <v>0</v>
      </c>
      <c r="N6624" s="1" t="str">
        <f t="shared" si="4161"/>
        <v>0</v>
      </c>
      <c r="O6624" s="1" t="str">
        <f>"3.88"</f>
        <v>3.88</v>
      </c>
    </row>
    <row r="6625" s="1" customFormat="1" spans="1:15">
      <c r="A6625" s="1" t="str">
        <f t="shared" si="4122"/>
        <v>202406</v>
      </c>
      <c r="B6625" s="1" t="str">
        <f t="shared" si="4123"/>
        <v>150525100</v>
      </c>
      <c r="C6625" s="1" t="str">
        <f>"1040681889"</f>
        <v>1040681889</v>
      </c>
      <c r="D6625" s="1" t="str">
        <f>"152326196005273078"</f>
        <v>152326196005273078</v>
      </c>
      <c r="E6625" s="1" t="s">
        <v>6445</v>
      </c>
      <c r="F6625" s="1" t="s">
        <v>25</v>
      </c>
      <c r="G6625" s="1" t="s">
        <v>17</v>
      </c>
      <c r="H6625" s="1" t="str">
        <f>"64"</f>
        <v>64</v>
      </c>
      <c r="I6625" s="1" t="str">
        <f>"157.95"</f>
        <v>157.95</v>
      </c>
      <c r="J6625" s="1" t="str">
        <f t="shared" ref="J6625:N6625" si="4162">"0"</f>
        <v>0</v>
      </c>
      <c r="K6625" s="1" t="str">
        <f t="shared" si="4135"/>
        <v>103</v>
      </c>
      <c r="L6625" s="1" t="str">
        <f t="shared" si="4136"/>
        <v>47</v>
      </c>
      <c r="M6625" s="1" t="str">
        <f t="shared" si="4162"/>
        <v>0</v>
      </c>
      <c r="N6625" s="1" t="str">
        <f t="shared" si="4162"/>
        <v>0</v>
      </c>
      <c r="O6625" s="1" t="str">
        <f>"7.95"</f>
        <v>7.95</v>
      </c>
    </row>
    <row r="6626" s="1" customFormat="1" spans="1:15">
      <c r="A6626" s="1" t="str">
        <f t="shared" si="4122"/>
        <v>202406</v>
      </c>
      <c r="B6626" s="1" t="str">
        <f t="shared" si="4123"/>
        <v>150525100</v>
      </c>
      <c r="C6626" s="1" t="str">
        <f>"1040682128"</f>
        <v>1040682128</v>
      </c>
      <c r="D6626" s="1" t="str">
        <f>"152326195905180665"</f>
        <v>152326195905180665</v>
      </c>
      <c r="E6626" s="1" t="s">
        <v>1285</v>
      </c>
      <c r="F6626" s="1" t="s">
        <v>16</v>
      </c>
      <c r="G6626" s="1" t="s">
        <v>17</v>
      </c>
      <c r="H6626" s="1" t="str">
        <f>"65"</f>
        <v>65</v>
      </c>
      <c r="I6626" s="1" t="str">
        <f>"156.92"</f>
        <v>156.92</v>
      </c>
      <c r="J6626" s="1" t="str">
        <f t="shared" ref="J6626:N6626" si="4163">"0"</f>
        <v>0</v>
      </c>
      <c r="K6626" s="1" t="str">
        <f t="shared" si="4135"/>
        <v>103</v>
      </c>
      <c r="L6626" s="1" t="str">
        <f t="shared" si="4136"/>
        <v>47</v>
      </c>
      <c r="M6626" s="1" t="str">
        <f t="shared" si="4163"/>
        <v>0</v>
      </c>
      <c r="N6626" s="1" t="str">
        <f t="shared" si="4163"/>
        <v>0</v>
      </c>
      <c r="O6626" s="1" t="str">
        <f>"6.92"</f>
        <v>6.92</v>
      </c>
    </row>
    <row r="6627" s="1" customFormat="1" spans="1:15">
      <c r="A6627" s="1" t="str">
        <f t="shared" si="4122"/>
        <v>202406</v>
      </c>
      <c r="B6627" s="1" t="str">
        <f t="shared" si="4123"/>
        <v>150525100</v>
      </c>
      <c r="C6627" s="1" t="str">
        <f>"1040681900"</f>
        <v>1040681900</v>
      </c>
      <c r="D6627" s="1" t="str">
        <f>"152326196304160698"</f>
        <v>152326196304160698</v>
      </c>
      <c r="E6627" s="1" t="s">
        <v>6446</v>
      </c>
      <c r="F6627" s="1" t="s">
        <v>25</v>
      </c>
      <c r="G6627" s="1" t="s">
        <v>17</v>
      </c>
      <c r="H6627" s="1" t="str">
        <f>"61"</f>
        <v>61</v>
      </c>
      <c r="I6627" s="1" t="str">
        <f>"200.89"</f>
        <v>200.89</v>
      </c>
      <c r="J6627" s="1" t="str">
        <f t="shared" ref="J6627:N6627" si="4164">"0"</f>
        <v>0</v>
      </c>
      <c r="K6627" s="1" t="str">
        <f t="shared" si="4135"/>
        <v>103</v>
      </c>
      <c r="L6627" s="1" t="str">
        <f t="shared" si="4136"/>
        <v>47</v>
      </c>
      <c r="M6627" s="1" t="str">
        <f t="shared" si="4164"/>
        <v>0</v>
      </c>
      <c r="N6627" s="1" t="str">
        <f t="shared" si="4164"/>
        <v>0</v>
      </c>
      <c r="O6627" s="1" t="str">
        <f>"50.89"</f>
        <v>50.89</v>
      </c>
    </row>
    <row r="6628" s="1" customFormat="1" spans="1:15">
      <c r="A6628" s="1" t="str">
        <f t="shared" si="4122"/>
        <v>202406</v>
      </c>
      <c r="B6628" s="1" t="str">
        <f t="shared" si="4123"/>
        <v>150525100</v>
      </c>
      <c r="C6628" s="1" t="str">
        <f>"1040681915"</f>
        <v>1040681915</v>
      </c>
      <c r="D6628" s="1" t="str">
        <f>"152326195409290697"</f>
        <v>152326195409290697</v>
      </c>
      <c r="E6628" s="1" t="s">
        <v>599</v>
      </c>
      <c r="F6628" s="1" t="s">
        <v>25</v>
      </c>
      <c r="G6628" s="1" t="s">
        <v>17</v>
      </c>
      <c r="H6628" s="1" t="str">
        <f>"70"</f>
        <v>70</v>
      </c>
      <c r="I6628" s="1" t="str">
        <f>"152.93"</f>
        <v>152.93</v>
      </c>
      <c r="J6628" s="1" t="str">
        <f t="shared" ref="J6628:N6628" si="4165">"0"</f>
        <v>0</v>
      </c>
      <c r="K6628" s="1" t="str">
        <f t="shared" si="4135"/>
        <v>103</v>
      </c>
      <c r="L6628" s="1" t="str">
        <f t="shared" si="4136"/>
        <v>47</v>
      </c>
      <c r="M6628" s="1" t="str">
        <f t="shared" si="4165"/>
        <v>0</v>
      </c>
      <c r="N6628" s="1" t="str">
        <f t="shared" si="4165"/>
        <v>0</v>
      </c>
      <c r="O6628" s="1" t="str">
        <f>"2.93"</f>
        <v>2.93</v>
      </c>
    </row>
    <row r="6629" s="1" customFormat="1" spans="1:15">
      <c r="A6629" s="1" t="str">
        <f t="shared" si="4122"/>
        <v>202406</v>
      </c>
      <c r="B6629" s="1" t="str">
        <f t="shared" si="4123"/>
        <v>150525100</v>
      </c>
      <c r="C6629" s="1" t="str">
        <f>"1040681963"</f>
        <v>1040681963</v>
      </c>
      <c r="D6629" s="1" t="str">
        <f>"152326195406293833"</f>
        <v>152326195406293833</v>
      </c>
      <c r="E6629" s="1" t="s">
        <v>6447</v>
      </c>
      <c r="F6629" s="1" t="s">
        <v>25</v>
      </c>
      <c r="G6629" s="1" t="s">
        <v>19</v>
      </c>
      <c r="H6629" s="1" t="str">
        <f>"70"</f>
        <v>70</v>
      </c>
      <c r="I6629" s="1" t="str">
        <f>"152.93"</f>
        <v>152.93</v>
      </c>
      <c r="J6629" s="1" t="str">
        <f t="shared" ref="J6629:N6629" si="4166">"0"</f>
        <v>0</v>
      </c>
      <c r="K6629" s="1" t="str">
        <f t="shared" si="4135"/>
        <v>103</v>
      </c>
      <c r="L6629" s="1" t="str">
        <f t="shared" si="4136"/>
        <v>47</v>
      </c>
      <c r="M6629" s="1" t="str">
        <f t="shared" si="4166"/>
        <v>0</v>
      </c>
      <c r="N6629" s="1" t="str">
        <f t="shared" si="4166"/>
        <v>0</v>
      </c>
      <c r="O6629" s="1" t="str">
        <f>"2.93"</f>
        <v>2.93</v>
      </c>
    </row>
    <row r="6630" s="1" customFormat="1" spans="1:15">
      <c r="A6630" s="1" t="str">
        <f t="shared" si="4122"/>
        <v>202406</v>
      </c>
      <c r="B6630" s="1" t="str">
        <f t="shared" si="4123"/>
        <v>150525100</v>
      </c>
      <c r="C6630" s="1" t="str">
        <f>"1040681972"</f>
        <v>1040681972</v>
      </c>
      <c r="D6630" s="1" t="str">
        <f>"152326195512143812"</f>
        <v>152326195512143812</v>
      </c>
      <c r="E6630" s="1" t="s">
        <v>6448</v>
      </c>
      <c r="F6630" s="1" t="s">
        <v>25</v>
      </c>
      <c r="G6630" s="1" t="s">
        <v>17</v>
      </c>
      <c r="H6630" s="1" t="str">
        <f t="shared" ref="H6630:H6634" si="4167">"69"</f>
        <v>69</v>
      </c>
      <c r="I6630" s="1" t="str">
        <f t="shared" ref="I6630:I6634" si="4168">"153.89"</f>
        <v>153.89</v>
      </c>
      <c r="J6630" s="1" t="str">
        <f t="shared" ref="J6630:N6630" si="4169">"0"</f>
        <v>0</v>
      </c>
      <c r="K6630" s="1" t="str">
        <f t="shared" si="4135"/>
        <v>103</v>
      </c>
      <c r="L6630" s="1" t="str">
        <f t="shared" si="4136"/>
        <v>47</v>
      </c>
      <c r="M6630" s="1" t="str">
        <f t="shared" si="4169"/>
        <v>0</v>
      </c>
      <c r="N6630" s="1" t="str">
        <f t="shared" si="4169"/>
        <v>0</v>
      </c>
      <c r="O6630" s="1" t="str">
        <f t="shared" ref="O6630:O6634" si="4170">"3.89"</f>
        <v>3.89</v>
      </c>
    </row>
    <row r="6631" s="1" customFormat="1" spans="1:15">
      <c r="A6631" s="1" t="str">
        <f t="shared" si="4122"/>
        <v>202406</v>
      </c>
      <c r="B6631" s="1" t="str">
        <f t="shared" si="4123"/>
        <v>150525100</v>
      </c>
      <c r="C6631" s="1" t="str">
        <f>"1040681974"</f>
        <v>1040681974</v>
      </c>
      <c r="D6631" s="1" t="str">
        <f>"152326195806133847"</f>
        <v>152326195806133847</v>
      </c>
      <c r="E6631" s="1" t="s">
        <v>6449</v>
      </c>
      <c r="F6631" s="1" t="s">
        <v>16</v>
      </c>
      <c r="G6631" s="1" t="s">
        <v>17</v>
      </c>
      <c r="H6631" s="1" t="str">
        <f>"66"</f>
        <v>66</v>
      </c>
      <c r="I6631" s="1" t="str">
        <f>"155.88"</f>
        <v>155.88</v>
      </c>
      <c r="J6631" s="1" t="str">
        <f t="shared" ref="J6631:N6631" si="4171">"0"</f>
        <v>0</v>
      </c>
      <c r="K6631" s="1" t="str">
        <f t="shared" si="4135"/>
        <v>103</v>
      </c>
      <c r="L6631" s="1" t="str">
        <f t="shared" si="4136"/>
        <v>47</v>
      </c>
      <c r="M6631" s="1" t="str">
        <f t="shared" si="4171"/>
        <v>0</v>
      </c>
      <c r="N6631" s="1" t="str">
        <f t="shared" si="4171"/>
        <v>0</v>
      </c>
      <c r="O6631" s="1" t="str">
        <f>"5.88"</f>
        <v>5.88</v>
      </c>
    </row>
    <row r="6632" s="1" customFormat="1" spans="1:15">
      <c r="A6632" s="1" t="str">
        <f t="shared" si="4122"/>
        <v>202406</v>
      </c>
      <c r="B6632" s="1" t="str">
        <f t="shared" si="4123"/>
        <v>150525100</v>
      </c>
      <c r="C6632" s="1" t="str">
        <f>"1040681979"</f>
        <v>1040681979</v>
      </c>
      <c r="D6632" s="1" t="str">
        <f>"152326196203223821"</f>
        <v>152326196203223821</v>
      </c>
      <c r="E6632" s="1" t="s">
        <v>6450</v>
      </c>
      <c r="F6632" s="1" t="s">
        <v>16</v>
      </c>
      <c r="G6632" s="1" t="s">
        <v>19</v>
      </c>
      <c r="H6632" s="1" t="str">
        <f>"62"</f>
        <v>62</v>
      </c>
      <c r="I6632" s="1" t="str">
        <f>"161.65"</f>
        <v>161.65</v>
      </c>
      <c r="J6632" s="1" t="str">
        <f t="shared" ref="J6632:N6632" si="4172">"0"</f>
        <v>0</v>
      </c>
      <c r="K6632" s="1" t="str">
        <f t="shared" si="4135"/>
        <v>103</v>
      </c>
      <c r="L6632" s="1" t="str">
        <f t="shared" si="4136"/>
        <v>47</v>
      </c>
      <c r="M6632" s="1" t="str">
        <f t="shared" si="4172"/>
        <v>0</v>
      </c>
      <c r="N6632" s="1" t="str">
        <f t="shared" si="4172"/>
        <v>0</v>
      </c>
      <c r="O6632" s="1" t="str">
        <f>"11.65"</f>
        <v>11.65</v>
      </c>
    </row>
    <row r="6633" s="1" customFormat="1" spans="1:15">
      <c r="A6633" s="1" t="str">
        <f t="shared" si="4122"/>
        <v>202406</v>
      </c>
      <c r="B6633" s="1" t="str">
        <f t="shared" si="4123"/>
        <v>150525100</v>
      </c>
      <c r="C6633" s="1" t="str">
        <f>"1040681988"</f>
        <v>1040681988</v>
      </c>
      <c r="D6633" s="1" t="str">
        <f>"152326195511133823"</f>
        <v>152326195511133823</v>
      </c>
      <c r="E6633" s="1" t="s">
        <v>6451</v>
      </c>
      <c r="F6633" s="1" t="s">
        <v>16</v>
      </c>
      <c r="G6633" s="1" t="s">
        <v>17</v>
      </c>
      <c r="H6633" s="1" t="str">
        <f t="shared" si="4167"/>
        <v>69</v>
      </c>
      <c r="I6633" s="1" t="str">
        <f t="shared" si="4168"/>
        <v>153.89</v>
      </c>
      <c r="J6633" s="1" t="str">
        <f t="shared" ref="J6633:N6633" si="4173">"0"</f>
        <v>0</v>
      </c>
      <c r="K6633" s="1" t="str">
        <f t="shared" si="4135"/>
        <v>103</v>
      </c>
      <c r="L6633" s="1" t="str">
        <f t="shared" si="4136"/>
        <v>47</v>
      </c>
      <c r="M6633" s="1" t="str">
        <f t="shared" si="4173"/>
        <v>0</v>
      </c>
      <c r="N6633" s="1" t="str">
        <f t="shared" si="4173"/>
        <v>0</v>
      </c>
      <c r="O6633" s="1" t="str">
        <f t="shared" si="4170"/>
        <v>3.89</v>
      </c>
    </row>
    <row r="6634" s="1" customFormat="1" spans="1:15">
      <c r="A6634" s="1" t="str">
        <f t="shared" si="4122"/>
        <v>202406</v>
      </c>
      <c r="B6634" s="1" t="str">
        <f t="shared" si="4123"/>
        <v>150525100</v>
      </c>
      <c r="C6634" s="1" t="str">
        <f>"1040681998"</f>
        <v>1040681998</v>
      </c>
      <c r="D6634" s="1" t="str">
        <f>"152326195504023845"</f>
        <v>152326195504023845</v>
      </c>
      <c r="E6634" s="1" t="s">
        <v>6452</v>
      </c>
      <c r="F6634" s="1" t="s">
        <v>16</v>
      </c>
      <c r="G6634" s="1" t="s">
        <v>19</v>
      </c>
      <c r="H6634" s="1" t="str">
        <f t="shared" si="4167"/>
        <v>69</v>
      </c>
      <c r="I6634" s="1" t="str">
        <f t="shared" si="4168"/>
        <v>153.89</v>
      </c>
      <c r="J6634" s="1" t="str">
        <f t="shared" ref="J6634:N6634" si="4174">"0"</f>
        <v>0</v>
      </c>
      <c r="K6634" s="1" t="str">
        <f t="shared" si="4135"/>
        <v>103</v>
      </c>
      <c r="L6634" s="1" t="str">
        <f t="shared" si="4136"/>
        <v>47</v>
      </c>
      <c r="M6634" s="1" t="str">
        <f t="shared" si="4174"/>
        <v>0</v>
      </c>
      <c r="N6634" s="1" t="str">
        <f t="shared" si="4174"/>
        <v>0</v>
      </c>
      <c r="O6634" s="1" t="str">
        <f t="shared" si="4170"/>
        <v>3.89</v>
      </c>
    </row>
    <row r="6635" s="1" customFormat="1" spans="1:15">
      <c r="A6635" s="1" t="str">
        <f t="shared" si="4122"/>
        <v>202406</v>
      </c>
      <c r="B6635" s="1" t="str">
        <f t="shared" si="4123"/>
        <v>150525100</v>
      </c>
      <c r="C6635" s="1" t="str">
        <f>"1040682013"</f>
        <v>1040682013</v>
      </c>
      <c r="D6635" s="1" t="str">
        <f>"152326196004030429"</f>
        <v>152326196004030429</v>
      </c>
      <c r="E6635" s="1" t="s">
        <v>6453</v>
      </c>
      <c r="F6635" s="1" t="s">
        <v>16</v>
      </c>
      <c r="G6635" s="1" t="s">
        <v>17</v>
      </c>
      <c r="H6635" s="1" t="str">
        <f>"64"</f>
        <v>64</v>
      </c>
      <c r="I6635" s="1" t="str">
        <f>"157.93"</f>
        <v>157.93</v>
      </c>
      <c r="J6635" s="1" t="str">
        <f t="shared" ref="J6635:N6635" si="4175">"0"</f>
        <v>0</v>
      </c>
      <c r="K6635" s="1" t="str">
        <f t="shared" si="4135"/>
        <v>103</v>
      </c>
      <c r="L6635" s="1" t="str">
        <f t="shared" si="4136"/>
        <v>47</v>
      </c>
      <c r="M6635" s="1" t="str">
        <f t="shared" si="4175"/>
        <v>0</v>
      </c>
      <c r="N6635" s="1" t="str">
        <f t="shared" si="4175"/>
        <v>0</v>
      </c>
      <c r="O6635" s="1" t="str">
        <f>"7.93"</f>
        <v>7.93</v>
      </c>
    </row>
    <row r="6636" s="1" customFormat="1" spans="1:15">
      <c r="A6636" s="1" t="str">
        <f t="shared" si="4122"/>
        <v>202406</v>
      </c>
      <c r="B6636" s="1" t="str">
        <f t="shared" si="4123"/>
        <v>150525100</v>
      </c>
      <c r="C6636" s="1" t="str">
        <f>"1040682044"</f>
        <v>1040682044</v>
      </c>
      <c r="D6636" s="1" t="str">
        <f>"152326195602250929"</f>
        <v>152326195602250929</v>
      </c>
      <c r="E6636" s="1" t="s">
        <v>3634</v>
      </c>
      <c r="F6636" s="1" t="s">
        <v>16</v>
      </c>
      <c r="G6636" s="1" t="s">
        <v>19</v>
      </c>
      <c r="H6636" s="1" t="str">
        <f>"68"</f>
        <v>68</v>
      </c>
      <c r="I6636" s="1" t="str">
        <f>"154.81"</f>
        <v>154.81</v>
      </c>
      <c r="J6636" s="1" t="str">
        <f t="shared" ref="J6636:N6636" si="4176">"0"</f>
        <v>0</v>
      </c>
      <c r="K6636" s="1" t="str">
        <f t="shared" si="4135"/>
        <v>103</v>
      </c>
      <c r="L6636" s="1" t="str">
        <f t="shared" si="4136"/>
        <v>47</v>
      </c>
      <c r="M6636" s="1" t="str">
        <f t="shared" si="4176"/>
        <v>0</v>
      </c>
      <c r="N6636" s="1" t="str">
        <f t="shared" si="4176"/>
        <v>0</v>
      </c>
      <c r="O6636" s="1" t="str">
        <f>"4.81"</f>
        <v>4.81</v>
      </c>
    </row>
    <row r="6637" s="1" customFormat="1" spans="1:15">
      <c r="A6637" s="1" t="str">
        <f t="shared" si="4122"/>
        <v>202406</v>
      </c>
      <c r="B6637" s="1" t="str">
        <f t="shared" si="4123"/>
        <v>150525100</v>
      </c>
      <c r="C6637" s="1" t="str">
        <f>"1040682086"</f>
        <v>1040682086</v>
      </c>
      <c r="D6637" s="1" t="str">
        <f>"152326195312300940"</f>
        <v>152326195312300940</v>
      </c>
      <c r="E6637" s="1" t="s">
        <v>6454</v>
      </c>
      <c r="F6637" s="1" t="s">
        <v>16</v>
      </c>
      <c r="G6637" s="1" t="s">
        <v>19</v>
      </c>
      <c r="H6637" s="1" t="str">
        <f>"71"</f>
        <v>71</v>
      </c>
      <c r="I6637" s="1" t="str">
        <f>"162.2"</f>
        <v>162.2</v>
      </c>
      <c r="J6637" s="1" t="str">
        <f t="shared" ref="J6637:N6637" si="4177">"0"</f>
        <v>0</v>
      </c>
      <c r="K6637" s="1" t="str">
        <f t="shared" si="4135"/>
        <v>103</v>
      </c>
      <c r="L6637" s="1" t="str">
        <f t="shared" si="4136"/>
        <v>47</v>
      </c>
      <c r="M6637" s="1" t="str">
        <f t="shared" si="4177"/>
        <v>0</v>
      </c>
      <c r="N6637" s="1" t="str">
        <f t="shared" si="4177"/>
        <v>0</v>
      </c>
      <c r="O6637" s="1" t="str">
        <f>"2.2"</f>
        <v>2.2</v>
      </c>
    </row>
    <row r="6638" s="1" customFormat="1" spans="1:15">
      <c r="A6638" s="1" t="str">
        <f t="shared" si="4122"/>
        <v>202406</v>
      </c>
      <c r="B6638" s="1" t="str">
        <f t="shared" si="4123"/>
        <v>150525100</v>
      </c>
      <c r="C6638" s="1" t="str">
        <f>"1040682201"</f>
        <v>1040682201</v>
      </c>
      <c r="D6638" s="1" t="str">
        <f>"152326195703023071"</f>
        <v>152326195703023071</v>
      </c>
      <c r="E6638" s="1" t="s">
        <v>6455</v>
      </c>
      <c r="F6638" s="1" t="s">
        <v>25</v>
      </c>
      <c r="G6638" s="1" t="s">
        <v>19</v>
      </c>
      <c r="H6638" s="1" t="str">
        <f>"67"</f>
        <v>67</v>
      </c>
      <c r="I6638" s="1" t="str">
        <f t="shared" ref="I6638:I6640" si="4178">"154.84"</f>
        <v>154.84</v>
      </c>
      <c r="J6638" s="1" t="str">
        <f t="shared" ref="J6638:N6638" si="4179">"0"</f>
        <v>0</v>
      </c>
      <c r="K6638" s="1" t="str">
        <f t="shared" si="4135"/>
        <v>103</v>
      </c>
      <c r="L6638" s="1" t="str">
        <f t="shared" si="4136"/>
        <v>47</v>
      </c>
      <c r="M6638" s="1" t="str">
        <f t="shared" si="4179"/>
        <v>0</v>
      </c>
      <c r="N6638" s="1" t="str">
        <f t="shared" si="4179"/>
        <v>0</v>
      </c>
      <c r="O6638" s="1" t="str">
        <f t="shared" ref="O6638:O6640" si="4180">"4.84"</f>
        <v>4.84</v>
      </c>
    </row>
    <row r="6639" s="1" customFormat="1" spans="1:15">
      <c r="A6639" s="1" t="str">
        <f t="shared" si="4122"/>
        <v>202406</v>
      </c>
      <c r="B6639" s="1" t="str">
        <f t="shared" si="4123"/>
        <v>150525100</v>
      </c>
      <c r="C6639" s="1" t="str">
        <f>"1040682211"</f>
        <v>1040682211</v>
      </c>
      <c r="D6639" s="1" t="str">
        <f>"152326195601050423"</f>
        <v>152326195601050423</v>
      </c>
      <c r="E6639" s="1" t="s">
        <v>6456</v>
      </c>
      <c r="F6639" s="1" t="s">
        <v>16</v>
      </c>
      <c r="G6639" s="1" t="s">
        <v>17</v>
      </c>
      <c r="H6639" s="1" t="str">
        <f>"69"</f>
        <v>69</v>
      </c>
      <c r="I6639" s="1" t="str">
        <f t="shared" si="4178"/>
        <v>154.84</v>
      </c>
      <c r="J6639" s="1" t="str">
        <f t="shared" ref="J6639:N6639" si="4181">"0"</f>
        <v>0</v>
      </c>
      <c r="K6639" s="1" t="str">
        <f t="shared" si="4135"/>
        <v>103</v>
      </c>
      <c r="L6639" s="1" t="str">
        <f t="shared" si="4136"/>
        <v>47</v>
      </c>
      <c r="M6639" s="1" t="str">
        <f t="shared" si="4181"/>
        <v>0</v>
      </c>
      <c r="N6639" s="1" t="str">
        <f t="shared" si="4181"/>
        <v>0</v>
      </c>
      <c r="O6639" s="1" t="str">
        <f t="shared" si="4180"/>
        <v>4.84</v>
      </c>
    </row>
    <row r="6640" s="1" customFormat="1" spans="1:15">
      <c r="A6640" s="1" t="str">
        <f t="shared" si="4122"/>
        <v>202406</v>
      </c>
      <c r="B6640" s="1" t="str">
        <f t="shared" si="4123"/>
        <v>150525100</v>
      </c>
      <c r="C6640" s="1" t="str">
        <f>"1040682219"</f>
        <v>1040682219</v>
      </c>
      <c r="D6640" s="1" t="str">
        <f>"152326195605110411"</f>
        <v>152326195605110411</v>
      </c>
      <c r="E6640" s="1" t="s">
        <v>6457</v>
      </c>
      <c r="F6640" s="1" t="s">
        <v>25</v>
      </c>
      <c r="G6640" s="1" t="s">
        <v>17</v>
      </c>
      <c r="H6640" s="1" t="str">
        <f>"68"</f>
        <v>68</v>
      </c>
      <c r="I6640" s="1" t="str">
        <f t="shared" si="4178"/>
        <v>154.84</v>
      </c>
      <c r="J6640" s="1" t="str">
        <f t="shared" ref="J6640:N6640" si="4182">"0"</f>
        <v>0</v>
      </c>
      <c r="K6640" s="1" t="str">
        <f t="shared" si="4135"/>
        <v>103</v>
      </c>
      <c r="L6640" s="1" t="str">
        <f t="shared" si="4136"/>
        <v>47</v>
      </c>
      <c r="M6640" s="1" t="str">
        <f t="shared" si="4182"/>
        <v>0</v>
      </c>
      <c r="N6640" s="1" t="str">
        <f t="shared" si="4182"/>
        <v>0</v>
      </c>
      <c r="O6640" s="1" t="str">
        <f t="shared" si="4180"/>
        <v>4.84</v>
      </c>
    </row>
    <row r="6641" s="1" customFormat="1" spans="1:15">
      <c r="A6641" s="1" t="str">
        <f t="shared" si="4122"/>
        <v>202406</v>
      </c>
      <c r="B6641" s="1" t="str">
        <f t="shared" si="4123"/>
        <v>150525100</v>
      </c>
      <c r="C6641" s="1" t="str">
        <f>"1040682337"</f>
        <v>1040682337</v>
      </c>
      <c r="D6641" s="1" t="str">
        <f>"152326195702226125"</f>
        <v>152326195702226125</v>
      </c>
      <c r="E6641" s="1" t="s">
        <v>6458</v>
      </c>
      <c r="F6641" s="1" t="s">
        <v>16</v>
      </c>
      <c r="G6641" s="1" t="s">
        <v>17</v>
      </c>
      <c r="H6641" s="1" t="str">
        <f>"67"</f>
        <v>67</v>
      </c>
      <c r="I6641" s="1" t="str">
        <f>"154.82"</f>
        <v>154.82</v>
      </c>
      <c r="J6641" s="1" t="str">
        <f t="shared" ref="J6641:N6641" si="4183">"0"</f>
        <v>0</v>
      </c>
      <c r="K6641" s="1" t="str">
        <f t="shared" si="4135"/>
        <v>103</v>
      </c>
      <c r="L6641" s="1" t="str">
        <f t="shared" si="4136"/>
        <v>47</v>
      </c>
      <c r="M6641" s="1" t="str">
        <f t="shared" si="4183"/>
        <v>0</v>
      </c>
      <c r="N6641" s="1" t="str">
        <f t="shared" si="4183"/>
        <v>0</v>
      </c>
      <c r="O6641" s="1" t="str">
        <f>"4.82"</f>
        <v>4.82</v>
      </c>
    </row>
    <row r="6642" s="1" customFormat="1" spans="1:15">
      <c r="A6642" s="1" t="str">
        <f t="shared" si="4122"/>
        <v>202406</v>
      </c>
      <c r="B6642" s="1" t="str">
        <f t="shared" si="4123"/>
        <v>150525100</v>
      </c>
      <c r="C6642" s="1" t="str">
        <f>"1040682339"</f>
        <v>1040682339</v>
      </c>
      <c r="D6642" s="1" t="str">
        <f>"152326195904206114"</f>
        <v>152326195904206114</v>
      </c>
      <c r="E6642" s="1" t="s">
        <v>6459</v>
      </c>
      <c r="F6642" s="1" t="s">
        <v>25</v>
      </c>
      <c r="G6642" s="1" t="s">
        <v>17</v>
      </c>
      <c r="H6642" s="1" t="str">
        <f>"65"</f>
        <v>65</v>
      </c>
      <c r="I6642" s="1" t="str">
        <f>"157.82"</f>
        <v>157.82</v>
      </c>
      <c r="J6642" s="1" t="str">
        <f t="shared" ref="J6642:N6642" si="4184">"0"</f>
        <v>0</v>
      </c>
      <c r="K6642" s="1" t="str">
        <f t="shared" si="4135"/>
        <v>103</v>
      </c>
      <c r="L6642" s="1" t="str">
        <f t="shared" si="4136"/>
        <v>47</v>
      </c>
      <c r="M6642" s="1" t="str">
        <f t="shared" si="4184"/>
        <v>0</v>
      </c>
      <c r="N6642" s="1" t="str">
        <f t="shared" si="4184"/>
        <v>0</v>
      </c>
      <c r="O6642" s="1" t="str">
        <f>"7.82"</f>
        <v>7.82</v>
      </c>
    </row>
    <row r="6643" s="1" customFormat="1" spans="1:15">
      <c r="A6643" s="1" t="str">
        <f t="shared" si="4122"/>
        <v>202406</v>
      </c>
      <c r="B6643" s="1" t="str">
        <f t="shared" si="4123"/>
        <v>150525100</v>
      </c>
      <c r="C6643" s="1" t="str">
        <f>"1040689362"</f>
        <v>1040689362</v>
      </c>
      <c r="D6643" s="1" t="str">
        <f>"152326195604183811"</f>
        <v>152326195604183811</v>
      </c>
      <c r="E6643" s="1" t="s">
        <v>6460</v>
      </c>
      <c r="F6643" s="1" t="s">
        <v>25</v>
      </c>
      <c r="G6643" s="1" t="s">
        <v>17</v>
      </c>
      <c r="H6643" s="1" t="str">
        <f>"68"</f>
        <v>68</v>
      </c>
      <c r="I6643" s="1" t="str">
        <f>"154.9"</f>
        <v>154.9</v>
      </c>
      <c r="J6643" s="1" t="str">
        <f t="shared" ref="J6643:N6643" si="4185">"0"</f>
        <v>0</v>
      </c>
      <c r="K6643" s="1" t="str">
        <f t="shared" si="4135"/>
        <v>103</v>
      </c>
      <c r="L6643" s="1" t="str">
        <f t="shared" si="4136"/>
        <v>47</v>
      </c>
      <c r="M6643" s="1" t="str">
        <f t="shared" si="4185"/>
        <v>0</v>
      </c>
      <c r="N6643" s="1" t="str">
        <f t="shared" si="4185"/>
        <v>0</v>
      </c>
      <c r="O6643" s="1" t="str">
        <f>"4.9"</f>
        <v>4.9</v>
      </c>
    </row>
    <row r="6644" s="1" customFormat="1" spans="1:15">
      <c r="A6644" s="1" t="str">
        <f t="shared" si="4122"/>
        <v>202406</v>
      </c>
      <c r="B6644" s="1" t="str">
        <f t="shared" si="4123"/>
        <v>150525100</v>
      </c>
      <c r="C6644" s="1" t="str">
        <f>"1040682674"</f>
        <v>1040682674</v>
      </c>
      <c r="D6644" s="1" t="str">
        <f>"152326193711020023"</f>
        <v>152326193711020023</v>
      </c>
      <c r="E6644" s="1" t="s">
        <v>6461</v>
      </c>
      <c r="F6644" s="1" t="s">
        <v>16</v>
      </c>
      <c r="G6644" s="1" t="s">
        <v>17</v>
      </c>
      <c r="H6644" s="1" t="str">
        <f>"87"</f>
        <v>87</v>
      </c>
      <c r="I6644" s="1" t="str">
        <f>"170"</f>
        <v>170</v>
      </c>
      <c r="J6644" s="1" t="str">
        <f t="shared" ref="J6644:O6644" si="4186">"0"</f>
        <v>0</v>
      </c>
      <c r="K6644" s="1" t="str">
        <f t="shared" si="4135"/>
        <v>103</v>
      </c>
      <c r="L6644" s="1" t="str">
        <f t="shared" si="4136"/>
        <v>47</v>
      </c>
      <c r="M6644" s="1" t="str">
        <f t="shared" si="4186"/>
        <v>0</v>
      </c>
      <c r="N6644" s="1" t="str">
        <f t="shared" si="4186"/>
        <v>0</v>
      </c>
      <c r="O6644" s="1" t="str">
        <f t="shared" si="4186"/>
        <v>0</v>
      </c>
    </row>
    <row r="6645" s="1" customFormat="1" spans="1:15">
      <c r="A6645" s="1" t="str">
        <f t="shared" si="4122"/>
        <v>202406</v>
      </c>
      <c r="B6645" s="1" t="str">
        <f t="shared" si="4123"/>
        <v>150525100</v>
      </c>
      <c r="C6645" s="1" t="str">
        <f>"1040689338"</f>
        <v>1040689338</v>
      </c>
      <c r="D6645" s="1" t="s">
        <v>6462</v>
      </c>
      <c r="E6645" s="1" t="s">
        <v>6463</v>
      </c>
      <c r="F6645" s="1" t="s">
        <v>16</v>
      </c>
      <c r="G6645" s="1" t="s">
        <v>17</v>
      </c>
      <c r="H6645" s="1" t="str">
        <f>"70"</f>
        <v>70</v>
      </c>
      <c r="I6645" s="1" t="str">
        <f>"162.99"</f>
        <v>162.99</v>
      </c>
      <c r="J6645" s="1" t="str">
        <f t="shared" ref="J6645:N6645" si="4187">"0"</f>
        <v>0</v>
      </c>
      <c r="K6645" s="1" t="str">
        <f t="shared" si="4135"/>
        <v>103</v>
      </c>
      <c r="L6645" s="1" t="str">
        <f t="shared" si="4136"/>
        <v>47</v>
      </c>
      <c r="M6645" s="1" t="str">
        <f t="shared" si="4187"/>
        <v>0</v>
      </c>
      <c r="N6645" s="1" t="str">
        <f t="shared" si="4187"/>
        <v>0</v>
      </c>
      <c r="O6645" s="1" t="str">
        <f>"2.99"</f>
        <v>2.99</v>
      </c>
    </row>
    <row r="6646" s="1" customFormat="1" spans="1:15">
      <c r="A6646" s="1" t="str">
        <f t="shared" si="4122"/>
        <v>202406</v>
      </c>
      <c r="B6646" s="1" t="str">
        <f t="shared" si="4123"/>
        <v>150525100</v>
      </c>
      <c r="C6646" s="1" t="str">
        <f>"1040681364"</f>
        <v>1040681364</v>
      </c>
      <c r="D6646" s="1" t="str">
        <f>"152326196303250667"</f>
        <v>152326196303250667</v>
      </c>
      <c r="E6646" s="1" t="s">
        <v>6464</v>
      </c>
      <c r="F6646" s="1" t="s">
        <v>16</v>
      </c>
      <c r="G6646" s="1" t="s">
        <v>17</v>
      </c>
      <c r="H6646" s="1" t="str">
        <f t="shared" ref="H6646:H6648" si="4188">"61"</f>
        <v>61</v>
      </c>
      <c r="I6646" s="1" t="str">
        <f>"163.6"</f>
        <v>163.6</v>
      </c>
      <c r="J6646" s="1" t="str">
        <f t="shared" ref="J6646:N6646" si="4189">"0"</f>
        <v>0</v>
      </c>
      <c r="K6646" s="1" t="str">
        <f t="shared" si="4135"/>
        <v>103</v>
      </c>
      <c r="L6646" s="1" t="str">
        <f t="shared" si="4136"/>
        <v>47</v>
      </c>
      <c r="M6646" s="1" t="str">
        <f t="shared" si="4189"/>
        <v>0</v>
      </c>
      <c r="N6646" s="1" t="str">
        <f t="shared" si="4189"/>
        <v>0</v>
      </c>
      <c r="O6646" s="1" t="str">
        <f>"13.6"</f>
        <v>13.6</v>
      </c>
    </row>
    <row r="6647" s="1" customFormat="1" spans="1:15">
      <c r="A6647" s="1" t="str">
        <f t="shared" si="4122"/>
        <v>202406</v>
      </c>
      <c r="B6647" s="1" t="str">
        <f t="shared" si="4123"/>
        <v>150525100</v>
      </c>
      <c r="C6647" s="1" t="str">
        <f>"1040681395"</f>
        <v>1040681395</v>
      </c>
      <c r="D6647" s="1" t="str">
        <f>"152326196310290683"</f>
        <v>152326196310290683</v>
      </c>
      <c r="E6647" s="1" t="s">
        <v>6465</v>
      </c>
      <c r="F6647" s="1" t="s">
        <v>16</v>
      </c>
      <c r="G6647" s="1" t="s">
        <v>17</v>
      </c>
      <c r="H6647" s="1" t="str">
        <f t="shared" si="4188"/>
        <v>61</v>
      </c>
      <c r="I6647" s="1" t="str">
        <f>"165.43"</f>
        <v>165.43</v>
      </c>
      <c r="J6647" s="1" t="str">
        <f t="shared" ref="J6647:N6647" si="4190">"0"</f>
        <v>0</v>
      </c>
      <c r="K6647" s="1" t="str">
        <f t="shared" si="4135"/>
        <v>103</v>
      </c>
      <c r="L6647" s="1" t="str">
        <f t="shared" si="4136"/>
        <v>47</v>
      </c>
      <c r="M6647" s="1" t="str">
        <f t="shared" si="4190"/>
        <v>0</v>
      </c>
      <c r="N6647" s="1" t="str">
        <f t="shared" si="4190"/>
        <v>0</v>
      </c>
      <c r="O6647" s="1" t="str">
        <f>"15.43"</f>
        <v>15.43</v>
      </c>
    </row>
    <row r="6648" s="1" customFormat="1" spans="1:15">
      <c r="A6648" s="1" t="str">
        <f t="shared" si="4122"/>
        <v>202406</v>
      </c>
      <c r="B6648" s="1" t="str">
        <f t="shared" si="4123"/>
        <v>150525100</v>
      </c>
      <c r="C6648" s="1" t="str">
        <f>"1040681397"</f>
        <v>1040681397</v>
      </c>
      <c r="D6648" s="1" t="str">
        <f>"152326196312210675"</f>
        <v>152326196312210675</v>
      </c>
      <c r="E6648" s="1" t="s">
        <v>6466</v>
      </c>
      <c r="F6648" s="1" t="s">
        <v>25</v>
      </c>
      <c r="G6648" s="1" t="s">
        <v>17</v>
      </c>
      <c r="H6648" s="1" t="str">
        <f t="shared" si="4188"/>
        <v>61</v>
      </c>
      <c r="I6648" s="1" t="str">
        <f>"163.75"</f>
        <v>163.75</v>
      </c>
      <c r="J6648" s="1" t="str">
        <f t="shared" ref="J6648:N6648" si="4191">"0"</f>
        <v>0</v>
      </c>
      <c r="K6648" s="1" t="str">
        <f t="shared" si="4135"/>
        <v>103</v>
      </c>
      <c r="L6648" s="1" t="str">
        <f t="shared" si="4136"/>
        <v>47</v>
      </c>
      <c r="M6648" s="1" t="str">
        <f t="shared" si="4191"/>
        <v>0</v>
      </c>
      <c r="N6648" s="1" t="str">
        <f t="shared" si="4191"/>
        <v>0</v>
      </c>
      <c r="O6648" s="1" t="str">
        <f>"13.75"</f>
        <v>13.75</v>
      </c>
    </row>
    <row r="6649" s="1" customFormat="1" spans="1:15">
      <c r="A6649" s="1" t="str">
        <f t="shared" si="4122"/>
        <v>202406</v>
      </c>
      <c r="B6649" s="1" t="str">
        <f t="shared" si="4123"/>
        <v>150525100</v>
      </c>
      <c r="C6649" s="1" t="str">
        <f>"1040682566"</f>
        <v>1040682566</v>
      </c>
      <c r="D6649" s="1" t="str">
        <f>"152326195503180427"</f>
        <v>152326195503180427</v>
      </c>
      <c r="E6649" s="1" t="s">
        <v>6467</v>
      </c>
      <c r="F6649" s="1" t="s">
        <v>16</v>
      </c>
      <c r="G6649" s="1" t="s">
        <v>17</v>
      </c>
      <c r="H6649" s="1" t="str">
        <f>"69"</f>
        <v>69</v>
      </c>
      <c r="I6649" s="1" t="str">
        <f>"153.88"</f>
        <v>153.88</v>
      </c>
      <c r="J6649" s="1" t="str">
        <f t="shared" ref="J6649:N6649" si="4192">"0"</f>
        <v>0</v>
      </c>
      <c r="K6649" s="1" t="str">
        <f t="shared" si="4135"/>
        <v>103</v>
      </c>
      <c r="L6649" s="1" t="str">
        <f t="shared" si="4136"/>
        <v>47</v>
      </c>
      <c r="M6649" s="1" t="str">
        <f t="shared" si="4192"/>
        <v>0</v>
      </c>
      <c r="N6649" s="1" t="str">
        <f t="shared" si="4192"/>
        <v>0</v>
      </c>
      <c r="O6649" s="1" t="str">
        <f>"3.88"</f>
        <v>3.88</v>
      </c>
    </row>
    <row r="6650" s="1" customFormat="1" spans="1:15">
      <c r="A6650" s="1" t="str">
        <f t="shared" si="4122"/>
        <v>202406</v>
      </c>
      <c r="B6650" s="1" t="str">
        <f t="shared" si="4123"/>
        <v>150525100</v>
      </c>
      <c r="C6650" s="1" t="str">
        <f>"1040682584"</f>
        <v>1040682584</v>
      </c>
      <c r="D6650" s="1" t="str">
        <f>"152326196301020411"</f>
        <v>152326196301020411</v>
      </c>
      <c r="E6650" s="1" t="s">
        <v>6468</v>
      </c>
      <c r="F6650" s="1" t="s">
        <v>25</v>
      </c>
      <c r="G6650" s="1" t="s">
        <v>17</v>
      </c>
      <c r="H6650" s="1" t="str">
        <f>"62"</f>
        <v>62</v>
      </c>
      <c r="I6650" s="1" t="str">
        <f>"165.15"</f>
        <v>165.15</v>
      </c>
      <c r="J6650" s="1" t="str">
        <f t="shared" ref="J6650:N6650" si="4193">"0"</f>
        <v>0</v>
      </c>
      <c r="K6650" s="1" t="str">
        <f t="shared" si="4135"/>
        <v>103</v>
      </c>
      <c r="L6650" s="1" t="str">
        <f t="shared" si="4136"/>
        <v>47</v>
      </c>
      <c r="M6650" s="1" t="str">
        <f t="shared" si="4193"/>
        <v>0</v>
      </c>
      <c r="N6650" s="1" t="str">
        <f t="shared" si="4193"/>
        <v>0</v>
      </c>
      <c r="O6650" s="1" t="str">
        <f>"15.15"</f>
        <v>15.15</v>
      </c>
    </row>
    <row r="6651" s="1" customFormat="1" spans="1:15">
      <c r="A6651" s="1" t="str">
        <f t="shared" si="4122"/>
        <v>202406</v>
      </c>
      <c r="B6651" s="1" t="str">
        <f t="shared" si="4123"/>
        <v>150525100</v>
      </c>
      <c r="C6651" s="1" t="str">
        <f>"1040682516"</f>
        <v>1040682516</v>
      </c>
      <c r="D6651" s="1" t="str">
        <f>"152326195306113823"</f>
        <v>152326195306113823</v>
      </c>
      <c r="E6651" s="1" t="s">
        <v>6469</v>
      </c>
      <c r="F6651" s="1" t="s">
        <v>16</v>
      </c>
      <c r="G6651" s="1" t="s">
        <v>19</v>
      </c>
      <c r="H6651" s="1" t="str">
        <f>"71"</f>
        <v>71</v>
      </c>
      <c r="I6651" s="1" t="str">
        <f>"162.21"</f>
        <v>162.21</v>
      </c>
      <c r="J6651" s="1" t="str">
        <f t="shared" ref="J6651:N6651" si="4194">"0"</f>
        <v>0</v>
      </c>
      <c r="K6651" s="1" t="str">
        <f t="shared" si="4135"/>
        <v>103</v>
      </c>
      <c r="L6651" s="1" t="str">
        <f t="shared" si="4136"/>
        <v>47</v>
      </c>
      <c r="M6651" s="1" t="str">
        <f t="shared" si="4194"/>
        <v>0</v>
      </c>
      <c r="N6651" s="1" t="str">
        <f t="shared" si="4194"/>
        <v>0</v>
      </c>
      <c r="O6651" s="1" t="str">
        <f>"2.21"</f>
        <v>2.21</v>
      </c>
    </row>
    <row r="6652" s="1" customFormat="1" spans="1:15">
      <c r="A6652" s="1" t="str">
        <f t="shared" si="4122"/>
        <v>202406</v>
      </c>
      <c r="B6652" s="1" t="str">
        <f t="shared" si="4123"/>
        <v>150525100</v>
      </c>
      <c r="C6652" s="1" t="str">
        <f>"1040682525"</f>
        <v>1040682525</v>
      </c>
      <c r="D6652" s="1" t="str">
        <f>"152326196311113320"</f>
        <v>152326196311113320</v>
      </c>
      <c r="E6652" s="1" t="s">
        <v>4490</v>
      </c>
      <c r="F6652" s="1" t="s">
        <v>16</v>
      </c>
      <c r="G6652" s="1" t="s">
        <v>17</v>
      </c>
      <c r="H6652" s="1" t="str">
        <f>"61"</f>
        <v>61</v>
      </c>
      <c r="I6652" s="1" t="str">
        <f>"163.76"</f>
        <v>163.76</v>
      </c>
      <c r="J6652" s="1" t="str">
        <f t="shared" ref="J6652:N6652" si="4195">"0"</f>
        <v>0</v>
      </c>
      <c r="K6652" s="1" t="str">
        <f t="shared" si="4135"/>
        <v>103</v>
      </c>
      <c r="L6652" s="1" t="str">
        <f t="shared" si="4136"/>
        <v>47</v>
      </c>
      <c r="M6652" s="1" t="str">
        <f t="shared" si="4195"/>
        <v>0</v>
      </c>
      <c r="N6652" s="1" t="str">
        <f t="shared" si="4195"/>
        <v>0</v>
      </c>
      <c r="O6652" s="1" t="str">
        <f>"13.76"</f>
        <v>13.76</v>
      </c>
    </row>
    <row r="6653" s="1" customFormat="1" spans="1:15">
      <c r="A6653" s="1" t="str">
        <f t="shared" si="4122"/>
        <v>202406</v>
      </c>
      <c r="B6653" s="1" t="str">
        <f t="shared" si="4123"/>
        <v>150525100</v>
      </c>
      <c r="C6653" s="1" t="str">
        <f>"1040682536"</f>
        <v>1040682536</v>
      </c>
      <c r="D6653" s="1" t="str">
        <f>"152326196212243365"</f>
        <v>152326196212243365</v>
      </c>
      <c r="E6653" s="1" t="s">
        <v>6470</v>
      </c>
      <c r="F6653" s="1" t="s">
        <v>16</v>
      </c>
      <c r="G6653" s="1" t="s">
        <v>17</v>
      </c>
      <c r="H6653" s="1" t="str">
        <f>"62"</f>
        <v>62</v>
      </c>
      <c r="I6653" s="1" t="str">
        <f>"161.87"</f>
        <v>161.87</v>
      </c>
      <c r="J6653" s="1" t="str">
        <f t="shared" ref="J6653:N6653" si="4196">"0"</f>
        <v>0</v>
      </c>
      <c r="K6653" s="1" t="str">
        <f t="shared" si="4135"/>
        <v>103</v>
      </c>
      <c r="L6653" s="1" t="str">
        <f t="shared" si="4136"/>
        <v>47</v>
      </c>
      <c r="M6653" s="1" t="str">
        <f t="shared" si="4196"/>
        <v>0</v>
      </c>
      <c r="N6653" s="1" t="str">
        <f t="shared" si="4196"/>
        <v>0</v>
      </c>
      <c r="O6653" s="1" t="str">
        <f>"11.87"</f>
        <v>11.87</v>
      </c>
    </row>
    <row r="6654" s="1" customFormat="1" spans="1:15">
      <c r="A6654" s="1" t="str">
        <f t="shared" si="4122"/>
        <v>202406</v>
      </c>
      <c r="B6654" s="1" t="str">
        <f t="shared" si="4123"/>
        <v>150525100</v>
      </c>
      <c r="C6654" s="1" t="str">
        <f>"1040682542"</f>
        <v>1040682542</v>
      </c>
      <c r="D6654" s="1" t="str">
        <f>"152326195510203324"</f>
        <v>152326195510203324</v>
      </c>
      <c r="E6654" s="1" t="s">
        <v>6471</v>
      </c>
      <c r="F6654" s="1" t="s">
        <v>16</v>
      </c>
      <c r="G6654" s="1" t="s">
        <v>17</v>
      </c>
      <c r="H6654" s="1" t="str">
        <f>"69"</f>
        <v>69</v>
      </c>
      <c r="I6654" s="1" t="str">
        <f>"153.89"</f>
        <v>153.89</v>
      </c>
      <c r="J6654" s="1" t="str">
        <f t="shared" ref="J6654:N6654" si="4197">"0"</f>
        <v>0</v>
      </c>
      <c r="K6654" s="1" t="str">
        <f t="shared" si="4135"/>
        <v>103</v>
      </c>
      <c r="L6654" s="1" t="str">
        <f t="shared" si="4136"/>
        <v>47</v>
      </c>
      <c r="M6654" s="1" t="str">
        <f t="shared" si="4197"/>
        <v>0</v>
      </c>
      <c r="N6654" s="1" t="str">
        <f t="shared" si="4197"/>
        <v>0</v>
      </c>
      <c r="O6654" s="1" t="str">
        <f>"3.89"</f>
        <v>3.89</v>
      </c>
    </row>
    <row r="6655" s="1" customFormat="1" spans="1:15">
      <c r="A6655" s="1" t="str">
        <f t="shared" si="4122"/>
        <v>202406</v>
      </c>
      <c r="B6655" s="1" t="str">
        <f t="shared" si="4123"/>
        <v>150525100</v>
      </c>
      <c r="C6655" s="1" t="str">
        <f>"1040682549"</f>
        <v>1040682549</v>
      </c>
      <c r="D6655" s="1" t="str">
        <f>"152326195712133328"</f>
        <v>152326195712133328</v>
      </c>
      <c r="E6655" s="1" t="s">
        <v>6472</v>
      </c>
      <c r="F6655" s="1" t="s">
        <v>16</v>
      </c>
      <c r="G6655" s="1" t="s">
        <v>19</v>
      </c>
      <c r="H6655" s="1" t="str">
        <f>"67"</f>
        <v>67</v>
      </c>
      <c r="I6655" s="1" t="str">
        <f>"154.89"</f>
        <v>154.89</v>
      </c>
      <c r="J6655" s="1" t="str">
        <f t="shared" ref="J6655:N6655" si="4198">"0"</f>
        <v>0</v>
      </c>
      <c r="K6655" s="1" t="str">
        <f t="shared" si="4135"/>
        <v>103</v>
      </c>
      <c r="L6655" s="1" t="str">
        <f t="shared" si="4136"/>
        <v>47</v>
      </c>
      <c r="M6655" s="1" t="str">
        <f t="shared" si="4198"/>
        <v>0</v>
      </c>
      <c r="N6655" s="1" t="str">
        <f t="shared" si="4198"/>
        <v>0</v>
      </c>
      <c r="O6655" s="1" t="str">
        <f>"4.89"</f>
        <v>4.89</v>
      </c>
    </row>
    <row r="6656" s="1" customFormat="1" spans="1:15">
      <c r="A6656" s="1" t="str">
        <f t="shared" si="4122"/>
        <v>202406</v>
      </c>
      <c r="B6656" s="1" t="str">
        <f t="shared" si="4123"/>
        <v>150525100</v>
      </c>
      <c r="C6656" s="1" t="str">
        <f>"1040690058"</f>
        <v>1040690058</v>
      </c>
      <c r="D6656" s="1" t="str">
        <f>"152326195207073811"</f>
        <v>152326195207073811</v>
      </c>
      <c r="E6656" s="1" t="s">
        <v>6473</v>
      </c>
      <c r="F6656" s="1" t="s">
        <v>25</v>
      </c>
      <c r="G6656" s="1" t="s">
        <v>19</v>
      </c>
      <c r="H6656" s="1" t="str">
        <f>"72"</f>
        <v>72</v>
      </c>
      <c r="I6656" s="1" t="str">
        <f>"161.51"</f>
        <v>161.51</v>
      </c>
      <c r="J6656" s="1" t="str">
        <f t="shared" ref="J6656:N6656" si="4199">"0"</f>
        <v>0</v>
      </c>
      <c r="K6656" s="1" t="str">
        <f t="shared" si="4135"/>
        <v>103</v>
      </c>
      <c r="L6656" s="1" t="str">
        <f t="shared" si="4136"/>
        <v>47</v>
      </c>
      <c r="M6656" s="1" t="str">
        <f t="shared" si="4199"/>
        <v>0</v>
      </c>
      <c r="N6656" s="1" t="str">
        <f t="shared" si="4199"/>
        <v>0</v>
      </c>
      <c r="O6656" s="1" t="str">
        <f>"1.51"</f>
        <v>1.51</v>
      </c>
    </row>
    <row r="6657" s="1" customFormat="1" spans="1:15">
      <c r="A6657" s="1" t="str">
        <f t="shared" si="4122"/>
        <v>202406</v>
      </c>
      <c r="B6657" s="1" t="str">
        <f t="shared" si="4123"/>
        <v>150525100</v>
      </c>
      <c r="C6657" s="1" t="str">
        <f>"1040690069"</f>
        <v>1040690069</v>
      </c>
      <c r="D6657" s="1" t="str">
        <f>"152326195909136119"</f>
        <v>152326195909136119</v>
      </c>
      <c r="E6657" s="1" t="s">
        <v>6474</v>
      </c>
      <c r="F6657" s="1" t="s">
        <v>25</v>
      </c>
      <c r="G6657" s="1" t="s">
        <v>17</v>
      </c>
      <c r="H6657" s="1" t="str">
        <f>"65"</f>
        <v>65</v>
      </c>
      <c r="I6657" s="1" t="str">
        <f>"157.25"</f>
        <v>157.25</v>
      </c>
      <c r="J6657" s="1" t="str">
        <f t="shared" ref="J6657:N6657" si="4200">"0"</f>
        <v>0</v>
      </c>
      <c r="K6657" s="1" t="str">
        <f t="shared" si="4135"/>
        <v>103</v>
      </c>
      <c r="L6657" s="1" t="str">
        <f t="shared" si="4136"/>
        <v>47</v>
      </c>
      <c r="M6657" s="1" t="str">
        <f t="shared" si="4200"/>
        <v>0</v>
      </c>
      <c r="N6657" s="1" t="str">
        <f t="shared" si="4200"/>
        <v>0</v>
      </c>
      <c r="O6657" s="1" t="str">
        <f>"7.25"</f>
        <v>7.25</v>
      </c>
    </row>
    <row r="6658" s="1" customFormat="1" spans="1:15">
      <c r="A6658" s="1" t="str">
        <f t="shared" ref="A6658:A6721" si="4201">"202406"</f>
        <v>202406</v>
      </c>
      <c r="B6658" s="1" t="str">
        <f t="shared" ref="B6658:B6721" si="4202">"150525100"</f>
        <v>150525100</v>
      </c>
      <c r="C6658" s="1" t="str">
        <f>"1040690399"</f>
        <v>1040690399</v>
      </c>
      <c r="D6658" s="1" t="str">
        <f>"152326195603100666"</f>
        <v>152326195603100666</v>
      </c>
      <c r="E6658" s="1" t="s">
        <v>6475</v>
      </c>
      <c r="F6658" s="1" t="s">
        <v>16</v>
      </c>
      <c r="G6658" s="1" t="s">
        <v>17</v>
      </c>
      <c r="H6658" s="1" t="str">
        <f>"68"</f>
        <v>68</v>
      </c>
      <c r="I6658" s="1" t="str">
        <f>"154.88"</f>
        <v>154.88</v>
      </c>
      <c r="J6658" s="1" t="str">
        <f t="shared" ref="J6658:N6658" si="4203">"0"</f>
        <v>0</v>
      </c>
      <c r="K6658" s="1" t="str">
        <f t="shared" si="4135"/>
        <v>103</v>
      </c>
      <c r="L6658" s="1" t="str">
        <f t="shared" si="4136"/>
        <v>47</v>
      </c>
      <c r="M6658" s="1" t="str">
        <f t="shared" si="4203"/>
        <v>0</v>
      </c>
      <c r="N6658" s="1" t="str">
        <f t="shared" si="4203"/>
        <v>0</v>
      </c>
      <c r="O6658" s="1" t="str">
        <f>"4.88"</f>
        <v>4.88</v>
      </c>
    </row>
    <row r="6659" s="1" customFormat="1" spans="1:15">
      <c r="A6659" s="1" t="str">
        <f t="shared" si="4201"/>
        <v>202406</v>
      </c>
      <c r="B6659" s="1" t="str">
        <f t="shared" si="4202"/>
        <v>150525100</v>
      </c>
      <c r="C6659" s="1" t="str">
        <f>"1040689987"</f>
        <v>1040689987</v>
      </c>
      <c r="D6659" s="1" t="str">
        <f>"152326195408050931"</f>
        <v>152326195408050931</v>
      </c>
      <c r="E6659" s="1" t="s">
        <v>6476</v>
      </c>
      <c r="F6659" s="1" t="s">
        <v>25</v>
      </c>
      <c r="G6659" s="1" t="s">
        <v>19</v>
      </c>
      <c r="H6659" s="1" t="str">
        <f>"70"</f>
        <v>70</v>
      </c>
      <c r="I6659" s="1" t="str">
        <f>"153.25"</f>
        <v>153.25</v>
      </c>
      <c r="J6659" s="1" t="str">
        <f t="shared" ref="J6659:N6659" si="4204">"0"</f>
        <v>0</v>
      </c>
      <c r="K6659" s="1" t="str">
        <f t="shared" si="4135"/>
        <v>103</v>
      </c>
      <c r="L6659" s="1" t="str">
        <f t="shared" si="4136"/>
        <v>47</v>
      </c>
      <c r="M6659" s="1" t="str">
        <f t="shared" si="4204"/>
        <v>0</v>
      </c>
      <c r="N6659" s="1" t="str">
        <f t="shared" si="4204"/>
        <v>0</v>
      </c>
      <c r="O6659" s="1" t="str">
        <f>"3.25"</f>
        <v>3.25</v>
      </c>
    </row>
    <row r="6660" s="1" customFormat="1" spans="1:15">
      <c r="A6660" s="1" t="str">
        <f t="shared" si="4201"/>
        <v>202406</v>
      </c>
      <c r="B6660" s="1" t="str">
        <f t="shared" si="4202"/>
        <v>150525100</v>
      </c>
      <c r="C6660" s="1" t="str">
        <f>"1040690040"</f>
        <v>1040690040</v>
      </c>
      <c r="D6660" s="1" t="str">
        <f>"152326196309210420"</f>
        <v>152326196309210420</v>
      </c>
      <c r="E6660" s="1" t="s">
        <v>6477</v>
      </c>
      <c r="F6660" s="1" t="s">
        <v>16</v>
      </c>
      <c r="G6660" s="1" t="s">
        <v>17</v>
      </c>
      <c r="H6660" s="1" t="str">
        <f>"61"</f>
        <v>61</v>
      </c>
      <c r="I6660" s="1" t="str">
        <f>"164.08"</f>
        <v>164.08</v>
      </c>
      <c r="J6660" s="1" t="str">
        <f t="shared" ref="J6660:N6660" si="4205">"0"</f>
        <v>0</v>
      </c>
      <c r="K6660" s="1" t="str">
        <f t="shared" si="4135"/>
        <v>103</v>
      </c>
      <c r="L6660" s="1" t="str">
        <f t="shared" si="4136"/>
        <v>47</v>
      </c>
      <c r="M6660" s="1" t="str">
        <f t="shared" si="4205"/>
        <v>0</v>
      </c>
      <c r="N6660" s="1" t="str">
        <f t="shared" si="4205"/>
        <v>0</v>
      </c>
      <c r="O6660" s="1" t="str">
        <f>"14.08"</f>
        <v>14.08</v>
      </c>
    </row>
    <row r="6661" s="1" customFormat="1" spans="1:15">
      <c r="A6661" s="1" t="str">
        <f t="shared" si="4201"/>
        <v>202406</v>
      </c>
      <c r="B6661" s="1" t="str">
        <f t="shared" si="4202"/>
        <v>150525100</v>
      </c>
      <c r="C6661" s="1" t="str">
        <f>"1040690047"</f>
        <v>1040690047</v>
      </c>
      <c r="D6661" s="1" t="s">
        <v>6478</v>
      </c>
      <c r="E6661" s="1" t="s">
        <v>6479</v>
      </c>
      <c r="F6661" s="1" t="s">
        <v>16</v>
      </c>
      <c r="G6661" s="1" t="s">
        <v>19</v>
      </c>
      <c r="H6661" s="1" t="str">
        <f>"63"</f>
        <v>63</v>
      </c>
      <c r="I6661" s="1" t="str">
        <f>"160.07"</f>
        <v>160.07</v>
      </c>
      <c r="J6661" s="1" t="str">
        <f t="shared" ref="J6661:N6661" si="4206">"0"</f>
        <v>0</v>
      </c>
      <c r="K6661" s="1" t="str">
        <f t="shared" si="4135"/>
        <v>103</v>
      </c>
      <c r="L6661" s="1" t="str">
        <f t="shared" si="4136"/>
        <v>47</v>
      </c>
      <c r="M6661" s="1" t="str">
        <f t="shared" si="4206"/>
        <v>0</v>
      </c>
      <c r="N6661" s="1" t="str">
        <f t="shared" si="4206"/>
        <v>0</v>
      </c>
      <c r="O6661" s="1" t="str">
        <f>"10.07"</f>
        <v>10.07</v>
      </c>
    </row>
    <row r="6662" s="1" customFormat="1" spans="1:15">
      <c r="A6662" s="1" t="str">
        <f t="shared" si="4201"/>
        <v>202406</v>
      </c>
      <c r="B6662" s="1" t="str">
        <f t="shared" si="4202"/>
        <v>150525100</v>
      </c>
      <c r="C6662" s="1" t="str">
        <f>"1040690053"</f>
        <v>1040690053</v>
      </c>
      <c r="D6662" s="1" t="str">
        <f>"152326195810140433"</f>
        <v>152326195810140433</v>
      </c>
      <c r="E6662" s="1" t="s">
        <v>6480</v>
      </c>
      <c r="F6662" s="1" t="s">
        <v>25</v>
      </c>
      <c r="G6662" s="1" t="s">
        <v>19</v>
      </c>
      <c r="H6662" s="1" t="str">
        <f t="shared" ref="H6662:H6667" si="4207">"66"</f>
        <v>66</v>
      </c>
      <c r="I6662" s="1" t="str">
        <f>"156.22"</f>
        <v>156.22</v>
      </c>
      <c r="J6662" s="1" t="str">
        <f t="shared" ref="J6662:N6662" si="4208">"0"</f>
        <v>0</v>
      </c>
      <c r="K6662" s="1" t="str">
        <f t="shared" si="4135"/>
        <v>103</v>
      </c>
      <c r="L6662" s="1" t="str">
        <f t="shared" si="4136"/>
        <v>47</v>
      </c>
      <c r="M6662" s="1" t="str">
        <f t="shared" si="4208"/>
        <v>0</v>
      </c>
      <c r="N6662" s="1" t="str">
        <f t="shared" si="4208"/>
        <v>0</v>
      </c>
      <c r="O6662" s="1" t="str">
        <f>"6.22"</f>
        <v>6.22</v>
      </c>
    </row>
    <row r="6663" s="1" customFormat="1" spans="1:15">
      <c r="A6663" s="1" t="str">
        <f t="shared" si="4201"/>
        <v>202406</v>
      </c>
      <c r="B6663" s="1" t="str">
        <f t="shared" si="4202"/>
        <v>150525100</v>
      </c>
      <c r="C6663" s="1" t="str">
        <f>"1040690373"</f>
        <v>1040690373</v>
      </c>
      <c r="D6663" s="1" t="str">
        <f>"152326195703203080"</f>
        <v>152326195703203080</v>
      </c>
      <c r="E6663" s="1" t="s">
        <v>6481</v>
      </c>
      <c r="F6663" s="1" t="s">
        <v>16</v>
      </c>
      <c r="G6663" s="1" t="s">
        <v>19</v>
      </c>
      <c r="H6663" s="1" t="str">
        <f>"67"</f>
        <v>67</v>
      </c>
      <c r="I6663" s="1" t="str">
        <f>"154.9"</f>
        <v>154.9</v>
      </c>
      <c r="J6663" s="1" t="str">
        <f t="shared" ref="J6663:N6663" si="4209">"0"</f>
        <v>0</v>
      </c>
      <c r="K6663" s="1" t="str">
        <f t="shared" si="4135"/>
        <v>103</v>
      </c>
      <c r="L6663" s="1" t="str">
        <f t="shared" si="4136"/>
        <v>47</v>
      </c>
      <c r="M6663" s="1" t="str">
        <f t="shared" si="4209"/>
        <v>0</v>
      </c>
      <c r="N6663" s="1" t="str">
        <f t="shared" si="4209"/>
        <v>0</v>
      </c>
      <c r="O6663" s="1" t="str">
        <f>"4.9"</f>
        <v>4.9</v>
      </c>
    </row>
    <row r="6664" s="1" customFormat="1" spans="1:15">
      <c r="A6664" s="1" t="str">
        <f t="shared" si="4201"/>
        <v>202406</v>
      </c>
      <c r="B6664" s="1" t="str">
        <f t="shared" si="4202"/>
        <v>150525100</v>
      </c>
      <c r="C6664" s="1" t="str">
        <f>"1042543449"</f>
        <v>1042543449</v>
      </c>
      <c r="D6664" s="1" t="str">
        <f>"152326196102160040"</f>
        <v>152326196102160040</v>
      </c>
      <c r="E6664" s="1" t="s">
        <v>6482</v>
      </c>
      <c r="F6664" s="1" t="s">
        <v>16</v>
      </c>
      <c r="G6664" s="1" t="s">
        <v>17</v>
      </c>
      <c r="H6664" s="1" t="str">
        <f>"63"</f>
        <v>63</v>
      </c>
      <c r="I6664" s="1" t="str">
        <f>"164.7"</f>
        <v>164.7</v>
      </c>
      <c r="J6664" s="1" t="str">
        <f t="shared" ref="J6664:N6664" si="4210">"0"</f>
        <v>0</v>
      </c>
      <c r="K6664" s="1" t="str">
        <f t="shared" si="4135"/>
        <v>103</v>
      </c>
      <c r="L6664" s="1" t="str">
        <f t="shared" si="4136"/>
        <v>47</v>
      </c>
      <c r="M6664" s="1" t="str">
        <f t="shared" si="4210"/>
        <v>0</v>
      </c>
      <c r="N6664" s="1" t="str">
        <f t="shared" si="4210"/>
        <v>0</v>
      </c>
      <c r="O6664" s="1" t="str">
        <f>"14.7"</f>
        <v>14.7</v>
      </c>
    </row>
    <row r="6665" s="1" customFormat="1" spans="1:15">
      <c r="A6665" s="1" t="str">
        <f t="shared" si="4201"/>
        <v>202406</v>
      </c>
      <c r="B6665" s="1" t="str">
        <f t="shared" si="4202"/>
        <v>150525100</v>
      </c>
      <c r="C6665" s="1" t="str">
        <f>"1040690433"</f>
        <v>1040690433</v>
      </c>
      <c r="D6665" s="1" t="str">
        <f>"152326195708240446"</f>
        <v>152326195708240446</v>
      </c>
      <c r="E6665" s="1" t="s">
        <v>6483</v>
      </c>
      <c r="F6665" s="1" t="s">
        <v>16</v>
      </c>
      <c r="G6665" s="1" t="s">
        <v>17</v>
      </c>
      <c r="H6665" s="1" t="str">
        <f>"67"</f>
        <v>67</v>
      </c>
      <c r="I6665" s="1" t="str">
        <f>"155.88"</f>
        <v>155.88</v>
      </c>
      <c r="J6665" s="1" t="str">
        <f t="shared" ref="J6665:N6665" si="4211">"0"</f>
        <v>0</v>
      </c>
      <c r="K6665" s="1" t="str">
        <f t="shared" ref="K6665:K6690" si="4212">"103"</f>
        <v>103</v>
      </c>
      <c r="L6665" s="1" t="str">
        <f t="shared" ref="L6665:L6690" si="4213">"47"</f>
        <v>47</v>
      </c>
      <c r="M6665" s="1" t="str">
        <f t="shared" si="4211"/>
        <v>0</v>
      </c>
      <c r="N6665" s="1" t="str">
        <f t="shared" si="4211"/>
        <v>0</v>
      </c>
      <c r="O6665" s="1" t="str">
        <f>"5.88"</f>
        <v>5.88</v>
      </c>
    </row>
    <row r="6666" s="1" customFormat="1" spans="1:15">
      <c r="A6666" s="1" t="str">
        <f t="shared" si="4201"/>
        <v>202406</v>
      </c>
      <c r="B6666" s="1" t="str">
        <f t="shared" si="4202"/>
        <v>150525100</v>
      </c>
      <c r="C6666" s="1" t="str">
        <f>"1014572708"</f>
        <v>1014572708</v>
      </c>
      <c r="D6666" s="1" t="str">
        <f>"152326195807170922"</f>
        <v>152326195807170922</v>
      </c>
      <c r="E6666" s="1" t="s">
        <v>5882</v>
      </c>
      <c r="F6666" s="1" t="s">
        <v>16</v>
      </c>
      <c r="G6666" s="1" t="s">
        <v>19</v>
      </c>
      <c r="H6666" s="1" t="str">
        <f t="shared" si="4207"/>
        <v>66</v>
      </c>
      <c r="I6666" s="1" t="str">
        <f>"157.83"</f>
        <v>157.83</v>
      </c>
      <c r="J6666" s="1" t="str">
        <f t="shared" ref="J6666:N6666" si="4214">"0"</f>
        <v>0</v>
      </c>
      <c r="K6666" s="1" t="str">
        <f t="shared" si="4212"/>
        <v>103</v>
      </c>
      <c r="L6666" s="1" t="str">
        <f t="shared" si="4213"/>
        <v>47</v>
      </c>
      <c r="M6666" s="1" t="str">
        <f t="shared" si="4214"/>
        <v>0</v>
      </c>
      <c r="N6666" s="1" t="str">
        <f t="shared" si="4214"/>
        <v>0</v>
      </c>
      <c r="O6666" s="1" t="str">
        <f>"7.83"</f>
        <v>7.83</v>
      </c>
    </row>
    <row r="6667" s="1" customFormat="1" spans="1:15">
      <c r="A6667" s="1" t="str">
        <f t="shared" si="4201"/>
        <v>202406</v>
      </c>
      <c r="B6667" s="1" t="str">
        <f t="shared" si="4202"/>
        <v>150525100</v>
      </c>
      <c r="C6667" s="1" t="str">
        <f>"1014572709"</f>
        <v>1014572709</v>
      </c>
      <c r="D6667" s="1" t="str">
        <f>"152326195807293084"</f>
        <v>152326195807293084</v>
      </c>
      <c r="E6667" s="1" t="s">
        <v>6484</v>
      </c>
      <c r="F6667" s="1" t="s">
        <v>16</v>
      </c>
      <c r="G6667" s="1" t="s">
        <v>19</v>
      </c>
      <c r="H6667" s="1" t="str">
        <f t="shared" si="4207"/>
        <v>66</v>
      </c>
      <c r="I6667" s="1" t="str">
        <f>"164.87"</f>
        <v>164.87</v>
      </c>
      <c r="J6667" s="1" t="str">
        <f t="shared" ref="J6667:N6667" si="4215">"0"</f>
        <v>0</v>
      </c>
      <c r="K6667" s="1" t="str">
        <f t="shared" si="4212"/>
        <v>103</v>
      </c>
      <c r="L6667" s="1" t="str">
        <f t="shared" si="4213"/>
        <v>47</v>
      </c>
      <c r="M6667" s="1" t="str">
        <f t="shared" si="4215"/>
        <v>0</v>
      </c>
      <c r="N6667" s="1" t="str">
        <f t="shared" si="4215"/>
        <v>0</v>
      </c>
      <c r="O6667" s="1" t="str">
        <f>"14.87"</f>
        <v>14.87</v>
      </c>
    </row>
    <row r="6668" s="1" customFormat="1" spans="1:15">
      <c r="A6668" s="1" t="str">
        <f t="shared" si="4201"/>
        <v>202406</v>
      </c>
      <c r="B6668" s="1" t="str">
        <f t="shared" si="4202"/>
        <v>150525100</v>
      </c>
      <c r="C6668" s="1" t="str">
        <f>"1014572720"</f>
        <v>1014572720</v>
      </c>
      <c r="D6668" s="1" t="str">
        <f>"152326195912280912"</f>
        <v>152326195912280912</v>
      </c>
      <c r="E6668" s="1" t="s">
        <v>6485</v>
      </c>
      <c r="F6668" s="1" t="s">
        <v>25</v>
      </c>
      <c r="G6668" s="1" t="s">
        <v>19</v>
      </c>
      <c r="H6668" s="1" t="str">
        <f>"65"</f>
        <v>65</v>
      </c>
      <c r="I6668" s="1" t="str">
        <f>"158.22"</f>
        <v>158.22</v>
      </c>
      <c r="J6668" s="1" t="str">
        <f t="shared" ref="J6668:N6668" si="4216">"0"</f>
        <v>0</v>
      </c>
      <c r="K6668" s="1" t="str">
        <f t="shared" si="4212"/>
        <v>103</v>
      </c>
      <c r="L6668" s="1" t="str">
        <f t="shared" si="4213"/>
        <v>47</v>
      </c>
      <c r="M6668" s="1" t="str">
        <f t="shared" si="4216"/>
        <v>0</v>
      </c>
      <c r="N6668" s="1" t="str">
        <f t="shared" si="4216"/>
        <v>0</v>
      </c>
      <c r="O6668" s="1" t="str">
        <f>"8.22"</f>
        <v>8.22</v>
      </c>
    </row>
    <row r="6669" s="1" customFormat="1" spans="1:15">
      <c r="A6669" s="1" t="str">
        <f t="shared" si="4201"/>
        <v>202406</v>
      </c>
      <c r="B6669" s="1" t="str">
        <f t="shared" si="4202"/>
        <v>150525100</v>
      </c>
      <c r="C6669" s="1" t="str">
        <f>"1014572734"</f>
        <v>1014572734</v>
      </c>
      <c r="D6669" s="1" t="str">
        <f>"152326196111010028"</f>
        <v>152326196111010028</v>
      </c>
      <c r="E6669" s="1" t="s">
        <v>6486</v>
      </c>
      <c r="F6669" s="1" t="s">
        <v>16</v>
      </c>
      <c r="G6669" s="1" t="s">
        <v>19</v>
      </c>
      <c r="H6669" s="1" t="str">
        <f>"63"</f>
        <v>63</v>
      </c>
      <c r="I6669" s="1" t="str">
        <f>"160.35"</f>
        <v>160.35</v>
      </c>
      <c r="J6669" s="1" t="str">
        <f t="shared" ref="J6669:N6669" si="4217">"0"</f>
        <v>0</v>
      </c>
      <c r="K6669" s="1" t="str">
        <f t="shared" si="4212"/>
        <v>103</v>
      </c>
      <c r="L6669" s="1" t="str">
        <f t="shared" si="4213"/>
        <v>47</v>
      </c>
      <c r="M6669" s="1" t="str">
        <f t="shared" si="4217"/>
        <v>0</v>
      </c>
      <c r="N6669" s="1" t="str">
        <f t="shared" si="4217"/>
        <v>0</v>
      </c>
      <c r="O6669" s="1" t="str">
        <f>"10.35"</f>
        <v>10.35</v>
      </c>
    </row>
    <row r="6670" s="1" customFormat="1" spans="1:15">
      <c r="A6670" s="1" t="str">
        <f t="shared" si="4201"/>
        <v>202406</v>
      </c>
      <c r="B6670" s="1" t="str">
        <f t="shared" si="4202"/>
        <v>150525100</v>
      </c>
      <c r="C6670" s="1" t="str">
        <f>"1014572740"</f>
        <v>1014572740</v>
      </c>
      <c r="D6670" s="1" t="str">
        <f>"152326196207183070"</f>
        <v>152326196207183070</v>
      </c>
      <c r="E6670" s="1" t="s">
        <v>6487</v>
      </c>
      <c r="F6670" s="1" t="s">
        <v>25</v>
      </c>
      <c r="G6670" s="1" t="s">
        <v>19</v>
      </c>
      <c r="H6670" s="1" t="str">
        <f t="shared" ref="H6670:H6673" si="4218">"62"</f>
        <v>62</v>
      </c>
      <c r="I6670" s="1" t="str">
        <f>"167.43"</f>
        <v>167.43</v>
      </c>
      <c r="J6670" s="1" t="str">
        <f t="shared" ref="J6670:N6670" si="4219">"0"</f>
        <v>0</v>
      </c>
      <c r="K6670" s="1" t="str">
        <f t="shared" si="4212"/>
        <v>103</v>
      </c>
      <c r="L6670" s="1" t="str">
        <f t="shared" si="4213"/>
        <v>47</v>
      </c>
      <c r="M6670" s="1" t="str">
        <f t="shared" si="4219"/>
        <v>0</v>
      </c>
      <c r="N6670" s="1" t="str">
        <f t="shared" si="4219"/>
        <v>0</v>
      </c>
      <c r="O6670" s="1" t="str">
        <f>"17.43"</f>
        <v>17.43</v>
      </c>
    </row>
    <row r="6671" s="1" customFormat="1" spans="1:15">
      <c r="A6671" s="1" t="str">
        <f t="shared" si="4201"/>
        <v>202406</v>
      </c>
      <c r="B6671" s="1" t="str">
        <f t="shared" si="4202"/>
        <v>150525100</v>
      </c>
      <c r="C6671" s="1" t="str">
        <f>"1014572741"</f>
        <v>1014572741</v>
      </c>
      <c r="D6671" s="1" t="str">
        <f>"152326196210055643"</f>
        <v>152326196210055643</v>
      </c>
      <c r="E6671" s="1" t="s">
        <v>6488</v>
      </c>
      <c r="F6671" s="1" t="s">
        <v>16</v>
      </c>
      <c r="G6671" s="1" t="s">
        <v>19</v>
      </c>
      <c r="H6671" s="1" t="str">
        <f t="shared" si="4218"/>
        <v>62</v>
      </c>
      <c r="I6671" s="1" t="str">
        <f>"162.92"</f>
        <v>162.92</v>
      </c>
      <c r="J6671" s="1" t="str">
        <f t="shared" ref="J6671:N6671" si="4220">"0"</f>
        <v>0</v>
      </c>
      <c r="K6671" s="1" t="str">
        <f t="shared" si="4212"/>
        <v>103</v>
      </c>
      <c r="L6671" s="1" t="str">
        <f t="shared" si="4213"/>
        <v>47</v>
      </c>
      <c r="M6671" s="1" t="str">
        <f t="shared" si="4220"/>
        <v>0</v>
      </c>
      <c r="N6671" s="1" t="str">
        <f t="shared" si="4220"/>
        <v>0</v>
      </c>
      <c r="O6671" s="1" t="str">
        <f>"12.92"</f>
        <v>12.92</v>
      </c>
    </row>
    <row r="6672" s="1" customFormat="1" spans="1:15">
      <c r="A6672" s="1" t="str">
        <f t="shared" si="4201"/>
        <v>202406</v>
      </c>
      <c r="B6672" s="1" t="str">
        <f t="shared" si="4202"/>
        <v>150525100</v>
      </c>
      <c r="C6672" s="1" t="str">
        <f>"1014573437"</f>
        <v>1014573437</v>
      </c>
      <c r="D6672" s="1" t="s">
        <v>6489</v>
      </c>
      <c r="E6672" s="1" t="s">
        <v>6490</v>
      </c>
      <c r="F6672" s="1" t="s">
        <v>25</v>
      </c>
      <c r="G6672" s="1" t="s">
        <v>6491</v>
      </c>
      <c r="H6672" s="1" t="str">
        <f>"70"</f>
        <v>70</v>
      </c>
      <c r="I6672" s="1" t="str">
        <f>"154.14"</f>
        <v>154.14</v>
      </c>
      <c r="J6672" s="1" t="str">
        <f t="shared" ref="J6672:N6672" si="4221">"0"</f>
        <v>0</v>
      </c>
      <c r="K6672" s="1" t="str">
        <f t="shared" si="4212"/>
        <v>103</v>
      </c>
      <c r="L6672" s="1" t="str">
        <f t="shared" si="4213"/>
        <v>47</v>
      </c>
      <c r="M6672" s="1" t="str">
        <f t="shared" si="4221"/>
        <v>0</v>
      </c>
      <c r="N6672" s="1" t="str">
        <f t="shared" si="4221"/>
        <v>0</v>
      </c>
      <c r="O6672" s="1" t="str">
        <f>"4.14"</f>
        <v>4.14</v>
      </c>
    </row>
    <row r="6673" s="1" customFormat="1" spans="1:15">
      <c r="A6673" s="1" t="str">
        <f t="shared" si="4201"/>
        <v>202406</v>
      </c>
      <c r="B6673" s="1" t="str">
        <f t="shared" si="4202"/>
        <v>150525100</v>
      </c>
      <c r="C6673" s="1" t="str">
        <f>"1014575578"</f>
        <v>1014575578</v>
      </c>
      <c r="D6673" s="1" t="str">
        <f>"152326196205060667"</f>
        <v>152326196205060667</v>
      </c>
      <c r="E6673" s="1" t="s">
        <v>6492</v>
      </c>
      <c r="F6673" s="1" t="s">
        <v>16</v>
      </c>
      <c r="G6673" s="1" t="s">
        <v>17</v>
      </c>
      <c r="H6673" s="1" t="str">
        <f t="shared" si="4218"/>
        <v>62</v>
      </c>
      <c r="I6673" s="1" t="str">
        <f>"163.01"</f>
        <v>163.01</v>
      </c>
      <c r="J6673" s="1" t="str">
        <f t="shared" ref="J6673:N6673" si="4222">"0"</f>
        <v>0</v>
      </c>
      <c r="K6673" s="1" t="str">
        <f t="shared" si="4212"/>
        <v>103</v>
      </c>
      <c r="L6673" s="1" t="str">
        <f t="shared" si="4213"/>
        <v>47</v>
      </c>
      <c r="M6673" s="1" t="str">
        <f t="shared" si="4222"/>
        <v>0</v>
      </c>
      <c r="N6673" s="1" t="str">
        <f t="shared" si="4222"/>
        <v>0</v>
      </c>
      <c r="O6673" s="1" t="str">
        <f>"13.01"</f>
        <v>13.01</v>
      </c>
    </row>
    <row r="6674" s="1" customFormat="1" spans="1:15">
      <c r="A6674" s="1" t="str">
        <f t="shared" si="4201"/>
        <v>202406</v>
      </c>
      <c r="B6674" s="1" t="str">
        <f t="shared" si="4202"/>
        <v>150525100</v>
      </c>
      <c r="C6674" s="1" t="str">
        <f>"1014575789"</f>
        <v>1014575789</v>
      </c>
      <c r="D6674" s="1" t="str">
        <f>"152326195906120680"</f>
        <v>152326195906120680</v>
      </c>
      <c r="E6674" s="1" t="s">
        <v>6493</v>
      </c>
      <c r="F6674" s="1" t="s">
        <v>16</v>
      </c>
      <c r="G6674" s="1" t="s">
        <v>17</v>
      </c>
      <c r="H6674" s="1" t="str">
        <f>"65"</f>
        <v>65</v>
      </c>
      <c r="I6674" s="1" t="str">
        <f>"158.15"</f>
        <v>158.15</v>
      </c>
      <c r="J6674" s="1" t="str">
        <f t="shared" ref="J6674:N6674" si="4223">"0"</f>
        <v>0</v>
      </c>
      <c r="K6674" s="1" t="str">
        <f t="shared" si="4212"/>
        <v>103</v>
      </c>
      <c r="L6674" s="1" t="str">
        <f t="shared" si="4213"/>
        <v>47</v>
      </c>
      <c r="M6674" s="1" t="str">
        <f t="shared" si="4223"/>
        <v>0</v>
      </c>
      <c r="N6674" s="1" t="str">
        <f t="shared" si="4223"/>
        <v>0</v>
      </c>
      <c r="O6674" s="1" t="str">
        <f>"8.15"</f>
        <v>8.15</v>
      </c>
    </row>
    <row r="6675" s="1" customFormat="1" spans="1:15">
      <c r="A6675" s="1" t="str">
        <f t="shared" si="4201"/>
        <v>202406</v>
      </c>
      <c r="B6675" s="1" t="str">
        <f t="shared" si="4202"/>
        <v>150525100</v>
      </c>
      <c r="C6675" s="1" t="str">
        <f>"1014575791"</f>
        <v>1014575791</v>
      </c>
      <c r="D6675" s="1" t="str">
        <f>"152326195909010671"</f>
        <v>152326195909010671</v>
      </c>
      <c r="E6675" s="1" t="s">
        <v>6494</v>
      </c>
      <c r="F6675" s="1" t="s">
        <v>25</v>
      </c>
      <c r="G6675" s="1" t="s">
        <v>17</v>
      </c>
      <c r="H6675" s="1" t="str">
        <f>"65"</f>
        <v>65</v>
      </c>
      <c r="I6675" s="1" t="str">
        <f>"158.1"</f>
        <v>158.1</v>
      </c>
      <c r="J6675" s="1" t="str">
        <f t="shared" ref="J6675:N6675" si="4224">"0"</f>
        <v>0</v>
      </c>
      <c r="K6675" s="1" t="str">
        <f t="shared" si="4212"/>
        <v>103</v>
      </c>
      <c r="L6675" s="1" t="str">
        <f t="shared" si="4213"/>
        <v>47</v>
      </c>
      <c r="M6675" s="1" t="str">
        <f t="shared" si="4224"/>
        <v>0</v>
      </c>
      <c r="N6675" s="1" t="str">
        <f t="shared" si="4224"/>
        <v>0</v>
      </c>
      <c r="O6675" s="1" t="str">
        <f>"8.1"</f>
        <v>8.1</v>
      </c>
    </row>
    <row r="6676" s="1" customFormat="1" spans="1:15">
      <c r="A6676" s="1" t="str">
        <f t="shared" si="4201"/>
        <v>202406</v>
      </c>
      <c r="B6676" s="1" t="str">
        <f t="shared" si="4202"/>
        <v>150525100</v>
      </c>
      <c r="C6676" s="1" t="str">
        <f>"1014575797"</f>
        <v>1014575797</v>
      </c>
      <c r="D6676" s="1" t="str">
        <f>"152326196009130699"</f>
        <v>152326196009130699</v>
      </c>
      <c r="E6676" s="1" t="s">
        <v>6495</v>
      </c>
      <c r="F6676" s="1" t="s">
        <v>25</v>
      </c>
      <c r="G6676" s="1" t="s">
        <v>17</v>
      </c>
      <c r="H6676" s="1" t="str">
        <f>"64"</f>
        <v>64</v>
      </c>
      <c r="I6676" s="1" t="str">
        <f>"159.25"</f>
        <v>159.25</v>
      </c>
      <c r="J6676" s="1" t="str">
        <f t="shared" ref="J6676:N6676" si="4225">"0"</f>
        <v>0</v>
      </c>
      <c r="K6676" s="1" t="str">
        <f t="shared" si="4212"/>
        <v>103</v>
      </c>
      <c r="L6676" s="1" t="str">
        <f t="shared" si="4213"/>
        <v>47</v>
      </c>
      <c r="M6676" s="1" t="str">
        <f t="shared" si="4225"/>
        <v>0</v>
      </c>
      <c r="N6676" s="1" t="str">
        <f t="shared" si="4225"/>
        <v>0</v>
      </c>
      <c r="O6676" s="1" t="str">
        <f>"9.25"</f>
        <v>9.25</v>
      </c>
    </row>
    <row r="6677" s="1" customFormat="1" spans="1:15">
      <c r="A6677" s="1" t="str">
        <f t="shared" si="4201"/>
        <v>202406</v>
      </c>
      <c r="B6677" s="1" t="str">
        <f t="shared" si="4202"/>
        <v>150525100</v>
      </c>
      <c r="C6677" s="1" t="str">
        <f>"1014575798"</f>
        <v>1014575798</v>
      </c>
      <c r="D6677" s="1" t="str">
        <f>"152326196009140424"</f>
        <v>152326196009140424</v>
      </c>
      <c r="E6677" s="1" t="s">
        <v>6496</v>
      </c>
      <c r="F6677" s="1" t="s">
        <v>16</v>
      </c>
      <c r="G6677" s="1" t="s">
        <v>17</v>
      </c>
      <c r="H6677" s="1" t="str">
        <f>"64"</f>
        <v>64</v>
      </c>
      <c r="I6677" s="1" t="str">
        <f>"159.26"</f>
        <v>159.26</v>
      </c>
      <c r="J6677" s="1" t="str">
        <f t="shared" ref="J6677:N6677" si="4226">"0"</f>
        <v>0</v>
      </c>
      <c r="K6677" s="1" t="str">
        <f t="shared" si="4212"/>
        <v>103</v>
      </c>
      <c r="L6677" s="1" t="str">
        <f t="shared" si="4213"/>
        <v>47</v>
      </c>
      <c r="M6677" s="1" t="str">
        <f t="shared" si="4226"/>
        <v>0</v>
      </c>
      <c r="N6677" s="1" t="str">
        <f t="shared" si="4226"/>
        <v>0</v>
      </c>
      <c r="O6677" s="1" t="str">
        <f>"9.26"</f>
        <v>9.26</v>
      </c>
    </row>
    <row r="6678" s="1" customFormat="1" spans="1:15">
      <c r="A6678" s="1" t="str">
        <f t="shared" si="4201"/>
        <v>202406</v>
      </c>
      <c r="B6678" s="1" t="str">
        <f t="shared" si="4202"/>
        <v>150525100</v>
      </c>
      <c r="C6678" s="1" t="str">
        <f>"1014548350"</f>
        <v>1014548350</v>
      </c>
      <c r="D6678" s="1" t="str">
        <f>"152326195303300666"</f>
        <v>152326195303300666</v>
      </c>
      <c r="E6678" s="1" t="s">
        <v>3838</v>
      </c>
      <c r="F6678" s="1" t="s">
        <v>16</v>
      </c>
      <c r="G6678" s="1" t="s">
        <v>17</v>
      </c>
      <c r="H6678" s="1" t="str">
        <f t="shared" ref="H6678:H6681" si="4227">"71"</f>
        <v>71</v>
      </c>
      <c r="I6678" s="1" t="str">
        <f t="shared" ref="I6678:I6681" si="4228">"163.16"</f>
        <v>163.16</v>
      </c>
      <c r="J6678" s="1" t="str">
        <f t="shared" ref="J6678:N6678" si="4229">"0"</f>
        <v>0</v>
      </c>
      <c r="K6678" s="1" t="str">
        <f t="shared" si="4212"/>
        <v>103</v>
      </c>
      <c r="L6678" s="1" t="str">
        <f t="shared" si="4213"/>
        <v>47</v>
      </c>
      <c r="M6678" s="1" t="str">
        <f t="shared" si="4229"/>
        <v>0</v>
      </c>
      <c r="N6678" s="1" t="str">
        <f t="shared" si="4229"/>
        <v>0</v>
      </c>
      <c r="O6678" s="1" t="str">
        <f t="shared" ref="O6678:O6681" si="4230">"3.16"</f>
        <v>3.16</v>
      </c>
    </row>
    <row r="6679" s="1" customFormat="1" spans="1:15">
      <c r="A6679" s="1" t="str">
        <f t="shared" si="4201"/>
        <v>202406</v>
      </c>
      <c r="B6679" s="1" t="str">
        <f t="shared" si="4202"/>
        <v>150525100</v>
      </c>
      <c r="C6679" s="1" t="str">
        <f>"1014548371"</f>
        <v>1014548371</v>
      </c>
      <c r="D6679" s="1" t="s">
        <v>6497</v>
      </c>
      <c r="E6679" s="1" t="s">
        <v>6498</v>
      </c>
      <c r="F6679" s="1" t="s">
        <v>25</v>
      </c>
      <c r="G6679" s="1" t="s">
        <v>17</v>
      </c>
      <c r="H6679" s="1" t="str">
        <f t="shared" si="4227"/>
        <v>71</v>
      </c>
      <c r="I6679" s="1" t="str">
        <f t="shared" si="4228"/>
        <v>163.16</v>
      </c>
      <c r="J6679" s="1" t="str">
        <f t="shared" ref="J6679:N6679" si="4231">"0"</f>
        <v>0</v>
      </c>
      <c r="K6679" s="1" t="str">
        <f t="shared" si="4212"/>
        <v>103</v>
      </c>
      <c r="L6679" s="1" t="str">
        <f t="shared" si="4213"/>
        <v>47</v>
      </c>
      <c r="M6679" s="1" t="str">
        <f t="shared" si="4231"/>
        <v>0</v>
      </c>
      <c r="N6679" s="1" t="str">
        <f t="shared" si="4231"/>
        <v>0</v>
      </c>
      <c r="O6679" s="1" t="str">
        <f t="shared" si="4230"/>
        <v>3.16</v>
      </c>
    </row>
    <row r="6680" s="1" customFormat="1" spans="1:15">
      <c r="A6680" s="1" t="str">
        <f t="shared" si="4201"/>
        <v>202406</v>
      </c>
      <c r="B6680" s="1" t="str">
        <f t="shared" si="4202"/>
        <v>150525100</v>
      </c>
      <c r="C6680" s="1" t="str">
        <f>"1014572752"</f>
        <v>1014572752</v>
      </c>
      <c r="D6680" s="1" t="str">
        <f>"152326195311240026"</f>
        <v>152326195311240026</v>
      </c>
      <c r="E6680" s="1" t="s">
        <v>6499</v>
      </c>
      <c r="F6680" s="1" t="s">
        <v>16</v>
      </c>
      <c r="G6680" s="1" t="s">
        <v>17</v>
      </c>
      <c r="H6680" s="1" t="str">
        <f t="shared" si="4227"/>
        <v>71</v>
      </c>
      <c r="I6680" s="1" t="str">
        <f t="shared" si="4228"/>
        <v>163.16</v>
      </c>
      <c r="J6680" s="1" t="str">
        <f t="shared" ref="J6680:N6680" si="4232">"0"</f>
        <v>0</v>
      </c>
      <c r="K6680" s="1" t="str">
        <f t="shared" si="4212"/>
        <v>103</v>
      </c>
      <c r="L6680" s="1" t="str">
        <f t="shared" si="4213"/>
        <v>47</v>
      </c>
      <c r="M6680" s="1" t="str">
        <f t="shared" si="4232"/>
        <v>0</v>
      </c>
      <c r="N6680" s="1" t="str">
        <f t="shared" si="4232"/>
        <v>0</v>
      </c>
      <c r="O6680" s="1" t="str">
        <f t="shared" si="4230"/>
        <v>3.16</v>
      </c>
    </row>
    <row r="6681" s="1" customFormat="1" spans="1:15">
      <c r="A6681" s="1" t="str">
        <f t="shared" si="4201"/>
        <v>202406</v>
      </c>
      <c r="B6681" s="1" t="str">
        <f t="shared" si="4202"/>
        <v>150525100</v>
      </c>
      <c r="C6681" s="1" t="str">
        <f>"1014572754"</f>
        <v>1014572754</v>
      </c>
      <c r="D6681" s="1" t="str">
        <f>"152326195312210419"</f>
        <v>152326195312210419</v>
      </c>
      <c r="E6681" s="1" t="s">
        <v>6500</v>
      </c>
      <c r="F6681" s="1" t="s">
        <v>25</v>
      </c>
      <c r="G6681" s="1" t="s">
        <v>17</v>
      </c>
      <c r="H6681" s="1" t="str">
        <f t="shared" si="4227"/>
        <v>71</v>
      </c>
      <c r="I6681" s="1" t="str">
        <f t="shared" si="4228"/>
        <v>163.16</v>
      </c>
      <c r="J6681" s="1" t="str">
        <f t="shared" ref="J6681:N6681" si="4233">"0"</f>
        <v>0</v>
      </c>
      <c r="K6681" s="1" t="str">
        <f t="shared" si="4212"/>
        <v>103</v>
      </c>
      <c r="L6681" s="1" t="str">
        <f t="shared" si="4213"/>
        <v>47</v>
      </c>
      <c r="M6681" s="1" t="str">
        <f t="shared" si="4233"/>
        <v>0</v>
      </c>
      <c r="N6681" s="1" t="str">
        <f t="shared" si="4233"/>
        <v>0</v>
      </c>
      <c r="O6681" s="1" t="str">
        <f t="shared" si="4230"/>
        <v>3.16</v>
      </c>
    </row>
    <row r="6682" s="1" customFormat="1" spans="1:15">
      <c r="A6682" s="1" t="str">
        <f t="shared" si="4201"/>
        <v>202406</v>
      </c>
      <c r="B6682" s="1" t="str">
        <f t="shared" si="4202"/>
        <v>150525100</v>
      </c>
      <c r="C6682" s="1" t="str">
        <f>"1014572757"</f>
        <v>1014572757</v>
      </c>
      <c r="D6682" s="1" t="str">
        <f>"152326195402013072"</f>
        <v>152326195402013072</v>
      </c>
      <c r="E6682" s="1" t="s">
        <v>2554</v>
      </c>
      <c r="F6682" s="1" t="s">
        <v>25</v>
      </c>
      <c r="G6682" s="1" t="s">
        <v>17</v>
      </c>
      <c r="H6682" s="1" t="str">
        <f t="shared" ref="H6682:H6684" si="4234">"70"</f>
        <v>70</v>
      </c>
      <c r="I6682" s="1" t="str">
        <f>"176.96"</f>
        <v>176.96</v>
      </c>
      <c r="J6682" s="1" t="str">
        <f t="shared" ref="J6682:N6682" si="4235">"0"</f>
        <v>0</v>
      </c>
      <c r="K6682" s="1" t="str">
        <f t="shared" si="4212"/>
        <v>103</v>
      </c>
      <c r="L6682" s="1" t="str">
        <f t="shared" si="4213"/>
        <v>47</v>
      </c>
      <c r="M6682" s="1" t="str">
        <f t="shared" si="4235"/>
        <v>0</v>
      </c>
      <c r="N6682" s="1" t="str">
        <f t="shared" si="4235"/>
        <v>0</v>
      </c>
      <c r="O6682" s="1" t="str">
        <f>"16.96"</f>
        <v>16.96</v>
      </c>
    </row>
    <row r="6683" s="1" customFormat="1" spans="1:15">
      <c r="A6683" s="1" t="str">
        <f t="shared" si="4201"/>
        <v>202406</v>
      </c>
      <c r="B6683" s="1" t="str">
        <f t="shared" si="4202"/>
        <v>150525100</v>
      </c>
      <c r="C6683" s="1" t="str">
        <f>"1014572760"</f>
        <v>1014572760</v>
      </c>
      <c r="D6683" s="1" t="str">
        <f>"152326195403180438"</f>
        <v>152326195403180438</v>
      </c>
      <c r="E6683" s="1" t="s">
        <v>6501</v>
      </c>
      <c r="F6683" s="1" t="s">
        <v>25</v>
      </c>
      <c r="G6683" s="1" t="s">
        <v>17</v>
      </c>
      <c r="H6683" s="1" t="str">
        <f t="shared" si="4234"/>
        <v>70</v>
      </c>
      <c r="I6683" s="1" t="str">
        <f>"165.08"</f>
        <v>165.08</v>
      </c>
      <c r="J6683" s="1" t="str">
        <f t="shared" ref="J6683:N6683" si="4236">"0"</f>
        <v>0</v>
      </c>
      <c r="K6683" s="1" t="str">
        <f t="shared" si="4212"/>
        <v>103</v>
      </c>
      <c r="L6683" s="1" t="str">
        <f t="shared" si="4213"/>
        <v>47</v>
      </c>
      <c r="M6683" s="1" t="str">
        <f t="shared" si="4236"/>
        <v>0</v>
      </c>
      <c r="N6683" s="1" t="str">
        <f t="shared" si="4236"/>
        <v>0</v>
      </c>
      <c r="O6683" s="1" t="str">
        <f>"5.08"</f>
        <v>5.08</v>
      </c>
    </row>
    <row r="6684" s="1" customFormat="1" spans="1:15">
      <c r="A6684" s="1" t="str">
        <f t="shared" si="4201"/>
        <v>202406</v>
      </c>
      <c r="B6684" s="1" t="str">
        <f t="shared" si="4202"/>
        <v>150525100</v>
      </c>
      <c r="C6684" s="1" t="str">
        <f>"1014572764"</f>
        <v>1014572764</v>
      </c>
      <c r="D6684" s="1" t="str">
        <f>"152326195405030011"</f>
        <v>152326195405030011</v>
      </c>
      <c r="E6684" s="1" t="s">
        <v>6502</v>
      </c>
      <c r="F6684" s="1" t="s">
        <v>25</v>
      </c>
      <c r="G6684" s="1" t="s">
        <v>17</v>
      </c>
      <c r="H6684" s="1" t="str">
        <f t="shared" si="4234"/>
        <v>70</v>
      </c>
      <c r="I6684" s="1" t="str">
        <f>"164.14"</f>
        <v>164.14</v>
      </c>
      <c r="J6684" s="1" t="str">
        <f t="shared" ref="J6684:N6684" si="4237">"0"</f>
        <v>0</v>
      </c>
      <c r="K6684" s="1" t="str">
        <f t="shared" si="4212"/>
        <v>103</v>
      </c>
      <c r="L6684" s="1" t="str">
        <f t="shared" si="4213"/>
        <v>47</v>
      </c>
      <c r="M6684" s="1" t="str">
        <f t="shared" si="4237"/>
        <v>0</v>
      </c>
      <c r="N6684" s="1" t="str">
        <f t="shared" si="4237"/>
        <v>0</v>
      </c>
      <c r="O6684" s="1" t="str">
        <f>"4.14"</f>
        <v>4.14</v>
      </c>
    </row>
    <row r="6685" s="1" customFormat="1" spans="1:15">
      <c r="A6685" s="1" t="str">
        <f t="shared" si="4201"/>
        <v>202406</v>
      </c>
      <c r="B6685" s="1" t="str">
        <f t="shared" si="4202"/>
        <v>150525100</v>
      </c>
      <c r="C6685" s="1" t="str">
        <f>"1014573155"</f>
        <v>1014573155</v>
      </c>
      <c r="D6685" s="1" t="s">
        <v>6503</v>
      </c>
      <c r="E6685" s="1" t="s">
        <v>6504</v>
      </c>
      <c r="F6685" s="1" t="s">
        <v>16</v>
      </c>
      <c r="G6685" s="1" t="s">
        <v>19</v>
      </c>
      <c r="H6685" s="1" t="str">
        <f>"68"</f>
        <v>68</v>
      </c>
      <c r="I6685" s="1" t="str">
        <f>"159.26"</f>
        <v>159.26</v>
      </c>
      <c r="J6685" s="1" t="str">
        <f t="shared" ref="J6685:N6685" si="4238">"0"</f>
        <v>0</v>
      </c>
      <c r="K6685" s="1" t="str">
        <f t="shared" si="4212"/>
        <v>103</v>
      </c>
      <c r="L6685" s="1" t="str">
        <f t="shared" si="4213"/>
        <v>47</v>
      </c>
      <c r="M6685" s="1" t="str">
        <f t="shared" si="4238"/>
        <v>0</v>
      </c>
      <c r="N6685" s="1" t="str">
        <f t="shared" si="4238"/>
        <v>0</v>
      </c>
      <c r="O6685" s="1" t="str">
        <f>"9.26"</f>
        <v>9.26</v>
      </c>
    </row>
    <row r="6686" s="1" customFormat="1" spans="1:15">
      <c r="A6686" s="1" t="str">
        <f t="shared" si="4201"/>
        <v>202406</v>
      </c>
      <c r="B6686" s="1" t="str">
        <f t="shared" si="4202"/>
        <v>150525100</v>
      </c>
      <c r="C6686" s="1" t="str">
        <f>"1014573292"</f>
        <v>1014573292</v>
      </c>
      <c r="D6686" s="1" t="str">
        <f>"152326195711220083"</f>
        <v>152326195711220083</v>
      </c>
      <c r="E6686" s="1" t="s">
        <v>6505</v>
      </c>
      <c r="F6686" s="1" t="s">
        <v>16</v>
      </c>
      <c r="G6686" s="1" t="s">
        <v>17</v>
      </c>
      <c r="H6686" s="1" t="str">
        <f t="shared" ref="H6686:H6691" si="4239">"67"</f>
        <v>67</v>
      </c>
      <c r="I6686" s="1" t="str">
        <f>"156.1"</f>
        <v>156.1</v>
      </c>
      <c r="J6686" s="1" t="str">
        <f t="shared" ref="J6686:N6686" si="4240">"0"</f>
        <v>0</v>
      </c>
      <c r="K6686" s="1" t="str">
        <f t="shared" si="4212"/>
        <v>103</v>
      </c>
      <c r="L6686" s="1" t="str">
        <f t="shared" si="4213"/>
        <v>47</v>
      </c>
      <c r="M6686" s="1" t="str">
        <f t="shared" si="4240"/>
        <v>0</v>
      </c>
      <c r="N6686" s="1" t="str">
        <f t="shared" si="4240"/>
        <v>0</v>
      </c>
      <c r="O6686" s="1" t="str">
        <f>"6.1"</f>
        <v>6.1</v>
      </c>
    </row>
    <row r="6687" s="1" customFormat="1" spans="1:15">
      <c r="A6687" s="1" t="str">
        <f t="shared" si="4201"/>
        <v>202406</v>
      </c>
      <c r="B6687" s="1" t="str">
        <f t="shared" si="4202"/>
        <v>150525100</v>
      </c>
      <c r="C6687" s="1" t="str">
        <f>"1014575601"</f>
        <v>1014575601</v>
      </c>
      <c r="D6687" s="1" t="s">
        <v>6506</v>
      </c>
      <c r="E6687" s="1" t="s">
        <v>6507</v>
      </c>
      <c r="F6687" s="1" t="s">
        <v>16</v>
      </c>
      <c r="G6687" s="1" t="s">
        <v>17</v>
      </c>
      <c r="H6687" s="1" t="str">
        <f>"69"</f>
        <v>69</v>
      </c>
      <c r="I6687" s="1" t="str">
        <f>"171.62"</f>
        <v>171.62</v>
      </c>
      <c r="J6687" s="1" t="str">
        <f t="shared" ref="J6687:N6687" si="4241">"0"</f>
        <v>0</v>
      </c>
      <c r="K6687" s="1" t="str">
        <f t="shared" si="4212"/>
        <v>103</v>
      </c>
      <c r="L6687" s="1" t="str">
        <f t="shared" si="4213"/>
        <v>47</v>
      </c>
      <c r="M6687" s="1" t="str">
        <f t="shared" si="4241"/>
        <v>0</v>
      </c>
      <c r="N6687" s="1" t="str">
        <f t="shared" si="4241"/>
        <v>0</v>
      </c>
      <c r="O6687" s="1" t="str">
        <f>"21.62"</f>
        <v>21.62</v>
      </c>
    </row>
    <row r="6688" s="1" customFormat="1" spans="1:15">
      <c r="A6688" s="1" t="str">
        <f t="shared" si="4201"/>
        <v>202406</v>
      </c>
      <c r="B6688" s="1" t="str">
        <f t="shared" si="4202"/>
        <v>150525100</v>
      </c>
      <c r="C6688" s="1" t="str">
        <f>"1014576829"</f>
        <v>1014576829</v>
      </c>
      <c r="D6688" s="1" t="str">
        <f>"152326195609180660"</f>
        <v>152326195609180660</v>
      </c>
      <c r="E6688" s="1" t="s">
        <v>409</v>
      </c>
      <c r="F6688" s="1" t="s">
        <v>16</v>
      </c>
      <c r="G6688" s="1" t="s">
        <v>17</v>
      </c>
      <c r="H6688" s="1" t="str">
        <f>"68"</f>
        <v>68</v>
      </c>
      <c r="I6688" s="1" t="str">
        <f>"156.02"</f>
        <v>156.02</v>
      </c>
      <c r="J6688" s="1" t="str">
        <f t="shared" ref="J6688:N6688" si="4242">"0"</f>
        <v>0</v>
      </c>
      <c r="K6688" s="1" t="str">
        <f t="shared" si="4212"/>
        <v>103</v>
      </c>
      <c r="L6688" s="1" t="str">
        <f t="shared" si="4213"/>
        <v>47</v>
      </c>
      <c r="M6688" s="1" t="str">
        <f t="shared" si="4242"/>
        <v>0</v>
      </c>
      <c r="N6688" s="1" t="str">
        <f t="shared" si="4242"/>
        <v>0</v>
      </c>
      <c r="O6688" s="1" t="str">
        <f>"6.02"</f>
        <v>6.02</v>
      </c>
    </row>
    <row r="6689" s="1" customFormat="1" spans="1:15">
      <c r="A6689" s="1" t="str">
        <f t="shared" si="4201"/>
        <v>202406</v>
      </c>
      <c r="B6689" s="1" t="str">
        <f t="shared" si="4202"/>
        <v>150525100</v>
      </c>
      <c r="C6689" s="1" t="str">
        <f>"1014576835"</f>
        <v>1014576835</v>
      </c>
      <c r="D6689" s="1" t="str">
        <f>"152326195702150669"</f>
        <v>152326195702150669</v>
      </c>
      <c r="E6689" s="1" t="s">
        <v>6508</v>
      </c>
      <c r="F6689" s="1" t="s">
        <v>16</v>
      </c>
      <c r="G6689" s="1" t="s">
        <v>17</v>
      </c>
      <c r="H6689" s="1" t="str">
        <f t="shared" si="4239"/>
        <v>67</v>
      </c>
      <c r="I6689" s="1" t="str">
        <f>"156.04"</f>
        <v>156.04</v>
      </c>
      <c r="J6689" s="1" t="str">
        <f t="shared" ref="J6689:N6689" si="4243">"0"</f>
        <v>0</v>
      </c>
      <c r="K6689" s="1" t="str">
        <f t="shared" si="4212"/>
        <v>103</v>
      </c>
      <c r="L6689" s="1" t="str">
        <f t="shared" si="4213"/>
        <v>47</v>
      </c>
      <c r="M6689" s="1" t="str">
        <f t="shared" si="4243"/>
        <v>0</v>
      </c>
      <c r="N6689" s="1" t="str">
        <f t="shared" si="4243"/>
        <v>0</v>
      </c>
      <c r="O6689" s="1" t="str">
        <f>"6.04"</f>
        <v>6.04</v>
      </c>
    </row>
    <row r="6690" s="1" customFormat="1" spans="1:15">
      <c r="A6690" s="1" t="str">
        <f t="shared" si="4201"/>
        <v>202406</v>
      </c>
      <c r="B6690" s="1" t="str">
        <f t="shared" si="4202"/>
        <v>150525100</v>
      </c>
      <c r="C6690" s="1" t="str">
        <f>"1014576842"</f>
        <v>1014576842</v>
      </c>
      <c r="D6690" s="1" t="str">
        <f>"152326195710130668"</f>
        <v>152326195710130668</v>
      </c>
      <c r="E6690" s="1" t="s">
        <v>6509</v>
      </c>
      <c r="F6690" s="1" t="s">
        <v>16</v>
      </c>
      <c r="G6690" s="1" t="s">
        <v>17</v>
      </c>
      <c r="H6690" s="1" t="str">
        <f t="shared" si="4239"/>
        <v>67</v>
      </c>
      <c r="I6690" s="1" t="str">
        <f>"156.1"</f>
        <v>156.1</v>
      </c>
      <c r="J6690" s="1" t="str">
        <f t="shared" ref="J6690:N6690" si="4244">"0"</f>
        <v>0</v>
      </c>
      <c r="K6690" s="1" t="str">
        <f t="shared" si="4212"/>
        <v>103</v>
      </c>
      <c r="L6690" s="1" t="str">
        <f t="shared" si="4213"/>
        <v>47</v>
      </c>
      <c r="M6690" s="1" t="str">
        <f t="shared" si="4244"/>
        <v>0</v>
      </c>
      <c r="N6690" s="1" t="str">
        <f t="shared" si="4244"/>
        <v>0</v>
      </c>
      <c r="O6690" s="1" t="str">
        <f>"6.1"</f>
        <v>6.1</v>
      </c>
    </row>
    <row r="6691" s="1" customFormat="1" spans="1:15">
      <c r="A6691" s="1" t="str">
        <f t="shared" si="4201"/>
        <v>202406</v>
      </c>
      <c r="B6691" s="1" t="str">
        <f t="shared" si="4202"/>
        <v>150525100</v>
      </c>
      <c r="C6691" s="1" t="str">
        <f>"1014576848"</f>
        <v>1014576848</v>
      </c>
      <c r="D6691" s="1" t="str">
        <f>"152326195712270680"</f>
        <v>152326195712270680</v>
      </c>
      <c r="E6691" s="1" t="s">
        <v>6510</v>
      </c>
      <c r="F6691" s="1" t="s">
        <v>16</v>
      </c>
      <c r="G6691" s="1" t="s">
        <v>17</v>
      </c>
      <c r="H6691" s="1" t="str">
        <f t="shared" si="4239"/>
        <v>67</v>
      </c>
      <c r="I6691" s="1" t="str">
        <f>"624.44"</f>
        <v>624.44</v>
      </c>
      <c r="J6691" s="1" t="str">
        <f>"468.33"</f>
        <v>468.33</v>
      </c>
      <c r="K6691" s="1" t="str">
        <f>"412"</f>
        <v>412</v>
      </c>
      <c r="L6691" s="1" t="str">
        <f>"188"</f>
        <v>188</v>
      </c>
      <c r="M6691" s="1" t="str">
        <f>"0"</f>
        <v>0</v>
      </c>
      <c r="N6691" s="1" t="str">
        <f>"0"</f>
        <v>0</v>
      </c>
      <c r="O6691" s="1" t="str">
        <f>"24.44"</f>
        <v>24.44</v>
      </c>
    </row>
    <row r="6692" s="1" customFormat="1" spans="1:15">
      <c r="A6692" s="1" t="str">
        <f t="shared" si="4201"/>
        <v>202406</v>
      </c>
      <c r="B6692" s="1" t="str">
        <f t="shared" si="4202"/>
        <v>150525100</v>
      </c>
      <c r="C6692" s="1" t="str">
        <f>"1014552196"</f>
        <v>1014552196</v>
      </c>
      <c r="D6692" s="1" t="str">
        <f>"152326195405063825"</f>
        <v>152326195405063825</v>
      </c>
      <c r="E6692" s="1" t="s">
        <v>6511</v>
      </c>
      <c r="F6692" s="1" t="s">
        <v>16</v>
      </c>
      <c r="G6692" s="1" t="s">
        <v>17</v>
      </c>
      <c r="H6692" s="1" t="str">
        <f>"70"</f>
        <v>70</v>
      </c>
      <c r="I6692" s="1" t="str">
        <f>"163.91"</f>
        <v>163.91</v>
      </c>
      <c r="J6692" s="1" t="str">
        <f t="shared" ref="J6692:N6692" si="4245">"0"</f>
        <v>0</v>
      </c>
      <c r="K6692" s="1" t="str">
        <f t="shared" ref="K6692:K6755" si="4246">"103"</f>
        <v>103</v>
      </c>
      <c r="L6692" s="1" t="str">
        <f t="shared" ref="L6692:L6755" si="4247">"47"</f>
        <v>47</v>
      </c>
      <c r="M6692" s="1" t="str">
        <f t="shared" si="4245"/>
        <v>0</v>
      </c>
      <c r="N6692" s="1" t="str">
        <f t="shared" si="4245"/>
        <v>0</v>
      </c>
      <c r="O6692" s="1" t="str">
        <f>"3.91"</f>
        <v>3.91</v>
      </c>
    </row>
    <row r="6693" s="1" customFormat="1" spans="1:15">
      <c r="A6693" s="1" t="str">
        <f t="shared" si="4201"/>
        <v>202406</v>
      </c>
      <c r="B6693" s="1" t="str">
        <f t="shared" si="4202"/>
        <v>150525100</v>
      </c>
      <c r="C6693" s="1" t="str">
        <f>"1014552201"</f>
        <v>1014552201</v>
      </c>
      <c r="D6693" s="1" t="str">
        <f>"152326195606203820"</f>
        <v>152326195606203820</v>
      </c>
      <c r="E6693" s="1" t="s">
        <v>1641</v>
      </c>
      <c r="F6693" s="1" t="s">
        <v>16</v>
      </c>
      <c r="G6693" s="1" t="s">
        <v>17</v>
      </c>
      <c r="H6693" s="1" t="str">
        <f>"68"</f>
        <v>68</v>
      </c>
      <c r="I6693" s="1" t="str">
        <f>"155.78"</f>
        <v>155.78</v>
      </c>
      <c r="J6693" s="1" t="str">
        <f t="shared" ref="J6693:N6693" si="4248">"0"</f>
        <v>0</v>
      </c>
      <c r="K6693" s="1" t="str">
        <f t="shared" si="4246"/>
        <v>103</v>
      </c>
      <c r="L6693" s="1" t="str">
        <f t="shared" si="4247"/>
        <v>47</v>
      </c>
      <c r="M6693" s="1" t="str">
        <f t="shared" si="4248"/>
        <v>0</v>
      </c>
      <c r="N6693" s="1" t="str">
        <f t="shared" si="4248"/>
        <v>0</v>
      </c>
      <c r="O6693" s="1" t="str">
        <f>"5.78"</f>
        <v>5.78</v>
      </c>
    </row>
    <row r="6694" s="1" customFormat="1" spans="1:15">
      <c r="A6694" s="1" t="str">
        <f t="shared" si="4201"/>
        <v>202406</v>
      </c>
      <c r="B6694" s="1" t="str">
        <f t="shared" si="4202"/>
        <v>150525100</v>
      </c>
      <c r="C6694" s="1" t="str">
        <f>"1014572890"</f>
        <v>1014572890</v>
      </c>
      <c r="D6694" s="1" t="str">
        <f>"152326195502043084"</f>
        <v>152326195502043084</v>
      </c>
      <c r="E6694" s="1" t="s">
        <v>1247</v>
      </c>
      <c r="F6694" s="1" t="s">
        <v>16</v>
      </c>
      <c r="G6694" s="1" t="s">
        <v>17</v>
      </c>
      <c r="H6694" s="1" t="str">
        <f>"69"</f>
        <v>69</v>
      </c>
      <c r="I6694" s="1" t="str">
        <f>"155.09"</f>
        <v>155.09</v>
      </c>
      <c r="J6694" s="1" t="str">
        <f t="shared" ref="J6694:N6694" si="4249">"0"</f>
        <v>0</v>
      </c>
      <c r="K6694" s="1" t="str">
        <f t="shared" si="4246"/>
        <v>103</v>
      </c>
      <c r="L6694" s="1" t="str">
        <f t="shared" si="4247"/>
        <v>47</v>
      </c>
      <c r="M6694" s="1" t="str">
        <f t="shared" si="4249"/>
        <v>0</v>
      </c>
      <c r="N6694" s="1" t="str">
        <f t="shared" si="4249"/>
        <v>0</v>
      </c>
      <c r="O6694" s="1" t="str">
        <f>"5.09"</f>
        <v>5.09</v>
      </c>
    </row>
    <row r="6695" s="1" customFormat="1" spans="1:15">
      <c r="A6695" s="1" t="str">
        <f t="shared" si="4201"/>
        <v>202406</v>
      </c>
      <c r="B6695" s="1" t="str">
        <f t="shared" si="4202"/>
        <v>150525100</v>
      </c>
      <c r="C6695" s="1" t="str">
        <f>"1014572899"</f>
        <v>1014572899</v>
      </c>
      <c r="D6695" s="1" t="str">
        <f>"152326195504270424"</f>
        <v>152326195504270424</v>
      </c>
      <c r="E6695" s="1" t="s">
        <v>6512</v>
      </c>
      <c r="F6695" s="1" t="s">
        <v>16</v>
      </c>
      <c r="G6695" s="1" t="s">
        <v>17</v>
      </c>
      <c r="H6695" s="1" t="str">
        <f>"69"</f>
        <v>69</v>
      </c>
      <c r="I6695" s="1" t="str">
        <f>"155.09"</f>
        <v>155.09</v>
      </c>
      <c r="J6695" s="1" t="str">
        <f t="shared" ref="J6695:N6695" si="4250">"0"</f>
        <v>0</v>
      </c>
      <c r="K6695" s="1" t="str">
        <f t="shared" si="4246"/>
        <v>103</v>
      </c>
      <c r="L6695" s="1" t="str">
        <f t="shared" si="4247"/>
        <v>47</v>
      </c>
      <c r="M6695" s="1" t="str">
        <f t="shared" si="4250"/>
        <v>0</v>
      </c>
      <c r="N6695" s="1" t="str">
        <f t="shared" si="4250"/>
        <v>0</v>
      </c>
      <c r="O6695" s="1" t="str">
        <f>"5.09"</f>
        <v>5.09</v>
      </c>
    </row>
    <row r="6696" s="1" customFormat="1" spans="1:15">
      <c r="A6696" s="1" t="str">
        <f t="shared" si="4201"/>
        <v>202406</v>
      </c>
      <c r="B6696" s="1" t="str">
        <f t="shared" si="4202"/>
        <v>150525100</v>
      </c>
      <c r="C6696" s="1" t="str">
        <f>"1014573022"</f>
        <v>1014573022</v>
      </c>
      <c r="D6696" s="1" t="str">
        <f>"152326196309140039"</f>
        <v>152326196309140039</v>
      </c>
      <c r="E6696" s="1" t="s">
        <v>6513</v>
      </c>
      <c r="F6696" s="1" t="s">
        <v>25</v>
      </c>
      <c r="G6696" s="1" t="s">
        <v>17</v>
      </c>
      <c r="H6696" s="1" t="str">
        <f>"61"</f>
        <v>61</v>
      </c>
      <c r="I6696" s="1" t="str">
        <f>"165.04"</f>
        <v>165.04</v>
      </c>
      <c r="J6696" s="1" t="str">
        <f t="shared" ref="J6696:N6696" si="4251">"0"</f>
        <v>0</v>
      </c>
      <c r="K6696" s="1" t="str">
        <f t="shared" si="4246"/>
        <v>103</v>
      </c>
      <c r="L6696" s="1" t="str">
        <f t="shared" si="4247"/>
        <v>47</v>
      </c>
      <c r="M6696" s="1" t="str">
        <f t="shared" si="4251"/>
        <v>0</v>
      </c>
      <c r="N6696" s="1" t="str">
        <f t="shared" si="4251"/>
        <v>0</v>
      </c>
      <c r="O6696" s="1" t="str">
        <f>"15.04"</f>
        <v>15.04</v>
      </c>
    </row>
    <row r="6697" s="1" customFormat="1" spans="1:15">
      <c r="A6697" s="1" t="str">
        <f t="shared" si="4201"/>
        <v>202406</v>
      </c>
      <c r="B6697" s="1" t="str">
        <f t="shared" si="4202"/>
        <v>150525100</v>
      </c>
      <c r="C6697" s="1" t="str">
        <f>"1014573024"</f>
        <v>1014573024</v>
      </c>
      <c r="D6697" s="1" t="str">
        <f>"152326196309253076"</f>
        <v>152326196309253076</v>
      </c>
      <c r="E6697" s="1" t="s">
        <v>6514</v>
      </c>
      <c r="F6697" s="1" t="s">
        <v>25</v>
      </c>
      <c r="G6697" s="1" t="s">
        <v>17</v>
      </c>
      <c r="H6697" s="1" t="str">
        <f>"61"</f>
        <v>61</v>
      </c>
      <c r="I6697" s="1" t="str">
        <f>"165.07"</f>
        <v>165.07</v>
      </c>
      <c r="J6697" s="1" t="str">
        <f t="shared" ref="J6697:N6697" si="4252">"0"</f>
        <v>0</v>
      </c>
      <c r="K6697" s="1" t="str">
        <f t="shared" si="4246"/>
        <v>103</v>
      </c>
      <c r="L6697" s="1" t="str">
        <f t="shared" si="4247"/>
        <v>47</v>
      </c>
      <c r="M6697" s="1" t="str">
        <f t="shared" si="4252"/>
        <v>0</v>
      </c>
      <c r="N6697" s="1" t="str">
        <f t="shared" si="4252"/>
        <v>0</v>
      </c>
      <c r="O6697" s="1" t="str">
        <f>"15.07"</f>
        <v>15.07</v>
      </c>
    </row>
    <row r="6698" s="1" customFormat="1" spans="1:15">
      <c r="A6698" s="1" t="str">
        <f t="shared" si="4201"/>
        <v>202406</v>
      </c>
      <c r="B6698" s="1" t="str">
        <f t="shared" si="4202"/>
        <v>150525100</v>
      </c>
      <c r="C6698" s="1" t="str">
        <f>"1014573041"</f>
        <v>1014573041</v>
      </c>
      <c r="D6698" s="1" t="str">
        <f>"152326196402073088"</f>
        <v>152326196402073088</v>
      </c>
      <c r="E6698" s="1" t="s">
        <v>6515</v>
      </c>
      <c r="F6698" s="1" t="s">
        <v>16</v>
      </c>
      <c r="G6698" s="1" t="s">
        <v>17</v>
      </c>
      <c r="H6698" s="1" t="str">
        <f>"60"</f>
        <v>60</v>
      </c>
      <c r="I6698" s="1" t="str">
        <f>"171.02"</f>
        <v>171.02</v>
      </c>
      <c r="J6698" s="1" t="str">
        <f t="shared" ref="J6698:N6698" si="4253">"0"</f>
        <v>0</v>
      </c>
      <c r="K6698" s="1" t="str">
        <f t="shared" si="4246"/>
        <v>103</v>
      </c>
      <c r="L6698" s="1" t="str">
        <f t="shared" si="4247"/>
        <v>47</v>
      </c>
      <c r="M6698" s="1" t="str">
        <f t="shared" si="4253"/>
        <v>0</v>
      </c>
      <c r="N6698" s="1" t="str">
        <f t="shared" si="4253"/>
        <v>0</v>
      </c>
      <c r="O6698" s="1" t="str">
        <f>"21.02"</f>
        <v>21.02</v>
      </c>
    </row>
    <row r="6699" s="1" customFormat="1" spans="1:15">
      <c r="A6699" s="1" t="str">
        <f t="shared" si="4201"/>
        <v>202406</v>
      </c>
      <c r="B6699" s="1" t="str">
        <f t="shared" si="4202"/>
        <v>150525100</v>
      </c>
      <c r="C6699" s="1" t="str">
        <f>"1014573170"</f>
        <v>1014573170</v>
      </c>
      <c r="D6699" s="1" t="str">
        <f>"152326195707090028"</f>
        <v>152326195707090028</v>
      </c>
      <c r="E6699" s="1" t="s">
        <v>6516</v>
      </c>
      <c r="F6699" s="1" t="s">
        <v>16</v>
      </c>
      <c r="G6699" s="1" t="s">
        <v>17</v>
      </c>
      <c r="H6699" s="1" t="str">
        <f>"67"</f>
        <v>67</v>
      </c>
      <c r="I6699" s="1" t="str">
        <f>"171.24"</f>
        <v>171.24</v>
      </c>
      <c r="J6699" s="1" t="str">
        <f t="shared" ref="J6699:N6699" si="4254">"0"</f>
        <v>0</v>
      </c>
      <c r="K6699" s="1" t="str">
        <f t="shared" si="4246"/>
        <v>103</v>
      </c>
      <c r="L6699" s="1" t="str">
        <f t="shared" si="4247"/>
        <v>47</v>
      </c>
      <c r="M6699" s="1" t="str">
        <f t="shared" si="4254"/>
        <v>0</v>
      </c>
      <c r="N6699" s="1" t="str">
        <f t="shared" si="4254"/>
        <v>0</v>
      </c>
      <c r="O6699" s="1" t="str">
        <f>"21.24"</f>
        <v>21.24</v>
      </c>
    </row>
    <row r="6700" s="1" customFormat="1" spans="1:15">
      <c r="A6700" s="1" t="str">
        <f t="shared" si="4201"/>
        <v>202406</v>
      </c>
      <c r="B6700" s="1" t="str">
        <f t="shared" si="4202"/>
        <v>150525100</v>
      </c>
      <c r="C6700" s="1" t="str">
        <f>"1014573184"</f>
        <v>1014573184</v>
      </c>
      <c r="D6700" s="1" t="str">
        <f>"152326195604050023"</f>
        <v>152326195604050023</v>
      </c>
      <c r="E6700" s="1" t="s">
        <v>6517</v>
      </c>
      <c r="F6700" s="1" t="s">
        <v>16</v>
      </c>
      <c r="G6700" s="1" t="s">
        <v>17</v>
      </c>
      <c r="H6700" s="1" t="str">
        <f>"68"</f>
        <v>68</v>
      </c>
      <c r="I6700" s="1" t="str">
        <f>"175.59"</f>
        <v>175.59</v>
      </c>
      <c r="J6700" s="1" t="str">
        <f t="shared" ref="J6700:N6700" si="4255">"0"</f>
        <v>0</v>
      </c>
      <c r="K6700" s="1" t="str">
        <f t="shared" si="4246"/>
        <v>103</v>
      </c>
      <c r="L6700" s="1" t="str">
        <f t="shared" si="4247"/>
        <v>47</v>
      </c>
      <c r="M6700" s="1" t="str">
        <f t="shared" si="4255"/>
        <v>0</v>
      </c>
      <c r="N6700" s="1" t="str">
        <f t="shared" si="4255"/>
        <v>0</v>
      </c>
      <c r="O6700" s="1" t="str">
        <f>"25.59"</f>
        <v>25.59</v>
      </c>
    </row>
    <row r="6701" s="1" customFormat="1" spans="1:15">
      <c r="A6701" s="1" t="str">
        <f t="shared" si="4201"/>
        <v>202406</v>
      </c>
      <c r="B6701" s="1" t="str">
        <f t="shared" si="4202"/>
        <v>150525100</v>
      </c>
      <c r="C6701" s="1" t="str">
        <f>"1014573300"</f>
        <v>1014573300</v>
      </c>
      <c r="D6701" s="1" t="str">
        <f>"152326195802050024"</f>
        <v>152326195802050024</v>
      </c>
      <c r="E6701" s="1" t="s">
        <v>6518</v>
      </c>
      <c r="F6701" s="1" t="s">
        <v>16</v>
      </c>
      <c r="G6701" s="1" t="s">
        <v>17</v>
      </c>
      <c r="H6701" s="1" t="str">
        <f>"66"</f>
        <v>66</v>
      </c>
      <c r="I6701" s="1" t="str">
        <f>"158.75"</f>
        <v>158.75</v>
      </c>
      <c r="J6701" s="1" t="str">
        <f t="shared" ref="J6701:N6701" si="4256">"0"</f>
        <v>0</v>
      </c>
      <c r="K6701" s="1" t="str">
        <f t="shared" si="4246"/>
        <v>103</v>
      </c>
      <c r="L6701" s="1" t="str">
        <f t="shared" si="4247"/>
        <v>47</v>
      </c>
      <c r="M6701" s="1" t="str">
        <f t="shared" si="4256"/>
        <v>0</v>
      </c>
      <c r="N6701" s="1" t="str">
        <f t="shared" si="4256"/>
        <v>0</v>
      </c>
      <c r="O6701" s="1" t="str">
        <f>"8.75"</f>
        <v>8.75</v>
      </c>
    </row>
    <row r="6702" s="1" customFormat="1" spans="1:15">
      <c r="A6702" s="1" t="str">
        <f t="shared" si="4201"/>
        <v>202406</v>
      </c>
      <c r="B6702" s="1" t="str">
        <f t="shared" si="4202"/>
        <v>150525100</v>
      </c>
      <c r="C6702" s="1" t="str">
        <f>"1014573326"</f>
        <v>1014573326</v>
      </c>
      <c r="D6702" s="1" t="str">
        <f>"152326195902120448"</f>
        <v>152326195902120448</v>
      </c>
      <c r="E6702" s="1" t="s">
        <v>6519</v>
      </c>
      <c r="F6702" s="1" t="s">
        <v>16</v>
      </c>
      <c r="G6702" s="1" t="s">
        <v>17</v>
      </c>
      <c r="H6702" s="1" t="str">
        <f>"65"</f>
        <v>65</v>
      </c>
      <c r="I6702" s="1" t="str">
        <f>"158.11"</f>
        <v>158.11</v>
      </c>
      <c r="J6702" s="1" t="str">
        <f t="shared" ref="J6702:N6702" si="4257">"0"</f>
        <v>0</v>
      </c>
      <c r="K6702" s="1" t="str">
        <f t="shared" si="4246"/>
        <v>103</v>
      </c>
      <c r="L6702" s="1" t="str">
        <f t="shared" si="4247"/>
        <v>47</v>
      </c>
      <c r="M6702" s="1" t="str">
        <f t="shared" si="4257"/>
        <v>0</v>
      </c>
      <c r="N6702" s="1" t="str">
        <f t="shared" si="4257"/>
        <v>0</v>
      </c>
      <c r="O6702" s="1" t="str">
        <f>"8.11"</f>
        <v>8.11</v>
      </c>
    </row>
    <row r="6703" s="1" customFormat="1" spans="1:15">
      <c r="A6703" s="1" t="str">
        <f t="shared" si="4201"/>
        <v>202406</v>
      </c>
      <c r="B6703" s="1" t="str">
        <f t="shared" si="4202"/>
        <v>150525100</v>
      </c>
      <c r="C6703" s="1" t="str">
        <f>"1014573477"</f>
        <v>1014573477</v>
      </c>
      <c r="D6703" s="1" t="str">
        <f>"152326196205283086"</f>
        <v>152326196205283086</v>
      </c>
      <c r="E6703" s="1" t="s">
        <v>1731</v>
      </c>
      <c r="F6703" s="1" t="s">
        <v>16</v>
      </c>
      <c r="G6703" s="1" t="s">
        <v>17</v>
      </c>
      <c r="H6703" s="1" t="str">
        <f>"62"</f>
        <v>62</v>
      </c>
      <c r="I6703" s="1" t="str">
        <f>"163"</f>
        <v>163</v>
      </c>
      <c r="J6703" s="1" t="str">
        <f t="shared" ref="J6703:N6703" si="4258">"0"</f>
        <v>0</v>
      </c>
      <c r="K6703" s="1" t="str">
        <f t="shared" si="4246"/>
        <v>103</v>
      </c>
      <c r="L6703" s="1" t="str">
        <f t="shared" si="4247"/>
        <v>47</v>
      </c>
      <c r="M6703" s="1" t="str">
        <f t="shared" si="4258"/>
        <v>0</v>
      </c>
      <c r="N6703" s="1" t="str">
        <f t="shared" si="4258"/>
        <v>0</v>
      </c>
      <c r="O6703" s="1" t="str">
        <f>"13"</f>
        <v>13</v>
      </c>
    </row>
    <row r="6704" s="1" customFormat="1" spans="1:15">
      <c r="A6704" s="1" t="str">
        <f t="shared" si="4201"/>
        <v>202406</v>
      </c>
      <c r="B6704" s="1" t="str">
        <f t="shared" si="4202"/>
        <v>150525100</v>
      </c>
      <c r="C6704" s="1" t="str">
        <f>"1014573491"</f>
        <v>1014573491</v>
      </c>
      <c r="D6704" s="1" t="str">
        <f>"152326196210233075"</f>
        <v>152326196210233075</v>
      </c>
      <c r="E6704" s="1" t="s">
        <v>6520</v>
      </c>
      <c r="F6704" s="1" t="s">
        <v>25</v>
      </c>
      <c r="G6704" s="1" t="s">
        <v>17</v>
      </c>
      <c r="H6704" s="1" t="str">
        <f>"62"</f>
        <v>62</v>
      </c>
      <c r="I6704" s="1" t="str">
        <f>"162.36"</f>
        <v>162.36</v>
      </c>
      <c r="J6704" s="1" t="str">
        <f t="shared" ref="J6704:N6704" si="4259">"0"</f>
        <v>0</v>
      </c>
      <c r="K6704" s="1" t="str">
        <f t="shared" si="4246"/>
        <v>103</v>
      </c>
      <c r="L6704" s="1" t="str">
        <f t="shared" si="4247"/>
        <v>47</v>
      </c>
      <c r="M6704" s="1" t="str">
        <f t="shared" si="4259"/>
        <v>0</v>
      </c>
      <c r="N6704" s="1" t="str">
        <f t="shared" si="4259"/>
        <v>0</v>
      </c>
      <c r="O6704" s="1" t="str">
        <f>"12.36"</f>
        <v>12.36</v>
      </c>
    </row>
    <row r="6705" s="1" customFormat="1" spans="1:15">
      <c r="A6705" s="1" t="str">
        <f t="shared" si="4201"/>
        <v>202406</v>
      </c>
      <c r="B6705" s="1" t="str">
        <f t="shared" si="4202"/>
        <v>150525100</v>
      </c>
      <c r="C6705" s="1" t="str">
        <f>"1014575844"</f>
        <v>1014575844</v>
      </c>
      <c r="D6705" s="1" t="str">
        <f>"152326195303090670"</f>
        <v>152326195303090670</v>
      </c>
      <c r="E6705" s="1" t="s">
        <v>6521</v>
      </c>
      <c r="F6705" s="1" t="s">
        <v>25</v>
      </c>
      <c r="G6705" s="1" t="s">
        <v>96</v>
      </c>
      <c r="H6705" s="1" t="str">
        <f>"71"</f>
        <v>71</v>
      </c>
      <c r="I6705" s="1" t="str">
        <f>"162.92"</f>
        <v>162.92</v>
      </c>
      <c r="J6705" s="1" t="str">
        <f t="shared" ref="J6705:N6705" si="4260">"0"</f>
        <v>0</v>
      </c>
      <c r="K6705" s="1" t="str">
        <f t="shared" si="4246"/>
        <v>103</v>
      </c>
      <c r="L6705" s="1" t="str">
        <f t="shared" si="4247"/>
        <v>47</v>
      </c>
      <c r="M6705" s="1" t="str">
        <f t="shared" si="4260"/>
        <v>0</v>
      </c>
      <c r="N6705" s="1" t="str">
        <f t="shared" si="4260"/>
        <v>0</v>
      </c>
      <c r="O6705" s="1" t="str">
        <f>"2.92"</f>
        <v>2.92</v>
      </c>
    </row>
    <row r="6706" s="1" customFormat="1" spans="1:15">
      <c r="A6706" s="1" t="str">
        <f t="shared" si="4201"/>
        <v>202406</v>
      </c>
      <c r="B6706" s="1" t="str">
        <f t="shared" si="4202"/>
        <v>150525100</v>
      </c>
      <c r="C6706" s="1" t="str">
        <f>"1014575867"</f>
        <v>1014575867</v>
      </c>
      <c r="D6706" s="1" t="str">
        <f>"152326196307230663"</f>
        <v>152326196307230663</v>
      </c>
      <c r="E6706" s="1" t="s">
        <v>6522</v>
      </c>
      <c r="F6706" s="1" t="s">
        <v>16</v>
      </c>
      <c r="G6706" s="1" t="s">
        <v>17</v>
      </c>
      <c r="H6706" s="1" t="str">
        <f>"61"</f>
        <v>61</v>
      </c>
      <c r="I6706" s="1" t="str">
        <f>"167.56"</f>
        <v>167.56</v>
      </c>
      <c r="J6706" s="1" t="str">
        <f t="shared" ref="J6706:N6706" si="4261">"0"</f>
        <v>0</v>
      </c>
      <c r="K6706" s="1" t="str">
        <f t="shared" si="4246"/>
        <v>103</v>
      </c>
      <c r="L6706" s="1" t="str">
        <f t="shared" si="4247"/>
        <v>47</v>
      </c>
      <c r="M6706" s="1" t="str">
        <f t="shared" si="4261"/>
        <v>0</v>
      </c>
      <c r="N6706" s="1" t="str">
        <f t="shared" si="4261"/>
        <v>0</v>
      </c>
      <c r="O6706" s="1" t="str">
        <f>"17.56"</f>
        <v>17.56</v>
      </c>
    </row>
    <row r="6707" s="1" customFormat="1" spans="1:15">
      <c r="A6707" s="1" t="str">
        <f t="shared" si="4201"/>
        <v>202406</v>
      </c>
      <c r="B6707" s="1" t="str">
        <f t="shared" si="4202"/>
        <v>150525100</v>
      </c>
      <c r="C6707" s="1" t="str">
        <f>"1014575870"</f>
        <v>1014575870</v>
      </c>
      <c r="D6707" s="1" t="str">
        <f>"152326196401280667"</f>
        <v>152326196401280667</v>
      </c>
      <c r="E6707" s="1" t="s">
        <v>6523</v>
      </c>
      <c r="F6707" s="1" t="s">
        <v>16</v>
      </c>
      <c r="G6707" s="1" t="s">
        <v>17</v>
      </c>
      <c r="H6707" s="1" t="str">
        <f>"60"</f>
        <v>60</v>
      </c>
      <c r="I6707" s="1" t="str">
        <f>"166.8"</f>
        <v>166.8</v>
      </c>
      <c r="J6707" s="1" t="str">
        <f t="shared" ref="J6707:N6707" si="4262">"0"</f>
        <v>0</v>
      </c>
      <c r="K6707" s="1" t="str">
        <f t="shared" si="4246"/>
        <v>103</v>
      </c>
      <c r="L6707" s="1" t="str">
        <f t="shared" si="4247"/>
        <v>47</v>
      </c>
      <c r="M6707" s="1" t="str">
        <f t="shared" si="4262"/>
        <v>0</v>
      </c>
      <c r="N6707" s="1" t="str">
        <f t="shared" si="4262"/>
        <v>0</v>
      </c>
      <c r="O6707" s="1" t="str">
        <f>"16.8"</f>
        <v>16.8</v>
      </c>
    </row>
    <row r="6708" s="1" customFormat="1" spans="1:15">
      <c r="A6708" s="1" t="str">
        <f t="shared" si="4201"/>
        <v>202406</v>
      </c>
      <c r="B6708" s="1" t="str">
        <f t="shared" si="4202"/>
        <v>150525100</v>
      </c>
      <c r="C6708" s="1" t="str">
        <f>"1014548427"</f>
        <v>1014548427</v>
      </c>
      <c r="D6708" s="1" t="str">
        <f>"152326195512160663"</f>
        <v>152326195512160663</v>
      </c>
      <c r="E6708" s="1" t="s">
        <v>2857</v>
      </c>
      <c r="F6708" s="1" t="s">
        <v>16</v>
      </c>
      <c r="G6708" s="1" t="s">
        <v>17</v>
      </c>
      <c r="H6708" s="1" t="str">
        <f>"69"</f>
        <v>69</v>
      </c>
      <c r="I6708" s="1" t="str">
        <f>"155.1"</f>
        <v>155.1</v>
      </c>
      <c r="J6708" s="1" t="str">
        <f t="shared" ref="J6708:N6708" si="4263">"0"</f>
        <v>0</v>
      </c>
      <c r="K6708" s="1" t="str">
        <f t="shared" si="4246"/>
        <v>103</v>
      </c>
      <c r="L6708" s="1" t="str">
        <f t="shared" si="4247"/>
        <v>47</v>
      </c>
      <c r="M6708" s="1" t="str">
        <f t="shared" si="4263"/>
        <v>0</v>
      </c>
      <c r="N6708" s="1" t="str">
        <f t="shared" si="4263"/>
        <v>0</v>
      </c>
      <c r="O6708" s="1" t="str">
        <f>"5.1"</f>
        <v>5.1</v>
      </c>
    </row>
    <row r="6709" s="1" customFormat="1" spans="1:15">
      <c r="A6709" s="1" t="str">
        <f t="shared" si="4201"/>
        <v>202406</v>
      </c>
      <c r="B6709" s="1" t="str">
        <f t="shared" si="4202"/>
        <v>150525100</v>
      </c>
      <c r="C6709" s="1" t="str">
        <f>"1014572926"</f>
        <v>1014572926</v>
      </c>
      <c r="D6709" s="1" t="str">
        <f>"152326195603130021"</f>
        <v>152326195603130021</v>
      </c>
      <c r="E6709" s="1" t="s">
        <v>6524</v>
      </c>
      <c r="F6709" s="1" t="s">
        <v>16</v>
      </c>
      <c r="G6709" s="1" t="s">
        <v>17</v>
      </c>
      <c r="H6709" s="1" t="str">
        <f t="shared" ref="H6709:H6712" si="4264">"68"</f>
        <v>68</v>
      </c>
      <c r="I6709" s="1" t="str">
        <f t="shared" ref="I6709:I6712" si="4265">"156.01"</f>
        <v>156.01</v>
      </c>
      <c r="J6709" s="1" t="str">
        <f t="shared" ref="J6709:N6709" si="4266">"0"</f>
        <v>0</v>
      </c>
      <c r="K6709" s="1" t="str">
        <f t="shared" si="4246"/>
        <v>103</v>
      </c>
      <c r="L6709" s="1" t="str">
        <f t="shared" si="4247"/>
        <v>47</v>
      </c>
      <c r="M6709" s="1" t="str">
        <f t="shared" si="4266"/>
        <v>0</v>
      </c>
      <c r="N6709" s="1" t="str">
        <f t="shared" si="4266"/>
        <v>0</v>
      </c>
      <c r="O6709" s="1" t="str">
        <f t="shared" ref="O6709:O6712" si="4267">"6.01"</f>
        <v>6.01</v>
      </c>
    </row>
    <row r="6710" s="1" customFormat="1" spans="1:15">
      <c r="A6710" s="1" t="str">
        <f t="shared" si="4201"/>
        <v>202406</v>
      </c>
      <c r="B6710" s="1" t="str">
        <f t="shared" si="4202"/>
        <v>150525100</v>
      </c>
      <c r="C6710" s="1" t="str">
        <f>"1014573208"</f>
        <v>1014573208</v>
      </c>
      <c r="D6710" s="1" t="str">
        <f>"152326195609060028"</f>
        <v>152326195609060028</v>
      </c>
      <c r="E6710" s="1" t="s">
        <v>619</v>
      </c>
      <c r="F6710" s="1" t="s">
        <v>16</v>
      </c>
      <c r="G6710" s="1" t="s">
        <v>17</v>
      </c>
      <c r="H6710" s="1" t="str">
        <f t="shared" si="4264"/>
        <v>68</v>
      </c>
      <c r="I6710" s="1" t="str">
        <f t="shared" si="4265"/>
        <v>156.01</v>
      </c>
      <c r="J6710" s="1" t="str">
        <f t="shared" ref="J6710:N6710" si="4268">"0"</f>
        <v>0</v>
      </c>
      <c r="K6710" s="1" t="str">
        <f t="shared" si="4246"/>
        <v>103</v>
      </c>
      <c r="L6710" s="1" t="str">
        <f t="shared" si="4247"/>
        <v>47</v>
      </c>
      <c r="M6710" s="1" t="str">
        <f t="shared" si="4268"/>
        <v>0</v>
      </c>
      <c r="N6710" s="1" t="str">
        <f t="shared" si="4268"/>
        <v>0</v>
      </c>
      <c r="O6710" s="1" t="str">
        <f t="shared" si="4267"/>
        <v>6.01</v>
      </c>
    </row>
    <row r="6711" s="1" customFormat="1" spans="1:15">
      <c r="A6711" s="1" t="str">
        <f t="shared" si="4201"/>
        <v>202406</v>
      </c>
      <c r="B6711" s="1" t="str">
        <f t="shared" si="4202"/>
        <v>150525100</v>
      </c>
      <c r="C6711" s="1" t="str">
        <f>"1014573209"</f>
        <v>1014573209</v>
      </c>
      <c r="D6711" s="1" t="str">
        <f>"152326195609100018"</f>
        <v>152326195609100018</v>
      </c>
      <c r="E6711" s="1" t="s">
        <v>6525</v>
      </c>
      <c r="F6711" s="1" t="s">
        <v>25</v>
      </c>
      <c r="G6711" s="1" t="s">
        <v>17</v>
      </c>
      <c r="H6711" s="1" t="str">
        <f t="shared" si="4264"/>
        <v>68</v>
      </c>
      <c r="I6711" s="1" t="str">
        <f t="shared" si="4265"/>
        <v>156.01</v>
      </c>
      <c r="J6711" s="1" t="str">
        <f t="shared" ref="J6711:N6711" si="4269">"0"</f>
        <v>0</v>
      </c>
      <c r="K6711" s="1" t="str">
        <f t="shared" si="4246"/>
        <v>103</v>
      </c>
      <c r="L6711" s="1" t="str">
        <f t="shared" si="4247"/>
        <v>47</v>
      </c>
      <c r="M6711" s="1" t="str">
        <f t="shared" si="4269"/>
        <v>0</v>
      </c>
      <c r="N6711" s="1" t="str">
        <f t="shared" si="4269"/>
        <v>0</v>
      </c>
      <c r="O6711" s="1" t="str">
        <f t="shared" si="4267"/>
        <v>6.01</v>
      </c>
    </row>
    <row r="6712" s="1" customFormat="1" spans="1:15">
      <c r="A6712" s="1" t="str">
        <f t="shared" si="4201"/>
        <v>202406</v>
      </c>
      <c r="B6712" s="1" t="str">
        <f t="shared" si="4202"/>
        <v>150525100</v>
      </c>
      <c r="C6712" s="1" t="str">
        <f>"1014573213"</f>
        <v>1014573213</v>
      </c>
      <c r="D6712" s="1" t="str">
        <f>"152326195611210419"</f>
        <v>152326195611210419</v>
      </c>
      <c r="E6712" s="1" t="s">
        <v>6526</v>
      </c>
      <c r="F6712" s="1" t="s">
        <v>25</v>
      </c>
      <c r="G6712" s="1" t="s">
        <v>17</v>
      </c>
      <c r="H6712" s="1" t="str">
        <f t="shared" si="4264"/>
        <v>68</v>
      </c>
      <c r="I6712" s="1" t="str">
        <f t="shared" si="4265"/>
        <v>156.01</v>
      </c>
      <c r="J6712" s="1" t="str">
        <f t="shared" ref="J6712:N6712" si="4270">"0"</f>
        <v>0</v>
      </c>
      <c r="K6712" s="1" t="str">
        <f t="shared" si="4246"/>
        <v>103</v>
      </c>
      <c r="L6712" s="1" t="str">
        <f t="shared" si="4247"/>
        <v>47</v>
      </c>
      <c r="M6712" s="1" t="str">
        <f t="shared" si="4270"/>
        <v>0</v>
      </c>
      <c r="N6712" s="1" t="str">
        <f t="shared" si="4270"/>
        <v>0</v>
      </c>
      <c r="O6712" s="1" t="str">
        <f t="shared" si="4267"/>
        <v>6.01</v>
      </c>
    </row>
    <row r="6713" s="1" customFormat="1" spans="1:15">
      <c r="A6713" s="1" t="str">
        <f t="shared" si="4201"/>
        <v>202406</v>
      </c>
      <c r="B6713" s="1" t="str">
        <f t="shared" si="4202"/>
        <v>150525100</v>
      </c>
      <c r="C6713" s="1" t="str">
        <f>"1014573220"</f>
        <v>1014573220</v>
      </c>
      <c r="D6713" s="1" t="str">
        <f>"152326195702060022"</f>
        <v>152326195702060022</v>
      </c>
      <c r="E6713" s="1" t="s">
        <v>6527</v>
      </c>
      <c r="F6713" s="1" t="s">
        <v>16</v>
      </c>
      <c r="G6713" s="1" t="s">
        <v>17</v>
      </c>
      <c r="H6713" s="1" t="str">
        <f t="shared" ref="H6713:H6716" si="4271">"67"</f>
        <v>67</v>
      </c>
      <c r="I6713" s="1" t="str">
        <f>"156.03"</f>
        <v>156.03</v>
      </c>
      <c r="J6713" s="1" t="str">
        <f t="shared" ref="J6713:N6713" si="4272">"0"</f>
        <v>0</v>
      </c>
      <c r="K6713" s="1" t="str">
        <f t="shared" si="4246"/>
        <v>103</v>
      </c>
      <c r="L6713" s="1" t="str">
        <f t="shared" si="4247"/>
        <v>47</v>
      </c>
      <c r="M6713" s="1" t="str">
        <f t="shared" si="4272"/>
        <v>0</v>
      </c>
      <c r="N6713" s="1" t="str">
        <f t="shared" si="4272"/>
        <v>0</v>
      </c>
      <c r="O6713" s="1" t="str">
        <f>"6.03"</f>
        <v>6.03</v>
      </c>
    </row>
    <row r="6714" s="1" customFormat="1" spans="1:15">
      <c r="A6714" s="1" t="str">
        <f t="shared" si="4201"/>
        <v>202406</v>
      </c>
      <c r="B6714" s="1" t="str">
        <f t="shared" si="4202"/>
        <v>150525100</v>
      </c>
      <c r="C6714" s="1" t="str">
        <f>"1014573227"</f>
        <v>1014573227</v>
      </c>
      <c r="D6714" s="1" t="str">
        <f>"152326195704173071"</f>
        <v>152326195704173071</v>
      </c>
      <c r="E6714" s="1" t="s">
        <v>6528</v>
      </c>
      <c r="F6714" s="1" t="s">
        <v>25</v>
      </c>
      <c r="G6714" s="1" t="s">
        <v>17</v>
      </c>
      <c r="H6714" s="1" t="str">
        <f t="shared" si="4271"/>
        <v>67</v>
      </c>
      <c r="I6714" s="1" t="str">
        <f>"156.04"</f>
        <v>156.04</v>
      </c>
      <c r="J6714" s="1" t="str">
        <f t="shared" ref="J6714:N6714" si="4273">"0"</f>
        <v>0</v>
      </c>
      <c r="K6714" s="1" t="str">
        <f t="shared" si="4246"/>
        <v>103</v>
      </c>
      <c r="L6714" s="1" t="str">
        <f t="shared" si="4247"/>
        <v>47</v>
      </c>
      <c r="M6714" s="1" t="str">
        <f t="shared" si="4273"/>
        <v>0</v>
      </c>
      <c r="N6714" s="1" t="str">
        <f t="shared" si="4273"/>
        <v>0</v>
      </c>
      <c r="O6714" s="1" t="str">
        <f>"6.04"</f>
        <v>6.04</v>
      </c>
    </row>
    <row r="6715" s="1" customFormat="1" spans="1:15">
      <c r="A6715" s="1" t="str">
        <f t="shared" si="4201"/>
        <v>202406</v>
      </c>
      <c r="B6715" s="1" t="str">
        <f t="shared" si="4202"/>
        <v>150525100</v>
      </c>
      <c r="C6715" s="1" t="str">
        <f>"1014573499"</f>
        <v>1014573499</v>
      </c>
      <c r="D6715" s="1" t="str">
        <f>"152326196301143075"</f>
        <v>152326196301143075</v>
      </c>
      <c r="E6715" s="1" t="s">
        <v>141</v>
      </c>
      <c r="F6715" s="1" t="s">
        <v>25</v>
      </c>
      <c r="G6715" s="1" t="s">
        <v>17</v>
      </c>
      <c r="H6715" s="1" t="str">
        <f>"61"</f>
        <v>61</v>
      </c>
      <c r="I6715" s="1" t="str">
        <f>"167.37"</f>
        <v>167.37</v>
      </c>
      <c r="J6715" s="1" t="str">
        <f t="shared" ref="J6715:N6715" si="4274">"0"</f>
        <v>0</v>
      </c>
      <c r="K6715" s="1" t="str">
        <f t="shared" si="4246"/>
        <v>103</v>
      </c>
      <c r="L6715" s="1" t="str">
        <f t="shared" si="4247"/>
        <v>47</v>
      </c>
      <c r="M6715" s="1" t="str">
        <f t="shared" si="4274"/>
        <v>0</v>
      </c>
      <c r="N6715" s="1" t="str">
        <f t="shared" si="4274"/>
        <v>0</v>
      </c>
      <c r="O6715" s="1" t="str">
        <f>"17.37"</f>
        <v>17.37</v>
      </c>
    </row>
    <row r="6716" s="1" customFormat="1" spans="1:15">
      <c r="A6716" s="1" t="str">
        <f t="shared" si="4201"/>
        <v>202406</v>
      </c>
      <c r="B6716" s="1" t="str">
        <f t="shared" si="4202"/>
        <v>150525100</v>
      </c>
      <c r="C6716" s="1" t="str">
        <f>"1014575645"</f>
        <v>1014575645</v>
      </c>
      <c r="D6716" s="1" t="str">
        <f>"152326195710073085"</f>
        <v>152326195710073085</v>
      </c>
      <c r="E6716" s="1" t="s">
        <v>6529</v>
      </c>
      <c r="F6716" s="1" t="s">
        <v>16</v>
      </c>
      <c r="G6716" s="1" t="s">
        <v>17</v>
      </c>
      <c r="H6716" s="1" t="str">
        <f t="shared" si="4271"/>
        <v>67</v>
      </c>
      <c r="I6716" s="1" t="str">
        <f>"156.09"</f>
        <v>156.09</v>
      </c>
      <c r="J6716" s="1" t="str">
        <f t="shared" ref="J6716:N6716" si="4275">"0"</f>
        <v>0</v>
      </c>
      <c r="K6716" s="1" t="str">
        <f t="shared" si="4246"/>
        <v>103</v>
      </c>
      <c r="L6716" s="1" t="str">
        <f t="shared" si="4247"/>
        <v>47</v>
      </c>
      <c r="M6716" s="1" t="str">
        <f t="shared" si="4275"/>
        <v>0</v>
      </c>
      <c r="N6716" s="1" t="str">
        <f t="shared" si="4275"/>
        <v>0</v>
      </c>
      <c r="O6716" s="1" t="str">
        <f>"6.09"</f>
        <v>6.09</v>
      </c>
    </row>
    <row r="6717" s="1" customFormat="1" spans="1:15">
      <c r="A6717" s="1" t="str">
        <f t="shared" si="4201"/>
        <v>202406</v>
      </c>
      <c r="B6717" s="1" t="str">
        <f t="shared" si="4202"/>
        <v>150525100</v>
      </c>
      <c r="C6717" s="1" t="str">
        <f>"1014576198"</f>
        <v>1014576198</v>
      </c>
      <c r="D6717" s="1" t="str">
        <f>"152326195401293148"</f>
        <v>152326195401293148</v>
      </c>
      <c r="E6717" s="1" t="s">
        <v>159</v>
      </c>
      <c r="F6717" s="1" t="s">
        <v>16</v>
      </c>
      <c r="G6717" s="1" t="s">
        <v>19</v>
      </c>
      <c r="H6717" s="1" t="str">
        <f>"70"</f>
        <v>70</v>
      </c>
      <c r="I6717" s="1" t="str">
        <f>"164.14"</f>
        <v>164.14</v>
      </c>
      <c r="J6717" s="1" t="str">
        <f t="shared" ref="J6717:N6717" si="4276">"0"</f>
        <v>0</v>
      </c>
      <c r="K6717" s="1" t="str">
        <f t="shared" si="4246"/>
        <v>103</v>
      </c>
      <c r="L6717" s="1" t="str">
        <f t="shared" si="4247"/>
        <v>47</v>
      </c>
      <c r="M6717" s="1" t="str">
        <f t="shared" si="4276"/>
        <v>0</v>
      </c>
      <c r="N6717" s="1" t="str">
        <f t="shared" si="4276"/>
        <v>0</v>
      </c>
      <c r="O6717" s="1" t="str">
        <f>"4.14"</f>
        <v>4.14</v>
      </c>
    </row>
    <row r="6718" s="1" customFormat="1" spans="1:15">
      <c r="A6718" s="1" t="str">
        <f t="shared" si="4201"/>
        <v>202406</v>
      </c>
      <c r="B6718" s="1" t="str">
        <f t="shared" si="4202"/>
        <v>150525100</v>
      </c>
      <c r="C6718" s="1" t="str">
        <f>"1014573099"</f>
        <v>1014573099</v>
      </c>
      <c r="D6718" s="1" t="s">
        <v>6530</v>
      </c>
      <c r="E6718" s="1" t="s">
        <v>6531</v>
      </c>
      <c r="F6718" s="1" t="s">
        <v>16</v>
      </c>
      <c r="G6718" s="1" t="s">
        <v>17</v>
      </c>
      <c r="H6718" s="1" t="str">
        <f>"61"</f>
        <v>61</v>
      </c>
      <c r="I6718" s="1" t="str">
        <f>"177.37"</f>
        <v>177.37</v>
      </c>
      <c r="J6718" s="1" t="str">
        <f t="shared" ref="J6718:N6718" si="4277">"0"</f>
        <v>0</v>
      </c>
      <c r="K6718" s="1" t="str">
        <f t="shared" si="4246"/>
        <v>103</v>
      </c>
      <c r="L6718" s="1" t="str">
        <f t="shared" si="4247"/>
        <v>47</v>
      </c>
      <c r="M6718" s="1" t="str">
        <f t="shared" si="4277"/>
        <v>0</v>
      </c>
      <c r="N6718" s="1" t="str">
        <f t="shared" si="4277"/>
        <v>0</v>
      </c>
      <c r="O6718" s="1" t="str">
        <f>"27.37"</f>
        <v>27.37</v>
      </c>
    </row>
    <row r="6719" s="1" customFormat="1" spans="1:15">
      <c r="A6719" s="1" t="str">
        <f t="shared" si="4201"/>
        <v>202406</v>
      </c>
      <c r="B6719" s="1" t="str">
        <f t="shared" si="4202"/>
        <v>150525100</v>
      </c>
      <c r="C6719" s="1" t="str">
        <f>"1014573382"</f>
        <v>1014573382</v>
      </c>
      <c r="D6719" s="1" t="str">
        <f>"152326195910243077"</f>
        <v>152326195910243077</v>
      </c>
      <c r="E6719" s="1" t="s">
        <v>6532</v>
      </c>
      <c r="F6719" s="1" t="s">
        <v>25</v>
      </c>
      <c r="G6719" s="1" t="s">
        <v>17</v>
      </c>
      <c r="H6719" s="1" t="str">
        <f t="shared" ref="H6719:H6722" si="4278">"65"</f>
        <v>65</v>
      </c>
      <c r="I6719" s="1" t="str">
        <f>"158.19"</f>
        <v>158.19</v>
      </c>
      <c r="J6719" s="1" t="str">
        <f t="shared" ref="J6719:N6719" si="4279">"0"</f>
        <v>0</v>
      </c>
      <c r="K6719" s="1" t="str">
        <f t="shared" si="4246"/>
        <v>103</v>
      </c>
      <c r="L6719" s="1" t="str">
        <f t="shared" si="4247"/>
        <v>47</v>
      </c>
      <c r="M6719" s="1" t="str">
        <f t="shared" si="4279"/>
        <v>0</v>
      </c>
      <c r="N6719" s="1" t="str">
        <f t="shared" si="4279"/>
        <v>0</v>
      </c>
      <c r="O6719" s="1" t="str">
        <f>"8.19"</f>
        <v>8.19</v>
      </c>
    </row>
    <row r="6720" s="1" customFormat="1" spans="1:15">
      <c r="A6720" s="1" t="str">
        <f t="shared" si="4201"/>
        <v>202406</v>
      </c>
      <c r="B6720" s="1" t="str">
        <f t="shared" si="4202"/>
        <v>150525100</v>
      </c>
      <c r="C6720" s="1" t="str">
        <f>"1014573386"</f>
        <v>1014573386</v>
      </c>
      <c r="D6720" s="1" t="str">
        <f>"152326195912100037"</f>
        <v>152326195912100037</v>
      </c>
      <c r="E6720" s="1" t="s">
        <v>4670</v>
      </c>
      <c r="F6720" s="1" t="s">
        <v>25</v>
      </c>
      <c r="G6720" s="1" t="s">
        <v>17</v>
      </c>
      <c r="H6720" s="1" t="str">
        <f t="shared" si="4278"/>
        <v>65</v>
      </c>
      <c r="I6720" s="1" t="str">
        <f>"158.2"</f>
        <v>158.2</v>
      </c>
      <c r="J6720" s="1" t="str">
        <f t="shared" ref="J6720:N6720" si="4280">"0"</f>
        <v>0</v>
      </c>
      <c r="K6720" s="1" t="str">
        <f t="shared" si="4246"/>
        <v>103</v>
      </c>
      <c r="L6720" s="1" t="str">
        <f t="shared" si="4247"/>
        <v>47</v>
      </c>
      <c r="M6720" s="1" t="str">
        <f t="shared" si="4280"/>
        <v>0</v>
      </c>
      <c r="N6720" s="1" t="str">
        <f t="shared" si="4280"/>
        <v>0</v>
      </c>
      <c r="O6720" s="1" t="str">
        <f>"8.2"</f>
        <v>8.2</v>
      </c>
    </row>
    <row r="6721" s="1" customFormat="1" spans="1:15">
      <c r="A6721" s="1" t="str">
        <f t="shared" si="4201"/>
        <v>202406</v>
      </c>
      <c r="B6721" s="1" t="str">
        <f t="shared" si="4202"/>
        <v>150525100</v>
      </c>
      <c r="C6721" s="1" t="str">
        <f>"1014573394"</f>
        <v>1014573394</v>
      </c>
      <c r="D6721" s="1" t="str">
        <f>"152326196004120037"</f>
        <v>152326196004120037</v>
      </c>
      <c r="E6721" s="1" t="s">
        <v>6533</v>
      </c>
      <c r="F6721" s="1" t="s">
        <v>25</v>
      </c>
      <c r="G6721" s="1" t="s">
        <v>17</v>
      </c>
      <c r="H6721" s="1" t="str">
        <f>"64"</f>
        <v>64</v>
      </c>
      <c r="I6721" s="1" t="str">
        <f>"159.18"</f>
        <v>159.18</v>
      </c>
      <c r="J6721" s="1" t="str">
        <f t="shared" ref="J6721:N6721" si="4281">"0"</f>
        <v>0</v>
      </c>
      <c r="K6721" s="1" t="str">
        <f t="shared" si="4246"/>
        <v>103</v>
      </c>
      <c r="L6721" s="1" t="str">
        <f t="shared" si="4247"/>
        <v>47</v>
      </c>
      <c r="M6721" s="1" t="str">
        <f t="shared" si="4281"/>
        <v>0</v>
      </c>
      <c r="N6721" s="1" t="str">
        <f t="shared" si="4281"/>
        <v>0</v>
      </c>
      <c r="O6721" s="1" t="str">
        <f>"9.18"</f>
        <v>9.18</v>
      </c>
    </row>
    <row r="6722" s="1" customFormat="1" spans="1:15">
      <c r="A6722" s="1" t="str">
        <f t="shared" ref="A6722:A6785" si="4282">"202406"</f>
        <v>202406</v>
      </c>
      <c r="B6722" s="1" t="str">
        <f t="shared" ref="B6722:B6785" si="4283">"150525100"</f>
        <v>150525100</v>
      </c>
      <c r="C6722" s="1" t="str">
        <f>"1014575655"</f>
        <v>1014575655</v>
      </c>
      <c r="D6722" s="1" t="str">
        <f>"152326195910053089"</f>
        <v>152326195910053089</v>
      </c>
      <c r="E6722" s="1" t="s">
        <v>6534</v>
      </c>
      <c r="F6722" s="1" t="s">
        <v>16</v>
      </c>
      <c r="G6722" s="1" t="s">
        <v>17</v>
      </c>
      <c r="H6722" s="1" t="str">
        <f t="shared" si="4278"/>
        <v>65</v>
      </c>
      <c r="I6722" s="1" t="str">
        <f>"159.14"</f>
        <v>159.14</v>
      </c>
      <c r="J6722" s="1" t="str">
        <f t="shared" ref="J6722:N6722" si="4284">"0"</f>
        <v>0</v>
      </c>
      <c r="K6722" s="1" t="str">
        <f t="shared" si="4246"/>
        <v>103</v>
      </c>
      <c r="L6722" s="1" t="str">
        <f t="shared" si="4247"/>
        <v>47</v>
      </c>
      <c r="M6722" s="1" t="str">
        <f t="shared" si="4284"/>
        <v>0</v>
      </c>
      <c r="N6722" s="1" t="str">
        <f t="shared" si="4284"/>
        <v>0</v>
      </c>
      <c r="O6722" s="1" t="str">
        <f>"9.14"</f>
        <v>9.14</v>
      </c>
    </row>
    <row r="6723" s="1" customFormat="1" spans="1:15">
      <c r="A6723" s="1" t="str">
        <f t="shared" si="4282"/>
        <v>202406</v>
      </c>
      <c r="B6723" s="1" t="str">
        <f t="shared" si="4283"/>
        <v>150525100</v>
      </c>
      <c r="C6723" s="1" t="str">
        <f>"1014575662"</f>
        <v>1014575662</v>
      </c>
      <c r="D6723" s="1" t="str">
        <f>"152326196004113080"</f>
        <v>152326196004113080</v>
      </c>
      <c r="E6723" s="1" t="s">
        <v>6535</v>
      </c>
      <c r="F6723" s="1" t="s">
        <v>16</v>
      </c>
      <c r="G6723" s="1" t="s">
        <v>17</v>
      </c>
      <c r="H6723" s="1" t="str">
        <f>"64"</f>
        <v>64</v>
      </c>
      <c r="I6723" s="1" t="str">
        <f>"159.19"</f>
        <v>159.19</v>
      </c>
      <c r="J6723" s="1" t="str">
        <f t="shared" ref="J6723:N6723" si="4285">"0"</f>
        <v>0</v>
      </c>
      <c r="K6723" s="1" t="str">
        <f t="shared" si="4246"/>
        <v>103</v>
      </c>
      <c r="L6723" s="1" t="str">
        <f t="shared" si="4247"/>
        <v>47</v>
      </c>
      <c r="M6723" s="1" t="str">
        <f t="shared" si="4285"/>
        <v>0</v>
      </c>
      <c r="N6723" s="1" t="str">
        <f t="shared" si="4285"/>
        <v>0</v>
      </c>
      <c r="O6723" s="1" t="str">
        <f>"9.19"</f>
        <v>9.19</v>
      </c>
    </row>
    <row r="6724" s="1" customFormat="1" spans="1:15">
      <c r="A6724" s="1" t="str">
        <f t="shared" si="4282"/>
        <v>202406</v>
      </c>
      <c r="B6724" s="1" t="str">
        <f t="shared" si="4283"/>
        <v>150525100</v>
      </c>
      <c r="C6724" s="1" t="str">
        <f>"1014575664"</f>
        <v>1014575664</v>
      </c>
      <c r="D6724" s="1" t="str">
        <f>"152326196103043073"</f>
        <v>152326196103043073</v>
      </c>
      <c r="E6724" s="1" t="s">
        <v>6536</v>
      </c>
      <c r="F6724" s="1" t="s">
        <v>25</v>
      </c>
      <c r="G6724" s="1" t="s">
        <v>17</v>
      </c>
      <c r="H6724" s="1" t="str">
        <f>"63"</f>
        <v>63</v>
      </c>
      <c r="I6724" s="1" t="str">
        <f>"160.76"</f>
        <v>160.76</v>
      </c>
      <c r="J6724" s="1" t="str">
        <f t="shared" ref="J6724:N6724" si="4286">"0"</f>
        <v>0</v>
      </c>
      <c r="K6724" s="1" t="str">
        <f t="shared" si="4246"/>
        <v>103</v>
      </c>
      <c r="L6724" s="1" t="str">
        <f t="shared" si="4247"/>
        <v>47</v>
      </c>
      <c r="M6724" s="1" t="str">
        <f t="shared" si="4286"/>
        <v>0</v>
      </c>
      <c r="N6724" s="1" t="str">
        <f t="shared" si="4286"/>
        <v>0</v>
      </c>
      <c r="O6724" s="1" t="str">
        <f>"10.76"</f>
        <v>10.76</v>
      </c>
    </row>
    <row r="6725" s="1" customFormat="1" spans="1:15">
      <c r="A6725" s="1" t="str">
        <f t="shared" si="4282"/>
        <v>202406</v>
      </c>
      <c r="B6725" s="1" t="str">
        <f t="shared" si="4283"/>
        <v>150525100</v>
      </c>
      <c r="C6725" s="1" t="str">
        <f>"1014576235"</f>
        <v>1014576235</v>
      </c>
      <c r="D6725" s="1" t="str">
        <f>"152326195402196120"</f>
        <v>152326195402196120</v>
      </c>
      <c r="E6725" s="1" t="s">
        <v>395</v>
      </c>
      <c r="F6725" s="1" t="s">
        <v>16</v>
      </c>
      <c r="G6725" s="1" t="s">
        <v>17</v>
      </c>
      <c r="H6725" s="1" t="str">
        <f>"70"</f>
        <v>70</v>
      </c>
      <c r="I6725" s="1" t="str">
        <f>"164.14"</f>
        <v>164.14</v>
      </c>
      <c r="J6725" s="1" t="str">
        <f t="shared" ref="J6725:N6725" si="4287">"0"</f>
        <v>0</v>
      </c>
      <c r="K6725" s="1" t="str">
        <f t="shared" si="4246"/>
        <v>103</v>
      </c>
      <c r="L6725" s="1" t="str">
        <f t="shared" si="4247"/>
        <v>47</v>
      </c>
      <c r="M6725" s="1" t="str">
        <f t="shared" si="4287"/>
        <v>0</v>
      </c>
      <c r="N6725" s="1" t="str">
        <f t="shared" si="4287"/>
        <v>0</v>
      </c>
      <c r="O6725" s="1" t="str">
        <f>"4.14"</f>
        <v>4.14</v>
      </c>
    </row>
    <row r="6726" s="1" customFormat="1" spans="1:15">
      <c r="A6726" s="1" t="str">
        <f t="shared" si="4282"/>
        <v>202406</v>
      </c>
      <c r="B6726" s="1" t="str">
        <f t="shared" si="4283"/>
        <v>150525100</v>
      </c>
      <c r="C6726" s="1" t="str">
        <f>"1014576246"</f>
        <v>1014576246</v>
      </c>
      <c r="D6726" s="1" t="str">
        <f>"152326195606106393"</f>
        <v>152326195606106393</v>
      </c>
      <c r="E6726" s="1" t="s">
        <v>6537</v>
      </c>
      <c r="F6726" s="1" t="s">
        <v>25</v>
      </c>
      <c r="G6726" s="1" t="s">
        <v>17</v>
      </c>
      <c r="H6726" s="1" t="str">
        <f>"68"</f>
        <v>68</v>
      </c>
      <c r="I6726" s="1" t="str">
        <f>"156.01"</f>
        <v>156.01</v>
      </c>
      <c r="J6726" s="1" t="str">
        <f t="shared" ref="J6726:N6726" si="4288">"0"</f>
        <v>0</v>
      </c>
      <c r="K6726" s="1" t="str">
        <f t="shared" si="4246"/>
        <v>103</v>
      </c>
      <c r="L6726" s="1" t="str">
        <f t="shared" si="4247"/>
        <v>47</v>
      </c>
      <c r="M6726" s="1" t="str">
        <f t="shared" si="4288"/>
        <v>0</v>
      </c>
      <c r="N6726" s="1" t="str">
        <f t="shared" si="4288"/>
        <v>0</v>
      </c>
      <c r="O6726" s="1" t="str">
        <f>"6.01"</f>
        <v>6.01</v>
      </c>
    </row>
    <row r="6727" s="1" customFormat="1" spans="1:15">
      <c r="A6727" s="1" t="str">
        <f t="shared" si="4282"/>
        <v>202406</v>
      </c>
      <c r="B6727" s="1" t="str">
        <f t="shared" si="4283"/>
        <v>150525100</v>
      </c>
      <c r="C6727" s="1" t="str">
        <f>"1014576248"</f>
        <v>1014576248</v>
      </c>
      <c r="D6727" s="1" t="str">
        <f>"152326195612236389"</f>
        <v>152326195612236389</v>
      </c>
      <c r="E6727" s="1" t="s">
        <v>6538</v>
      </c>
      <c r="F6727" s="1" t="s">
        <v>16</v>
      </c>
      <c r="G6727" s="1" t="s">
        <v>17</v>
      </c>
      <c r="H6727" s="1" t="str">
        <f>"68"</f>
        <v>68</v>
      </c>
      <c r="I6727" s="1" t="str">
        <f>"156.02"</f>
        <v>156.02</v>
      </c>
      <c r="J6727" s="1" t="str">
        <f t="shared" ref="J6727:N6727" si="4289">"0"</f>
        <v>0</v>
      </c>
      <c r="K6727" s="1" t="str">
        <f t="shared" si="4246"/>
        <v>103</v>
      </c>
      <c r="L6727" s="1" t="str">
        <f t="shared" si="4247"/>
        <v>47</v>
      </c>
      <c r="M6727" s="1" t="str">
        <f t="shared" si="4289"/>
        <v>0</v>
      </c>
      <c r="N6727" s="1" t="str">
        <f t="shared" si="4289"/>
        <v>0</v>
      </c>
      <c r="O6727" s="1" t="str">
        <f>"6.02"</f>
        <v>6.02</v>
      </c>
    </row>
    <row r="6728" s="1" customFormat="1" spans="1:15">
      <c r="A6728" s="1" t="str">
        <f t="shared" si="4282"/>
        <v>202406</v>
      </c>
      <c r="B6728" s="1" t="str">
        <f t="shared" si="4283"/>
        <v>150525100</v>
      </c>
      <c r="C6728" s="1" t="str">
        <f>"1014576412"</f>
        <v>1014576412</v>
      </c>
      <c r="D6728" s="1" t="s">
        <v>6539</v>
      </c>
      <c r="E6728" s="1" t="s">
        <v>6540</v>
      </c>
      <c r="F6728" s="1" t="s">
        <v>25</v>
      </c>
      <c r="G6728" s="1" t="s">
        <v>17</v>
      </c>
      <c r="H6728" s="1" t="str">
        <f>"70"</f>
        <v>70</v>
      </c>
      <c r="I6728" s="1" t="str">
        <f>"153.91"</f>
        <v>153.91</v>
      </c>
      <c r="J6728" s="1" t="str">
        <f t="shared" ref="J6728:N6728" si="4290">"0"</f>
        <v>0</v>
      </c>
      <c r="K6728" s="1" t="str">
        <f t="shared" si="4246"/>
        <v>103</v>
      </c>
      <c r="L6728" s="1" t="str">
        <f t="shared" si="4247"/>
        <v>47</v>
      </c>
      <c r="M6728" s="1" t="str">
        <f t="shared" si="4290"/>
        <v>0</v>
      </c>
      <c r="N6728" s="1" t="str">
        <f t="shared" si="4290"/>
        <v>0</v>
      </c>
      <c r="O6728" s="1" t="str">
        <f>"3.91"</f>
        <v>3.91</v>
      </c>
    </row>
    <row r="6729" s="1" customFormat="1" spans="1:15">
      <c r="A6729" s="1" t="str">
        <f t="shared" si="4282"/>
        <v>202406</v>
      </c>
      <c r="B6729" s="1" t="str">
        <f t="shared" si="4283"/>
        <v>150525100</v>
      </c>
      <c r="C6729" s="1" t="str">
        <f>"1014576859"</f>
        <v>1014576859</v>
      </c>
      <c r="D6729" s="1" t="str">
        <f>"152326195807150665"</f>
        <v>152326195807150665</v>
      </c>
      <c r="E6729" s="1" t="s">
        <v>6541</v>
      </c>
      <c r="F6729" s="1" t="s">
        <v>16</v>
      </c>
      <c r="G6729" s="1" t="s">
        <v>17</v>
      </c>
      <c r="H6729" s="1" t="str">
        <f>"66"</f>
        <v>66</v>
      </c>
      <c r="I6729" s="1" t="str">
        <f>"157.11"</f>
        <v>157.11</v>
      </c>
      <c r="J6729" s="1" t="str">
        <f t="shared" ref="J6729:N6729" si="4291">"0"</f>
        <v>0</v>
      </c>
      <c r="K6729" s="1" t="str">
        <f t="shared" si="4246"/>
        <v>103</v>
      </c>
      <c r="L6729" s="1" t="str">
        <f t="shared" si="4247"/>
        <v>47</v>
      </c>
      <c r="M6729" s="1" t="str">
        <f t="shared" si="4291"/>
        <v>0</v>
      </c>
      <c r="N6729" s="1" t="str">
        <f t="shared" si="4291"/>
        <v>0</v>
      </c>
      <c r="O6729" s="1" t="str">
        <f>"7.11"</f>
        <v>7.11</v>
      </c>
    </row>
    <row r="6730" s="1" customFormat="1" spans="1:15">
      <c r="A6730" s="1" t="str">
        <f t="shared" si="4282"/>
        <v>202406</v>
      </c>
      <c r="B6730" s="1" t="str">
        <f t="shared" si="4283"/>
        <v>150525100</v>
      </c>
      <c r="C6730" s="1" t="str">
        <f>"1014552218"</f>
        <v>1014552218</v>
      </c>
      <c r="D6730" s="1" t="str">
        <f>"152326196112303826"</f>
        <v>152326196112303826</v>
      </c>
      <c r="E6730" s="1" t="s">
        <v>6542</v>
      </c>
      <c r="F6730" s="1" t="s">
        <v>16</v>
      </c>
      <c r="G6730" s="1" t="s">
        <v>17</v>
      </c>
      <c r="H6730" s="1" t="str">
        <f t="shared" ref="H6730:H6733" si="4292">"63"</f>
        <v>63</v>
      </c>
      <c r="I6730" s="1" t="str">
        <f>"160.91"</f>
        <v>160.91</v>
      </c>
      <c r="J6730" s="1" t="str">
        <f t="shared" ref="J6730:N6730" si="4293">"0"</f>
        <v>0</v>
      </c>
      <c r="K6730" s="1" t="str">
        <f t="shared" si="4246"/>
        <v>103</v>
      </c>
      <c r="L6730" s="1" t="str">
        <f t="shared" si="4247"/>
        <v>47</v>
      </c>
      <c r="M6730" s="1" t="str">
        <f t="shared" si="4293"/>
        <v>0</v>
      </c>
      <c r="N6730" s="1" t="str">
        <f t="shared" si="4293"/>
        <v>0</v>
      </c>
      <c r="O6730" s="1" t="str">
        <f>"10.91"</f>
        <v>10.91</v>
      </c>
    </row>
    <row r="6731" s="1" customFormat="1" spans="1:15">
      <c r="A6731" s="1" t="str">
        <f t="shared" si="4282"/>
        <v>202406</v>
      </c>
      <c r="B6731" s="1" t="str">
        <f t="shared" si="4283"/>
        <v>150525100</v>
      </c>
      <c r="C6731" s="1" t="str">
        <f>"1014552221"</f>
        <v>1014552221</v>
      </c>
      <c r="D6731" s="1" t="str">
        <f>"152326196305263824"</f>
        <v>152326196305263824</v>
      </c>
      <c r="E6731" s="1" t="s">
        <v>374</v>
      </c>
      <c r="F6731" s="1" t="s">
        <v>16</v>
      </c>
      <c r="G6731" s="1" t="s">
        <v>17</v>
      </c>
      <c r="H6731" s="1" t="str">
        <f>"61"</f>
        <v>61</v>
      </c>
      <c r="I6731" s="1" t="str">
        <f>"169.58"</f>
        <v>169.58</v>
      </c>
      <c r="J6731" s="1" t="str">
        <f t="shared" ref="J6731:N6731" si="4294">"0"</f>
        <v>0</v>
      </c>
      <c r="K6731" s="1" t="str">
        <f t="shared" si="4246"/>
        <v>103</v>
      </c>
      <c r="L6731" s="1" t="str">
        <f t="shared" si="4247"/>
        <v>47</v>
      </c>
      <c r="M6731" s="1" t="str">
        <f t="shared" si="4294"/>
        <v>0</v>
      </c>
      <c r="N6731" s="1" t="str">
        <f t="shared" si="4294"/>
        <v>0</v>
      </c>
      <c r="O6731" s="1" t="str">
        <f>"19.58"</f>
        <v>19.58</v>
      </c>
    </row>
    <row r="6732" s="1" customFormat="1" spans="1:15">
      <c r="A6732" s="1" t="str">
        <f t="shared" si="4282"/>
        <v>202406</v>
      </c>
      <c r="B6732" s="1" t="str">
        <f t="shared" si="4283"/>
        <v>150525100</v>
      </c>
      <c r="C6732" s="1" t="str">
        <f>"1014573419"</f>
        <v>1014573419</v>
      </c>
      <c r="D6732" s="1" t="str">
        <f>"152326196107023088"</f>
        <v>152326196107023088</v>
      </c>
      <c r="E6732" s="1" t="s">
        <v>6543</v>
      </c>
      <c r="F6732" s="1" t="s">
        <v>16</v>
      </c>
      <c r="G6732" s="1" t="s">
        <v>17</v>
      </c>
      <c r="H6732" s="1" t="str">
        <f t="shared" si="4292"/>
        <v>63</v>
      </c>
      <c r="I6732" s="1" t="str">
        <f>"161.07"</f>
        <v>161.07</v>
      </c>
      <c r="J6732" s="1" t="str">
        <f t="shared" ref="J6732:N6732" si="4295">"0"</f>
        <v>0</v>
      </c>
      <c r="K6732" s="1" t="str">
        <f t="shared" si="4246"/>
        <v>103</v>
      </c>
      <c r="L6732" s="1" t="str">
        <f t="shared" si="4247"/>
        <v>47</v>
      </c>
      <c r="M6732" s="1" t="str">
        <f t="shared" si="4295"/>
        <v>0</v>
      </c>
      <c r="N6732" s="1" t="str">
        <f t="shared" si="4295"/>
        <v>0</v>
      </c>
      <c r="O6732" s="1" t="str">
        <f>"11.07"</f>
        <v>11.07</v>
      </c>
    </row>
    <row r="6733" s="1" customFormat="1" spans="1:15">
      <c r="A6733" s="1" t="str">
        <f t="shared" si="4282"/>
        <v>202406</v>
      </c>
      <c r="B6733" s="1" t="str">
        <f t="shared" si="4283"/>
        <v>150525100</v>
      </c>
      <c r="C6733" s="1" t="str">
        <f>"1014573420"</f>
        <v>1014573420</v>
      </c>
      <c r="D6733" s="1" t="str">
        <f>"152326196107203089"</f>
        <v>152326196107203089</v>
      </c>
      <c r="E6733" s="1" t="s">
        <v>1550</v>
      </c>
      <c r="F6733" s="1" t="s">
        <v>16</v>
      </c>
      <c r="G6733" s="1" t="s">
        <v>17</v>
      </c>
      <c r="H6733" s="1" t="str">
        <f t="shared" si="4292"/>
        <v>63</v>
      </c>
      <c r="I6733" s="1" t="str">
        <f>"161.13"</f>
        <v>161.13</v>
      </c>
      <c r="J6733" s="1" t="str">
        <f t="shared" ref="J6733:N6733" si="4296">"0"</f>
        <v>0</v>
      </c>
      <c r="K6733" s="1" t="str">
        <f t="shared" si="4246"/>
        <v>103</v>
      </c>
      <c r="L6733" s="1" t="str">
        <f t="shared" si="4247"/>
        <v>47</v>
      </c>
      <c r="M6733" s="1" t="str">
        <f t="shared" si="4296"/>
        <v>0</v>
      </c>
      <c r="N6733" s="1" t="str">
        <f t="shared" si="4296"/>
        <v>0</v>
      </c>
      <c r="O6733" s="1" t="str">
        <f>"11.13"</f>
        <v>11.13</v>
      </c>
    </row>
    <row r="6734" s="1" customFormat="1" spans="1:15">
      <c r="A6734" s="1" t="str">
        <f t="shared" si="4282"/>
        <v>202406</v>
      </c>
      <c r="B6734" s="1" t="str">
        <f t="shared" si="4283"/>
        <v>150525100</v>
      </c>
      <c r="C6734" s="1" t="str">
        <f>"1014575902"</f>
        <v>1014575902</v>
      </c>
      <c r="D6734" s="1" t="str">
        <f>"152326195910080677"</f>
        <v>152326195910080677</v>
      </c>
      <c r="E6734" s="1" t="s">
        <v>6544</v>
      </c>
      <c r="F6734" s="1" t="s">
        <v>25</v>
      </c>
      <c r="G6734" s="1" t="s">
        <v>96</v>
      </c>
      <c r="H6734" s="1" t="str">
        <f>"65"</f>
        <v>65</v>
      </c>
      <c r="I6734" s="1" t="str">
        <f>"158.19"</f>
        <v>158.19</v>
      </c>
      <c r="J6734" s="1" t="str">
        <f t="shared" ref="J6734:N6734" si="4297">"0"</f>
        <v>0</v>
      </c>
      <c r="K6734" s="1" t="str">
        <f t="shared" si="4246"/>
        <v>103</v>
      </c>
      <c r="L6734" s="1" t="str">
        <f t="shared" si="4247"/>
        <v>47</v>
      </c>
      <c r="M6734" s="1" t="str">
        <f t="shared" si="4297"/>
        <v>0</v>
      </c>
      <c r="N6734" s="1" t="str">
        <f t="shared" si="4297"/>
        <v>0</v>
      </c>
      <c r="O6734" s="1" t="str">
        <f>"8.19"</f>
        <v>8.19</v>
      </c>
    </row>
    <row r="6735" s="1" customFormat="1" spans="1:15">
      <c r="A6735" s="1" t="str">
        <f t="shared" si="4282"/>
        <v>202406</v>
      </c>
      <c r="B6735" s="1" t="str">
        <f t="shared" si="4283"/>
        <v>150525100</v>
      </c>
      <c r="C6735" s="1" t="str">
        <f>"1014571630"</f>
        <v>1014571630</v>
      </c>
      <c r="D6735" s="1" t="str">
        <f>"152326196208140013"</f>
        <v>152326196208140013</v>
      </c>
      <c r="E6735" s="1" t="s">
        <v>6545</v>
      </c>
      <c r="F6735" s="1" t="s">
        <v>25</v>
      </c>
      <c r="G6735" s="1" t="s">
        <v>17</v>
      </c>
      <c r="H6735" s="1" t="str">
        <f>"62"</f>
        <v>62</v>
      </c>
      <c r="I6735" s="1" t="str">
        <f>"199.36"</f>
        <v>199.36</v>
      </c>
      <c r="J6735" s="1" t="str">
        <f t="shared" ref="J6735:N6735" si="4298">"0"</f>
        <v>0</v>
      </c>
      <c r="K6735" s="1" t="str">
        <f t="shared" si="4246"/>
        <v>103</v>
      </c>
      <c r="L6735" s="1" t="str">
        <f t="shared" si="4247"/>
        <v>47</v>
      </c>
      <c r="M6735" s="1" t="str">
        <f t="shared" si="4298"/>
        <v>0</v>
      </c>
      <c r="N6735" s="1" t="str">
        <f t="shared" si="4298"/>
        <v>0</v>
      </c>
      <c r="O6735" s="1" t="str">
        <f>"49.36"</f>
        <v>49.36</v>
      </c>
    </row>
    <row r="6736" s="1" customFormat="1" spans="1:15">
      <c r="A6736" s="1" t="str">
        <f t="shared" si="4282"/>
        <v>202406</v>
      </c>
      <c r="B6736" s="1" t="str">
        <f t="shared" si="4283"/>
        <v>150525100</v>
      </c>
      <c r="C6736" s="1" t="str">
        <f>"1014571796"</f>
        <v>1014571796</v>
      </c>
      <c r="D6736" s="1" t="str">
        <f>"152326195602030918"</f>
        <v>152326195602030918</v>
      </c>
      <c r="E6736" s="1" t="s">
        <v>6546</v>
      </c>
      <c r="F6736" s="1" t="s">
        <v>25</v>
      </c>
      <c r="G6736" s="1" t="s">
        <v>19</v>
      </c>
      <c r="H6736" s="1" t="str">
        <f>"68"</f>
        <v>68</v>
      </c>
      <c r="I6736" s="1" t="str">
        <f>"174.7"</f>
        <v>174.7</v>
      </c>
      <c r="J6736" s="1" t="str">
        <f t="shared" ref="J6736:N6736" si="4299">"0"</f>
        <v>0</v>
      </c>
      <c r="K6736" s="1" t="str">
        <f t="shared" si="4246"/>
        <v>103</v>
      </c>
      <c r="L6736" s="1" t="str">
        <f t="shared" si="4247"/>
        <v>47</v>
      </c>
      <c r="M6736" s="1" t="str">
        <f t="shared" si="4299"/>
        <v>0</v>
      </c>
      <c r="N6736" s="1" t="str">
        <f t="shared" si="4299"/>
        <v>0</v>
      </c>
      <c r="O6736" s="1" t="str">
        <f>"24.7"</f>
        <v>24.7</v>
      </c>
    </row>
    <row r="6737" s="1" customFormat="1" spans="1:15">
      <c r="A6737" s="1" t="str">
        <f t="shared" si="4282"/>
        <v>202406</v>
      </c>
      <c r="B6737" s="1" t="str">
        <f t="shared" si="4283"/>
        <v>150525100</v>
      </c>
      <c r="C6737" s="1" t="str">
        <f>"1014552270"</f>
        <v>1014552270</v>
      </c>
      <c r="D6737" s="1" t="str">
        <f>"152326195904243820"</f>
        <v>152326195904243820</v>
      </c>
      <c r="E6737" s="1" t="s">
        <v>6547</v>
      </c>
      <c r="F6737" s="1" t="s">
        <v>16</v>
      </c>
      <c r="G6737" s="1" t="s">
        <v>17</v>
      </c>
      <c r="H6737" s="1" t="str">
        <f>"65"</f>
        <v>65</v>
      </c>
      <c r="I6737" s="1" t="str">
        <f>"161.32"</f>
        <v>161.32</v>
      </c>
      <c r="J6737" s="1" t="str">
        <f t="shared" ref="J6737:N6737" si="4300">"0"</f>
        <v>0</v>
      </c>
      <c r="K6737" s="1" t="str">
        <f t="shared" si="4246"/>
        <v>103</v>
      </c>
      <c r="L6737" s="1" t="str">
        <f t="shared" si="4247"/>
        <v>47</v>
      </c>
      <c r="M6737" s="1" t="str">
        <f t="shared" si="4300"/>
        <v>0</v>
      </c>
      <c r="N6737" s="1" t="str">
        <f t="shared" si="4300"/>
        <v>0</v>
      </c>
      <c r="O6737" s="1" t="str">
        <f>"11.32"</f>
        <v>11.32</v>
      </c>
    </row>
    <row r="6738" s="1" customFormat="1" spans="1:15">
      <c r="A6738" s="1" t="str">
        <f t="shared" si="4282"/>
        <v>202406</v>
      </c>
      <c r="B6738" s="1" t="str">
        <f t="shared" si="4283"/>
        <v>150525100</v>
      </c>
      <c r="C6738" s="1" t="str">
        <f>"1014575533"</f>
        <v>1014575533</v>
      </c>
      <c r="D6738" s="1" t="str">
        <f>"152326195207073088"</f>
        <v>152326195207073088</v>
      </c>
      <c r="E6738" s="1" t="s">
        <v>6548</v>
      </c>
      <c r="F6738" s="1" t="s">
        <v>16</v>
      </c>
      <c r="G6738" s="1" t="s">
        <v>17</v>
      </c>
      <c r="H6738" s="1" t="str">
        <f>"72"</f>
        <v>72</v>
      </c>
      <c r="I6738" s="1" t="str">
        <f>"162.14"</f>
        <v>162.14</v>
      </c>
      <c r="J6738" s="1" t="str">
        <f t="shared" ref="J6738:N6738" si="4301">"0"</f>
        <v>0</v>
      </c>
      <c r="K6738" s="1" t="str">
        <f t="shared" si="4246"/>
        <v>103</v>
      </c>
      <c r="L6738" s="1" t="str">
        <f t="shared" si="4247"/>
        <v>47</v>
      </c>
      <c r="M6738" s="1" t="str">
        <f t="shared" si="4301"/>
        <v>0</v>
      </c>
      <c r="N6738" s="1" t="str">
        <f t="shared" si="4301"/>
        <v>0</v>
      </c>
      <c r="O6738" s="1" t="str">
        <f>"2.14"</f>
        <v>2.14</v>
      </c>
    </row>
    <row r="6739" s="1" customFormat="1" spans="1:15">
      <c r="A6739" s="1" t="str">
        <f t="shared" si="4282"/>
        <v>202406</v>
      </c>
      <c r="B6739" s="1" t="str">
        <f t="shared" si="4283"/>
        <v>150525100</v>
      </c>
      <c r="C6739" s="1" t="str">
        <f>"1014575537"</f>
        <v>1014575537</v>
      </c>
      <c r="D6739" s="1" t="str">
        <f>"152326195304013087"</f>
        <v>152326195304013087</v>
      </c>
      <c r="E6739" s="1" t="s">
        <v>739</v>
      </c>
      <c r="F6739" s="1" t="s">
        <v>16</v>
      </c>
      <c r="G6739" s="1" t="s">
        <v>17</v>
      </c>
      <c r="H6739" s="1" t="str">
        <f>"71"</f>
        <v>71</v>
      </c>
      <c r="I6739" s="1" t="str">
        <f>"163.16"</f>
        <v>163.16</v>
      </c>
      <c r="J6739" s="1" t="str">
        <f t="shared" ref="J6739:N6739" si="4302">"0"</f>
        <v>0</v>
      </c>
      <c r="K6739" s="1" t="str">
        <f t="shared" si="4246"/>
        <v>103</v>
      </c>
      <c r="L6739" s="1" t="str">
        <f t="shared" si="4247"/>
        <v>47</v>
      </c>
      <c r="M6739" s="1" t="str">
        <f t="shared" si="4302"/>
        <v>0</v>
      </c>
      <c r="N6739" s="1" t="str">
        <f t="shared" si="4302"/>
        <v>0</v>
      </c>
      <c r="O6739" s="1" t="str">
        <f>"3.16"</f>
        <v>3.16</v>
      </c>
    </row>
    <row r="6740" s="1" customFormat="1" spans="1:15">
      <c r="A6740" s="1" t="str">
        <f t="shared" si="4282"/>
        <v>202406</v>
      </c>
      <c r="B6740" s="1" t="str">
        <f t="shared" si="4283"/>
        <v>150525100</v>
      </c>
      <c r="C6740" s="1" t="str">
        <f>"1014575543"</f>
        <v>1014575543</v>
      </c>
      <c r="D6740" s="1" t="str">
        <f>"152326195412143081"</f>
        <v>152326195412143081</v>
      </c>
      <c r="E6740" s="1" t="s">
        <v>6549</v>
      </c>
      <c r="F6740" s="1" t="s">
        <v>16</v>
      </c>
      <c r="G6740" s="1" t="s">
        <v>17</v>
      </c>
      <c r="H6740" s="1" t="str">
        <f>"70"</f>
        <v>70</v>
      </c>
      <c r="I6740" s="1" t="str">
        <f>"154.14"</f>
        <v>154.14</v>
      </c>
      <c r="J6740" s="1" t="str">
        <f t="shared" ref="J6740:N6740" si="4303">"0"</f>
        <v>0</v>
      </c>
      <c r="K6740" s="1" t="str">
        <f t="shared" si="4246"/>
        <v>103</v>
      </c>
      <c r="L6740" s="1" t="str">
        <f t="shared" si="4247"/>
        <v>47</v>
      </c>
      <c r="M6740" s="1" t="str">
        <f t="shared" si="4303"/>
        <v>0</v>
      </c>
      <c r="N6740" s="1" t="str">
        <f t="shared" si="4303"/>
        <v>0</v>
      </c>
      <c r="O6740" s="1" t="str">
        <f>"4.14"</f>
        <v>4.14</v>
      </c>
    </row>
    <row r="6741" s="1" customFormat="1" spans="1:15">
      <c r="A6741" s="1" t="str">
        <f t="shared" si="4282"/>
        <v>202406</v>
      </c>
      <c r="B6741" s="1" t="str">
        <f t="shared" si="4283"/>
        <v>150525100</v>
      </c>
      <c r="C6741" s="1" t="str">
        <f>"1014575550"</f>
        <v>1014575550</v>
      </c>
      <c r="D6741" s="1" t="str">
        <f>"152326195701273085"</f>
        <v>152326195701273085</v>
      </c>
      <c r="E6741" s="1" t="s">
        <v>5186</v>
      </c>
      <c r="F6741" s="1" t="s">
        <v>16</v>
      </c>
      <c r="G6741" s="1" t="s">
        <v>17</v>
      </c>
      <c r="H6741" s="1" t="str">
        <f>"67"</f>
        <v>67</v>
      </c>
      <c r="I6741" s="1" t="str">
        <f>"156.02"</f>
        <v>156.02</v>
      </c>
      <c r="J6741" s="1" t="str">
        <f t="shared" ref="J6741:N6741" si="4304">"0"</f>
        <v>0</v>
      </c>
      <c r="K6741" s="1" t="str">
        <f t="shared" si="4246"/>
        <v>103</v>
      </c>
      <c r="L6741" s="1" t="str">
        <f t="shared" si="4247"/>
        <v>47</v>
      </c>
      <c r="M6741" s="1" t="str">
        <f t="shared" si="4304"/>
        <v>0</v>
      </c>
      <c r="N6741" s="1" t="str">
        <f t="shared" si="4304"/>
        <v>0</v>
      </c>
      <c r="O6741" s="1" t="str">
        <f>"6.02"</f>
        <v>6.02</v>
      </c>
    </row>
    <row r="6742" s="1" customFormat="1" spans="1:15">
      <c r="A6742" s="1" t="str">
        <f t="shared" si="4282"/>
        <v>202406</v>
      </c>
      <c r="B6742" s="1" t="str">
        <f t="shared" si="4283"/>
        <v>150525100</v>
      </c>
      <c r="C6742" s="1" t="str">
        <f>"1040689994"</f>
        <v>1040689994</v>
      </c>
      <c r="D6742" s="1" t="str">
        <f>"152326196305230918"</f>
        <v>152326196305230918</v>
      </c>
      <c r="E6742" s="1" t="s">
        <v>6550</v>
      </c>
      <c r="F6742" s="1" t="s">
        <v>25</v>
      </c>
      <c r="G6742" s="1" t="s">
        <v>19</v>
      </c>
      <c r="H6742" s="1" t="str">
        <f>"61"</f>
        <v>61</v>
      </c>
      <c r="I6742" s="1" t="str">
        <f>"162.84"</f>
        <v>162.84</v>
      </c>
      <c r="J6742" s="1" t="str">
        <f t="shared" ref="J6742:N6742" si="4305">"0"</f>
        <v>0</v>
      </c>
      <c r="K6742" s="1" t="str">
        <f t="shared" si="4246"/>
        <v>103</v>
      </c>
      <c r="L6742" s="1" t="str">
        <f t="shared" si="4247"/>
        <v>47</v>
      </c>
      <c r="M6742" s="1" t="str">
        <f t="shared" si="4305"/>
        <v>0</v>
      </c>
      <c r="N6742" s="1" t="str">
        <f t="shared" si="4305"/>
        <v>0</v>
      </c>
      <c r="O6742" s="1" t="str">
        <f>"12.84"</f>
        <v>12.84</v>
      </c>
    </row>
    <row r="6743" s="1" customFormat="1" spans="1:15">
      <c r="A6743" s="1" t="str">
        <f t="shared" si="4282"/>
        <v>202406</v>
      </c>
      <c r="B6743" s="1" t="str">
        <f t="shared" si="4283"/>
        <v>150525100</v>
      </c>
      <c r="C6743" s="1" t="str">
        <f>"1040690098"</f>
        <v>1040690098</v>
      </c>
      <c r="D6743" s="1" t="str">
        <f>"152326195407163109"</f>
        <v>152326195407163109</v>
      </c>
      <c r="E6743" s="1" t="s">
        <v>6551</v>
      </c>
      <c r="F6743" s="1" t="s">
        <v>16</v>
      </c>
      <c r="G6743" s="1" t="s">
        <v>17</v>
      </c>
      <c r="H6743" s="1" t="str">
        <f>"70"</f>
        <v>70</v>
      </c>
      <c r="I6743" s="1" t="str">
        <f>"153.22"</f>
        <v>153.22</v>
      </c>
      <c r="J6743" s="1" t="str">
        <f t="shared" ref="J6743:N6743" si="4306">"0"</f>
        <v>0</v>
      </c>
      <c r="K6743" s="1" t="str">
        <f t="shared" si="4246"/>
        <v>103</v>
      </c>
      <c r="L6743" s="1" t="str">
        <f t="shared" si="4247"/>
        <v>47</v>
      </c>
      <c r="M6743" s="1" t="str">
        <f t="shared" si="4306"/>
        <v>0</v>
      </c>
      <c r="N6743" s="1" t="str">
        <f t="shared" si="4306"/>
        <v>0</v>
      </c>
      <c r="O6743" s="1" t="str">
        <f>"3.22"</f>
        <v>3.22</v>
      </c>
    </row>
    <row r="6744" s="1" customFormat="1" spans="1:15">
      <c r="A6744" s="1" t="str">
        <f t="shared" si="4282"/>
        <v>202406</v>
      </c>
      <c r="B6744" s="1" t="str">
        <f t="shared" si="4283"/>
        <v>150525100</v>
      </c>
      <c r="C6744" s="1" t="str">
        <f>"1014571802"</f>
        <v>1014571802</v>
      </c>
      <c r="D6744" s="1" t="str">
        <f>"152326195812210036"</f>
        <v>152326195812210036</v>
      </c>
      <c r="E6744" s="1" t="s">
        <v>6552</v>
      </c>
      <c r="F6744" s="1" t="s">
        <v>25</v>
      </c>
      <c r="G6744" s="1" t="s">
        <v>19</v>
      </c>
      <c r="H6744" s="1" t="str">
        <f>"66"</f>
        <v>66</v>
      </c>
      <c r="I6744" s="1" t="str">
        <f>"180.46"</f>
        <v>180.46</v>
      </c>
      <c r="J6744" s="1" t="str">
        <f t="shared" ref="J6744:N6744" si="4307">"0"</f>
        <v>0</v>
      </c>
      <c r="K6744" s="1" t="str">
        <f t="shared" si="4246"/>
        <v>103</v>
      </c>
      <c r="L6744" s="1" t="str">
        <f t="shared" si="4247"/>
        <v>47</v>
      </c>
      <c r="M6744" s="1" t="str">
        <f t="shared" si="4307"/>
        <v>0</v>
      </c>
      <c r="N6744" s="1" t="str">
        <f t="shared" si="4307"/>
        <v>0</v>
      </c>
      <c r="O6744" s="1" t="str">
        <f>"30.46"</f>
        <v>30.46</v>
      </c>
    </row>
    <row r="6745" s="1" customFormat="1" spans="1:15">
      <c r="A6745" s="1" t="str">
        <f t="shared" si="4282"/>
        <v>202406</v>
      </c>
      <c r="B6745" s="1" t="str">
        <f t="shared" si="4283"/>
        <v>150525100</v>
      </c>
      <c r="C6745" s="1" t="str">
        <f>"1014571935"</f>
        <v>1014571935</v>
      </c>
      <c r="D6745" s="1" t="s">
        <v>6553</v>
      </c>
      <c r="E6745" s="1" t="s">
        <v>6554</v>
      </c>
      <c r="F6745" s="1" t="s">
        <v>16</v>
      </c>
      <c r="G6745" s="1" t="s">
        <v>17</v>
      </c>
      <c r="H6745" s="1" t="str">
        <f>"71"</f>
        <v>71</v>
      </c>
      <c r="I6745" s="1" t="str">
        <f>"162.88"</f>
        <v>162.88</v>
      </c>
      <c r="J6745" s="1" t="str">
        <f t="shared" ref="J6745:N6745" si="4308">"0"</f>
        <v>0</v>
      </c>
      <c r="K6745" s="1" t="str">
        <f t="shared" si="4246"/>
        <v>103</v>
      </c>
      <c r="L6745" s="1" t="str">
        <f t="shared" si="4247"/>
        <v>47</v>
      </c>
      <c r="M6745" s="1" t="str">
        <f t="shared" si="4308"/>
        <v>0</v>
      </c>
      <c r="N6745" s="1" t="str">
        <f t="shared" si="4308"/>
        <v>0</v>
      </c>
      <c r="O6745" s="1" t="str">
        <f>"2.88"</f>
        <v>2.88</v>
      </c>
    </row>
    <row r="6746" s="1" customFormat="1" spans="1:15">
      <c r="A6746" s="1" t="str">
        <f t="shared" si="4282"/>
        <v>202406</v>
      </c>
      <c r="B6746" s="1" t="str">
        <f t="shared" si="4283"/>
        <v>150525100</v>
      </c>
      <c r="C6746" s="1" t="str">
        <f>"1014552277"</f>
        <v>1014552277</v>
      </c>
      <c r="D6746" s="1" t="str">
        <f>"152326195504113816"</f>
        <v>152326195504113816</v>
      </c>
      <c r="E6746" s="1" t="s">
        <v>6555</v>
      </c>
      <c r="F6746" s="1" t="s">
        <v>25</v>
      </c>
      <c r="G6746" s="1" t="s">
        <v>17</v>
      </c>
      <c r="H6746" s="1" t="str">
        <f>"69"</f>
        <v>69</v>
      </c>
      <c r="I6746" s="1" t="str">
        <f>"157.42"</f>
        <v>157.42</v>
      </c>
      <c r="J6746" s="1" t="str">
        <f t="shared" ref="J6746:N6746" si="4309">"0"</f>
        <v>0</v>
      </c>
      <c r="K6746" s="1" t="str">
        <f t="shared" si="4246"/>
        <v>103</v>
      </c>
      <c r="L6746" s="1" t="str">
        <f t="shared" si="4247"/>
        <v>47</v>
      </c>
      <c r="M6746" s="1" t="str">
        <f t="shared" si="4309"/>
        <v>0</v>
      </c>
      <c r="N6746" s="1" t="str">
        <f t="shared" si="4309"/>
        <v>0</v>
      </c>
      <c r="O6746" s="1" t="str">
        <f>"7.42"</f>
        <v>7.42</v>
      </c>
    </row>
    <row r="6747" s="1" customFormat="1" spans="1:15">
      <c r="A6747" s="1" t="str">
        <f t="shared" si="4282"/>
        <v>202406</v>
      </c>
      <c r="B6747" s="1" t="str">
        <f t="shared" si="4283"/>
        <v>150525100</v>
      </c>
      <c r="C6747" s="1" t="str">
        <f>"1014576263"</f>
        <v>1014576263</v>
      </c>
      <c r="D6747" s="1" t="str">
        <f>"152326195109120661"</f>
        <v>152326195109120661</v>
      </c>
      <c r="E6747" s="1" t="s">
        <v>1477</v>
      </c>
      <c r="F6747" s="1" t="s">
        <v>16</v>
      </c>
      <c r="G6747" s="1" t="s">
        <v>19</v>
      </c>
      <c r="H6747" s="1" t="str">
        <f>"73"</f>
        <v>73</v>
      </c>
      <c r="I6747" s="1" t="str">
        <f>"161.9"</f>
        <v>161.9</v>
      </c>
      <c r="J6747" s="1" t="str">
        <f t="shared" ref="J6747:N6747" si="4310">"0"</f>
        <v>0</v>
      </c>
      <c r="K6747" s="1" t="str">
        <f t="shared" si="4246"/>
        <v>103</v>
      </c>
      <c r="L6747" s="1" t="str">
        <f t="shared" si="4247"/>
        <v>47</v>
      </c>
      <c r="M6747" s="1" t="str">
        <f t="shared" si="4310"/>
        <v>0</v>
      </c>
      <c r="N6747" s="1" t="str">
        <f t="shared" si="4310"/>
        <v>0</v>
      </c>
      <c r="O6747" s="1" t="str">
        <f>"1.9"</f>
        <v>1.9</v>
      </c>
    </row>
    <row r="6748" s="1" customFormat="1" spans="1:15">
      <c r="A6748" s="1" t="str">
        <f t="shared" si="4282"/>
        <v>202406</v>
      </c>
      <c r="B6748" s="1" t="str">
        <f t="shared" si="4283"/>
        <v>150525100</v>
      </c>
      <c r="C6748" s="1" t="str">
        <f>"1014576267"</f>
        <v>1014576267</v>
      </c>
      <c r="D6748" s="1" t="str">
        <f>"152326195503130665"</f>
        <v>152326195503130665</v>
      </c>
      <c r="E6748" s="1" t="s">
        <v>6556</v>
      </c>
      <c r="F6748" s="1" t="s">
        <v>16</v>
      </c>
      <c r="G6748" s="1" t="s">
        <v>19</v>
      </c>
      <c r="H6748" s="1" t="str">
        <f>"69"</f>
        <v>69</v>
      </c>
      <c r="I6748" s="1" t="str">
        <f>"155.09"</f>
        <v>155.09</v>
      </c>
      <c r="J6748" s="1" t="str">
        <f t="shared" ref="J6748:N6748" si="4311">"0"</f>
        <v>0</v>
      </c>
      <c r="K6748" s="1" t="str">
        <f t="shared" si="4246"/>
        <v>103</v>
      </c>
      <c r="L6748" s="1" t="str">
        <f t="shared" si="4247"/>
        <v>47</v>
      </c>
      <c r="M6748" s="1" t="str">
        <f t="shared" si="4311"/>
        <v>0</v>
      </c>
      <c r="N6748" s="1" t="str">
        <f t="shared" si="4311"/>
        <v>0</v>
      </c>
      <c r="O6748" s="1" t="str">
        <f>"5.09"</f>
        <v>5.09</v>
      </c>
    </row>
    <row r="6749" s="1" customFormat="1" spans="1:15">
      <c r="A6749" s="1" t="str">
        <f t="shared" si="4282"/>
        <v>202406</v>
      </c>
      <c r="B6749" s="1" t="str">
        <f t="shared" si="4283"/>
        <v>150525100</v>
      </c>
      <c r="C6749" s="1" t="str">
        <f>"1014576271"</f>
        <v>1014576271</v>
      </c>
      <c r="D6749" s="1" t="str">
        <f>"152326195608160676"</f>
        <v>152326195608160676</v>
      </c>
      <c r="E6749" s="1" t="s">
        <v>6557</v>
      </c>
      <c r="F6749" s="1" t="s">
        <v>25</v>
      </c>
      <c r="G6749" s="1" t="s">
        <v>19</v>
      </c>
      <c r="H6749" s="1" t="str">
        <f>"68"</f>
        <v>68</v>
      </c>
      <c r="I6749" s="1" t="str">
        <f>"155.99"</f>
        <v>155.99</v>
      </c>
      <c r="J6749" s="1" t="str">
        <f t="shared" ref="J6749:N6749" si="4312">"0"</f>
        <v>0</v>
      </c>
      <c r="K6749" s="1" t="str">
        <f t="shared" si="4246"/>
        <v>103</v>
      </c>
      <c r="L6749" s="1" t="str">
        <f t="shared" si="4247"/>
        <v>47</v>
      </c>
      <c r="M6749" s="1" t="str">
        <f t="shared" si="4312"/>
        <v>0</v>
      </c>
      <c r="N6749" s="1" t="str">
        <f t="shared" si="4312"/>
        <v>0</v>
      </c>
      <c r="O6749" s="1" t="str">
        <f>"5.99"</f>
        <v>5.99</v>
      </c>
    </row>
    <row r="6750" s="1" customFormat="1" spans="1:15">
      <c r="A6750" s="1" t="str">
        <f t="shared" si="4282"/>
        <v>202406</v>
      </c>
      <c r="B6750" s="1" t="str">
        <f t="shared" si="4283"/>
        <v>150525100</v>
      </c>
      <c r="C6750" s="1" t="str">
        <f>"1014576276"</f>
        <v>1014576276</v>
      </c>
      <c r="D6750" s="1" t="str">
        <f>"152326196211080680"</f>
        <v>152326196211080680</v>
      </c>
      <c r="E6750" s="1" t="s">
        <v>2702</v>
      </c>
      <c r="F6750" s="1" t="s">
        <v>16</v>
      </c>
      <c r="G6750" s="1" t="s">
        <v>19</v>
      </c>
      <c r="H6750" s="1" t="str">
        <f t="shared" ref="H6750:H6752" si="4313">"62"</f>
        <v>62</v>
      </c>
      <c r="I6750" s="1" t="str">
        <f>"168.46"</f>
        <v>168.46</v>
      </c>
      <c r="J6750" s="1" t="str">
        <f t="shared" ref="J6750:N6750" si="4314">"0"</f>
        <v>0</v>
      </c>
      <c r="K6750" s="1" t="str">
        <f t="shared" si="4246"/>
        <v>103</v>
      </c>
      <c r="L6750" s="1" t="str">
        <f t="shared" si="4247"/>
        <v>47</v>
      </c>
      <c r="M6750" s="1" t="str">
        <f t="shared" si="4314"/>
        <v>0</v>
      </c>
      <c r="N6750" s="1" t="str">
        <f t="shared" si="4314"/>
        <v>0</v>
      </c>
      <c r="O6750" s="1" t="str">
        <f>"18.46"</f>
        <v>18.46</v>
      </c>
    </row>
    <row r="6751" s="1" customFormat="1" spans="1:15">
      <c r="A6751" s="1" t="str">
        <f t="shared" si="4282"/>
        <v>202406</v>
      </c>
      <c r="B6751" s="1" t="str">
        <f t="shared" si="4283"/>
        <v>150525100</v>
      </c>
      <c r="C6751" s="1" t="str">
        <f>"1014576893"</f>
        <v>1014576893</v>
      </c>
      <c r="D6751" s="1" t="str">
        <f>"152326196209230686"</f>
        <v>152326196209230686</v>
      </c>
      <c r="E6751" s="1" t="s">
        <v>6558</v>
      </c>
      <c r="F6751" s="1" t="s">
        <v>16</v>
      </c>
      <c r="G6751" s="1" t="s">
        <v>96</v>
      </c>
      <c r="H6751" s="1" t="str">
        <f t="shared" si="4313"/>
        <v>62</v>
      </c>
      <c r="I6751" s="1" t="str">
        <f>"170.96"</f>
        <v>170.96</v>
      </c>
      <c r="J6751" s="1" t="str">
        <f t="shared" ref="J6751:N6751" si="4315">"0"</f>
        <v>0</v>
      </c>
      <c r="K6751" s="1" t="str">
        <f t="shared" si="4246"/>
        <v>103</v>
      </c>
      <c r="L6751" s="1" t="str">
        <f t="shared" si="4247"/>
        <v>47</v>
      </c>
      <c r="M6751" s="1" t="str">
        <f t="shared" si="4315"/>
        <v>0</v>
      </c>
      <c r="N6751" s="1" t="str">
        <f t="shared" si="4315"/>
        <v>0</v>
      </c>
      <c r="O6751" s="1" t="str">
        <f>"20.96"</f>
        <v>20.96</v>
      </c>
    </row>
    <row r="6752" s="1" customFormat="1" spans="1:15">
      <c r="A6752" s="1" t="str">
        <f t="shared" si="4282"/>
        <v>202406</v>
      </c>
      <c r="B6752" s="1" t="str">
        <f t="shared" si="4283"/>
        <v>150525100</v>
      </c>
      <c r="C6752" s="1" t="str">
        <f>"1014547986"</f>
        <v>1014547986</v>
      </c>
      <c r="D6752" s="1" t="str">
        <f>"152326196202080662"</f>
        <v>152326196202080662</v>
      </c>
      <c r="E6752" s="1" t="s">
        <v>6559</v>
      </c>
      <c r="F6752" s="1" t="s">
        <v>16</v>
      </c>
      <c r="G6752" s="1" t="s">
        <v>17</v>
      </c>
      <c r="H6752" s="1" t="str">
        <f t="shared" si="4313"/>
        <v>62</v>
      </c>
      <c r="I6752" s="1" t="str">
        <f>"164.59"</f>
        <v>164.59</v>
      </c>
      <c r="J6752" s="1" t="str">
        <f t="shared" ref="J6752:N6752" si="4316">"0"</f>
        <v>0</v>
      </c>
      <c r="K6752" s="1" t="str">
        <f t="shared" si="4246"/>
        <v>103</v>
      </c>
      <c r="L6752" s="1" t="str">
        <f t="shared" si="4247"/>
        <v>47</v>
      </c>
      <c r="M6752" s="1" t="str">
        <f t="shared" si="4316"/>
        <v>0</v>
      </c>
      <c r="N6752" s="1" t="str">
        <f t="shared" si="4316"/>
        <v>0</v>
      </c>
      <c r="O6752" s="1" t="str">
        <f>"14.59"</f>
        <v>14.59</v>
      </c>
    </row>
    <row r="6753" s="1" customFormat="1" spans="1:15">
      <c r="A6753" s="1" t="str">
        <f t="shared" si="4282"/>
        <v>202406</v>
      </c>
      <c r="B6753" s="1" t="str">
        <f t="shared" si="4283"/>
        <v>150525100</v>
      </c>
      <c r="C6753" s="1" t="str">
        <f>"1014571850"</f>
        <v>1014571850</v>
      </c>
      <c r="D6753" s="1" t="str">
        <f>"152326195908290413"</f>
        <v>152326195908290413</v>
      </c>
      <c r="E6753" s="1" t="s">
        <v>536</v>
      </c>
      <c r="F6753" s="1" t="s">
        <v>25</v>
      </c>
      <c r="G6753" s="1" t="s">
        <v>17</v>
      </c>
      <c r="H6753" s="1" t="str">
        <f>"65"</f>
        <v>65</v>
      </c>
      <c r="I6753" s="1" t="str">
        <f>"159.12"</f>
        <v>159.12</v>
      </c>
      <c r="J6753" s="1" t="str">
        <f t="shared" ref="J6753:N6753" si="4317">"0"</f>
        <v>0</v>
      </c>
      <c r="K6753" s="1" t="str">
        <f t="shared" si="4246"/>
        <v>103</v>
      </c>
      <c r="L6753" s="1" t="str">
        <f t="shared" si="4247"/>
        <v>47</v>
      </c>
      <c r="M6753" s="1" t="str">
        <f t="shared" si="4317"/>
        <v>0</v>
      </c>
      <c r="N6753" s="1" t="str">
        <f t="shared" si="4317"/>
        <v>0</v>
      </c>
      <c r="O6753" s="1" t="str">
        <f>"9.12"</f>
        <v>9.12</v>
      </c>
    </row>
    <row r="6754" s="1" customFormat="1" spans="1:15">
      <c r="A6754" s="1" t="str">
        <f t="shared" si="4282"/>
        <v>202406</v>
      </c>
      <c r="B6754" s="1" t="str">
        <f t="shared" si="4283"/>
        <v>150525100</v>
      </c>
      <c r="C6754" s="1" t="str">
        <f>"1014571970"</f>
        <v>1014571970</v>
      </c>
      <c r="D6754" s="1" t="str">
        <f>"152326196003180046"</f>
        <v>152326196003180046</v>
      </c>
      <c r="E6754" s="1" t="s">
        <v>6241</v>
      </c>
      <c r="F6754" s="1" t="s">
        <v>16</v>
      </c>
      <c r="G6754" s="1" t="s">
        <v>17</v>
      </c>
      <c r="H6754" s="1" t="str">
        <f>"64"</f>
        <v>64</v>
      </c>
      <c r="I6754" s="1" t="str">
        <f>"195.65"</f>
        <v>195.65</v>
      </c>
      <c r="J6754" s="1" t="str">
        <f t="shared" ref="J6754:N6754" si="4318">"0"</f>
        <v>0</v>
      </c>
      <c r="K6754" s="1" t="str">
        <f t="shared" si="4246"/>
        <v>103</v>
      </c>
      <c r="L6754" s="1" t="str">
        <f t="shared" si="4247"/>
        <v>47</v>
      </c>
      <c r="M6754" s="1" t="str">
        <f t="shared" si="4318"/>
        <v>0</v>
      </c>
      <c r="N6754" s="1" t="str">
        <f t="shared" si="4318"/>
        <v>0</v>
      </c>
      <c r="O6754" s="1" t="str">
        <f>"45.65"</f>
        <v>45.65</v>
      </c>
    </row>
    <row r="6755" s="1" customFormat="1" spans="1:15">
      <c r="A6755" s="1" t="str">
        <f t="shared" si="4282"/>
        <v>202406</v>
      </c>
      <c r="B6755" s="1" t="str">
        <f t="shared" si="4283"/>
        <v>150525100</v>
      </c>
      <c r="C6755" s="1" t="str">
        <f>"1014572098"</f>
        <v>1014572098</v>
      </c>
      <c r="D6755" s="1" t="s">
        <v>6560</v>
      </c>
      <c r="E6755" s="1" t="s">
        <v>6561</v>
      </c>
      <c r="F6755" s="1" t="s">
        <v>25</v>
      </c>
      <c r="G6755" s="1" t="s">
        <v>17</v>
      </c>
      <c r="H6755" s="1" t="str">
        <f>"62"</f>
        <v>62</v>
      </c>
      <c r="I6755" s="1" t="str">
        <f>"171.71"</f>
        <v>171.71</v>
      </c>
      <c r="J6755" s="1" t="str">
        <f t="shared" ref="J6755:N6755" si="4319">"0"</f>
        <v>0</v>
      </c>
      <c r="K6755" s="1" t="str">
        <f t="shared" si="4246"/>
        <v>103</v>
      </c>
      <c r="L6755" s="1" t="str">
        <f t="shared" si="4247"/>
        <v>47</v>
      </c>
      <c r="M6755" s="1" t="str">
        <f t="shared" si="4319"/>
        <v>0</v>
      </c>
      <c r="N6755" s="1" t="str">
        <f t="shared" si="4319"/>
        <v>0</v>
      </c>
      <c r="O6755" s="1" t="str">
        <f>"21.71"</f>
        <v>21.71</v>
      </c>
    </row>
    <row r="6756" s="1" customFormat="1" spans="1:15">
      <c r="A6756" s="1" t="str">
        <f t="shared" si="4282"/>
        <v>202406</v>
      </c>
      <c r="B6756" s="1" t="str">
        <f t="shared" si="4283"/>
        <v>150525100</v>
      </c>
      <c r="C6756" s="1" t="str">
        <f>"1040689492"</f>
        <v>1040689492</v>
      </c>
      <c r="D6756" s="1" t="s">
        <v>6562</v>
      </c>
      <c r="E6756" s="1" t="s">
        <v>6563</v>
      </c>
      <c r="F6756" s="1" t="s">
        <v>16</v>
      </c>
      <c r="G6756" s="1" t="s">
        <v>17</v>
      </c>
      <c r="H6756" s="1" t="str">
        <f>"62"</f>
        <v>62</v>
      </c>
      <c r="I6756" s="1" t="str">
        <f>"162.13"</f>
        <v>162.13</v>
      </c>
      <c r="J6756" s="1" t="str">
        <f t="shared" ref="J6756:N6756" si="4320">"0"</f>
        <v>0</v>
      </c>
      <c r="K6756" s="1" t="str">
        <f t="shared" ref="K6756:K6779" si="4321">"103"</f>
        <v>103</v>
      </c>
      <c r="L6756" s="1" t="str">
        <f t="shared" ref="L6756:L6779" si="4322">"47"</f>
        <v>47</v>
      </c>
      <c r="M6756" s="1" t="str">
        <f t="shared" si="4320"/>
        <v>0</v>
      </c>
      <c r="N6756" s="1" t="str">
        <f t="shared" si="4320"/>
        <v>0</v>
      </c>
      <c r="O6756" s="1" t="str">
        <f>"12.13"</f>
        <v>12.13</v>
      </c>
    </row>
    <row r="6757" s="1" customFormat="1" spans="1:15">
      <c r="A6757" s="1" t="str">
        <f t="shared" si="4282"/>
        <v>202406</v>
      </c>
      <c r="B6757" s="1" t="str">
        <f t="shared" si="4283"/>
        <v>150525100</v>
      </c>
      <c r="C6757" s="1" t="str">
        <f>"1040689498"</f>
        <v>1040689498</v>
      </c>
      <c r="D6757" s="1" t="str">
        <f>"152326195509243847"</f>
        <v>152326195509243847</v>
      </c>
      <c r="E6757" s="1" t="s">
        <v>2343</v>
      </c>
      <c r="F6757" s="1" t="s">
        <v>16</v>
      </c>
      <c r="G6757" s="1" t="s">
        <v>19</v>
      </c>
      <c r="H6757" s="1" t="str">
        <f>"69"</f>
        <v>69</v>
      </c>
      <c r="I6757" s="1" t="str">
        <f>"154.21"</f>
        <v>154.21</v>
      </c>
      <c r="J6757" s="1" t="str">
        <f t="shared" ref="J6757:N6757" si="4323">"0"</f>
        <v>0</v>
      </c>
      <c r="K6757" s="1" t="str">
        <f t="shared" si="4321"/>
        <v>103</v>
      </c>
      <c r="L6757" s="1" t="str">
        <f t="shared" si="4322"/>
        <v>47</v>
      </c>
      <c r="M6757" s="1" t="str">
        <f t="shared" si="4323"/>
        <v>0</v>
      </c>
      <c r="N6757" s="1" t="str">
        <f t="shared" si="4323"/>
        <v>0</v>
      </c>
      <c r="O6757" s="1" t="str">
        <f>"4.21"</f>
        <v>4.21</v>
      </c>
    </row>
    <row r="6758" s="1" customFormat="1" spans="1:15">
      <c r="A6758" s="1" t="str">
        <f t="shared" si="4282"/>
        <v>202406</v>
      </c>
      <c r="B6758" s="1" t="str">
        <f t="shared" si="4283"/>
        <v>150525100</v>
      </c>
      <c r="C6758" s="1" t="str">
        <f>"1040690466"</f>
        <v>1040690466</v>
      </c>
      <c r="D6758" s="1" t="str">
        <f>"152326195502090665"</f>
        <v>152326195502090665</v>
      </c>
      <c r="E6758" s="1" t="s">
        <v>192</v>
      </c>
      <c r="F6758" s="1" t="s">
        <v>16</v>
      </c>
      <c r="G6758" s="1" t="s">
        <v>17</v>
      </c>
      <c r="H6758" s="1" t="str">
        <f>"69"</f>
        <v>69</v>
      </c>
      <c r="I6758" s="1" t="str">
        <f>"153.96"</f>
        <v>153.96</v>
      </c>
      <c r="J6758" s="1" t="str">
        <f t="shared" ref="J6758:N6758" si="4324">"0"</f>
        <v>0</v>
      </c>
      <c r="K6758" s="1" t="str">
        <f t="shared" si="4321"/>
        <v>103</v>
      </c>
      <c r="L6758" s="1" t="str">
        <f t="shared" si="4322"/>
        <v>47</v>
      </c>
      <c r="M6758" s="1" t="str">
        <f t="shared" si="4324"/>
        <v>0</v>
      </c>
      <c r="N6758" s="1" t="str">
        <f t="shared" si="4324"/>
        <v>0</v>
      </c>
      <c r="O6758" s="1" t="str">
        <f>"3.96"</f>
        <v>3.96</v>
      </c>
    </row>
    <row r="6759" s="1" customFormat="1" spans="1:15">
      <c r="A6759" s="1" t="str">
        <f t="shared" si="4282"/>
        <v>202406</v>
      </c>
      <c r="B6759" s="1" t="str">
        <f t="shared" si="4283"/>
        <v>150525100</v>
      </c>
      <c r="C6759" s="1" t="str">
        <f>"1040689705"</f>
        <v>1040689705</v>
      </c>
      <c r="D6759" s="1" t="str">
        <f>"152326196302230680"</f>
        <v>152326196302230680</v>
      </c>
      <c r="E6759" s="1" t="s">
        <v>6564</v>
      </c>
      <c r="F6759" s="1" t="s">
        <v>16</v>
      </c>
      <c r="G6759" s="1" t="s">
        <v>17</v>
      </c>
      <c r="H6759" s="1" t="str">
        <f>"61"</f>
        <v>61</v>
      </c>
      <c r="I6759" s="1" t="str">
        <f>"170.18"</f>
        <v>170.18</v>
      </c>
      <c r="J6759" s="1" t="str">
        <f t="shared" ref="J6759:N6759" si="4325">"0"</f>
        <v>0</v>
      </c>
      <c r="K6759" s="1" t="str">
        <f t="shared" si="4321"/>
        <v>103</v>
      </c>
      <c r="L6759" s="1" t="str">
        <f t="shared" si="4322"/>
        <v>47</v>
      </c>
      <c r="M6759" s="1" t="str">
        <f t="shared" si="4325"/>
        <v>0</v>
      </c>
      <c r="N6759" s="1" t="str">
        <f t="shared" si="4325"/>
        <v>0</v>
      </c>
      <c r="O6759" s="1" t="str">
        <f>"20.18"</f>
        <v>20.18</v>
      </c>
    </row>
    <row r="6760" s="1" customFormat="1" spans="1:15">
      <c r="A6760" s="1" t="str">
        <f t="shared" si="4282"/>
        <v>202406</v>
      </c>
      <c r="B6760" s="1" t="str">
        <f t="shared" si="4283"/>
        <v>150525100</v>
      </c>
      <c r="C6760" s="1" t="str">
        <f>"1040689749"</f>
        <v>1040689749</v>
      </c>
      <c r="D6760" s="1" t="str">
        <f>"152326195703010676"</f>
        <v>152326195703010676</v>
      </c>
      <c r="E6760" s="1" t="s">
        <v>6565</v>
      </c>
      <c r="F6760" s="1" t="s">
        <v>25</v>
      </c>
      <c r="G6760" s="1" t="s">
        <v>17</v>
      </c>
      <c r="H6760" s="1" t="str">
        <f>"67"</f>
        <v>67</v>
      </c>
      <c r="I6760" s="1" t="str">
        <f>"164.35"</f>
        <v>164.35</v>
      </c>
      <c r="J6760" s="1" t="str">
        <f t="shared" ref="J6760:N6760" si="4326">"0"</f>
        <v>0</v>
      </c>
      <c r="K6760" s="1" t="str">
        <f t="shared" si="4321"/>
        <v>103</v>
      </c>
      <c r="L6760" s="1" t="str">
        <f t="shared" si="4322"/>
        <v>47</v>
      </c>
      <c r="M6760" s="1" t="str">
        <f t="shared" si="4326"/>
        <v>0</v>
      </c>
      <c r="N6760" s="1" t="str">
        <f t="shared" si="4326"/>
        <v>0</v>
      </c>
      <c r="O6760" s="1" t="str">
        <f>"14.35"</f>
        <v>14.35</v>
      </c>
    </row>
    <row r="6761" s="1" customFormat="1" spans="1:15">
      <c r="A6761" s="1" t="str">
        <f t="shared" si="4282"/>
        <v>202406</v>
      </c>
      <c r="B6761" s="1" t="str">
        <f t="shared" si="4283"/>
        <v>150525100</v>
      </c>
      <c r="C6761" s="1" t="str">
        <f>"1040689406"</f>
        <v>1040689406</v>
      </c>
      <c r="D6761" s="1" t="str">
        <f>"152326196107020661"</f>
        <v>152326196107020661</v>
      </c>
      <c r="E6761" s="1" t="s">
        <v>6566</v>
      </c>
      <c r="F6761" s="1" t="s">
        <v>16</v>
      </c>
      <c r="G6761" s="1" t="s">
        <v>17</v>
      </c>
      <c r="H6761" s="1" t="str">
        <f>"63"</f>
        <v>63</v>
      </c>
      <c r="I6761" s="1" t="str">
        <f>"160.15"</f>
        <v>160.15</v>
      </c>
      <c r="J6761" s="1" t="str">
        <f t="shared" ref="J6761:N6761" si="4327">"0"</f>
        <v>0</v>
      </c>
      <c r="K6761" s="1" t="str">
        <f t="shared" si="4321"/>
        <v>103</v>
      </c>
      <c r="L6761" s="1" t="str">
        <f t="shared" si="4322"/>
        <v>47</v>
      </c>
      <c r="M6761" s="1" t="str">
        <f t="shared" si="4327"/>
        <v>0</v>
      </c>
      <c r="N6761" s="1" t="str">
        <f t="shared" si="4327"/>
        <v>0</v>
      </c>
      <c r="O6761" s="1" t="str">
        <f>"10.15"</f>
        <v>10.15</v>
      </c>
    </row>
    <row r="6762" s="1" customFormat="1" spans="1:15">
      <c r="A6762" s="1" t="str">
        <f t="shared" si="4282"/>
        <v>202406</v>
      </c>
      <c r="B6762" s="1" t="str">
        <f t="shared" si="4283"/>
        <v>150525100</v>
      </c>
      <c r="C6762" s="1" t="str">
        <f>"1040689419"</f>
        <v>1040689419</v>
      </c>
      <c r="D6762" s="1" t="str">
        <f>"152326195912060696"</f>
        <v>152326195912060696</v>
      </c>
      <c r="E6762" s="1" t="s">
        <v>6567</v>
      </c>
      <c r="F6762" s="1" t="s">
        <v>25</v>
      </c>
      <c r="G6762" s="1" t="s">
        <v>17</v>
      </c>
      <c r="H6762" s="1" t="str">
        <f>"65"</f>
        <v>65</v>
      </c>
      <c r="I6762" s="1" t="str">
        <f>"158.24"</f>
        <v>158.24</v>
      </c>
      <c r="J6762" s="1" t="str">
        <f t="shared" ref="J6762:N6762" si="4328">"0"</f>
        <v>0</v>
      </c>
      <c r="K6762" s="1" t="str">
        <f t="shared" si="4321"/>
        <v>103</v>
      </c>
      <c r="L6762" s="1" t="str">
        <f t="shared" si="4322"/>
        <v>47</v>
      </c>
      <c r="M6762" s="1" t="str">
        <f t="shared" si="4328"/>
        <v>0</v>
      </c>
      <c r="N6762" s="1" t="str">
        <f t="shared" si="4328"/>
        <v>0</v>
      </c>
      <c r="O6762" s="1" t="str">
        <f>"8.24"</f>
        <v>8.24</v>
      </c>
    </row>
    <row r="6763" s="1" customFormat="1" spans="1:15">
      <c r="A6763" s="1" t="str">
        <f t="shared" si="4282"/>
        <v>202406</v>
      </c>
      <c r="B6763" s="1" t="str">
        <f t="shared" si="4283"/>
        <v>150525100</v>
      </c>
      <c r="C6763" s="1" t="str">
        <f>"1040689656"</f>
        <v>1040689656</v>
      </c>
      <c r="D6763" s="1" t="str">
        <f>"152326195505053106"</f>
        <v>152326195505053106</v>
      </c>
      <c r="E6763" s="1" t="s">
        <v>1751</v>
      </c>
      <c r="F6763" s="1" t="s">
        <v>16</v>
      </c>
      <c r="G6763" s="1" t="s">
        <v>17</v>
      </c>
      <c r="H6763" s="1" t="str">
        <f>"69"</f>
        <v>69</v>
      </c>
      <c r="I6763" s="1" t="str">
        <f>"154.2"</f>
        <v>154.2</v>
      </c>
      <c r="J6763" s="1" t="str">
        <f t="shared" ref="J6763:N6763" si="4329">"0"</f>
        <v>0</v>
      </c>
      <c r="K6763" s="1" t="str">
        <f t="shared" si="4321"/>
        <v>103</v>
      </c>
      <c r="L6763" s="1" t="str">
        <f t="shared" si="4322"/>
        <v>47</v>
      </c>
      <c r="M6763" s="1" t="str">
        <f t="shared" si="4329"/>
        <v>0</v>
      </c>
      <c r="N6763" s="1" t="str">
        <f t="shared" si="4329"/>
        <v>0</v>
      </c>
      <c r="O6763" s="1" t="str">
        <f>"4.2"</f>
        <v>4.2</v>
      </c>
    </row>
    <row r="6764" s="1" customFormat="1" spans="1:15">
      <c r="A6764" s="1" t="str">
        <f t="shared" si="4282"/>
        <v>202406</v>
      </c>
      <c r="B6764" s="1" t="str">
        <f t="shared" si="4283"/>
        <v>150525100</v>
      </c>
      <c r="C6764" s="1" t="str">
        <f>"1040689435"</f>
        <v>1040689435</v>
      </c>
      <c r="D6764" s="1" t="str">
        <f>"152326195409060429"</f>
        <v>152326195409060429</v>
      </c>
      <c r="E6764" s="1" t="s">
        <v>2289</v>
      </c>
      <c r="F6764" s="1" t="s">
        <v>16</v>
      </c>
      <c r="G6764" s="1" t="s">
        <v>17</v>
      </c>
      <c r="H6764" s="1" t="str">
        <f>"70"</f>
        <v>70</v>
      </c>
      <c r="I6764" s="1" t="str">
        <f>"153.03"</f>
        <v>153.03</v>
      </c>
      <c r="J6764" s="1" t="str">
        <f t="shared" ref="J6764:N6764" si="4330">"0"</f>
        <v>0</v>
      </c>
      <c r="K6764" s="1" t="str">
        <f t="shared" si="4321"/>
        <v>103</v>
      </c>
      <c r="L6764" s="1" t="str">
        <f t="shared" si="4322"/>
        <v>47</v>
      </c>
      <c r="M6764" s="1" t="str">
        <f t="shared" si="4330"/>
        <v>0</v>
      </c>
      <c r="N6764" s="1" t="str">
        <f t="shared" si="4330"/>
        <v>0</v>
      </c>
      <c r="O6764" s="1" t="str">
        <f>"3.03"</f>
        <v>3.03</v>
      </c>
    </row>
    <row r="6765" s="1" customFormat="1" spans="1:15">
      <c r="A6765" s="1" t="str">
        <f t="shared" si="4282"/>
        <v>202406</v>
      </c>
      <c r="B6765" s="1" t="str">
        <f t="shared" si="4283"/>
        <v>150525100</v>
      </c>
      <c r="C6765" s="1" t="str">
        <f>"1040689610"</f>
        <v>1040689610</v>
      </c>
      <c r="D6765" s="1" t="str">
        <f>"152326195608223083"</f>
        <v>152326195608223083</v>
      </c>
      <c r="E6765" s="1" t="s">
        <v>6568</v>
      </c>
      <c r="F6765" s="1" t="s">
        <v>16</v>
      </c>
      <c r="G6765" s="1" t="s">
        <v>17</v>
      </c>
      <c r="H6765" s="1" t="str">
        <f t="shared" ref="H6765:H6768" si="4331">"68"</f>
        <v>68</v>
      </c>
      <c r="I6765" s="1" t="str">
        <f>"154.88"</f>
        <v>154.88</v>
      </c>
      <c r="J6765" s="1" t="str">
        <f t="shared" ref="J6765:N6765" si="4332">"0"</f>
        <v>0</v>
      </c>
      <c r="K6765" s="1" t="str">
        <f t="shared" si="4321"/>
        <v>103</v>
      </c>
      <c r="L6765" s="1" t="str">
        <f t="shared" si="4322"/>
        <v>47</v>
      </c>
      <c r="M6765" s="1" t="str">
        <f t="shared" si="4332"/>
        <v>0</v>
      </c>
      <c r="N6765" s="1" t="str">
        <f t="shared" si="4332"/>
        <v>0</v>
      </c>
      <c r="O6765" s="1" t="str">
        <f>"4.88"</f>
        <v>4.88</v>
      </c>
    </row>
    <row r="6766" s="1" customFormat="1" spans="1:15">
      <c r="A6766" s="1" t="str">
        <f t="shared" si="4282"/>
        <v>202406</v>
      </c>
      <c r="B6766" s="1" t="str">
        <f t="shared" si="4283"/>
        <v>150525100</v>
      </c>
      <c r="C6766" s="1" t="str">
        <f>"1040689452"</f>
        <v>1040689452</v>
      </c>
      <c r="D6766" s="1" t="str">
        <f>"152326195612230411"</f>
        <v>152326195612230411</v>
      </c>
      <c r="E6766" s="1" t="s">
        <v>6569</v>
      </c>
      <c r="F6766" s="1" t="s">
        <v>25</v>
      </c>
      <c r="G6766" s="1" t="s">
        <v>17</v>
      </c>
      <c r="H6766" s="1" t="str">
        <f t="shared" si="4331"/>
        <v>68</v>
      </c>
      <c r="I6766" s="1" t="str">
        <f>"154.9"</f>
        <v>154.9</v>
      </c>
      <c r="J6766" s="1" t="str">
        <f t="shared" ref="J6766:N6766" si="4333">"0"</f>
        <v>0</v>
      </c>
      <c r="K6766" s="1" t="str">
        <f t="shared" si="4321"/>
        <v>103</v>
      </c>
      <c r="L6766" s="1" t="str">
        <f t="shared" si="4322"/>
        <v>47</v>
      </c>
      <c r="M6766" s="1" t="str">
        <f t="shared" si="4333"/>
        <v>0</v>
      </c>
      <c r="N6766" s="1" t="str">
        <f t="shared" si="4333"/>
        <v>0</v>
      </c>
      <c r="O6766" s="1" t="str">
        <f>"4.9"</f>
        <v>4.9</v>
      </c>
    </row>
    <row r="6767" s="1" customFormat="1" spans="1:15">
      <c r="A6767" s="1" t="str">
        <f t="shared" si="4282"/>
        <v>202406</v>
      </c>
      <c r="B6767" s="1" t="str">
        <f t="shared" si="4283"/>
        <v>150525100</v>
      </c>
      <c r="C6767" s="1" t="str">
        <f>"1040689539"</f>
        <v>1040689539</v>
      </c>
      <c r="D6767" s="1" t="str">
        <f>"152326195701290686"</f>
        <v>152326195701290686</v>
      </c>
      <c r="E6767" s="1" t="s">
        <v>6570</v>
      </c>
      <c r="F6767" s="1" t="s">
        <v>16</v>
      </c>
      <c r="G6767" s="1" t="s">
        <v>17</v>
      </c>
      <c r="H6767" s="1" t="str">
        <f>"67"</f>
        <v>67</v>
      </c>
      <c r="I6767" s="1" t="str">
        <f>"155.15"</f>
        <v>155.15</v>
      </c>
      <c r="J6767" s="1" t="str">
        <f t="shared" ref="J6767:N6767" si="4334">"0"</f>
        <v>0</v>
      </c>
      <c r="K6767" s="1" t="str">
        <f t="shared" si="4321"/>
        <v>103</v>
      </c>
      <c r="L6767" s="1" t="str">
        <f t="shared" si="4322"/>
        <v>47</v>
      </c>
      <c r="M6767" s="1" t="str">
        <f t="shared" si="4334"/>
        <v>0</v>
      </c>
      <c r="N6767" s="1" t="str">
        <f t="shared" si="4334"/>
        <v>0</v>
      </c>
      <c r="O6767" s="1" t="str">
        <f>"5.15"</f>
        <v>5.15</v>
      </c>
    </row>
    <row r="6768" s="1" customFormat="1" spans="1:15">
      <c r="A6768" s="1" t="str">
        <f t="shared" si="4282"/>
        <v>202406</v>
      </c>
      <c r="B6768" s="1" t="str">
        <f t="shared" si="4283"/>
        <v>150525100</v>
      </c>
      <c r="C6768" s="1" t="str">
        <f>"1040689547"</f>
        <v>1040689547</v>
      </c>
      <c r="D6768" s="1" t="str">
        <f>"152326195610170689"</f>
        <v>152326195610170689</v>
      </c>
      <c r="E6768" s="1" t="s">
        <v>6571</v>
      </c>
      <c r="F6768" s="1" t="s">
        <v>16</v>
      </c>
      <c r="G6768" s="1" t="s">
        <v>19</v>
      </c>
      <c r="H6768" s="1" t="str">
        <f t="shared" si="4331"/>
        <v>68</v>
      </c>
      <c r="I6768" s="1" t="str">
        <f>"155.13"</f>
        <v>155.13</v>
      </c>
      <c r="J6768" s="1" t="str">
        <f t="shared" ref="J6768:N6768" si="4335">"0"</f>
        <v>0</v>
      </c>
      <c r="K6768" s="1" t="str">
        <f t="shared" si="4321"/>
        <v>103</v>
      </c>
      <c r="L6768" s="1" t="str">
        <f t="shared" si="4322"/>
        <v>47</v>
      </c>
      <c r="M6768" s="1" t="str">
        <f t="shared" si="4335"/>
        <v>0</v>
      </c>
      <c r="N6768" s="1" t="str">
        <f t="shared" si="4335"/>
        <v>0</v>
      </c>
      <c r="O6768" s="1" t="str">
        <f>"5.13"</f>
        <v>5.13</v>
      </c>
    </row>
    <row r="6769" s="1" customFormat="1" spans="1:15">
      <c r="A6769" s="1" t="str">
        <f t="shared" si="4282"/>
        <v>202406</v>
      </c>
      <c r="B6769" s="1" t="str">
        <f t="shared" si="4283"/>
        <v>150525100</v>
      </c>
      <c r="C6769" s="1" t="str">
        <f>"1040693333"</f>
        <v>1040693333</v>
      </c>
      <c r="D6769" s="1" t="str">
        <f>"152326196206070664"</f>
        <v>152326196206070664</v>
      </c>
      <c r="E6769" s="1" t="s">
        <v>4668</v>
      </c>
      <c r="F6769" s="1" t="s">
        <v>16</v>
      </c>
      <c r="G6769" s="1" t="s">
        <v>17</v>
      </c>
      <c r="H6769" s="1" t="str">
        <f>"62"</f>
        <v>62</v>
      </c>
      <c r="I6769" s="1" t="str">
        <f>"161.72"</f>
        <v>161.72</v>
      </c>
      <c r="J6769" s="1" t="str">
        <f t="shared" ref="J6769:N6769" si="4336">"0"</f>
        <v>0</v>
      </c>
      <c r="K6769" s="1" t="str">
        <f t="shared" si="4321"/>
        <v>103</v>
      </c>
      <c r="L6769" s="1" t="str">
        <f t="shared" si="4322"/>
        <v>47</v>
      </c>
      <c r="M6769" s="1" t="str">
        <f t="shared" si="4336"/>
        <v>0</v>
      </c>
      <c r="N6769" s="1" t="str">
        <f t="shared" si="4336"/>
        <v>0</v>
      </c>
      <c r="O6769" s="1" t="str">
        <f>"11.72"</f>
        <v>11.72</v>
      </c>
    </row>
    <row r="6770" s="1" customFormat="1" spans="1:15">
      <c r="A6770" s="1" t="str">
        <f t="shared" si="4282"/>
        <v>202406</v>
      </c>
      <c r="B6770" s="1" t="str">
        <f t="shared" si="4283"/>
        <v>150525100</v>
      </c>
      <c r="C6770" s="1" t="str">
        <f>"1014630202"</f>
        <v>1014630202</v>
      </c>
      <c r="D6770" s="1" t="str">
        <f>"152326193407120425"</f>
        <v>152326193407120425</v>
      </c>
      <c r="E6770" s="1" t="s">
        <v>6572</v>
      </c>
      <c r="F6770" s="1" t="s">
        <v>16</v>
      </c>
      <c r="G6770" s="1" t="s">
        <v>17</v>
      </c>
      <c r="H6770" s="1" t="str">
        <f>"90"</f>
        <v>90</v>
      </c>
      <c r="I6770" s="1" t="str">
        <f>"170"</f>
        <v>170</v>
      </c>
      <c r="J6770" s="1" t="str">
        <f t="shared" ref="J6770:O6770" si="4337">"0"</f>
        <v>0</v>
      </c>
      <c r="K6770" s="1" t="str">
        <f t="shared" si="4321"/>
        <v>103</v>
      </c>
      <c r="L6770" s="1" t="str">
        <f t="shared" si="4322"/>
        <v>47</v>
      </c>
      <c r="M6770" s="1" t="str">
        <f t="shared" si="4337"/>
        <v>0</v>
      </c>
      <c r="N6770" s="1" t="str">
        <f t="shared" si="4337"/>
        <v>0</v>
      </c>
      <c r="O6770" s="1" t="str">
        <f t="shared" si="4337"/>
        <v>0</v>
      </c>
    </row>
    <row r="6771" s="1" customFormat="1" spans="1:15">
      <c r="A6771" s="1" t="str">
        <f t="shared" si="4282"/>
        <v>202406</v>
      </c>
      <c r="B6771" s="1" t="str">
        <f t="shared" si="4283"/>
        <v>150525100</v>
      </c>
      <c r="C6771" s="1" t="str">
        <f>"1014625000"</f>
        <v>1014625000</v>
      </c>
      <c r="D6771" s="1" t="str">
        <f>"152326194702023315"</f>
        <v>152326194702023315</v>
      </c>
      <c r="E6771" s="1" t="s">
        <v>6573</v>
      </c>
      <c r="F6771" s="1" t="s">
        <v>25</v>
      </c>
      <c r="G6771" s="1" t="s">
        <v>19</v>
      </c>
      <c r="H6771" s="1" t="str">
        <f>"77"</f>
        <v>77</v>
      </c>
      <c r="I6771" s="1" t="str">
        <f t="shared" ref="I6771:I6778" si="4338">"160"</f>
        <v>160</v>
      </c>
      <c r="J6771" s="1" t="str">
        <f t="shared" ref="J6771:O6771" si="4339">"0"</f>
        <v>0</v>
      </c>
      <c r="K6771" s="1" t="str">
        <f t="shared" si="4321"/>
        <v>103</v>
      </c>
      <c r="L6771" s="1" t="str">
        <f t="shared" si="4322"/>
        <v>47</v>
      </c>
      <c r="M6771" s="1" t="str">
        <f t="shared" si="4339"/>
        <v>0</v>
      </c>
      <c r="N6771" s="1" t="str">
        <f t="shared" si="4339"/>
        <v>0</v>
      </c>
      <c r="O6771" s="1" t="str">
        <f t="shared" si="4339"/>
        <v>0</v>
      </c>
    </row>
    <row r="6772" s="1" customFormat="1" spans="1:15">
      <c r="A6772" s="1" t="str">
        <f t="shared" si="4282"/>
        <v>202406</v>
      </c>
      <c r="B6772" s="1" t="str">
        <f t="shared" si="4283"/>
        <v>150525100</v>
      </c>
      <c r="C6772" s="1" t="str">
        <f>"1014625011"</f>
        <v>1014625011</v>
      </c>
      <c r="D6772" s="1" t="str">
        <f>"152326195104120419"</f>
        <v>152326195104120419</v>
      </c>
      <c r="E6772" s="1" t="s">
        <v>6574</v>
      </c>
      <c r="F6772" s="1" t="s">
        <v>25</v>
      </c>
      <c r="G6772" s="1" t="s">
        <v>17</v>
      </c>
      <c r="H6772" s="1" t="str">
        <f>"73"</f>
        <v>73</v>
      </c>
      <c r="I6772" s="1" t="str">
        <f t="shared" si="4338"/>
        <v>160</v>
      </c>
      <c r="J6772" s="1" t="str">
        <f t="shared" ref="J6772:O6772" si="4340">"0"</f>
        <v>0</v>
      </c>
      <c r="K6772" s="1" t="str">
        <f t="shared" si="4321"/>
        <v>103</v>
      </c>
      <c r="L6772" s="1" t="str">
        <f t="shared" si="4322"/>
        <v>47</v>
      </c>
      <c r="M6772" s="1" t="str">
        <f t="shared" si="4340"/>
        <v>0</v>
      </c>
      <c r="N6772" s="1" t="str">
        <f t="shared" si="4340"/>
        <v>0</v>
      </c>
      <c r="O6772" s="1" t="str">
        <f t="shared" si="4340"/>
        <v>0</v>
      </c>
    </row>
    <row r="6773" s="1" customFormat="1" spans="1:15">
      <c r="A6773" s="1" t="str">
        <f t="shared" si="4282"/>
        <v>202406</v>
      </c>
      <c r="B6773" s="1" t="str">
        <f t="shared" si="4283"/>
        <v>150525100</v>
      </c>
      <c r="C6773" s="1" t="str">
        <f>"1014625022"</f>
        <v>1014625022</v>
      </c>
      <c r="D6773" s="1" t="str">
        <f>"152326194811173849"</f>
        <v>152326194811173849</v>
      </c>
      <c r="E6773" s="1" t="s">
        <v>6575</v>
      </c>
      <c r="F6773" s="1" t="s">
        <v>16</v>
      </c>
      <c r="G6773" s="1" t="s">
        <v>17</v>
      </c>
      <c r="H6773" s="1" t="str">
        <f>"76"</f>
        <v>76</v>
      </c>
      <c r="I6773" s="1" t="str">
        <f t="shared" si="4338"/>
        <v>160</v>
      </c>
      <c r="J6773" s="1" t="str">
        <f t="shared" ref="J6773:O6773" si="4341">"0"</f>
        <v>0</v>
      </c>
      <c r="K6773" s="1" t="str">
        <f t="shared" si="4321"/>
        <v>103</v>
      </c>
      <c r="L6773" s="1" t="str">
        <f t="shared" si="4322"/>
        <v>47</v>
      </c>
      <c r="M6773" s="1" t="str">
        <f t="shared" si="4341"/>
        <v>0</v>
      </c>
      <c r="N6773" s="1" t="str">
        <f t="shared" si="4341"/>
        <v>0</v>
      </c>
      <c r="O6773" s="1" t="str">
        <f t="shared" si="4341"/>
        <v>0</v>
      </c>
    </row>
    <row r="6774" s="1" customFormat="1" spans="1:15">
      <c r="A6774" s="1" t="str">
        <f t="shared" si="4282"/>
        <v>202406</v>
      </c>
      <c r="B6774" s="1" t="str">
        <f t="shared" si="4283"/>
        <v>150525100</v>
      </c>
      <c r="C6774" s="1" t="str">
        <f>"1014625500"</f>
        <v>1014625500</v>
      </c>
      <c r="D6774" s="1" t="str">
        <f>"152326194701293321"</f>
        <v>152326194701293321</v>
      </c>
      <c r="E6774" s="1" t="s">
        <v>6576</v>
      </c>
      <c r="F6774" s="1" t="s">
        <v>16</v>
      </c>
      <c r="G6774" s="1" t="s">
        <v>19</v>
      </c>
      <c r="H6774" s="1" t="str">
        <f>"77"</f>
        <v>77</v>
      </c>
      <c r="I6774" s="1" t="str">
        <f t="shared" si="4338"/>
        <v>160</v>
      </c>
      <c r="J6774" s="1" t="str">
        <f t="shared" ref="J6774:O6774" si="4342">"0"</f>
        <v>0</v>
      </c>
      <c r="K6774" s="1" t="str">
        <f t="shared" si="4321"/>
        <v>103</v>
      </c>
      <c r="L6774" s="1" t="str">
        <f t="shared" si="4322"/>
        <v>47</v>
      </c>
      <c r="M6774" s="1" t="str">
        <f t="shared" si="4342"/>
        <v>0</v>
      </c>
      <c r="N6774" s="1" t="str">
        <f t="shared" si="4342"/>
        <v>0</v>
      </c>
      <c r="O6774" s="1" t="str">
        <f t="shared" si="4342"/>
        <v>0</v>
      </c>
    </row>
    <row r="6775" s="1" customFormat="1" spans="1:15">
      <c r="A6775" s="1" t="str">
        <f t="shared" si="4282"/>
        <v>202406</v>
      </c>
      <c r="B6775" s="1" t="str">
        <f t="shared" si="4283"/>
        <v>150525100</v>
      </c>
      <c r="C6775" s="1" t="str">
        <f>"1014630223"</f>
        <v>1014630223</v>
      </c>
      <c r="D6775" s="1" t="str">
        <f>"152326195108050411"</f>
        <v>152326195108050411</v>
      </c>
      <c r="E6775" s="1" t="s">
        <v>6577</v>
      </c>
      <c r="F6775" s="1" t="s">
        <v>25</v>
      </c>
      <c r="G6775" s="1" t="s">
        <v>17</v>
      </c>
      <c r="H6775" s="1" t="str">
        <f>"73"</f>
        <v>73</v>
      </c>
      <c r="I6775" s="1" t="str">
        <f t="shared" si="4338"/>
        <v>160</v>
      </c>
      <c r="J6775" s="1" t="str">
        <f t="shared" ref="J6775:O6775" si="4343">"0"</f>
        <v>0</v>
      </c>
      <c r="K6775" s="1" t="str">
        <f t="shared" si="4321"/>
        <v>103</v>
      </c>
      <c r="L6775" s="1" t="str">
        <f t="shared" si="4322"/>
        <v>47</v>
      </c>
      <c r="M6775" s="1" t="str">
        <f t="shared" si="4343"/>
        <v>0</v>
      </c>
      <c r="N6775" s="1" t="str">
        <f t="shared" si="4343"/>
        <v>0</v>
      </c>
      <c r="O6775" s="1" t="str">
        <f t="shared" si="4343"/>
        <v>0</v>
      </c>
    </row>
    <row r="6776" s="1" customFormat="1" spans="1:15">
      <c r="A6776" s="1" t="str">
        <f t="shared" si="4282"/>
        <v>202406</v>
      </c>
      <c r="B6776" s="1" t="str">
        <f t="shared" si="4283"/>
        <v>150525100</v>
      </c>
      <c r="C6776" s="1" t="str">
        <f>"1014630249"</f>
        <v>1014630249</v>
      </c>
      <c r="D6776" s="1" t="s">
        <v>6578</v>
      </c>
      <c r="E6776" s="1" t="s">
        <v>6579</v>
      </c>
      <c r="F6776" s="1" t="s">
        <v>25</v>
      </c>
      <c r="G6776" s="1" t="s">
        <v>19</v>
      </c>
      <c r="H6776" s="1" t="str">
        <f t="shared" ref="H6776:H6778" si="4344">"74"</f>
        <v>74</v>
      </c>
      <c r="I6776" s="1" t="str">
        <f t="shared" si="4338"/>
        <v>160</v>
      </c>
      <c r="J6776" s="1" t="str">
        <f t="shared" ref="J6776:O6776" si="4345">"0"</f>
        <v>0</v>
      </c>
      <c r="K6776" s="1" t="str">
        <f t="shared" si="4321"/>
        <v>103</v>
      </c>
      <c r="L6776" s="1" t="str">
        <f t="shared" si="4322"/>
        <v>47</v>
      </c>
      <c r="M6776" s="1" t="str">
        <f t="shared" si="4345"/>
        <v>0</v>
      </c>
      <c r="N6776" s="1" t="str">
        <f t="shared" si="4345"/>
        <v>0</v>
      </c>
      <c r="O6776" s="1" t="str">
        <f t="shared" si="4345"/>
        <v>0</v>
      </c>
    </row>
    <row r="6777" s="1" customFormat="1" spans="1:15">
      <c r="A6777" s="1" t="str">
        <f t="shared" si="4282"/>
        <v>202406</v>
      </c>
      <c r="B6777" s="1" t="str">
        <f t="shared" si="4283"/>
        <v>150525100</v>
      </c>
      <c r="C6777" s="1" t="str">
        <f>"1014630251"</f>
        <v>1014630251</v>
      </c>
      <c r="D6777" s="1" t="str">
        <f>"152326195008143813"</f>
        <v>152326195008143813</v>
      </c>
      <c r="E6777" s="1" t="s">
        <v>6580</v>
      </c>
      <c r="F6777" s="1" t="s">
        <v>25</v>
      </c>
      <c r="G6777" s="1" t="s">
        <v>17</v>
      </c>
      <c r="H6777" s="1" t="str">
        <f t="shared" si="4344"/>
        <v>74</v>
      </c>
      <c r="I6777" s="1" t="str">
        <f t="shared" si="4338"/>
        <v>160</v>
      </c>
      <c r="J6777" s="1" t="str">
        <f t="shared" ref="J6777:O6777" si="4346">"0"</f>
        <v>0</v>
      </c>
      <c r="K6777" s="1" t="str">
        <f t="shared" si="4321"/>
        <v>103</v>
      </c>
      <c r="L6777" s="1" t="str">
        <f t="shared" si="4322"/>
        <v>47</v>
      </c>
      <c r="M6777" s="1" t="str">
        <f t="shared" si="4346"/>
        <v>0</v>
      </c>
      <c r="N6777" s="1" t="str">
        <f t="shared" si="4346"/>
        <v>0</v>
      </c>
      <c r="O6777" s="1" t="str">
        <f t="shared" si="4346"/>
        <v>0</v>
      </c>
    </row>
    <row r="6778" s="1" customFormat="1" spans="1:15">
      <c r="A6778" s="1" t="str">
        <f t="shared" si="4282"/>
        <v>202406</v>
      </c>
      <c r="B6778" s="1" t="str">
        <f t="shared" si="4283"/>
        <v>150525100</v>
      </c>
      <c r="C6778" s="1" t="str">
        <f>"1014625092"</f>
        <v>1014625092</v>
      </c>
      <c r="D6778" s="1" t="str">
        <f>"152326195004110424"</f>
        <v>152326195004110424</v>
      </c>
      <c r="E6778" s="1" t="s">
        <v>6581</v>
      </c>
      <c r="F6778" s="1" t="s">
        <v>16</v>
      </c>
      <c r="G6778" s="1" t="s">
        <v>17</v>
      </c>
      <c r="H6778" s="1" t="str">
        <f t="shared" si="4344"/>
        <v>74</v>
      </c>
      <c r="I6778" s="1" t="str">
        <f t="shared" si="4338"/>
        <v>160</v>
      </c>
      <c r="J6778" s="1" t="str">
        <f t="shared" ref="J6778:O6778" si="4347">"0"</f>
        <v>0</v>
      </c>
      <c r="K6778" s="1" t="str">
        <f t="shared" si="4321"/>
        <v>103</v>
      </c>
      <c r="L6778" s="1" t="str">
        <f t="shared" si="4322"/>
        <v>47</v>
      </c>
      <c r="M6778" s="1" t="str">
        <f t="shared" si="4347"/>
        <v>0</v>
      </c>
      <c r="N6778" s="1" t="str">
        <f t="shared" si="4347"/>
        <v>0</v>
      </c>
      <c r="O6778" s="1" t="str">
        <f t="shared" si="4347"/>
        <v>0</v>
      </c>
    </row>
    <row r="6779" s="1" customFormat="1" spans="1:15">
      <c r="A6779" s="1" t="str">
        <f t="shared" si="4282"/>
        <v>202406</v>
      </c>
      <c r="B6779" s="1" t="str">
        <f t="shared" si="4283"/>
        <v>150525100</v>
      </c>
      <c r="C6779" s="1" t="str">
        <f>"1014625108"</f>
        <v>1014625108</v>
      </c>
      <c r="D6779" s="1" t="str">
        <f>"152326193411140445"</f>
        <v>152326193411140445</v>
      </c>
      <c r="E6779" s="1" t="s">
        <v>3087</v>
      </c>
      <c r="F6779" s="1" t="s">
        <v>16</v>
      </c>
      <c r="G6779" s="1" t="s">
        <v>17</v>
      </c>
      <c r="H6779" s="1" t="str">
        <f>"90"</f>
        <v>90</v>
      </c>
      <c r="I6779" s="1" t="str">
        <f t="shared" ref="I6779:I6782" si="4348">"170"</f>
        <v>170</v>
      </c>
      <c r="J6779" s="1" t="str">
        <f t="shared" ref="J6779:O6779" si="4349">"0"</f>
        <v>0</v>
      </c>
      <c r="K6779" s="1" t="str">
        <f t="shared" si="4321"/>
        <v>103</v>
      </c>
      <c r="L6779" s="1" t="str">
        <f t="shared" si="4322"/>
        <v>47</v>
      </c>
      <c r="M6779" s="1" t="str">
        <f t="shared" si="4349"/>
        <v>0</v>
      </c>
      <c r="N6779" s="1" t="str">
        <f t="shared" si="4349"/>
        <v>0</v>
      </c>
      <c r="O6779" s="1" t="str">
        <f t="shared" si="4349"/>
        <v>0</v>
      </c>
    </row>
    <row r="6780" s="1" customFormat="1" spans="1:15">
      <c r="A6780" s="1" t="str">
        <f t="shared" si="4282"/>
        <v>202406</v>
      </c>
      <c r="B6780" s="1" t="str">
        <f t="shared" si="4283"/>
        <v>150525100</v>
      </c>
      <c r="C6780" s="1" t="str">
        <f>"1014625118"</f>
        <v>1014625118</v>
      </c>
      <c r="D6780" s="1" t="str">
        <f>"152326194709230421"</f>
        <v>152326194709230421</v>
      </c>
      <c r="E6780" s="1" t="s">
        <v>409</v>
      </c>
      <c r="F6780" s="1" t="s">
        <v>16</v>
      </c>
      <c r="G6780" s="1" t="s">
        <v>17</v>
      </c>
      <c r="H6780" s="1" t="str">
        <f>"77"</f>
        <v>77</v>
      </c>
      <c r="I6780" s="1" t="str">
        <f>"1600"</f>
        <v>1600</v>
      </c>
      <c r="J6780" s="1" t="str">
        <f>"1440"</f>
        <v>1440</v>
      </c>
      <c r="K6780" s="1" t="str">
        <f>"1030"</f>
        <v>1030</v>
      </c>
      <c r="L6780" s="1" t="str">
        <f>"470"</f>
        <v>470</v>
      </c>
      <c r="M6780" s="1" t="str">
        <f t="shared" ref="M6780:O6780" si="4350">"0"</f>
        <v>0</v>
      </c>
      <c r="N6780" s="1" t="str">
        <f t="shared" si="4350"/>
        <v>0</v>
      </c>
      <c r="O6780" s="1" t="str">
        <f t="shared" si="4350"/>
        <v>0</v>
      </c>
    </row>
    <row r="6781" s="1" customFormat="1" spans="1:15">
      <c r="A6781" s="1" t="str">
        <f t="shared" si="4282"/>
        <v>202406</v>
      </c>
      <c r="B6781" s="1" t="str">
        <f t="shared" si="4283"/>
        <v>150525100</v>
      </c>
      <c r="C6781" s="1" t="str">
        <f>"1014625163"</f>
        <v>1014625163</v>
      </c>
      <c r="D6781" s="1" t="s">
        <v>6582</v>
      </c>
      <c r="E6781" s="1" t="s">
        <v>6583</v>
      </c>
      <c r="F6781" s="1" t="s">
        <v>16</v>
      </c>
      <c r="G6781" s="1" t="s">
        <v>17</v>
      </c>
      <c r="H6781" s="1" t="str">
        <f>"82"</f>
        <v>82</v>
      </c>
      <c r="I6781" s="1" t="str">
        <f t="shared" si="4348"/>
        <v>170</v>
      </c>
      <c r="J6781" s="1" t="str">
        <f t="shared" ref="J6781:O6781" si="4351">"0"</f>
        <v>0</v>
      </c>
      <c r="K6781" s="1" t="str">
        <f t="shared" ref="K6781:K6795" si="4352">"103"</f>
        <v>103</v>
      </c>
      <c r="L6781" s="1" t="str">
        <f t="shared" ref="L6781:L6795" si="4353">"47"</f>
        <v>47</v>
      </c>
      <c r="M6781" s="1" t="str">
        <f t="shared" si="4351"/>
        <v>0</v>
      </c>
      <c r="N6781" s="1" t="str">
        <f t="shared" si="4351"/>
        <v>0</v>
      </c>
      <c r="O6781" s="1" t="str">
        <f t="shared" si="4351"/>
        <v>0</v>
      </c>
    </row>
    <row r="6782" s="1" customFormat="1" spans="1:15">
      <c r="A6782" s="1" t="str">
        <f t="shared" si="4282"/>
        <v>202406</v>
      </c>
      <c r="B6782" s="1" t="str">
        <f t="shared" si="4283"/>
        <v>150525100</v>
      </c>
      <c r="C6782" s="1" t="str">
        <f>"1014625175"</f>
        <v>1014625175</v>
      </c>
      <c r="D6782" s="1" t="str">
        <f>"152326193909100424"</f>
        <v>152326193909100424</v>
      </c>
      <c r="E6782" s="1" t="s">
        <v>211</v>
      </c>
      <c r="F6782" s="1" t="s">
        <v>16</v>
      </c>
      <c r="G6782" s="1" t="s">
        <v>17</v>
      </c>
      <c r="H6782" s="1" t="str">
        <f>"85"</f>
        <v>85</v>
      </c>
      <c r="I6782" s="1" t="str">
        <f t="shared" si="4348"/>
        <v>170</v>
      </c>
      <c r="J6782" s="1" t="str">
        <f t="shared" ref="J6782:O6782" si="4354">"0"</f>
        <v>0</v>
      </c>
      <c r="K6782" s="1" t="str">
        <f t="shared" si="4352"/>
        <v>103</v>
      </c>
      <c r="L6782" s="1" t="str">
        <f t="shared" si="4353"/>
        <v>47</v>
      </c>
      <c r="M6782" s="1" t="str">
        <f t="shared" si="4354"/>
        <v>0</v>
      </c>
      <c r="N6782" s="1" t="str">
        <f t="shared" si="4354"/>
        <v>0</v>
      </c>
      <c r="O6782" s="1" t="str">
        <f t="shared" si="4354"/>
        <v>0</v>
      </c>
    </row>
    <row r="6783" s="1" customFormat="1" spans="1:15">
      <c r="A6783" s="1" t="str">
        <f t="shared" si="4282"/>
        <v>202406</v>
      </c>
      <c r="B6783" s="1" t="str">
        <f t="shared" si="4283"/>
        <v>150525100</v>
      </c>
      <c r="C6783" s="1" t="str">
        <f>"1014625181"</f>
        <v>1014625181</v>
      </c>
      <c r="D6783" s="1" t="str">
        <f>"152326195012290664"</f>
        <v>152326195012290664</v>
      </c>
      <c r="E6783" s="1" t="s">
        <v>332</v>
      </c>
      <c r="F6783" s="1" t="s">
        <v>16</v>
      </c>
      <c r="G6783" s="1" t="s">
        <v>17</v>
      </c>
      <c r="H6783" s="1" t="str">
        <f>"74"</f>
        <v>74</v>
      </c>
      <c r="I6783" s="1" t="str">
        <f t="shared" ref="I6783:I6790" si="4355">"160"</f>
        <v>160</v>
      </c>
      <c r="J6783" s="1" t="str">
        <f t="shared" ref="J6783:O6783" si="4356">"0"</f>
        <v>0</v>
      </c>
      <c r="K6783" s="1" t="str">
        <f t="shared" si="4352"/>
        <v>103</v>
      </c>
      <c r="L6783" s="1" t="str">
        <f t="shared" si="4353"/>
        <v>47</v>
      </c>
      <c r="M6783" s="1" t="str">
        <f t="shared" si="4356"/>
        <v>0</v>
      </c>
      <c r="N6783" s="1" t="str">
        <f t="shared" si="4356"/>
        <v>0</v>
      </c>
      <c r="O6783" s="1" t="str">
        <f t="shared" si="4356"/>
        <v>0</v>
      </c>
    </row>
    <row r="6784" s="1" customFormat="1" spans="1:15">
      <c r="A6784" s="1" t="str">
        <f t="shared" si="4282"/>
        <v>202406</v>
      </c>
      <c r="B6784" s="1" t="str">
        <f t="shared" si="4283"/>
        <v>150525100</v>
      </c>
      <c r="C6784" s="1" t="str">
        <f>"1014625217"</f>
        <v>1014625217</v>
      </c>
      <c r="D6784" s="1" t="s">
        <v>6584</v>
      </c>
      <c r="E6784" s="1" t="s">
        <v>1266</v>
      </c>
      <c r="F6784" s="1" t="s">
        <v>16</v>
      </c>
      <c r="G6784" s="1" t="s">
        <v>17</v>
      </c>
      <c r="H6784" s="1" t="str">
        <f>"81"</f>
        <v>81</v>
      </c>
      <c r="I6784" s="1" t="str">
        <f t="shared" ref="I6784:I6786" si="4357">"170"</f>
        <v>170</v>
      </c>
      <c r="J6784" s="1" t="str">
        <f t="shared" ref="J6784:O6784" si="4358">"0"</f>
        <v>0</v>
      </c>
      <c r="K6784" s="1" t="str">
        <f t="shared" si="4352"/>
        <v>103</v>
      </c>
      <c r="L6784" s="1" t="str">
        <f t="shared" si="4353"/>
        <v>47</v>
      </c>
      <c r="M6784" s="1" t="str">
        <f t="shared" si="4358"/>
        <v>0</v>
      </c>
      <c r="N6784" s="1" t="str">
        <f t="shared" si="4358"/>
        <v>0</v>
      </c>
      <c r="O6784" s="1" t="str">
        <f t="shared" si="4358"/>
        <v>0</v>
      </c>
    </row>
    <row r="6785" s="1" customFormat="1" spans="1:15">
      <c r="A6785" s="1" t="str">
        <f t="shared" si="4282"/>
        <v>202406</v>
      </c>
      <c r="B6785" s="1" t="str">
        <f t="shared" si="4283"/>
        <v>150525100</v>
      </c>
      <c r="C6785" s="1" t="str">
        <f>"1014625230"</f>
        <v>1014625230</v>
      </c>
      <c r="D6785" s="1" t="str">
        <f>"152326194309050667"</f>
        <v>152326194309050667</v>
      </c>
      <c r="E6785" s="1" t="s">
        <v>6585</v>
      </c>
      <c r="F6785" s="1" t="s">
        <v>16</v>
      </c>
      <c r="G6785" s="1" t="s">
        <v>17</v>
      </c>
      <c r="H6785" s="1" t="str">
        <f>"81"</f>
        <v>81</v>
      </c>
      <c r="I6785" s="1" t="str">
        <f t="shared" si="4357"/>
        <v>170</v>
      </c>
      <c r="J6785" s="1" t="str">
        <f t="shared" ref="J6785:O6785" si="4359">"0"</f>
        <v>0</v>
      </c>
      <c r="K6785" s="1" t="str">
        <f t="shared" si="4352"/>
        <v>103</v>
      </c>
      <c r="L6785" s="1" t="str">
        <f t="shared" si="4353"/>
        <v>47</v>
      </c>
      <c r="M6785" s="1" t="str">
        <f t="shared" si="4359"/>
        <v>0</v>
      </c>
      <c r="N6785" s="1" t="str">
        <f t="shared" si="4359"/>
        <v>0</v>
      </c>
      <c r="O6785" s="1" t="str">
        <f t="shared" si="4359"/>
        <v>0</v>
      </c>
    </row>
    <row r="6786" s="1" customFormat="1" spans="1:15">
      <c r="A6786" s="1" t="str">
        <f t="shared" ref="A6786:A6849" si="4360">"202406"</f>
        <v>202406</v>
      </c>
      <c r="B6786" s="1" t="str">
        <f t="shared" ref="B6786:B6849" si="4361">"150525100"</f>
        <v>150525100</v>
      </c>
      <c r="C6786" s="1" t="str">
        <f>"1014622431"</f>
        <v>1014622431</v>
      </c>
      <c r="D6786" s="1" t="s">
        <v>6586</v>
      </c>
      <c r="E6786" s="1" t="s">
        <v>6587</v>
      </c>
      <c r="F6786" s="1" t="s">
        <v>16</v>
      </c>
      <c r="G6786" s="1" t="s">
        <v>17</v>
      </c>
      <c r="H6786" s="1" t="str">
        <f>"88"</f>
        <v>88</v>
      </c>
      <c r="I6786" s="1" t="str">
        <f t="shared" si="4357"/>
        <v>170</v>
      </c>
      <c r="J6786" s="1" t="str">
        <f t="shared" ref="J6786:O6786" si="4362">"0"</f>
        <v>0</v>
      </c>
      <c r="K6786" s="1" t="str">
        <f t="shared" si="4352"/>
        <v>103</v>
      </c>
      <c r="L6786" s="1" t="str">
        <f t="shared" si="4353"/>
        <v>47</v>
      </c>
      <c r="M6786" s="1" t="str">
        <f t="shared" si="4362"/>
        <v>0</v>
      </c>
      <c r="N6786" s="1" t="str">
        <f t="shared" si="4362"/>
        <v>0</v>
      </c>
      <c r="O6786" s="1" t="str">
        <f t="shared" si="4362"/>
        <v>0</v>
      </c>
    </row>
    <row r="6787" s="1" customFormat="1" spans="1:15">
      <c r="A6787" s="1" t="str">
        <f t="shared" si="4360"/>
        <v>202406</v>
      </c>
      <c r="B6787" s="1" t="str">
        <f t="shared" si="4361"/>
        <v>150525100</v>
      </c>
      <c r="C6787" s="1" t="str">
        <f>"1015302853"</f>
        <v>1015302853</v>
      </c>
      <c r="D6787" s="1" t="str">
        <f>"152326194408266121"</f>
        <v>152326194408266121</v>
      </c>
      <c r="E6787" s="1" t="s">
        <v>6588</v>
      </c>
      <c r="F6787" s="1" t="s">
        <v>16</v>
      </c>
      <c r="G6787" s="1" t="s">
        <v>19</v>
      </c>
      <c r="H6787" s="1" t="str">
        <f>"80"</f>
        <v>80</v>
      </c>
      <c r="I6787" s="1" t="str">
        <f t="shared" si="4355"/>
        <v>160</v>
      </c>
      <c r="J6787" s="1" t="str">
        <f t="shared" ref="J6787:O6787" si="4363">"0"</f>
        <v>0</v>
      </c>
      <c r="K6787" s="1" t="str">
        <f t="shared" si="4352"/>
        <v>103</v>
      </c>
      <c r="L6787" s="1" t="str">
        <f t="shared" si="4353"/>
        <v>47</v>
      </c>
      <c r="M6787" s="1" t="str">
        <f t="shared" si="4363"/>
        <v>0</v>
      </c>
      <c r="N6787" s="1" t="str">
        <f t="shared" si="4363"/>
        <v>0</v>
      </c>
      <c r="O6787" s="1" t="str">
        <f t="shared" si="4363"/>
        <v>0</v>
      </c>
    </row>
    <row r="6788" s="1" customFormat="1" spans="1:15">
      <c r="A6788" s="1" t="str">
        <f t="shared" si="4360"/>
        <v>202406</v>
      </c>
      <c r="B6788" s="1" t="str">
        <f t="shared" si="4361"/>
        <v>150525100</v>
      </c>
      <c r="C6788" s="1" t="str">
        <f>"1014613050"</f>
        <v>1014613050</v>
      </c>
      <c r="D6788" s="1" t="str">
        <f>"152326194702060925"</f>
        <v>152326194702060925</v>
      </c>
      <c r="E6788" s="1" t="s">
        <v>6589</v>
      </c>
      <c r="F6788" s="1" t="s">
        <v>16</v>
      </c>
      <c r="G6788" s="1" t="s">
        <v>19</v>
      </c>
      <c r="H6788" s="1" t="str">
        <f>"77"</f>
        <v>77</v>
      </c>
      <c r="I6788" s="1" t="str">
        <f t="shared" si="4355"/>
        <v>160</v>
      </c>
      <c r="J6788" s="1" t="str">
        <f t="shared" ref="J6788:O6788" si="4364">"0"</f>
        <v>0</v>
      </c>
      <c r="K6788" s="1" t="str">
        <f t="shared" si="4352"/>
        <v>103</v>
      </c>
      <c r="L6788" s="1" t="str">
        <f t="shared" si="4353"/>
        <v>47</v>
      </c>
      <c r="M6788" s="1" t="str">
        <f t="shared" si="4364"/>
        <v>0</v>
      </c>
      <c r="N6788" s="1" t="str">
        <f t="shared" si="4364"/>
        <v>0</v>
      </c>
      <c r="O6788" s="1" t="str">
        <f t="shared" si="4364"/>
        <v>0</v>
      </c>
    </row>
    <row r="6789" s="1" customFormat="1" spans="1:15">
      <c r="A6789" s="1" t="str">
        <f t="shared" si="4360"/>
        <v>202406</v>
      </c>
      <c r="B6789" s="1" t="str">
        <f t="shared" si="4361"/>
        <v>150525100</v>
      </c>
      <c r="C6789" s="1" t="str">
        <f>"1014613054"</f>
        <v>1014613054</v>
      </c>
      <c r="D6789" s="1" t="str">
        <f>"152326194609030924"</f>
        <v>152326194609030924</v>
      </c>
      <c r="E6789" s="1" t="s">
        <v>6590</v>
      </c>
      <c r="F6789" s="1" t="s">
        <v>16</v>
      </c>
      <c r="G6789" s="1" t="s">
        <v>19</v>
      </c>
      <c r="H6789" s="1" t="str">
        <f>"78"</f>
        <v>78</v>
      </c>
      <c r="I6789" s="1" t="str">
        <f t="shared" si="4355"/>
        <v>160</v>
      </c>
      <c r="J6789" s="1" t="str">
        <f t="shared" ref="J6789:O6789" si="4365">"0"</f>
        <v>0</v>
      </c>
      <c r="K6789" s="1" t="str">
        <f t="shared" si="4352"/>
        <v>103</v>
      </c>
      <c r="L6789" s="1" t="str">
        <f t="shared" si="4353"/>
        <v>47</v>
      </c>
      <c r="M6789" s="1" t="str">
        <f t="shared" si="4365"/>
        <v>0</v>
      </c>
      <c r="N6789" s="1" t="str">
        <f t="shared" si="4365"/>
        <v>0</v>
      </c>
      <c r="O6789" s="1" t="str">
        <f t="shared" si="4365"/>
        <v>0</v>
      </c>
    </row>
    <row r="6790" s="1" customFormat="1" spans="1:15">
      <c r="A6790" s="1" t="str">
        <f t="shared" si="4360"/>
        <v>202406</v>
      </c>
      <c r="B6790" s="1" t="str">
        <f t="shared" si="4361"/>
        <v>150525100</v>
      </c>
      <c r="C6790" s="1" t="str">
        <f>"1014613323"</f>
        <v>1014613323</v>
      </c>
      <c r="D6790" s="1" t="str">
        <f>"152326194901150413"</f>
        <v>152326194901150413</v>
      </c>
      <c r="E6790" s="1" t="s">
        <v>6591</v>
      </c>
      <c r="F6790" s="1" t="s">
        <v>25</v>
      </c>
      <c r="G6790" s="1" t="s">
        <v>17</v>
      </c>
      <c r="H6790" s="1" t="str">
        <f>"75"</f>
        <v>75</v>
      </c>
      <c r="I6790" s="1" t="str">
        <f t="shared" si="4355"/>
        <v>160</v>
      </c>
      <c r="J6790" s="1" t="str">
        <f t="shared" ref="J6790:O6790" si="4366">"0"</f>
        <v>0</v>
      </c>
      <c r="K6790" s="1" t="str">
        <f t="shared" si="4352"/>
        <v>103</v>
      </c>
      <c r="L6790" s="1" t="str">
        <f t="shared" si="4353"/>
        <v>47</v>
      </c>
      <c r="M6790" s="1" t="str">
        <f t="shared" si="4366"/>
        <v>0</v>
      </c>
      <c r="N6790" s="1" t="str">
        <f t="shared" si="4366"/>
        <v>0</v>
      </c>
      <c r="O6790" s="1" t="str">
        <f t="shared" si="4366"/>
        <v>0</v>
      </c>
    </row>
    <row r="6791" s="1" customFormat="1" spans="1:15">
      <c r="A6791" s="1" t="str">
        <f t="shared" si="4360"/>
        <v>202406</v>
      </c>
      <c r="B6791" s="1" t="str">
        <f t="shared" si="4361"/>
        <v>150525100</v>
      </c>
      <c r="C6791" s="1" t="str">
        <f>"1014613326"</f>
        <v>1014613326</v>
      </c>
      <c r="D6791" s="1" t="str">
        <f>"152326194002100412"</f>
        <v>152326194002100412</v>
      </c>
      <c r="E6791" s="1" t="s">
        <v>6592</v>
      </c>
      <c r="F6791" s="1" t="s">
        <v>25</v>
      </c>
      <c r="G6791" s="1" t="s">
        <v>17</v>
      </c>
      <c r="H6791" s="1" t="str">
        <f>"84"</f>
        <v>84</v>
      </c>
      <c r="I6791" s="1" t="str">
        <f>"170"</f>
        <v>170</v>
      </c>
      <c r="J6791" s="1" t="str">
        <f t="shared" ref="J6791:O6791" si="4367">"0"</f>
        <v>0</v>
      </c>
      <c r="K6791" s="1" t="str">
        <f t="shared" si="4352"/>
        <v>103</v>
      </c>
      <c r="L6791" s="1" t="str">
        <f t="shared" si="4353"/>
        <v>47</v>
      </c>
      <c r="M6791" s="1" t="str">
        <f t="shared" si="4367"/>
        <v>0</v>
      </c>
      <c r="N6791" s="1" t="str">
        <f t="shared" si="4367"/>
        <v>0</v>
      </c>
      <c r="O6791" s="1" t="str">
        <f t="shared" si="4367"/>
        <v>0</v>
      </c>
    </row>
    <row r="6792" s="1" customFormat="1" spans="1:15">
      <c r="A6792" s="1" t="str">
        <f t="shared" si="4360"/>
        <v>202406</v>
      </c>
      <c r="B6792" s="1" t="str">
        <f t="shared" si="4361"/>
        <v>150525100</v>
      </c>
      <c r="C6792" s="1" t="str">
        <f>"1014613333"</f>
        <v>1014613333</v>
      </c>
      <c r="D6792" s="1" t="str">
        <f>"152326194810170419"</f>
        <v>152326194810170419</v>
      </c>
      <c r="E6792" s="1" t="s">
        <v>623</v>
      </c>
      <c r="F6792" s="1" t="s">
        <v>25</v>
      </c>
      <c r="G6792" s="1" t="s">
        <v>17</v>
      </c>
      <c r="H6792" s="1" t="str">
        <f>"76"</f>
        <v>76</v>
      </c>
      <c r="I6792" s="1" t="str">
        <f t="shared" ref="I6792:I6795" si="4368">"160"</f>
        <v>160</v>
      </c>
      <c r="J6792" s="1" t="str">
        <f t="shared" ref="J6792:O6792" si="4369">"0"</f>
        <v>0</v>
      </c>
      <c r="K6792" s="1" t="str">
        <f t="shared" si="4352"/>
        <v>103</v>
      </c>
      <c r="L6792" s="1" t="str">
        <f t="shared" si="4353"/>
        <v>47</v>
      </c>
      <c r="M6792" s="1" t="str">
        <f t="shared" si="4369"/>
        <v>0</v>
      </c>
      <c r="N6792" s="1" t="str">
        <f t="shared" si="4369"/>
        <v>0</v>
      </c>
      <c r="O6792" s="1" t="str">
        <f t="shared" si="4369"/>
        <v>0</v>
      </c>
    </row>
    <row r="6793" s="1" customFormat="1" spans="1:15">
      <c r="A6793" s="1" t="str">
        <f t="shared" si="4360"/>
        <v>202406</v>
      </c>
      <c r="B6793" s="1" t="str">
        <f t="shared" si="4361"/>
        <v>150525100</v>
      </c>
      <c r="C6793" s="1" t="str">
        <f>"1014613341"</f>
        <v>1014613341</v>
      </c>
      <c r="D6793" s="1" t="str">
        <f>"152326195103270415"</f>
        <v>152326195103270415</v>
      </c>
      <c r="E6793" s="1" t="s">
        <v>6593</v>
      </c>
      <c r="F6793" s="1" t="s">
        <v>25</v>
      </c>
      <c r="G6793" s="1" t="s">
        <v>17</v>
      </c>
      <c r="H6793" s="1" t="str">
        <f t="shared" ref="H6793:H6796" si="4370">"73"</f>
        <v>73</v>
      </c>
      <c r="I6793" s="1" t="str">
        <f t="shared" si="4368"/>
        <v>160</v>
      </c>
      <c r="J6793" s="1" t="str">
        <f t="shared" ref="J6793:O6793" si="4371">"0"</f>
        <v>0</v>
      </c>
      <c r="K6793" s="1" t="str">
        <f t="shared" si="4352"/>
        <v>103</v>
      </c>
      <c r="L6793" s="1" t="str">
        <f t="shared" si="4353"/>
        <v>47</v>
      </c>
      <c r="M6793" s="1" t="str">
        <f t="shared" si="4371"/>
        <v>0</v>
      </c>
      <c r="N6793" s="1" t="str">
        <f t="shared" si="4371"/>
        <v>0</v>
      </c>
      <c r="O6793" s="1" t="str">
        <f t="shared" si="4371"/>
        <v>0</v>
      </c>
    </row>
    <row r="6794" s="1" customFormat="1" spans="1:15">
      <c r="A6794" s="1" t="str">
        <f t="shared" si="4360"/>
        <v>202406</v>
      </c>
      <c r="B6794" s="1" t="str">
        <f t="shared" si="4361"/>
        <v>150525100</v>
      </c>
      <c r="C6794" s="1" t="str">
        <f>"1014622368"</f>
        <v>1014622368</v>
      </c>
      <c r="D6794" s="1" t="str">
        <f>"152326194212170427"</f>
        <v>152326194212170427</v>
      </c>
      <c r="E6794" s="1" t="s">
        <v>6594</v>
      </c>
      <c r="F6794" s="1" t="s">
        <v>16</v>
      </c>
      <c r="G6794" s="1" t="s">
        <v>17</v>
      </c>
      <c r="H6794" s="1" t="str">
        <f>"82"</f>
        <v>82</v>
      </c>
      <c r="I6794" s="1" t="str">
        <f>"170"</f>
        <v>170</v>
      </c>
      <c r="J6794" s="1" t="str">
        <f t="shared" ref="J6794:O6794" si="4372">"0"</f>
        <v>0</v>
      </c>
      <c r="K6794" s="1" t="str">
        <f t="shared" si="4352"/>
        <v>103</v>
      </c>
      <c r="L6794" s="1" t="str">
        <f t="shared" si="4353"/>
        <v>47</v>
      </c>
      <c r="M6794" s="1" t="str">
        <f t="shared" si="4372"/>
        <v>0</v>
      </c>
      <c r="N6794" s="1" t="str">
        <f t="shared" si="4372"/>
        <v>0</v>
      </c>
      <c r="O6794" s="1" t="str">
        <f t="shared" si="4372"/>
        <v>0</v>
      </c>
    </row>
    <row r="6795" s="1" customFormat="1" spans="1:15">
      <c r="A6795" s="1" t="str">
        <f t="shared" si="4360"/>
        <v>202406</v>
      </c>
      <c r="B6795" s="1" t="str">
        <f t="shared" si="4361"/>
        <v>150525100</v>
      </c>
      <c r="C6795" s="1" t="str">
        <f>"1014624133"</f>
        <v>1014624133</v>
      </c>
      <c r="D6795" s="1" t="str">
        <f>"150430195110153426"</f>
        <v>150430195110153426</v>
      </c>
      <c r="E6795" s="1" t="s">
        <v>2343</v>
      </c>
      <c r="F6795" s="1" t="s">
        <v>16</v>
      </c>
      <c r="G6795" s="1" t="s">
        <v>17</v>
      </c>
      <c r="H6795" s="1" t="str">
        <f t="shared" si="4370"/>
        <v>73</v>
      </c>
      <c r="I6795" s="1" t="str">
        <f t="shared" si="4368"/>
        <v>160</v>
      </c>
      <c r="J6795" s="1" t="str">
        <f t="shared" ref="J6795:O6795" si="4373">"0"</f>
        <v>0</v>
      </c>
      <c r="K6795" s="1" t="str">
        <f t="shared" si="4352"/>
        <v>103</v>
      </c>
      <c r="L6795" s="1" t="str">
        <f t="shared" si="4353"/>
        <v>47</v>
      </c>
      <c r="M6795" s="1" t="str">
        <f t="shared" si="4373"/>
        <v>0</v>
      </c>
      <c r="N6795" s="1" t="str">
        <f t="shared" si="4373"/>
        <v>0</v>
      </c>
      <c r="O6795" s="1" t="str">
        <f t="shared" si="4373"/>
        <v>0</v>
      </c>
    </row>
    <row r="6796" s="1" customFormat="1" spans="1:15">
      <c r="A6796" s="1" t="str">
        <f t="shared" si="4360"/>
        <v>202406</v>
      </c>
      <c r="B6796" s="1" t="str">
        <f t="shared" si="4361"/>
        <v>150525100</v>
      </c>
      <c r="C6796" s="1" t="str">
        <f>"1014619785"</f>
        <v>1014619785</v>
      </c>
      <c r="D6796" s="1" t="str">
        <f>"152326195111110673"</f>
        <v>152326195111110673</v>
      </c>
      <c r="E6796" s="1" t="s">
        <v>6595</v>
      </c>
      <c r="F6796" s="1" t="s">
        <v>25</v>
      </c>
      <c r="G6796" s="1" t="s">
        <v>19</v>
      </c>
      <c r="H6796" s="1" t="str">
        <f t="shared" si="4370"/>
        <v>73</v>
      </c>
      <c r="I6796" s="1" t="str">
        <f>"1799.5"</f>
        <v>1799.5</v>
      </c>
      <c r="J6796" s="1" t="str">
        <f>"1619.55"</f>
        <v>1619.55</v>
      </c>
      <c r="K6796" s="1" t="str">
        <f>"1030"</f>
        <v>1030</v>
      </c>
      <c r="L6796" s="1" t="str">
        <f>"470"</f>
        <v>470</v>
      </c>
      <c r="M6796" s="1" t="str">
        <f>"0"</f>
        <v>0</v>
      </c>
      <c r="N6796" s="1" t="str">
        <f>"199.5"</f>
        <v>199.5</v>
      </c>
      <c r="O6796" s="1" t="str">
        <f>"0"</f>
        <v>0</v>
      </c>
    </row>
    <row r="6797" s="1" customFormat="1" spans="1:15">
      <c r="A6797" s="1" t="str">
        <f t="shared" si="4360"/>
        <v>202406</v>
      </c>
      <c r="B6797" s="1" t="str">
        <f t="shared" si="4361"/>
        <v>150525100</v>
      </c>
      <c r="C6797" s="1" t="str">
        <f>"1014619789"</f>
        <v>1014619789</v>
      </c>
      <c r="D6797" s="1" t="s">
        <v>6596</v>
      </c>
      <c r="E6797" s="1" t="s">
        <v>6597</v>
      </c>
      <c r="F6797" s="1" t="s">
        <v>25</v>
      </c>
      <c r="G6797" s="1" t="s">
        <v>19</v>
      </c>
      <c r="H6797" s="1" t="str">
        <f>"75"</f>
        <v>75</v>
      </c>
      <c r="I6797" s="1" t="str">
        <f t="shared" ref="I6797:I6802" si="4374">"160"</f>
        <v>160</v>
      </c>
      <c r="J6797" s="1" t="str">
        <f t="shared" ref="J6797:O6797" si="4375">"0"</f>
        <v>0</v>
      </c>
      <c r="K6797" s="1" t="str">
        <f t="shared" ref="K6797:K6811" si="4376">"103"</f>
        <v>103</v>
      </c>
      <c r="L6797" s="1" t="str">
        <f t="shared" ref="L6797:L6811" si="4377">"47"</f>
        <v>47</v>
      </c>
      <c r="M6797" s="1" t="str">
        <f t="shared" si="4375"/>
        <v>0</v>
      </c>
      <c r="N6797" s="1" t="str">
        <f t="shared" si="4375"/>
        <v>0</v>
      </c>
      <c r="O6797" s="1" t="str">
        <f t="shared" si="4375"/>
        <v>0</v>
      </c>
    </row>
    <row r="6798" s="1" customFormat="1" spans="1:15">
      <c r="A6798" s="1" t="str">
        <f t="shared" si="4360"/>
        <v>202406</v>
      </c>
      <c r="B6798" s="1" t="str">
        <f t="shared" si="4361"/>
        <v>150525100</v>
      </c>
      <c r="C6798" s="1" t="str">
        <f>"1014589215"</f>
        <v>1014589215</v>
      </c>
      <c r="D6798" s="1" t="str">
        <f>"152326195401140416"</f>
        <v>152326195401140416</v>
      </c>
      <c r="E6798" s="1" t="s">
        <v>6598</v>
      </c>
      <c r="F6798" s="1" t="s">
        <v>25</v>
      </c>
      <c r="G6798" s="1" t="s">
        <v>17</v>
      </c>
      <c r="H6798" s="1" t="str">
        <f>"70"</f>
        <v>70</v>
      </c>
      <c r="I6798" s="1" t="str">
        <f>"164.15"</f>
        <v>164.15</v>
      </c>
      <c r="J6798" s="1" t="str">
        <f t="shared" ref="J6798:N6798" si="4378">"0"</f>
        <v>0</v>
      </c>
      <c r="K6798" s="1" t="str">
        <f t="shared" si="4376"/>
        <v>103</v>
      </c>
      <c r="L6798" s="1" t="str">
        <f t="shared" si="4377"/>
        <v>47</v>
      </c>
      <c r="M6798" s="1" t="str">
        <f t="shared" si="4378"/>
        <v>0</v>
      </c>
      <c r="N6798" s="1" t="str">
        <f t="shared" si="4378"/>
        <v>0</v>
      </c>
      <c r="O6798" s="1" t="str">
        <f>"4.15"</f>
        <v>4.15</v>
      </c>
    </row>
    <row r="6799" s="1" customFormat="1" spans="1:15">
      <c r="A6799" s="1" t="str">
        <f t="shared" si="4360"/>
        <v>202406</v>
      </c>
      <c r="B6799" s="1" t="str">
        <f t="shared" si="4361"/>
        <v>150525100</v>
      </c>
      <c r="C6799" s="1" t="str">
        <f>"1014589222"</f>
        <v>1014589222</v>
      </c>
      <c r="D6799" s="1" t="str">
        <f>"152326195703140411"</f>
        <v>152326195703140411</v>
      </c>
      <c r="E6799" s="1" t="s">
        <v>6599</v>
      </c>
      <c r="F6799" s="1" t="s">
        <v>25</v>
      </c>
      <c r="G6799" s="1" t="s">
        <v>17</v>
      </c>
      <c r="H6799" s="1" t="str">
        <f>"67"</f>
        <v>67</v>
      </c>
      <c r="I6799" s="1" t="str">
        <f>"156.05"</f>
        <v>156.05</v>
      </c>
      <c r="J6799" s="1" t="str">
        <f t="shared" ref="J6799:N6799" si="4379">"0"</f>
        <v>0</v>
      </c>
      <c r="K6799" s="1" t="str">
        <f t="shared" si="4376"/>
        <v>103</v>
      </c>
      <c r="L6799" s="1" t="str">
        <f t="shared" si="4377"/>
        <v>47</v>
      </c>
      <c r="M6799" s="1" t="str">
        <f t="shared" si="4379"/>
        <v>0</v>
      </c>
      <c r="N6799" s="1" t="str">
        <f t="shared" si="4379"/>
        <v>0</v>
      </c>
      <c r="O6799" s="1" t="str">
        <f>"6.05"</f>
        <v>6.05</v>
      </c>
    </row>
    <row r="6800" s="1" customFormat="1" spans="1:15">
      <c r="A6800" s="1" t="str">
        <f t="shared" si="4360"/>
        <v>202406</v>
      </c>
      <c r="B6800" s="1" t="str">
        <f t="shared" si="4361"/>
        <v>150525100</v>
      </c>
      <c r="C6800" s="1" t="str">
        <f>"1014613360"</f>
        <v>1014613360</v>
      </c>
      <c r="D6800" s="1" t="str">
        <f>"152326194611123839"</f>
        <v>152326194611123839</v>
      </c>
      <c r="E6800" s="1" t="s">
        <v>6600</v>
      </c>
      <c r="F6800" s="1" t="s">
        <v>25</v>
      </c>
      <c r="G6800" s="1" t="s">
        <v>17</v>
      </c>
      <c r="H6800" s="1" t="str">
        <f>"78"</f>
        <v>78</v>
      </c>
      <c r="I6800" s="1" t="str">
        <f t="shared" si="4374"/>
        <v>160</v>
      </c>
      <c r="J6800" s="1" t="str">
        <f t="shared" ref="J6800:O6800" si="4380">"0"</f>
        <v>0</v>
      </c>
      <c r="K6800" s="1" t="str">
        <f t="shared" si="4376"/>
        <v>103</v>
      </c>
      <c r="L6800" s="1" t="str">
        <f t="shared" si="4377"/>
        <v>47</v>
      </c>
      <c r="M6800" s="1" t="str">
        <f t="shared" si="4380"/>
        <v>0</v>
      </c>
      <c r="N6800" s="1" t="str">
        <f t="shared" si="4380"/>
        <v>0</v>
      </c>
      <c r="O6800" s="1" t="str">
        <f t="shared" si="4380"/>
        <v>0</v>
      </c>
    </row>
    <row r="6801" s="1" customFormat="1" spans="1:15">
      <c r="A6801" s="1" t="str">
        <f t="shared" si="4360"/>
        <v>202406</v>
      </c>
      <c r="B6801" s="1" t="str">
        <f t="shared" si="4361"/>
        <v>150525100</v>
      </c>
      <c r="C6801" s="1" t="str">
        <f>"1014613364"</f>
        <v>1014613364</v>
      </c>
      <c r="D6801" s="1" t="str">
        <f>"152326194903303815"</f>
        <v>152326194903303815</v>
      </c>
      <c r="E6801" s="1" t="s">
        <v>6601</v>
      </c>
      <c r="F6801" s="1" t="s">
        <v>25</v>
      </c>
      <c r="G6801" s="1" t="s">
        <v>17</v>
      </c>
      <c r="H6801" s="1" t="str">
        <f>"75"</f>
        <v>75</v>
      </c>
      <c r="I6801" s="1" t="str">
        <f t="shared" si="4374"/>
        <v>160</v>
      </c>
      <c r="J6801" s="1" t="str">
        <f t="shared" ref="J6801:O6801" si="4381">"0"</f>
        <v>0</v>
      </c>
      <c r="K6801" s="1" t="str">
        <f t="shared" si="4376"/>
        <v>103</v>
      </c>
      <c r="L6801" s="1" t="str">
        <f t="shared" si="4377"/>
        <v>47</v>
      </c>
      <c r="M6801" s="1" t="str">
        <f t="shared" si="4381"/>
        <v>0</v>
      </c>
      <c r="N6801" s="1" t="str">
        <f t="shared" si="4381"/>
        <v>0</v>
      </c>
      <c r="O6801" s="1" t="str">
        <f t="shared" si="4381"/>
        <v>0</v>
      </c>
    </row>
    <row r="6802" s="1" customFormat="1" spans="1:15">
      <c r="A6802" s="1" t="str">
        <f t="shared" si="4360"/>
        <v>202406</v>
      </c>
      <c r="B6802" s="1" t="str">
        <f t="shared" si="4361"/>
        <v>150525100</v>
      </c>
      <c r="C6802" s="1" t="str">
        <f>"1014622399"</f>
        <v>1014622399</v>
      </c>
      <c r="D6802" s="1" t="str">
        <f>"152326194603140663"</f>
        <v>152326194603140663</v>
      </c>
      <c r="E6802" s="1" t="s">
        <v>6602</v>
      </c>
      <c r="F6802" s="1" t="s">
        <v>16</v>
      </c>
      <c r="G6802" s="1" t="s">
        <v>96</v>
      </c>
      <c r="H6802" s="1" t="str">
        <f>"78"</f>
        <v>78</v>
      </c>
      <c r="I6802" s="1" t="str">
        <f t="shared" si="4374"/>
        <v>160</v>
      </c>
      <c r="J6802" s="1" t="str">
        <f t="shared" ref="J6802:O6802" si="4382">"0"</f>
        <v>0</v>
      </c>
      <c r="K6802" s="1" t="str">
        <f t="shared" si="4376"/>
        <v>103</v>
      </c>
      <c r="L6802" s="1" t="str">
        <f t="shared" si="4377"/>
        <v>47</v>
      </c>
      <c r="M6802" s="1" t="str">
        <f t="shared" si="4382"/>
        <v>0</v>
      </c>
      <c r="N6802" s="1" t="str">
        <f t="shared" si="4382"/>
        <v>0</v>
      </c>
      <c r="O6802" s="1" t="str">
        <f t="shared" si="4382"/>
        <v>0</v>
      </c>
    </row>
    <row r="6803" s="1" customFormat="1" spans="1:15">
      <c r="A6803" s="1" t="str">
        <f t="shared" si="4360"/>
        <v>202406</v>
      </c>
      <c r="B6803" s="1" t="str">
        <f t="shared" si="4361"/>
        <v>150525100</v>
      </c>
      <c r="C6803" s="1" t="str">
        <f>"1014624168"</f>
        <v>1014624168</v>
      </c>
      <c r="D6803" s="1" t="str">
        <f>"152326193701153076"</f>
        <v>152326193701153076</v>
      </c>
      <c r="E6803" s="1" t="s">
        <v>3928</v>
      </c>
      <c r="F6803" s="1" t="s">
        <v>25</v>
      </c>
      <c r="G6803" s="1" t="s">
        <v>17</v>
      </c>
      <c r="H6803" s="1" t="str">
        <f>"87"</f>
        <v>87</v>
      </c>
      <c r="I6803" s="1" t="str">
        <f>"170"</f>
        <v>170</v>
      </c>
      <c r="J6803" s="1" t="str">
        <f t="shared" ref="J6803:O6803" si="4383">"0"</f>
        <v>0</v>
      </c>
      <c r="K6803" s="1" t="str">
        <f t="shared" si="4376"/>
        <v>103</v>
      </c>
      <c r="L6803" s="1" t="str">
        <f t="shared" si="4377"/>
        <v>47</v>
      </c>
      <c r="M6803" s="1" t="str">
        <f t="shared" si="4383"/>
        <v>0</v>
      </c>
      <c r="N6803" s="1" t="str">
        <f t="shared" si="4383"/>
        <v>0</v>
      </c>
      <c r="O6803" s="1" t="str">
        <f t="shared" si="4383"/>
        <v>0</v>
      </c>
    </row>
    <row r="6804" s="1" customFormat="1" spans="1:15">
      <c r="A6804" s="1" t="str">
        <f t="shared" si="4360"/>
        <v>202406</v>
      </c>
      <c r="B6804" s="1" t="str">
        <f t="shared" si="4361"/>
        <v>150525100</v>
      </c>
      <c r="C6804" s="1" t="str">
        <f>"1014624184"</f>
        <v>1014624184</v>
      </c>
      <c r="D6804" s="1" t="str">
        <f>"152326194709143811"</f>
        <v>152326194709143811</v>
      </c>
      <c r="E6804" s="1" t="s">
        <v>6603</v>
      </c>
      <c r="F6804" s="1" t="s">
        <v>25</v>
      </c>
      <c r="G6804" s="1" t="s">
        <v>17</v>
      </c>
      <c r="H6804" s="1" t="str">
        <f>"77"</f>
        <v>77</v>
      </c>
      <c r="I6804" s="1" t="str">
        <f t="shared" ref="I6804:I6807" si="4384">"160"</f>
        <v>160</v>
      </c>
      <c r="J6804" s="1" t="str">
        <f t="shared" ref="J6804:O6804" si="4385">"0"</f>
        <v>0</v>
      </c>
      <c r="K6804" s="1" t="str">
        <f t="shared" si="4376"/>
        <v>103</v>
      </c>
      <c r="L6804" s="1" t="str">
        <f t="shared" si="4377"/>
        <v>47</v>
      </c>
      <c r="M6804" s="1" t="str">
        <f t="shared" si="4385"/>
        <v>0</v>
      </c>
      <c r="N6804" s="1" t="str">
        <f t="shared" si="4385"/>
        <v>0</v>
      </c>
      <c r="O6804" s="1" t="str">
        <f t="shared" si="4385"/>
        <v>0</v>
      </c>
    </row>
    <row r="6805" s="1" customFormat="1" spans="1:15">
      <c r="A6805" s="1" t="str">
        <f t="shared" si="4360"/>
        <v>202406</v>
      </c>
      <c r="B6805" s="1" t="str">
        <f t="shared" si="4361"/>
        <v>150525100</v>
      </c>
      <c r="C6805" s="1" t="str">
        <f>"1014589252"</f>
        <v>1014589252</v>
      </c>
      <c r="D6805" s="1" t="str">
        <f>"152326195311070418"</f>
        <v>152326195311070418</v>
      </c>
      <c r="E6805" s="1" t="s">
        <v>6604</v>
      </c>
      <c r="F6805" s="1" t="s">
        <v>25</v>
      </c>
      <c r="G6805" s="1" t="s">
        <v>17</v>
      </c>
      <c r="H6805" s="1" t="str">
        <f>"71"</f>
        <v>71</v>
      </c>
      <c r="I6805" s="1" t="str">
        <f>"163.16"</f>
        <v>163.16</v>
      </c>
      <c r="J6805" s="1" t="str">
        <f t="shared" ref="J6805:N6805" si="4386">"0"</f>
        <v>0</v>
      </c>
      <c r="K6805" s="1" t="str">
        <f t="shared" si="4376"/>
        <v>103</v>
      </c>
      <c r="L6805" s="1" t="str">
        <f t="shared" si="4377"/>
        <v>47</v>
      </c>
      <c r="M6805" s="1" t="str">
        <f t="shared" si="4386"/>
        <v>0</v>
      </c>
      <c r="N6805" s="1" t="str">
        <f t="shared" si="4386"/>
        <v>0</v>
      </c>
      <c r="O6805" s="1" t="str">
        <f>"3.16"</f>
        <v>3.16</v>
      </c>
    </row>
    <row r="6806" s="1" customFormat="1" spans="1:15">
      <c r="A6806" s="1" t="str">
        <f t="shared" si="4360"/>
        <v>202406</v>
      </c>
      <c r="B6806" s="1" t="str">
        <f t="shared" si="4361"/>
        <v>150525100</v>
      </c>
      <c r="C6806" s="1" t="str">
        <f>"1015307353"</f>
        <v>1015307353</v>
      </c>
      <c r="D6806" s="1" t="str">
        <f>"152326194810030424"</f>
        <v>152326194810030424</v>
      </c>
      <c r="E6806" s="1" t="s">
        <v>1177</v>
      </c>
      <c r="F6806" s="1" t="s">
        <v>16</v>
      </c>
      <c r="G6806" s="1" t="s">
        <v>17</v>
      </c>
      <c r="H6806" s="1" t="str">
        <f>"76"</f>
        <v>76</v>
      </c>
      <c r="I6806" s="1" t="str">
        <f t="shared" si="4384"/>
        <v>160</v>
      </c>
      <c r="J6806" s="1" t="str">
        <f t="shared" ref="J6806:O6806" si="4387">"0"</f>
        <v>0</v>
      </c>
      <c r="K6806" s="1" t="str">
        <f t="shared" si="4376"/>
        <v>103</v>
      </c>
      <c r="L6806" s="1" t="str">
        <f t="shared" si="4377"/>
        <v>47</v>
      </c>
      <c r="M6806" s="1" t="str">
        <f t="shared" si="4387"/>
        <v>0</v>
      </c>
      <c r="N6806" s="1" t="str">
        <f t="shared" si="4387"/>
        <v>0</v>
      </c>
      <c r="O6806" s="1" t="str">
        <f t="shared" si="4387"/>
        <v>0</v>
      </c>
    </row>
    <row r="6807" s="1" customFormat="1" spans="1:15">
      <c r="A6807" s="1" t="str">
        <f t="shared" si="4360"/>
        <v>202406</v>
      </c>
      <c r="B6807" s="1" t="str">
        <f t="shared" si="4361"/>
        <v>150525100</v>
      </c>
      <c r="C6807" s="1" t="str">
        <f>"1015307355"</f>
        <v>1015307355</v>
      </c>
      <c r="D6807" s="1" t="s">
        <v>6605</v>
      </c>
      <c r="E6807" s="1" t="s">
        <v>6606</v>
      </c>
      <c r="F6807" s="1" t="s">
        <v>16</v>
      </c>
      <c r="G6807" s="1" t="s">
        <v>19</v>
      </c>
      <c r="H6807" s="1" t="str">
        <f>"78"</f>
        <v>78</v>
      </c>
      <c r="I6807" s="1" t="str">
        <f t="shared" si="4384"/>
        <v>160</v>
      </c>
      <c r="J6807" s="1" t="str">
        <f t="shared" ref="J6807:O6807" si="4388">"0"</f>
        <v>0</v>
      </c>
      <c r="K6807" s="1" t="str">
        <f t="shared" si="4376"/>
        <v>103</v>
      </c>
      <c r="L6807" s="1" t="str">
        <f t="shared" si="4377"/>
        <v>47</v>
      </c>
      <c r="M6807" s="1" t="str">
        <f t="shared" si="4388"/>
        <v>0</v>
      </c>
      <c r="N6807" s="1" t="str">
        <f t="shared" si="4388"/>
        <v>0</v>
      </c>
      <c r="O6807" s="1" t="str">
        <f t="shared" si="4388"/>
        <v>0</v>
      </c>
    </row>
    <row r="6808" s="1" customFormat="1" spans="1:15">
      <c r="A6808" s="1" t="str">
        <f t="shared" si="4360"/>
        <v>202406</v>
      </c>
      <c r="B6808" s="1" t="str">
        <f t="shared" si="4361"/>
        <v>150525100</v>
      </c>
      <c r="C6808" s="1" t="str">
        <f>"1014623194"</f>
        <v>1014623194</v>
      </c>
      <c r="D6808" s="1" t="str">
        <f>"152326193410293079"</f>
        <v>152326193410293079</v>
      </c>
      <c r="E6808" s="1" t="s">
        <v>6607</v>
      </c>
      <c r="F6808" s="1" t="s">
        <v>25</v>
      </c>
      <c r="G6808" s="1" t="s">
        <v>17</v>
      </c>
      <c r="H6808" s="1" t="str">
        <f>"90"</f>
        <v>90</v>
      </c>
      <c r="I6808" s="1" t="str">
        <f>"170"</f>
        <v>170</v>
      </c>
      <c r="J6808" s="1" t="str">
        <f t="shared" ref="J6808:O6808" si="4389">"0"</f>
        <v>0</v>
      </c>
      <c r="K6808" s="1" t="str">
        <f t="shared" si="4376"/>
        <v>103</v>
      </c>
      <c r="L6808" s="1" t="str">
        <f t="shared" si="4377"/>
        <v>47</v>
      </c>
      <c r="M6808" s="1" t="str">
        <f t="shared" si="4389"/>
        <v>0</v>
      </c>
      <c r="N6808" s="1" t="str">
        <f t="shared" si="4389"/>
        <v>0</v>
      </c>
      <c r="O6808" s="1" t="str">
        <f t="shared" si="4389"/>
        <v>0</v>
      </c>
    </row>
    <row r="6809" s="1" customFormat="1" spans="1:15">
      <c r="A6809" s="1" t="str">
        <f t="shared" si="4360"/>
        <v>202406</v>
      </c>
      <c r="B6809" s="1" t="str">
        <f t="shared" si="4361"/>
        <v>150525100</v>
      </c>
      <c r="C6809" s="1" t="str">
        <f>"1014623217"</f>
        <v>1014623217</v>
      </c>
      <c r="D6809" s="1" t="str">
        <f>"152326195006053814"</f>
        <v>152326195006053814</v>
      </c>
      <c r="E6809" s="1" t="s">
        <v>6608</v>
      </c>
      <c r="F6809" s="1" t="s">
        <v>25</v>
      </c>
      <c r="G6809" s="1" t="s">
        <v>17</v>
      </c>
      <c r="H6809" s="1" t="str">
        <f>"74"</f>
        <v>74</v>
      </c>
      <c r="I6809" s="1" t="str">
        <f>"160"</f>
        <v>160</v>
      </c>
      <c r="J6809" s="1" t="str">
        <f t="shared" ref="J6809:O6809" si="4390">"0"</f>
        <v>0</v>
      </c>
      <c r="K6809" s="1" t="str">
        <f t="shared" si="4376"/>
        <v>103</v>
      </c>
      <c r="L6809" s="1" t="str">
        <f t="shared" si="4377"/>
        <v>47</v>
      </c>
      <c r="M6809" s="1" t="str">
        <f t="shared" si="4390"/>
        <v>0</v>
      </c>
      <c r="N6809" s="1" t="str">
        <f t="shared" si="4390"/>
        <v>0</v>
      </c>
      <c r="O6809" s="1" t="str">
        <f t="shared" si="4390"/>
        <v>0</v>
      </c>
    </row>
    <row r="6810" s="1" customFormat="1" spans="1:15">
      <c r="A6810" s="1" t="str">
        <f t="shared" si="4360"/>
        <v>202406</v>
      </c>
      <c r="B6810" s="1" t="str">
        <f t="shared" si="4361"/>
        <v>150525100</v>
      </c>
      <c r="C6810" s="1" t="str">
        <f>"1014589293"</f>
        <v>1014589293</v>
      </c>
      <c r="D6810" s="1" t="s">
        <v>6609</v>
      </c>
      <c r="E6810" s="1" t="s">
        <v>6610</v>
      </c>
      <c r="F6810" s="1" t="s">
        <v>25</v>
      </c>
      <c r="G6810" s="1" t="s">
        <v>17</v>
      </c>
      <c r="H6810" s="1" t="str">
        <f>"67"</f>
        <v>67</v>
      </c>
      <c r="I6810" s="1" t="str">
        <f>"156.03"</f>
        <v>156.03</v>
      </c>
      <c r="J6810" s="1" t="str">
        <f t="shared" ref="J6810:N6810" si="4391">"0"</f>
        <v>0</v>
      </c>
      <c r="K6810" s="1" t="str">
        <f t="shared" si="4376"/>
        <v>103</v>
      </c>
      <c r="L6810" s="1" t="str">
        <f t="shared" si="4377"/>
        <v>47</v>
      </c>
      <c r="M6810" s="1" t="str">
        <f t="shared" si="4391"/>
        <v>0</v>
      </c>
      <c r="N6810" s="1" t="str">
        <f t="shared" si="4391"/>
        <v>0</v>
      </c>
      <c r="O6810" s="1" t="str">
        <f>"6.03"</f>
        <v>6.03</v>
      </c>
    </row>
    <row r="6811" s="1" customFormat="1" spans="1:15">
      <c r="A6811" s="1" t="str">
        <f t="shared" si="4360"/>
        <v>202406</v>
      </c>
      <c r="B6811" s="1" t="str">
        <f t="shared" si="4361"/>
        <v>150525100</v>
      </c>
      <c r="C6811" s="1" t="str">
        <f>"1014613434"</f>
        <v>1014613434</v>
      </c>
      <c r="D6811" s="1" t="str">
        <f>"152326194210203328"</f>
        <v>152326194210203328</v>
      </c>
      <c r="E6811" s="1" t="s">
        <v>367</v>
      </c>
      <c r="F6811" s="1" t="s">
        <v>16</v>
      </c>
      <c r="G6811" s="1" t="s">
        <v>17</v>
      </c>
      <c r="H6811" s="1" t="str">
        <f>"82"</f>
        <v>82</v>
      </c>
      <c r="I6811" s="1" t="str">
        <f t="shared" ref="I6811:I6817" si="4392">"170"</f>
        <v>170</v>
      </c>
      <c r="J6811" s="1" t="str">
        <f t="shared" ref="J6811:O6811" si="4393">"0"</f>
        <v>0</v>
      </c>
      <c r="K6811" s="1" t="str">
        <f t="shared" si="4376"/>
        <v>103</v>
      </c>
      <c r="L6811" s="1" t="str">
        <f t="shared" si="4377"/>
        <v>47</v>
      </c>
      <c r="M6811" s="1" t="str">
        <f t="shared" si="4393"/>
        <v>0</v>
      </c>
      <c r="N6811" s="1" t="str">
        <f t="shared" si="4393"/>
        <v>0</v>
      </c>
      <c r="O6811" s="1" t="str">
        <f t="shared" si="4393"/>
        <v>0</v>
      </c>
    </row>
    <row r="6812" s="1" customFormat="1" spans="1:15">
      <c r="A6812" s="1" t="str">
        <f t="shared" si="4360"/>
        <v>202406</v>
      </c>
      <c r="B6812" s="1" t="str">
        <f t="shared" si="4361"/>
        <v>150525100</v>
      </c>
      <c r="C6812" s="1" t="str">
        <f>"1014622051"</f>
        <v>1014622051</v>
      </c>
      <c r="D6812" s="1" t="str">
        <f>"152326194701190410"</f>
        <v>152326194701190410</v>
      </c>
      <c r="E6812" s="1" t="s">
        <v>6611</v>
      </c>
      <c r="F6812" s="1" t="s">
        <v>25</v>
      </c>
      <c r="G6812" s="1" t="s">
        <v>17</v>
      </c>
      <c r="H6812" s="1" t="str">
        <f>"77"</f>
        <v>77</v>
      </c>
      <c r="I6812" s="1" t="str">
        <f>"960"</f>
        <v>960</v>
      </c>
      <c r="J6812" s="1" t="str">
        <f>"800"</f>
        <v>800</v>
      </c>
      <c r="K6812" s="1" t="str">
        <f>"618"</f>
        <v>618</v>
      </c>
      <c r="L6812" s="1" t="str">
        <f>"282"</f>
        <v>282</v>
      </c>
      <c r="M6812" s="1" t="str">
        <f t="shared" ref="M6812:O6812" si="4394">"0"</f>
        <v>0</v>
      </c>
      <c r="N6812" s="1" t="str">
        <f t="shared" si="4394"/>
        <v>0</v>
      </c>
      <c r="O6812" s="1" t="str">
        <f t="shared" si="4394"/>
        <v>0</v>
      </c>
    </row>
    <row r="6813" s="1" customFormat="1" spans="1:15">
      <c r="A6813" s="1" t="str">
        <f t="shared" si="4360"/>
        <v>202406</v>
      </c>
      <c r="B6813" s="1" t="str">
        <f t="shared" si="4361"/>
        <v>150525100</v>
      </c>
      <c r="C6813" s="1" t="str">
        <f>"1014624244"</f>
        <v>1014624244</v>
      </c>
      <c r="D6813" s="1" t="str">
        <f>"152326195012140682"</f>
        <v>152326195012140682</v>
      </c>
      <c r="E6813" s="1" t="s">
        <v>4446</v>
      </c>
      <c r="F6813" s="1" t="s">
        <v>16</v>
      </c>
      <c r="G6813" s="1" t="s">
        <v>17</v>
      </c>
      <c r="H6813" s="1" t="str">
        <f>"74"</f>
        <v>74</v>
      </c>
      <c r="I6813" s="1" t="str">
        <f>"160"</f>
        <v>160</v>
      </c>
      <c r="J6813" s="1" t="str">
        <f t="shared" ref="J6813:O6813" si="4395">"0"</f>
        <v>0</v>
      </c>
      <c r="K6813" s="1" t="str">
        <f t="shared" ref="K6813:K6830" si="4396">"103"</f>
        <v>103</v>
      </c>
      <c r="L6813" s="1" t="str">
        <f t="shared" ref="L6813:L6830" si="4397">"47"</f>
        <v>47</v>
      </c>
      <c r="M6813" s="1" t="str">
        <f t="shared" si="4395"/>
        <v>0</v>
      </c>
      <c r="N6813" s="1" t="str">
        <f t="shared" si="4395"/>
        <v>0</v>
      </c>
      <c r="O6813" s="1" t="str">
        <f t="shared" si="4395"/>
        <v>0</v>
      </c>
    </row>
    <row r="6814" s="1" customFormat="1" spans="1:15">
      <c r="A6814" s="1" t="str">
        <f t="shared" si="4360"/>
        <v>202406</v>
      </c>
      <c r="B6814" s="1" t="str">
        <f t="shared" si="4361"/>
        <v>150525100</v>
      </c>
      <c r="C6814" s="1" t="str">
        <f>"1014624246"</f>
        <v>1014624246</v>
      </c>
      <c r="D6814" s="1" t="str">
        <f>"152326194112260679"</f>
        <v>152326194112260679</v>
      </c>
      <c r="E6814" s="1" t="s">
        <v>6612</v>
      </c>
      <c r="F6814" s="1" t="s">
        <v>25</v>
      </c>
      <c r="G6814" s="1" t="s">
        <v>17</v>
      </c>
      <c r="H6814" s="1" t="str">
        <f>"83"</f>
        <v>83</v>
      </c>
      <c r="I6814" s="1" t="str">
        <f t="shared" si="4392"/>
        <v>170</v>
      </c>
      <c r="J6814" s="1" t="str">
        <f t="shared" ref="J6814:O6814" si="4398">"0"</f>
        <v>0</v>
      </c>
      <c r="K6814" s="1" t="str">
        <f t="shared" si="4396"/>
        <v>103</v>
      </c>
      <c r="L6814" s="1" t="str">
        <f t="shared" si="4397"/>
        <v>47</v>
      </c>
      <c r="M6814" s="1" t="str">
        <f t="shared" si="4398"/>
        <v>0</v>
      </c>
      <c r="N6814" s="1" t="str">
        <f t="shared" si="4398"/>
        <v>0</v>
      </c>
      <c r="O6814" s="1" t="str">
        <f t="shared" si="4398"/>
        <v>0</v>
      </c>
    </row>
    <row r="6815" s="1" customFormat="1" spans="1:15">
      <c r="A6815" s="1" t="str">
        <f t="shared" si="4360"/>
        <v>202406</v>
      </c>
      <c r="B6815" s="1" t="str">
        <f t="shared" si="4361"/>
        <v>150525100</v>
      </c>
      <c r="C6815" s="1" t="str">
        <f>"1014619208"</f>
        <v>1014619208</v>
      </c>
      <c r="D6815" s="1" t="str">
        <f>"152326193904080663"</f>
        <v>152326193904080663</v>
      </c>
      <c r="E6815" s="1" t="s">
        <v>6613</v>
      </c>
      <c r="F6815" s="1" t="s">
        <v>16</v>
      </c>
      <c r="G6815" s="1" t="s">
        <v>17</v>
      </c>
      <c r="H6815" s="1" t="str">
        <f>"85"</f>
        <v>85</v>
      </c>
      <c r="I6815" s="1" t="str">
        <f t="shared" si="4392"/>
        <v>170</v>
      </c>
      <c r="J6815" s="1" t="str">
        <f t="shared" ref="J6815:O6815" si="4399">"0"</f>
        <v>0</v>
      </c>
      <c r="K6815" s="1" t="str">
        <f t="shared" si="4396"/>
        <v>103</v>
      </c>
      <c r="L6815" s="1" t="str">
        <f t="shared" si="4397"/>
        <v>47</v>
      </c>
      <c r="M6815" s="1" t="str">
        <f t="shared" si="4399"/>
        <v>0</v>
      </c>
      <c r="N6815" s="1" t="str">
        <f t="shared" si="4399"/>
        <v>0</v>
      </c>
      <c r="O6815" s="1" t="str">
        <f t="shared" si="4399"/>
        <v>0</v>
      </c>
    </row>
    <row r="6816" s="1" customFormat="1" spans="1:15">
      <c r="A6816" s="1" t="str">
        <f t="shared" si="4360"/>
        <v>202406</v>
      </c>
      <c r="B6816" s="1" t="str">
        <f t="shared" si="4361"/>
        <v>150525100</v>
      </c>
      <c r="C6816" s="1" t="str">
        <f>"1014619219"</f>
        <v>1014619219</v>
      </c>
      <c r="D6816" s="1" t="str">
        <f>"152326194402120682"</f>
        <v>152326194402120682</v>
      </c>
      <c r="E6816" s="1" t="s">
        <v>610</v>
      </c>
      <c r="F6816" s="1" t="s">
        <v>16</v>
      </c>
      <c r="G6816" s="1" t="s">
        <v>17</v>
      </c>
      <c r="H6816" s="1" t="str">
        <f>"80"</f>
        <v>80</v>
      </c>
      <c r="I6816" s="1" t="str">
        <f t="shared" si="4392"/>
        <v>170</v>
      </c>
      <c r="J6816" s="1" t="str">
        <f t="shared" ref="J6816:O6816" si="4400">"0"</f>
        <v>0</v>
      </c>
      <c r="K6816" s="1" t="str">
        <f t="shared" si="4396"/>
        <v>103</v>
      </c>
      <c r="L6816" s="1" t="str">
        <f t="shared" si="4397"/>
        <v>47</v>
      </c>
      <c r="M6816" s="1" t="str">
        <f t="shared" si="4400"/>
        <v>0</v>
      </c>
      <c r="N6816" s="1" t="str">
        <f t="shared" si="4400"/>
        <v>0</v>
      </c>
      <c r="O6816" s="1" t="str">
        <f t="shared" si="4400"/>
        <v>0</v>
      </c>
    </row>
    <row r="6817" s="1" customFormat="1" spans="1:15">
      <c r="A6817" s="1" t="str">
        <f t="shared" si="4360"/>
        <v>202406</v>
      </c>
      <c r="B6817" s="1" t="str">
        <f t="shared" si="4361"/>
        <v>150525100</v>
      </c>
      <c r="C6817" s="1" t="str">
        <f>"1014622888"</f>
        <v>1014622888</v>
      </c>
      <c r="D6817" s="1" t="str">
        <f>"152326194106020425"</f>
        <v>152326194106020425</v>
      </c>
      <c r="E6817" s="1" t="s">
        <v>6614</v>
      </c>
      <c r="F6817" s="1" t="s">
        <v>16</v>
      </c>
      <c r="G6817" s="1" t="s">
        <v>17</v>
      </c>
      <c r="H6817" s="1" t="str">
        <f>"83"</f>
        <v>83</v>
      </c>
      <c r="I6817" s="1" t="str">
        <f t="shared" si="4392"/>
        <v>170</v>
      </c>
      <c r="J6817" s="1" t="str">
        <f t="shared" ref="J6817:O6817" si="4401">"0"</f>
        <v>0</v>
      </c>
      <c r="K6817" s="1" t="str">
        <f t="shared" si="4396"/>
        <v>103</v>
      </c>
      <c r="L6817" s="1" t="str">
        <f t="shared" si="4397"/>
        <v>47</v>
      </c>
      <c r="M6817" s="1" t="str">
        <f t="shared" si="4401"/>
        <v>0</v>
      </c>
      <c r="N6817" s="1" t="str">
        <f t="shared" si="4401"/>
        <v>0</v>
      </c>
      <c r="O6817" s="1" t="str">
        <f t="shared" si="4401"/>
        <v>0</v>
      </c>
    </row>
    <row r="6818" s="1" customFormat="1" spans="1:15">
      <c r="A6818" s="1" t="str">
        <f t="shared" si="4360"/>
        <v>202406</v>
      </c>
      <c r="B6818" s="1" t="str">
        <f t="shared" si="4361"/>
        <v>150525100</v>
      </c>
      <c r="C6818" s="1" t="str">
        <f>"1014623245"</f>
        <v>1014623245</v>
      </c>
      <c r="D6818" s="1" t="str">
        <f>"152326195112130414"</f>
        <v>152326195112130414</v>
      </c>
      <c r="E6818" s="1" t="s">
        <v>6615</v>
      </c>
      <c r="F6818" s="1" t="s">
        <v>25</v>
      </c>
      <c r="G6818" s="1" t="s">
        <v>17</v>
      </c>
      <c r="H6818" s="1" t="str">
        <f>"73"</f>
        <v>73</v>
      </c>
      <c r="I6818" s="1" t="str">
        <f t="shared" ref="I6818:I6821" si="4402">"160"</f>
        <v>160</v>
      </c>
      <c r="J6818" s="1" t="str">
        <f t="shared" ref="J6818:O6818" si="4403">"0"</f>
        <v>0</v>
      </c>
      <c r="K6818" s="1" t="str">
        <f t="shared" si="4396"/>
        <v>103</v>
      </c>
      <c r="L6818" s="1" t="str">
        <f t="shared" si="4397"/>
        <v>47</v>
      </c>
      <c r="M6818" s="1" t="str">
        <f t="shared" si="4403"/>
        <v>0</v>
      </c>
      <c r="N6818" s="1" t="str">
        <f t="shared" si="4403"/>
        <v>0</v>
      </c>
      <c r="O6818" s="1" t="str">
        <f t="shared" si="4403"/>
        <v>0</v>
      </c>
    </row>
    <row r="6819" s="1" customFormat="1" spans="1:15">
      <c r="A6819" s="1" t="str">
        <f t="shared" si="4360"/>
        <v>202406</v>
      </c>
      <c r="B6819" s="1" t="str">
        <f t="shared" si="4361"/>
        <v>150525100</v>
      </c>
      <c r="C6819" s="1" t="str">
        <f>"1014623687"</f>
        <v>1014623687</v>
      </c>
      <c r="D6819" s="1" t="str">
        <f>"152326195002280411"</f>
        <v>152326195002280411</v>
      </c>
      <c r="E6819" s="1" t="s">
        <v>6616</v>
      </c>
      <c r="F6819" s="1" t="s">
        <v>25</v>
      </c>
      <c r="G6819" s="1" t="s">
        <v>17</v>
      </c>
      <c r="H6819" s="1" t="str">
        <f>"74"</f>
        <v>74</v>
      </c>
      <c r="I6819" s="1" t="str">
        <f t="shared" si="4402"/>
        <v>160</v>
      </c>
      <c r="J6819" s="1" t="str">
        <f t="shared" ref="J6819:O6819" si="4404">"0"</f>
        <v>0</v>
      </c>
      <c r="K6819" s="1" t="str">
        <f t="shared" si="4396"/>
        <v>103</v>
      </c>
      <c r="L6819" s="1" t="str">
        <f t="shared" si="4397"/>
        <v>47</v>
      </c>
      <c r="M6819" s="1" t="str">
        <f t="shared" si="4404"/>
        <v>0</v>
      </c>
      <c r="N6819" s="1" t="str">
        <f t="shared" si="4404"/>
        <v>0</v>
      </c>
      <c r="O6819" s="1" t="str">
        <f t="shared" si="4404"/>
        <v>0</v>
      </c>
    </row>
    <row r="6820" s="1" customFormat="1" spans="1:15">
      <c r="A6820" s="1" t="str">
        <f t="shared" si="4360"/>
        <v>202406</v>
      </c>
      <c r="B6820" s="1" t="str">
        <f t="shared" si="4361"/>
        <v>150525100</v>
      </c>
      <c r="C6820" s="1" t="str">
        <f>"1014623692"</f>
        <v>1014623692</v>
      </c>
      <c r="D6820" s="1" t="str">
        <f>"152326195005200413"</f>
        <v>152326195005200413</v>
      </c>
      <c r="E6820" s="1" t="s">
        <v>6617</v>
      </c>
      <c r="F6820" s="1" t="s">
        <v>25</v>
      </c>
      <c r="G6820" s="1" t="s">
        <v>17</v>
      </c>
      <c r="H6820" s="1" t="str">
        <f>"74"</f>
        <v>74</v>
      </c>
      <c r="I6820" s="1" t="str">
        <f t="shared" si="4402"/>
        <v>160</v>
      </c>
      <c r="J6820" s="1" t="str">
        <f t="shared" ref="J6820:O6820" si="4405">"0"</f>
        <v>0</v>
      </c>
      <c r="K6820" s="1" t="str">
        <f t="shared" si="4396"/>
        <v>103</v>
      </c>
      <c r="L6820" s="1" t="str">
        <f t="shared" si="4397"/>
        <v>47</v>
      </c>
      <c r="M6820" s="1" t="str">
        <f t="shared" si="4405"/>
        <v>0</v>
      </c>
      <c r="N6820" s="1" t="str">
        <f t="shared" si="4405"/>
        <v>0</v>
      </c>
      <c r="O6820" s="1" t="str">
        <f t="shared" si="4405"/>
        <v>0</v>
      </c>
    </row>
    <row r="6821" s="1" customFormat="1" spans="1:15">
      <c r="A6821" s="1" t="str">
        <f t="shared" si="4360"/>
        <v>202406</v>
      </c>
      <c r="B6821" s="1" t="str">
        <f t="shared" si="4361"/>
        <v>150525100</v>
      </c>
      <c r="C6821" s="1" t="str">
        <f>"1014613511"</f>
        <v>1014613511</v>
      </c>
      <c r="D6821" s="1" t="s">
        <v>6618</v>
      </c>
      <c r="E6821" s="1" t="s">
        <v>6619</v>
      </c>
      <c r="F6821" s="1" t="s">
        <v>16</v>
      </c>
      <c r="G6821" s="1" t="s">
        <v>17</v>
      </c>
      <c r="H6821" s="1" t="str">
        <f>"76"</f>
        <v>76</v>
      </c>
      <c r="I6821" s="1" t="str">
        <f t="shared" si="4402"/>
        <v>160</v>
      </c>
      <c r="J6821" s="1" t="str">
        <f t="shared" ref="J6821:O6821" si="4406">"0"</f>
        <v>0</v>
      </c>
      <c r="K6821" s="1" t="str">
        <f t="shared" si="4396"/>
        <v>103</v>
      </c>
      <c r="L6821" s="1" t="str">
        <f t="shared" si="4397"/>
        <v>47</v>
      </c>
      <c r="M6821" s="1" t="str">
        <f t="shared" si="4406"/>
        <v>0</v>
      </c>
      <c r="N6821" s="1" t="str">
        <f t="shared" si="4406"/>
        <v>0</v>
      </c>
      <c r="O6821" s="1" t="str">
        <f t="shared" si="4406"/>
        <v>0</v>
      </c>
    </row>
    <row r="6822" s="1" customFormat="1" spans="1:15">
      <c r="A6822" s="1" t="str">
        <f t="shared" si="4360"/>
        <v>202406</v>
      </c>
      <c r="B6822" s="1" t="str">
        <f t="shared" si="4361"/>
        <v>150525100</v>
      </c>
      <c r="C6822" s="1" t="str">
        <f>"1014624331"</f>
        <v>1014624331</v>
      </c>
      <c r="D6822" s="1" t="str">
        <f>"152326193705190923"</f>
        <v>152326193705190923</v>
      </c>
      <c r="E6822" s="1" t="s">
        <v>6620</v>
      </c>
      <c r="F6822" s="1" t="s">
        <v>16</v>
      </c>
      <c r="G6822" s="1" t="s">
        <v>19</v>
      </c>
      <c r="H6822" s="1" t="str">
        <f>"87"</f>
        <v>87</v>
      </c>
      <c r="I6822" s="1" t="str">
        <f>"170"</f>
        <v>170</v>
      </c>
      <c r="J6822" s="1" t="str">
        <f t="shared" ref="J6822:O6822" si="4407">"0"</f>
        <v>0</v>
      </c>
      <c r="K6822" s="1" t="str">
        <f t="shared" si="4396"/>
        <v>103</v>
      </c>
      <c r="L6822" s="1" t="str">
        <f t="shared" si="4397"/>
        <v>47</v>
      </c>
      <c r="M6822" s="1" t="str">
        <f t="shared" si="4407"/>
        <v>0</v>
      </c>
      <c r="N6822" s="1" t="str">
        <f t="shared" si="4407"/>
        <v>0</v>
      </c>
      <c r="O6822" s="1" t="str">
        <f t="shared" si="4407"/>
        <v>0</v>
      </c>
    </row>
    <row r="6823" s="1" customFormat="1" spans="1:15">
      <c r="A6823" s="1" t="str">
        <f t="shared" si="4360"/>
        <v>202406</v>
      </c>
      <c r="B6823" s="1" t="str">
        <f t="shared" si="4361"/>
        <v>150525100</v>
      </c>
      <c r="C6823" s="1" t="str">
        <f>"1014619309"</f>
        <v>1014619309</v>
      </c>
      <c r="D6823" s="1" t="str">
        <f>"152326194511170662"</f>
        <v>152326194511170662</v>
      </c>
      <c r="E6823" s="1" t="s">
        <v>6621</v>
      </c>
      <c r="F6823" s="1" t="s">
        <v>16</v>
      </c>
      <c r="G6823" s="1" t="s">
        <v>19</v>
      </c>
      <c r="H6823" s="1" t="str">
        <f>"79"</f>
        <v>79</v>
      </c>
      <c r="I6823" s="1" t="str">
        <f t="shared" ref="I6823:I6829" si="4408">"160"</f>
        <v>160</v>
      </c>
      <c r="J6823" s="1" t="str">
        <f t="shared" ref="J6823:O6823" si="4409">"0"</f>
        <v>0</v>
      </c>
      <c r="K6823" s="1" t="str">
        <f t="shared" si="4396"/>
        <v>103</v>
      </c>
      <c r="L6823" s="1" t="str">
        <f t="shared" si="4397"/>
        <v>47</v>
      </c>
      <c r="M6823" s="1" t="str">
        <f t="shared" si="4409"/>
        <v>0</v>
      </c>
      <c r="N6823" s="1" t="str">
        <f t="shared" si="4409"/>
        <v>0</v>
      </c>
      <c r="O6823" s="1" t="str">
        <f t="shared" si="4409"/>
        <v>0</v>
      </c>
    </row>
    <row r="6824" s="1" customFormat="1" spans="1:15">
      <c r="A6824" s="1" t="str">
        <f t="shared" si="4360"/>
        <v>202406</v>
      </c>
      <c r="B6824" s="1" t="str">
        <f t="shared" si="4361"/>
        <v>150525100</v>
      </c>
      <c r="C6824" s="1" t="str">
        <f>"1014619852"</f>
        <v>1014619852</v>
      </c>
      <c r="D6824" s="1" t="str">
        <f>"152326194602080689"</f>
        <v>152326194602080689</v>
      </c>
      <c r="E6824" s="1" t="s">
        <v>6622</v>
      </c>
      <c r="F6824" s="1" t="s">
        <v>16</v>
      </c>
      <c r="G6824" s="1" t="s">
        <v>17</v>
      </c>
      <c r="H6824" s="1" t="str">
        <f>"78"</f>
        <v>78</v>
      </c>
      <c r="I6824" s="1" t="str">
        <f t="shared" si="4408"/>
        <v>160</v>
      </c>
      <c r="J6824" s="1" t="str">
        <f t="shared" ref="J6824:O6824" si="4410">"0"</f>
        <v>0</v>
      </c>
      <c r="K6824" s="1" t="str">
        <f t="shared" si="4396"/>
        <v>103</v>
      </c>
      <c r="L6824" s="1" t="str">
        <f t="shared" si="4397"/>
        <v>47</v>
      </c>
      <c r="M6824" s="1" t="str">
        <f t="shared" si="4410"/>
        <v>0</v>
      </c>
      <c r="N6824" s="1" t="str">
        <f t="shared" si="4410"/>
        <v>0</v>
      </c>
      <c r="O6824" s="1" t="str">
        <f t="shared" si="4410"/>
        <v>0</v>
      </c>
    </row>
    <row r="6825" s="1" customFormat="1" spans="1:15">
      <c r="A6825" s="1" t="str">
        <f t="shared" si="4360"/>
        <v>202406</v>
      </c>
      <c r="B6825" s="1" t="str">
        <f t="shared" si="4361"/>
        <v>150525100</v>
      </c>
      <c r="C6825" s="1" t="str">
        <f>"1014619865"</f>
        <v>1014619865</v>
      </c>
      <c r="D6825" s="1" t="str">
        <f>"152326194907210667"</f>
        <v>152326194907210667</v>
      </c>
      <c r="E6825" s="1" t="s">
        <v>2395</v>
      </c>
      <c r="F6825" s="1" t="s">
        <v>16</v>
      </c>
      <c r="G6825" s="1" t="s">
        <v>17</v>
      </c>
      <c r="H6825" s="1" t="str">
        <f t="shared" ref="H6825:H6827" si="4411">"75"</f>
        <v>75</v>
      </c>
      <c r="I6825" s="1" t="str">
        <f t="shared" si="4408"/>
        <v>160</v>
      </c>
      <c r="J6825" s="1" t="str">
        <f t="shared" ref="J6825:O6825" si="4412">"0"</f>
        <v>0</v>
      </c>
      <c r="K6825" s="1" t="str">
        <f t="shared" si="4396"/>
        <v>103</v>
      </c>
      <c r="L6825" s="1" t="str">
        <f t="shared" si="4397"/>
        <v>47</v>
      </c>
      <c r="M6825" s="1" t="str">
        <f t="shared" si="4412"/>
        <v>0</v>
      </c>
      <c r="N6825" s="1" t="str">
        <f t="shared" si="4412"/>
        <v>0</v>
      </c>
      <c r="O6825" s="1" t="str">
        <f t="shared" si="4412"/>
        <v>0</v>
      </c>
    </row>
    <row r="6826" s="1" customFormat="1" spans="1:15">
      <c r="A6826" s="1" t="str">
        <f t="shared" si="4360"/>
        <v>202406</v>
      </c>
      <c r="B6826" s="1" t="str">
        <f t="shared" si="4361"/>
        <v>150525100</v>
      </c>
      <c r="C6826" s="1" t="str">
        <f>"1014619880"</f>
        <v>1014619880</v>
      </c>
      <c r="D6826" s="1" t="str">
        <f>"152326194903150687"</f>
        <v>152326194903150687</v>
      </c>
      <c r="E6826" s="1" t="s">
        <v>6623</v>
      </c>
      <c r="F6826" s="1" t="s">
        <v>16</v>
      </c>
      <c r="G6826" s="1" t="s">
        <v>17</v>
      </c>
      <c r="H6826" s="1" t="str">
        <f t="shared" si="4411"/>
        <v>75</v>
      </c>
      <c r="I6826" s="1" t="str">
        <f t="shared" si="4408"/>
        <v>160</v>
      </c>
      <c r="J6826" s="1" t="str">
        <f t="shared" ref="J6826:O6826" si="4413">"0"</f>
        <v>0</v>
      </c>
      <c r="K6826" s="1" t="str">
        <f t="shared" si="4396"/>
        <v>103</v>
      </c>
      <c r="L6826" s="1" t="str">
        <f t="shared" si="4397"/>
        <v>47</v>
      </c>
      <c r="M6826" s="1" t="str">
        <f t="shared" si="4413"/>
        <v>0</v>
      </c>
      <c r="N6826" s="1" t="str">
        <f t="shared" si="4413"/>
        <v>0</v>
      </c>
      <c r="O6826" s="1" t="str">
        <f t="shared" si="4413"/>
        <v>0</v>
      </c>
    </row>
    <row r="6827" s="1" customFormat="1" spans="1:15">
      <c r="A6827" s="1" t="str">
        <f t="shared" si="4360"/>
        <v>202406</v>
      </c>
      <c r="B6827" s="1" t="str">
        <f t="shared" si="4361"/>
        <v>150525100</v>
      </c>
      <c r="C6827" s="1" t="str">
        <f>"1014623764"</f>
        <v>1014623764</v>
      </c>
      <c r="D6827" s="1" t="str">
        <f>"152326194908283817"</f>
        <v>152326194908283817</v>
      </c>
      <c r="E6827" s="1" t="s">
        <v>2925</v>
      </c>
      <c r="F6827" s="1" t="s">
        <v>25</v>
      </c>
      <c r="G6827" s="1" t="s">
        <v>19</v>
      </c>
      <c r="H6827" s="1" t="str">
        <f t="shared" si="4411"/>
        <v>75</v>
      </c>
      <c r="I6827" s="1" t="str">
        <f t="shared" si="4408"/>
        <v>160</v>
      </c>
      <c r="J6827" s="1" t="str">
        <f t="shared" ref="J6827:O6827" si="4414">"0"</f>
        <v>0</v>
      </c>
      <c r="K6827" s="1" t="str">
        <f t="shared" si="4396"/>
        <v>103</v>
      </c>
      <c r="L6827" s="1" t="str">
        <f t="shared" si="4397"/>
        <v>47</v>
      </c>
      <c r="M6827" s="1" t="str">
        <f t="shared" si="4414"/>
        <v>0</v>
      </c>
      <c r="N6827" s="1" t="str">
        <f t="shared" si="4414"/>
        <v>0</v>
      </c>
      <c r="O6827" s="1" t="str">
        <f t="shared" si="4414"/>
        <v>0</v>
      </c>
    </row>
    <row r="6828" s="1" customFormat="1" spans="1:15">
      <c r="A6828" s="1" t="str">
        <f t="shared" si="4360"/>
        <v>202406</v>
      </c>
      <c r="B6828" s="1" t="str">
        <f t="shared" si="4361"/>
        <v>150525100</v>
      </c>
      <c r="C6828" s="1" t="str">
        <f>"1014613461"</f>
        <v>1014613461</v>
      </c>
      <c r="D6828" s="1" t="str">
        <f>"152326195104023328"</f>
        <v>152326195104023328</v>
      </c>
      <c r="E6828" s="1" t="s">
        <v>6624</v>
      </c>
      <c r="F6828" s="1" t="s">
        <v>16</v>
      </c>
      <c r="G6828" s="1" t="s">
        <v>17</v>
      </c>
      <c r="H6828" s="1" t="str">
        <f>"73"</f>
        <v>73</v>
      </c>
      <c r="I6828" s="1" t="str">
        <f t="shared" si="4408"/>
        <v>160</v>
      </c>
      <c r="J6828" s="1" t="str">
        <f t="shared" ref="J6828:O6828" si="4415">"0"</f>
        <v>0</v>
      </c>
      <c r="K6828" s="1" t="str">
        <f t="shared" si="4396"/>
        <v>103</v>
      </c>
      <c r="L6828" s="1" t="str">
        <f t="shared" si="4397"/>
        <v>47</v>
      </c>
      <c r="M6828" s="1" t="str">
        <f t="shared" si="4415"/>
        <v>0</v>
      </c>
      <c r="N6828" s="1" t="str">
        <f t="shared" si="4415"/>
        <v>0</v>
      </c>
      <c r="O6828" s="1" t="str">
        <f t="shared" si="4415"/>
        <v>0</v>
      </c>
    </row>
    <row r="6829" s="1" customFormat="1" spans="1:15">
      <c r="A6829" s="1" t="str">
        <f t="shared" si="4360"/>
        <v>202406</v>
      </c>
      <c r="B6829" s="1" t="str">
        <f t="shared" si="4361"/>
        <v>150525100</v>
      </c>
      <c r="C6829" s="1" t="str">
        <f>"1014622065"</f>
        <v>1014622065</v>
      </c>
      <c r="D6829" s="1" t="s">
        <v>6625</v>
      </c>
      <c r="E6829" s="1" t="s">
        <v>6626</v>
      </c>
      <c r="F6829" s="1" t="s">
        <v>16</v>
      </c>
      <c r="G6829" s="1" t="s">
        <v>19</v>
      </c>
      <c r="H6829" s="1" t="str">
        <f t="shared" ref="H6829:H6834" si="4416">"75"</f>
        <v>75</v>
      </c>
      <c r="I6829" s="1" t="str">
        <f t="shared" si="4408"/>
        <v>160</v>
      </c>
      <c r="J6829" s="1" t="str">
        <f t="shared" ref="J6829:O6829" si="4417">"0"</f>
        <v>0</v>
      </c>
      <c r="K6829" s="1" t="str">
        <f t="shared" si="4396"/>
        <v>103</v>
      </c>
      <c r="L6829" s="1" t="str">
        <f t="shared" si="4397"/>
        <v>47</v>
      </c>
      <c r="M6829" s="1" t="str">
        <f t="shared" si="4417"/>
        <v>0</v>
      </c>
      <c r="N6829" s="1" t="str">
        <f t="shared" si="4417"/>
        <v>0</v>
      </c>
      <c r="O6829" s="1" t="str">
        <f t="shared" si="4417"/>
        <v>0</v>
      </c>
    </row>
    <row r="6830" s="1" customFormat="1" spans="1:15">
      <c r="A6830" s="1" t="str">
        <f t="shared" si="4360"/>
        <v>202406</v>
      </c>
      <c r="B6830" s="1" t="str">
        <f t="shared" si="4361"/>
        <v>150525100</v>
      </c>
      <c r="C6830" s="1" t="str">
        <f>"1014624259"</f>
        <v>1014624259</v>
      </c>
      <c r="D6830" s="1" t="str">
        <f>"152326194310010929"</f>
        <v>152326194310010929</v>
      </c>
      <c r="E6830" s="1" t="s">
        <v>6627</v>
      </c>
      <c r="F6830" s="1" t="s">
        <v>16</v>
      </c>
      <c r="G6830" s="1" t="s">
        <v>19</v>
      </c>
      <c r="H6830" s="1" t="str">
        <f>"81"</f>
        <v>81</v>
      </c>
      <c r="I6830" s="1" t="str">
        <f>"170"</f>
        <v>170</v>
      </c>
      <c r="J6830" s="1" t="str">
        <f t="shared" ref="J6830:O6830" si="4418">"0"</f>
        <v>0</v>
      </c>
      <c r="K6830" s="1" t="str">
        <f t="shared" si="4396"/>
        <v>103</v>
      </c>
      <c r="L6830" s="1" t="str">
        <f t="shared" si="4397"/>
        <v>47</v>
      </c>
      <c r="M6830" s="1" t="str">
        <f t="shared" si="4418"/>
        <v>0</v>
      </c>
      <c r="N6830" s="1" t="str">
        <f t="shared" si="4418"/>
        <v>0</v>
      </c>
      <c r="O6830" s="1" t="str">
        <f t="shared" si="4418"/>
        <v>0</v>
      </c>
    </row>
    <row r="6831" s="1" customFormat="1" spans="1:15">
      <c r="A6831" s="1" t="str">
        <f t="shared" si="4360"/>
        <v>202406</v>
      </c>
      <c r="B6831" s="1" t="str">
        <f t="shared" si="4361"/>
        <v>150525100</v>
      </c>
      <c r="C6831" s="1" t="str">
        <f>"1014624270"</f>
        <v>1014624270</v>
      </c>
      <c r="D6831" s="1" t="str">
        <f>"152326194704133083"</f>
        <v>152326194704133083</v>
      </c>
      <c r="E6831" s="1" t="s">
        <v>6628</v>
      </c>
      <c r="F6831" s="1" t="s">
        <v>16</v>
      </c>
      <c r="G6831" s="1" t="s">
        <v>19</v>
      </c>
      <c r="H6831" s="1" t="str">
        <f>"77"</f>
        <v>77</v>
      </c>
      <c r="I6831" s="1" t="str">
        <f>"2075"</f>
        <v>2075</v>
      </c>
      <c r="J6831" s="1" t="str">
        <f>"1915"</f>
        <v>1915</v>
      </c>
      <c r="K6831" s="1" t="str">
        <f>"1334"</f>
        <v>1334</v>
      </c>
      <c r="L6831" s="1" t="str">
        <f>"611"</f>
        <v>611</v>
      </c>
      <c r="M6831" s="1" t="str">
        <f t="shared" ref="M6831:O6831" si="4419">"0"</f>
        <v>0</v>
      </c>
      <c r="N6831" s="1" t="str">
        <f t="shared" si="4419"/>
        <v>0</v>
      </c>
      <c r="O6831" s="1" t="str">
        <f t="shared" si="4419"/>
        <v>0</v>
      </c>
    </row>
    <row r="6832" s="1" customFormat="1" spans="1:15">
      <c r="A6832" s="1" t="str">
        <f t="shared" si="4360"/>
        <v>202406</v>
      </c>
      <c r="B6832" s="1" t="str">
        <f t="shared" si="4361"/>
        <v>150525100</v>
      </c>
      <c r="C6832" s="1" t="str">
        <f>"1014619259"</f>
        <v>1014619259</v>
      </c>
      <c r="D6832" s="1" t="str">
        <f>"152326194801190688"</f>
        <v>152326194801190688</v>
      </c>
      <c r="E6832" s="1" t="s">
        <v>6629</v>
      </c>
      <c r="F6832" s="1" t="s">
        <v>16</v>
      </c>
      <c r="G6832" s="1" t="s">
        <v>19</v>
      </c>
      <c r="H6832" s="1" t="str">
        <f>"76"</f>
        <v>76</v>
      </c>
      <c r="I6832" s="1" t="str">
        <f t="shared" ref="I6832:I6840" si="4420">"160"</f>
        <v>160</v>
      </c>
      <c r="J6832" s="1" t="str">
        <f t="shared" ref="J6832:O6832" si="4421">"0"</f>
        <v>0</v>
      </c>
      <c r="K6832" s="1" t="str">
        <f t="shared" ref="K6832:K6851" si="4422">"103"</f>
        <v>103</v>
      </c>
      <c r="L6832" s="1" t="str">
        <f t="shared" ref="L6832:L6851" si="4423">"47"</f>
        <v>47</v>
      </c>
      <c r="M6832" s="1" t="str">
        <f t="shared" si="4421"/>
        <v>0</v>
      </c>
      <c r="N6832" s="1" t="str">
        <f t="shared" si="4421"/>
        <v>0</v>
      </c>
      <c r="O6832" s="1" t="str">
        <f t="shared" si="4421"/>
        <v>0</v>
      </c>
    </row>
    <row r="6833" s="1" customFormat="1" spans="1:15">
      <c r="A6833" s="1" t="str">
        <f t="shared" si="4360"/>
        <v>202406</v>
      </c>
      <c r="B6833" s="1" t="str">
        <f t="shared" si="4361"/>
        <v>150525100</v>
      </c>
      <c r="C6833" s="1" t="str">
        <f>"1014619800"</f>
        <v>1014619800</v>
      </c>
      <c r="D6833" s="1" t="str">
        <f>"152326194911180675"</f>
        <v>152326194911180675</v>
      </c>
      <c r="E6833" s="1" t="s">
        <v>6630</v>
      </c>
      <c r="F6833" s="1" t="s">
        <v>25</v>
      </c>
      <c r="G6833" s="1" t="s">
        <v>19</v>
      </c>
      <c r="H6833" s="1" t="str">
        <f t="shared" si="4416"/>
        <v>75</v>
      </c>
      <c r="I6833" s="1" t="str">
        <f>"1600"</f>
        <v>1600</v>
      </c>
      <c r="J6833" s="1" t="str">
        <f>"1440"</f>
        <v>1440</v>
      </c>
      <c r="K6833" s="1" t="str">
        <f>"1030"</f>
        <v>1030</v>
      </c>
      <c r="L6833" s="1" t="str">
        <f>"470"</f>
        <v>470</v>
      </c>
      <c r="M6833" s="1" t="str">
        <f t="shared" ref="M6833:O6833" si="4424">"0"</f>
        <v>0</v>
      </c>
      <c r="N6833" s="1" t="str">
        <f t="shared" si="4424"/>
        <v>0</v>
      </c>
      <c r="O6833" s="1" t="str">
        <f t="shared" si="4424"/>
        <v>0</v>
      </c>
    </row>
    <row r="6834" s="1" customFormat="1" spans="1:15">
      <c r="A6834" s="1" t="str">
        <f t="shared" si="4360"/>
        <v>202406</v>
      </c>
      <c r="B6834" s="1" t="str">
        <f t="shared" si="4361"/>
        <v>150525100</v>
      </c>
      <c r="C6834" s="1" t="str">
        <f>"1014622096"</f>
        <v>1014622096</v>
      </c>
      <c r="D6834" s="1" t="str">
        <f>"152326194903026387"</f>
        <v>152326194903026387</v>
      </c>
      <c r="E6834" s="1" t="s">
        <v>6631</v>
      </c>
      <c r="F6834" s="1" t="s">
        <v>16</v>
      </c>
      <c r="G6834" s="1" t="s">
        <v>17</v>
      </c>
      <c r="H6834" s="1" t="str">
        <f t="shared" si="4416"/>
        <v>75</v>
      </c>
      <c r="I6834" s="1" t="str">
        <f t="shared" si="4420"/>
        <v>160</v>
      </c>
      <c r="J6834" s="1" t="str">
        <f t="shared" ref="J6834:O6834" si="4425">"0"</f>
        <v>0</v>
      </c>
      <c r="K6834" s="1" t="str">
        <f t="shared" si="4422"/>
        <v>103</v>
      </c>
      <c r="L6834" s="1" t="str">
        <f t="shared" si="4423"/>
        <v>47</v>
      </c>
      <c r="M6834" s="1" t="str">
        <f t="shared" si="4425"/>
        <v>0</v>
      </c>
      <c r="N6834" s="1" t="str">
        <f t="shared" si="4425"/>
        <v>0</v>
      </c>
      <c r="O6834" s="1" t="str">
        <f t="shared" si="4425"/>
        <v>0</v>
      </c>
    </row>
    <row r="6835" s="1" customFormat="1" spans="1:15">
      <c r="A6835" s="1" t="str">
        <f t="shared" si="4360"/>
        <v>202406</v>
      </c>
      <c r="B6835" s="1" t="str">
        <f t="shared" si="4361"/>
        <v>150525100</v>
      </c>
      <c r="C6835" s="1" t="str">
        <f>"1014622103"</f>
        <v>1014622103</v>
      </c>
      <c r="D6835" s="1" t="s">
        <v>6632</v>
      </c>
      <c r="E6835" s="1" t="s">
        <v>6633</v>
      </c>
      <c r="F6835" s="1" t="s">
        <v>16</v>
      </c>
      <c r="G6835" s="1" t="s">
        <v>17</v>
      </c>
      <c r="H6835" s="1" t="str">
        <f>"74"</f>
        <v>74</v>
      </c>
      <c r="I6835" s="1" t="str">
        <f t="shared" si="4420"/>
        <v>160</v>
      </c>
      <c r="J6835" s="1" t="str">
        <f t="shared" ref="J6835:O6835" si="4426">"0"</f>
        <v>0</v>
      </c>
      <c r="K6835" s="1" t="str">
        <f t="shared" si="4422"/>
        <v>103</v>
      </c>
      <c r="L6835" s="1" t="str">
        <f t="shared" si="4423"/>
        <v>47</v>
      </c>
      <c r="M6835" s="1" t="str">
        <f t="shared" si="4426"/>
        <v>0</v>
      </c>
      <c r="N6835" s="1" t="str">
        <f t="shared" si="4426"/>
        <v>0</v>
      </c>
      <c r="O6835" s="1" t="str">
        <f t="shared" si="4426"/>
        <v>0</v>
      </c>
    </row>
    <row r="6836" s="1" customFormat="1" spans="1:15">
      <c r="A6836" s="1" t="str">
        <f t="shared" si="4360"/>
        <v>202406</v>
      </c>
      <c r="B6836" s="1" t="str">
        <f t="shared" si="4361"/>
        <v>150525100</v>
      </c>
      <c r="C6836" s="1" t="str">
        <f>"1014622112"</f>
        <v>1014622112</v>
      </c>
      <c r="D6836" s="1" t="str">
        <f>"152326194812100668"</f>
        <v>152326194812100668</v>
      </c>
      <c r="E6836" s="1" t="s">
        <v>6634</v>
      </c>
      <c r="F6836" s="1" t="s">
        <v>16</v>
      </c>
      <c r="G6836" s="1" t="s">
        <v>17</v>
      </c>
      <c r="H6836" s="1" t="str">
        <f>"76"</f>
        <v>76</v>
      </c>
      <c r="I6836" s="1" t="str">
        <f t="shared" si="4420"/>
        <v>160</v>
      </c>
      <c r="J6836" s="1" t="str">
        <f t="shared" ref="J6836:O6836" si="4427">"0"</f>
        <v>0</v>
      </c>
      <c r="K6836" s="1" t="str">
        <f t="shared" si="4422"/>
        <v>103</v>
      </c>
      <c r="L6836" s="1" t="str">
        <f t="shared" si="4423"/>
        <v>47</v>
      </c>
      <c r="M6836" s="1" t="str">
        <f t="shared" si="4427"/>
        <v>0</v>
      </c>
      <c r="N6836" s="1" t="str">
        <f t="shared" si="4427"/>
        <v>0</v>
      </c>
      <c r="O6836" s="1" t="str">
        <f t="shared" si="4427"/>
        <v>0</v>
      </c>
    </row>
    <row r="6837" s="1" customFormat="1" spans="1:15">
      <c r="A6837" s="1" t="str">
        <f t="shared" si="4360"/>
        <v>202406</v>
      </c>
      <c r="B6837" s="1" t="str">
        <f t="shared" si="4361"/>
        <v>150525100</v>
      </c>
      <c r="C6837" s="1" t="str">
        <f>"1014622115"</f>
        <v>1014622115</v>
      </c>
      <c r="D6837" s="1" t="str">
        <f>"152326194406110684"</f>
        <v>152326194406110684</v>
      </c>
      <c r="E6837" s="1" t="s">
        <v>4641</v>
      </c>
      <c r="F6837" s="1" t="s">
        <v>16</v>
      </c>
      <c r="G6837" s="1" t="s">
        <v>17</v>
      </c>
      <c r="H6837" s="1" t="str">
        <f>"80"</f>
        <v>80</v>
      </c>
      <c r="I6837" s="1" t="str">
        <f t="shared" si="4420"/>
        <v>160</v>
      </c>
      <c r="J6837" s="1" t="str">
        <f t="shared" ref="J6837:O6837" si="4428">"0"</f>
        <v>0</v>
      </c>
      <c r="K6837" s="1" t="str">
        <f t="shared" si="4422"/>
        <v>103</v>
      </c>
      <c r="L6837" s="1" t="str">
        <f t="shared" si="4423"/>
        <v>47</v>
      </c>
      <c r="M6837" s="1" t="str">
        <f t="shared" si="4428"/>
        <v>0</v>
      </c>
      <c r="N6837" s="1" t="str">
        <f t="shared" si="4428"/>
        <v>0</v>
      </c>
      <c r="O6837" s="1" t="str">
        <f t="shared" si="4428"/>
        <v>0</v>
      </c>
    </row>
    <row r="6838" s="1" customFormat="1" spans="1:15">
      <c r="A6838" s="1" t="str">
        <f t="shared" si="4360"/>
        <v>202406</v>
      </c>
      <c r="B6838" s="1" t="str">
        <f t="shared" si="4361"/>
        <v>150525100</v>
      </c>
      <c r="C6838" s="1" t="str">
        <f>"1014623845"</f>
        <v>1014623845</v>
      </c>
      <c r="D6838" s="1" t="str">
        <f>"152326194912180677"</f>
        <v>152326194912180677</v>
      </c>
      <c r="E6838" s="1" t="s">
        <v>2860</v>
      </c>
      <c r="F6838" s="1" t="s">
        <v>25</v>
      </c>
      <c r="G6838" s="1" t="s">
        <v>17</v>
      </c>
      <c r="H6838" s="1" t="str">
        <f>"75"</f>
        <v>75</v>
      </c>
      <c r="I6838" s="1" t="str">
        <f t="shared" si="4420"/>
        <v>160</v>
      </c>
      <c r="J6838" s="1" t="str">
        <f t="shared" ref="J6838:O6838" si="4429">"0"</f>
        <v>0</v>
      </c>
      <c r="K6838" s="1" t="str">
        <f t="shared" si="4422"/>
        <v>103</v>
      </c>
      <c r="L6838" s="1" t="str">
        <f t="shared" si="4423"/>
        <v>47</v>
      </c>
      <c r="M6838" s="1" t="str">
        <f t="shared" si="4429"/>
        <v>0</v>
      </c>
      <c r="N6838" s="1" t="str">
        <f t="shared" si="4429"/>
        <v>0</v>
      </c>
      <c r="O6838" s="1" t="str">
        <f t="shared" si="4429"/>
        <v>0</v>
      </c>
    </row>
    <row r="6839" s="1" customFormat="1" spans="1:15">
      <c r="A6839" s="1" t="str">
        <f t="shared" si="4360"/>
        <v>202406</v>
      </c>
      <c r="B6839" s="1" t="str">
        <f t="shared" si="4361"/>
        <v>150525100</v>
      </c>
      <c r="C6839" s="1" t="str">
        <f>"1014624285"</f>
        <v>1014624285</v>
      </c>
      <c r="D6839" s="1" t="str">
        <f>"152326195104023088"</f>
        <v>152326195104023088</v>
      </c>
      <c r="E6839" s="1" t="s">
        <v>3622</v>
      </c>
      <c r="F6839" s="1" t="s">
        <v>16</v>
      </c>
      <c r="G6839" s="1" t="s">
        <v>19</v>
      </c>
      <c r="H6839" s="1" t="str">
        <f>"73"</f>
        <v>73</v>
      </c>
      <c r="I6839" s="1" t="str">
        <f t="shared" si="4420"/>
        <v>160</v>
      </c>
      <c r="J6839" s="1" t="str">
        <f t="shared" ref="J6839:O6839" si="4430">"0"</f>
        <v>0</v>
      </c>
      <c r="K6839" s="1" t="str">
        <f t="shared" si="4422"/>
        <v>103</v>
      </c>
      <c r="L6839" s="1" t="str">
        <f t="shared" si="4423"/>
        <v>47</v>
      </c>
      <c r="M6839" s="1" t="str">
        <f t="shared" si="4430"/>
        <v>0</v>
      </c>
      <c r="N6839" s="1" t="str">
        <f t="shared" si="4430"/>
        <v>0</v>
      </c>
      <c r="O6839" s="1" t="str">
        <f t="shared" si="4430"/>
        <v>0</v>
      </c>
    </row>
    <row r="6840" s="1" customFormat="1" spans="1:15">
      <c r="A6840" s="1" t="str">
        <f t="shared" si="4360"/>
        <v>202406</v>
      </c>
      <c r="B6840" s="1" t="str">
        <f t="shared" si="4361"/>
        <v>150525100</v>
      </c>
      <c r="C6840" s="1" t="str">
        <f>"1014619283"</f>
        <v>1014619283</v>
      </c>
      <c r="D6840" s="1" t="str">
        <f>"152326194805190423"</f>
        <v>152326194805190423</v>
      </c>
      <c r="E6840" s="1" t="s">
        <v>390</v>
      </c>
      <c r="F6840" s="1" t="s">
        <v>16</v>
      </c>
      <c r="G6840" s="1" t="s">
        <v>17</v>
      </c>
      <c r="H6840" s="1" t="str">
        <f>"76"</f>
        <v>76</v>
      </c>
      <c r="I6840" s="1" t="str">
        <f t="shared" si="4420"/>
        <v>160</v>
      </c>
      <c r="J6840" s="1" t="str">
        <f t="shared" ref="J6840:O6840" si="4431">"0"</f>
        <v>0</v>
      </c>
      <c r="K6840" s="1" t="str">
        <f t="shared" si="4422"/>
        <v>103</v>
      </c>
      <c r="L6840" s="1" t="str">
        <f t="shared" si="4423"/>
        <v>47</v>
      </c>
      <c r="M6840" s="1" t="str">
        <f t="shared" si="4431"/>
        <v>0</v>
      </c>
      <c r="N6840" s="1" t="str">
        <f t="shared" si="4431"/>
        <v>0</v>
      </c>
      <c r="O6840" s="1" t="str">
        <f t="shared" si="4431"/>
        <v>0</v>
      </c>
    </row>
    <row r="6841" s="1" customFormat="1" spans="1:15">
      <c r="A6841" s="1" t="str">
        <f t="shared" si="4360"/>
        <v>202406</v>
      </c>
      <c r="B6841" s="1" t="str">
        <f t="shared" si="4361"/>
        <v>150525100</v>
      </c>
      <c r="C6841" s="1" t="str">
        <f>"1014619301"</f>
        <v>1014619301</v>
      </c>
      <c r="D6841" s="1" t="str">
        <f>"152326193505153087"</f>
        <v>152326193505153087</v>
      </c>
      <c r="E6841" s="1" t="s">
        <v>6635</v>
      </c>
      <c r="F6841" s="1" t="s">
        <v>16</v>
      </c>
      <c r="G6841" s="1" t="s">
        <v>17</v>
      </c>
      <c r="H6841" s="1" t="str">
        <f>"89"</f>
        <v>89</v>
      </c>
      <c r="I6841" s="1" t="str">
        <f>"170"</f>
        <v>170</v>
      </c>
      <c r="J6841" s="1" t="str">
        <f t="shared" ref="J6841:O6841" si="4432">"0"</f>
        <v>0</v>
      </c>
      <c r="K6841" s="1" t="str">
        <f t="shared" si="4422"/>
        <v>103</v>
      </c>
      <c r="L6841" s="1" t="str">
        <f t="shared" si="4423"/>
        <v>47</v>
      </c>
      <c r="M6841" s="1" t="str">
        <f t="shared" si="4432"/>
        <v>0</v>
      </c>
      <c r="N6841" s="1" t="str">
        <f t="shared" si="4432"/>
        <v>0</v>
      </c>
      <c r="O6841" s="1" t="str">
        <f t="shared" si="4432"/>
        <v>0</v>
      </c>
    </row>
    <row r="6842" s="1" customFormat="1" spans="1:15">
      <c r="A6842" s="1" t="str">
        <f t="shared" si="4360"/>
        <v>202406</v>
      </c>
      <c r="B6842" s="1" t="str">
        <f t="shared" si="4361"/>
        <v>150525100</v>
      </c>
      <c r="C6842" s="1" t="str">
        <f>"1014619836"</f>
        <v>1014619836</v>
      </c>
      <c r="D6842" s="1" t="str">
        <f>"152326194707100666"</f>
        <v>152326194707100666</v>
      </c>
      <c r="E6842" s="1" t="s">
        <v>6636</v>
      </c>
      <c r="F6842" s="1" t="s">
        <v>16</v>
      </c>
      <c r="G6842" s="1" t="s">
        <v>17</v>
      </c>
      <c r="H6842" s="1" t="str">
        <f>"77"</f>
        <v>77</v>
      </c>
      <c r="I6842" s="1" t="str">
        <f t="shared" ref="I6842:I6851" si="4433">"160"</f>
        <v>160</v>
      </c>
      <c r="J6842" s="1" t="str">
        <f t="shared" ref="J6842:O6842" si="4434">"0"</f>
        <v>0</v>
      </c>
      <c r="K6842" s="1" t="str">
        <f t="shared" si="4422"/>
        <v>103</v>
      </c>
      <c r="L6842" s="1" t="str">
        <f t="shared" si="4423"/>
        <v>47</v>
      </c>
      <c r="M6842" s="1" t="str">
        <f t="shared" si="4434"/>
        <v>0</v>
      </c>
      <c r="N6842" s="1" t="str">
        <f t="shared" si="4434"/>
        <v>0</v>
      </c>
      <c r="O6842" s="1" t="str">
        <f t="shared" si="4434"/>
        <v>0</v>
      </c>
    </row>
    <row r="6843" s="1" customFormat="1" spans="1:15">
      <c r="A6843" s="1" t="str">
        <f t="shared" si="4360"/>
        <v>202406</v>
      </c>
      <c r="B6843" s="1" t="str">
        <f t="shared" si="4361"/>
        <v>150525100</v>
      </c>
      <c r="C6843" s="1" t="str">
        <f>"1014623313"</f>
        <v>1014623313</v>
      </c>
      <c r="D6843" s="1" t="str">
        <f>"152326194607263820"</f>
        <v>152326194607263820</v>
      </c>
      <c r="E6843" s="1" t="s">
        <v>6637</v>
      </c>
      <c r="F6843" s="1" t="s">
        <v>16</v>
      </c>
      <c r="G6843" s="1" t="s">
        <v>17</v>
      </c>
      <c r="H6843" s="1" t="str">
        <f>"78"</f>
        <v>78</v>
      </c>
      <c r="I6843" s="1" t="str">
        <f t="shared" si="4433"/>
        <v>160</v>
      </c>
      <c r="J6843" s="1" t="str">
        <f t="shared" ref="J6843:O6843" si="4435">"0"</f>
        <v>0</v>
      </c>
      <c r="K6843" s="1" t="str">
        <f t="shared" si="4422"/>
        <v>103</v>
      </c>
      <c r="L6843" s="1" t="str">
        <f t="shared" si="4423"/>
        <v>47</v>
      </c>
      <c r="M6843" s="1" t="str">
        <f t="shared" si="4435"/>
        <v>0</v>
      </c>
      <c r="N6843" s="1" t="str">
        <f t="shared" si="4435"/>
        <v>0</v>
      </c>
      <c r="O6843" s="1" t="str">
        <f t="shared" si="4435"/>
        <v>0</v>
      </c>
    </row>
    <row r="6844" s="1" customFormat="1" spans="1:15">
      <c r="A6844" s="1" t="str">
        <f t="shared" si="4360"/>
        <v>202406</v>
      </c>
      <c r="B6844" s="1" t="str">
        <f t="shared" si="4361"/>
        <v>150525100</v>
      </c>
      <c r="C6844" s="1" t="str">
        <f>"1014623315"</f>
        <v>1014623315</v>
      </c>
      <c r="D6844" s="1" t="str">
        <f>"152326195112213826"</f>
        <v>152326195112213826</v>
      </c>
      <c r="E6844" s="1" t="s">
        <v>2673</v>
      </c>
      <c r="F6844" s="1" t="s">
        <v>16</v>
      </c>
      <c r="G6844" s="1" t="s">
        <v>17</v>
      </c>
      <c r="H6844" s="1" t="str">
        <f>"73"</f>
        <v>73</v>
      </c>
      <c r="I6844" s="1" t="str">
        <f t="shared" si="4433"/>
        <v>160</v>
      </c>
      <c r="J6844" s="1" t="str">
        <f t="shared" ref="J6844:O6844" si="4436">"0"</f>
        <v>0</v>
      </c>
      <c r="K6844" s="1" t="str">
        <f t="shared" si="4422"/>
        <v>103</v>
      </c>
      <c r="L6844" s="1" t="str">
        <f t="shared" si="4423"/>
        <v>47</v>
      </c>
      <c r="M6844" s="1" t="str">
        <f t="shared" si="4436"/>
        <v>0</v>
      </c>
      <c r="N6844" s="1" t="str">
        <f t="shared" si="4436"/>
        <v>0</v>
      </c>
      <c r="O6844" s="1" t="str">
        <f t="shared" si="4436"/>
        <v>0</v>
      </c>
    </row>
    <row r="6845" s="1" customFormat="1" spans="1:15">
      <c r="A6845" s="1" t="str">
        <f t="shared" si="4360"/>
        <v>202406</v>
      </c>
      <c r="B6845" s="1" t="str">
        <f t="shared" si="4361"/>
        <v>150525100</v>
      </c>
      <c r="C6845" s="1" t="str">
        <f>"1014612769"</f>
        <v>1014612769</v>
      </c>
      <c r="D6845" s="1" t="str">
        <f>"152326194706160915"</f>
        <v>152326194706160915</v>
      </c>
      <c r="E6845" s="1" t="s">
        <v>6638</v>
      </c>
      <c r="F6845" s="1" t="s">
        <v>25</v>
      </c>
      <c r="G6845" s="1" t="s">
        <v>19</v>
      </c>
      <c r="H6845" s="1" t="str">
        <f>"77"</f>
        <v>77</v>
      </c>
      <c r="I6845" s="1" t="str">
        <f t="shared" si="4433"/>
        <v>160</v>
      </c>
      <c r="J6845" s="1" t="str">
        <f t="shared" ref="J6845:O6845" si="4437">"0"</f>
        <v>0</v>
      </c>
      <c r="K6845" s="1" t="str">
        <f t="shared" si="4422"/>
        <v>103</v>
      </c>
      <c r="L6845" s="1" t="str">
        <f t="shared" si="4423"/>
        <v>47</v>
      </c>
      <c r="M6845" s="1" t="str">
        <f t="shared" si="4437"/>
        <v>0</v>
      </c>
      <c r="N6845" s="1" t="str">
        <f t="shared" si="4437"/>
        <v>0</v>
      </c>
      <c r="O6845" s="1" t="str">
        <f t="shared" si="4437"/>
        <v>0</v>
      </c>
    </row>
    <row r="6846" s="1" customFormat="1" spans="1:15">
      <c r="A6846" s="1" t="str">
        <f t="shared" si="4360"/>
        <v>202406</v>
      </c>
      <c r="B6846" s="1" t="str">
        <f t="shared" si="4361"/>
        <v>150525100</v>
      </c>
      <c r="C6846" s="1" t="str">
        <f>"1014612780"</f>
        <v>1014612780</v>
      </c>
      <c r="D6846" s="1" t="str">
        <f>"152326194911110917"</f>
        <v>152326194911110917</v>
      </c>
      <c r="E6846" s="1" t="s">
        <v>6639</v>
      </c>
      <c r="F6846" s="1" t="s">
        <v>25</v>
      </c>
      <c r="G6846" s="1" t="s">
        <v>19</v>
      </c>
      <c r="H6846" s="1" t="str">
        <f>"75"</f>
        <v>75</v>
      </c>
      <c r="I6846" s="1" t="str">
        <f t="shared" si="4433"/>
        <v>160</v>
      </c>
      <c r="J6846" s="1" t="str">
        <f t="shared" ref="J6846:O6846" si="4438">"0"</f>
        <v>0</v>
      </c>
      <c r="K6846" s="1" t="str">
        <f t="shared" si="4422"/>
        <v>103</v>
      </c>
      <c r="L6846" s="1" t="str">
        <f t="shared" si="4423"/>
        <v>47</v>
      </c>
      <c r="M6846" s="1" t="str">
        <f t="shared" si="4438"/>
        <v>0</v>
      </c>
      <c r="N6846" s="1" t="str">
        <f t="shared" si="4438"/>
        <v>0</v>
      </c>
      <c r="O6846" s="1" t="str">
        <f t="shared" si="4438"/>
        <v>0</v>
      </c>
    </row>
    <row r="6847" s="1" customFormat="1" spans="1:15">
      <c r="A6847" s="1" t="str">
        <f t="shared" si="4360"/>
        <v>202406</v>
      </c>
      <c r="B6847" s="1" t="str">
        <f t="shared" si="4361"/>
        <v>150525100</v>
      </c>
      <c r="C6847" s="1" t="str">
        <f>"1014623857"</f>
        <v>1014623857</v>
      </c>
      <c r="D6847" s="1" t="str">
        <f>"152326194606080678"</f>
        <v>152326194606080678</v>
      </c>
      <c r="E6847" s="1" t="s">
        <v>6640</v>
      </c>
      <c r="F6847" s="1" t="s">
        <v>25</v>
      </c>
      <c r="G6847" s="1" t="s">
        <v>17</v>
      </c>
      <c r="H6847" s="1" t="str">
        <f>"78"</f>
        <v>78</v>
      </c>
      <c r="I6847" s="1" t="str">
        <f t="shared" si="4433"/>
        <v>160</v>
      </c>
      <c r="J6847" s="1" t="str">
        <f t="shared" ref="J6847:O6847" si="4439">"0"</f>
        <v>0</v>
      </c>
      <c r="K6847" s="1" t="str">
        <f t="shared" si="4422"/>
        <v>103</v>
      </c>
      <c r="L6847" s="1" t="str">
        <f t="shared" si="4423"/>
        <v>47</v>
      </c>
      <c r="M6847" s="1" t="str">
        <f t="shared" si="4439"/>
        <v>0</v>
      </c>
      <c r="N6847" s="1" t="str">
        <f t="shared" si="4439"/>
        <v>0</v>
      </c>
      <c r="O6847" s="1" t="str">
        <f t="shared" si="4439"/>
        <v>0</v>
      </c>
    </row>
    <row r="6848" s="1" customFormat="1" spans="1:15">
      <c r="A6848" s="1" t="str">
        <f t="shared" si="4360"/>
        <v>202406</v>
      </c>
      <c r="B6848" s="1" t="str">
        <f t="shared" si="4361"/>
        <v>150525100</v>
      </c>
      <c r="C6848" s="1" t="str">
        <f>"1014623863"</f>
        <v>1014623863</v>
      </c>
      <c r="D6848" s="1" t="str">
        <f>"152326195010140670"</f>
        <v>152326195010140670</v>
      </c>
      <c r="E6848" s="1" t="s">
        <v>5452</v>
      </c>
      <c r="F6848" s="1" t="s">
        <v>25</v>
      </c>
      <c r="G6848" s="1" t="s">
        <v>17</v>
      </c>
      <c r="H6848" s="1" t="str">
        <f>"74"</f>
        <v>74</v>
      </c>
      <c r="I6848" s="1" t="str">
        <f t="shared" si="4433"/>
        <v>160</v>
      </c>
      <c r="J6848" s="1" t="str">
        <f t="shared" ref="J6848:O6848" si="4440">"0"</f>
        <v>0</v>
      </c>
      <c r="K6848" s="1" t="str">
        <f t="shared" si="4422"/>
        <v>103</v>
      </c>
      <c r="L6848" s="1" t="str">
        <f t="shared" si="4423"/>
        <v>47</v>
      </c>
      <c r="M6848" s="1" t="str">
        <f t="shared" si="4440"/>
        <v>0</v>
      </c>
      <c r="N6848" s="1" t="str">
        <f t="shared" si="4440"/>
        <v>0</v>
      </c>
      <c r="O6848" s="1" t="str">
        <f t="shared" si="4440"/>
        <v>0</v>
      </c>
    </row>
    <row r="6849" s="1" customFormat="1" spans="1:15">
      <c r="A6849" s="1" t="str">
        <f t="shared" si="4360"/>
        <v>202406</v>
      </c>
      <c r="B6849" s="1" t="str">
        <f t="shared" si="4361"/>
        <v>150525100</v>
      </c>
      <c r="C6849" s="1" t="str">
        <f>"1014623871"</f>
        <v>1014623871</v>
      </c>
      <c r="D6849" s="1" t="str">
        <f>"152326194802160667"</f>
        <v>152326194802160667</v>
      </c>
      <c r="E6849" s="1" t="s">
        <v>6641</v>
      </c>
      <c r="F6849" s="1" t="s">
        <v>16</v>
      </c>
      <c r="G6849" s="1" t="s">
        <v>17</v>
      </c>
      <c r="H6849" s="1" t="str">
        <f t="shared" ref="H6849:H6853" si="4441">"76"</f>
        <v>76</v>
      </c>
      <c r="I6849" s="1" t="str">
        <f t="shared" si="4433"/>
        <v>160</v>
      </c>
      <c r="J6849" s="1" t="str">
        <f t="shared" ref="J6849:O6849" si="4442">"0"</f>
        <v>0</v>
      </c>
      <c r="K6849" s="1" t="str">
        <f t="shared" si="4422"/>
        <v>103</v>
      </c>
      <c r="L6849" s="1" t="str">
        <f t="shared" si="4423"/>
        <v>47</v>
      </c>
      <c r="M6849" s="1" t="str">
        <f t="shared" si="4442"/>
        <v>0</v>
      </c>
      <c r="N6849" s="1" t="str">
        <f t="shared" si="4442"/>
        <v>0</v>
      </c>
      <c r="O6849" s="1" t="str">
        <f t="shared" si="4442"/>
        <v>0</v>
      </c>
    </row>
    <row r="6850" s="1" customFormat="1" spans="1:15">
      <c r="A6850" s="1" t="str">
        <f t="shared" ref="A6850:A6913" si="4443">"202406"</f>
        <v>202406</v>
      </c>
      <c r="B6850" s="1" t="str">
        <f t="shared" ref="B6850:B6913" si="4444">"150525100"</f>
        <v>150525100</v>
      </c>
      <c r="C6850" s="1" t="str">
        <f>"1014623872"</f>
        <v>1014623872</v>
      </c>
      <c r="D6850" s="1" t="str">
        <f>"152326194810120673"</f>
        <v>152326194810120673</v>
      </c>
      <c r="E6850" s="1" t="s">
        <v>6642</v>
      </c>
      <c r="F6850" s="1" t="s">
        <v>25</v>
      </c>
      <c r="G6850" s="1" t="s">
        <v>17</v>
      </c>
      <c r="H6850" s="1" t="str">
        <f t="shared" si="4441"/>
        <v>76</v>
      </c>
      <c r="I6850" s="1" t="str">
        <f t="shared" si="4433"/>
        <v>160</v>
      </c>
      <c r="J6850" s="1" t="str">
        <f t="shared" ref="J6850:O6850" si="4445">"0"</f>
        <v>0</v>
      </c>
      <c r="K6850" s="1" t="str">
        <f t="shared" si="4422"/>
        <v>103</v>
      </c>
      <c r="L6850" s="1" t="str">
        <f t="shared" si="4423"/>
        <v>47</v>
      </c>
      <c r="M6850" s="1" t="str">
        <f t="shared" si="4445"/>
        <v>0</v>
      </c>
      <c r="N6850" s="1" t="str">
        <f t="shared" si="4445"/>
        <v>0</v>
      </c>
      <c r="O6850" s="1" t="str">
        <f t="shared" si="4445"/>
        <v>0</v>
      </c>
    </row>
    <row r="6851" s="1" customFormat="1" spans="1:15">
      <c r="A6851" s="1" t="str">
        <f t="shared" si="4443"/>
        <v>202406</v>
      </c>
      <c r="B6851" s="1" t="str">
        <f t="shared" si="4444"/>
        <v>150525100</v>
      </c>
      <c r="C6851" s="1" t="str">
        <f>"1014623884"</f>
        <v>1014623884</v>
      </c>
      <c r="D6851" s="1" t="str">
        <f>"152326194611150677"</f>
        <v>152326194611150677</v>
      </c>
      <c r="E6851" s="1" t="s">
        <v>6643</v>
      </c>
      <c r="F6851" s="1" t="s">
        <v>25</v>
      </c>
      <c r="G6851" s="1" t="s">
        <v>17</v>
      </c>
      <c r="H6851" s="1" t="str">
        <f>"78"</f>
        <v>78</v>
      </c>
      <c r="I6851" s="1" t="str">
        <f t="shared" si="4433"/>
        <v>160</v>
      </c>
      <c r="J6851" s="1" t="str">
        <f t="shared" ref="J6851:O6851" si="4446">"0"</f>
        <v>0</v>
      </c>
      <c r="K6851" s="1" t="str">
        <f t="shared" si="4422"/>
        <v>103</v>
      </c>
      <c r="L6851" s="1" t="str">
        <f t="shared" si="4423"/>
        <v>47</v>
      </c>
      <c r="M6851" s="1" t="str">
        <f t="shared" si="4446"/>
        <v>0</v>
      </c>
      <c r="N6851" s="1" t="str">
        <f t="shared" si="4446"/>
        <v>0</v>
      </c>
      <c r="O6851" s="1" t="str">
        <f t="shared" si="4446"/>
        <v>0</v>
      </c>
    </row>
    <row r="6852" s="1" customFormat="1" spans="1:15">
      <c r="A6852" s="1" t="str">
        <f t="shared" si="4443"/>
        <v>202406</v>
      </c>
      <c r="B6852" s="1" t="str">
        <f t="shared" si="4444"/>
        <v>150525100</v>
      </c>
      <c r="C6852" s="1" t="str">
        <f>"1014619344"</f>
        <v>1014619344</v>
      </c>
      <c r="D6852" s="1" t="str">
        <f>"152326194806240672"</f>
        <v>152326194806240672</v>
      </c>
      <c r="E6852" s="1" t="s">
        <v>6644</v>
      </c>
      <c r="F6852" s="1" t="s">
        <v>25</v>
      </c>
      <c r="G6852" s="1" t="s">
        <v>17</v>
      </c>
      <c r="H6852" s="1" t="str">
        <f t="shared" si="4441"/>
        <v>76</v>
      </c>
      <c r="I6852" s="1" t="str">
        <f>"1800"</f>
        <v>1800</v>
      </c>
      <c r="J6852" s="1" t="str">
        <f t="shared" ref="J6852:O6852" si="4447">"0"</f>
        <v>0</v>
      </c>
      <c r="K6852" s="1" t="str">
        <f t="shared" si="4447"/>
        <v>0</v>
      </c>
      <c r="L6852" s="1" t="str">
        <f t="shared" si="4447"/>
        <v>0</v>
      </c>
      <c r="M6852" s="1" t="str">
        <f t="shared" si="4447"/>
        <v>0</v>
      </c>
      <c r="N6852" s="1" t="str">
        <f t="shared" si="4447"/>
        <v>0</v>
      </c>
      <c r="O6852" s="1" t="str">
        <f t="shared" si="4447"/>
        <v>0</v>
      </c>
    </row>
    <row r="6853" s="1" customFormat="1" spans="1:15">
      <c r="A6853" s="1" t="str">
        <f t="shared" si="4443"/>
        <v>202406</v>
      </c>
      <c r="B6853" s="1" t="str">
        <f t="shared" si="4444"/>
        <v>150525100</v>
      </c>
      <c r="C6853" s="1" t="str">
        <f>"1014619350"</f>
        <v>1014619350</v>
      </c>
      <c r="D6853" s="1" t="str">
        <f>"152326194806180673"</f>
        <v>152326194806180673</v>
      </c>
      <c r="E6853" s="1" t="s">
        <v>6645</v>
      </c>
      <c r="F6853" s="1" t="s">
        <v>25</v>
      </c>
      <c r="G6853" s="1" t="s">
        <v>17</v>
      </c>
      <c r="H6853" s="1" t="str">
        <f t="shared" si="4441"/>
        <v>76</v>
      </c>
      <c r="I6853" s="1" t="str">
        <f>"160"</f>
        <v>160</v>
      </c>
      <c r="J6853" s="1" t="str">
        <f t="shared" ref="J6853:O6853" si="4448">"0"</f>
        <v>0</v>
      </c>
      <c r="K6853" s="1" t="str">
        <f t="shared" ref="K6853:K6916" si="4449">"103"</f>
        <v>103</v>
      </c>
      <c r="L6853" s="1" t="str">
        <f t="shared" ref="L6853:L6916" si="4450">"47"</f>
        <v>47</v>
      </c>
      <c r="M6853" s="1" t="str">
        <f t="shared" si="4448"/>
        <v>0</v>
      </c>
      <c r="N6853" s="1" t="str">
        <f t="shared" si="4448"/>
        <v>0</v>
      </c>
      <c r="O6853" s="1" t="str">
        <f t="shared" si="4448"/>
        <v>0</v>
      </c>
    </row>
    <row r="6854" s="1" customFormat="1" spans="1:15">
      <c r="A6854" s="1" t="str">
        <f t="shared" si="4443"/>
        <v>202406</v>
      </c>
      <c r="B6854" s="1" t="str">
        <f t="shared" si="4444"/>
        <v>150525100</v>
      </c>
      <c r="C6854" s="1" t="str">
        <f>"1014623803"</f>
        <v>1014623803</v>
      </c>
      <c r="D6854" s="1" t="str">
        <f>"152326195007280023"</f>
        <v>152326195007280023</v>
      </c>
      <c r="E6854" s="1" t="s">
        <v>4082</v>
      </c>
      <c r="F6854" s="1" t="s">
        <v>16</v>
      </c>
      <c r="G6854" s="1" t="s">
        <v>19</v>
      </c>
      <c r="H6854" s="1" t="str">
        <f>"74"</f>
        <v>74</v>
      </c>
      <c r="I6854" s="1" t="str">
        <f>"160"</f>
        <v>160</v>
      </c>
      <c r="J6854" s="1" t="str">
        <f t="shared" ref="J6854:O6854" si="4451">"0"</f>
        <v>0</v>
      </c>
      <c r="K6854" s="1" t="str">
        <f t="shared" si="4449"/>
        <v>103</v>
      </c>
      <c r="L6854" s="1" t="str">
        <f t="shared" si="4450"/>
        <v>47</v>
      </c>
      <c r="M6854" s="1" t="str">
        <f t="shared" si="4451"/>
        <v>0</v>
      </c>
      <c r="N6854" s="1" t="str">
        <f t="shared" si="4451"/>
        <v>0</v>
      </c>
      <c r="O6854" s="1" t="str">
        <f t="shared" si="4451"/>
        <v>0</v>
      </c>
    </row>
    <row r="6855" s="1" customFormat="1" spans="1:15">
      <c r="A6855" s="1" t="str">
        <f t="shared" si="4443"/>
        <v>202406</v>
      </c>
      <c r="B6855" s="1" t="str">
        <f t="shared" si="4444"/>
        <v>150525100</v>
      </c>
      <c r="C6855" s="1" t="str">
        <f>"1042689000"</f>
        <v>1042689000</v>
      </c>
      <c r="D6855" s="1" t="str">
        <f>"152326196104100420"</f>
        <v>152326196104100420</v>
      </c>
      <c r="E6855" s="1" t="s">
        <v>6646</v>
      </c>
      <c r="F6855" s="1" t="s">
        <v>16</v>
      </c>
      <c r="G6855" s="1" t="s">
        <v>17</v>
      </c>
      <c r="H6855" s="1" t="str">
        <f>"63"</f>
        <v>63</v>
      </c>
      <c r="I6855" s="1" t="str">
        <f>"164.41"</f>
        <v>164.41</v>
      </c>
      <c r="J6855" s="1" t="str">
        <f t="shared" ref="J6855:N6855" si="4452">"0"</f>
        <v>0</v>
      </c>
      <c r="K6855" s="1" t="str">
        <f t="shared" si="4449"/>
        <v>103</v>
      </c>
      <c r="L6855" s="1" t="str">
        <f t="shared" si="4450"/>
        <v>47</v>
      </c>
      <c r="M6855" s="1" t="str">
        <f t="shared" si="4452"/>
        <v>0</v>
      </c>
      <c r="N6855" s="1" t="str">
        <f t="shared" si="4452"/>
        <v>0</v>
      </c>
      <c r="O6855" s="1" t="str">
        <f>"14.41"</f>
        <v>14.41</v>
      </c>
    </row>
    <row r="6856" s="1" customFormat="1" spans="1:15">
      <c r="A6856" s="1" t="str">
        <f t="shared" si="4443"/>
        <v>202406</v>
      </c>
      <c r="B6856" s="1" t="str">
        <f t="shared" si="4444"/>
        <v>150525100</v>
      </c>
      <c r="C6856" s="1" t="str">
        <f>"1014656343"</f>
        <v>1014656343</v>
      </c>
      <c r="D6856" s="1" t="str">
        <f>"152326195810270668"</f>
        <v>152326195810270668</v>
      </c>
      <c r="E6856" s="1" t="s">
        <v>2550</v>
      </c>
      <c r="F6856" s="1" t="s">
        <v>16</v>
      </c>
      <c r="G6856" s="1" t="s">
        <v>17</v>
      </c>
      <c r="H6856" s="1" t="str">
        <f>"66"</f>
        <v>66</v>
      </c>
      <c r="I6856" s="1" t="str">
        <f>"157.1"</f>
        <v>157.1</v>
      </c>
      <c r="J6856" s="1" t="str">
        <f t="shared" ref="J6856:N6856" si="4453">"0"</f>
        <v>0</v>
      </c>
      <c r="K6856" s="1" t="str">
        <f t="shared" si="4449"/>
        <v>103</v>
      </c>
      <c r="L6856" s="1" t="str">
        <f t="shared" si="4450"/>
        <v>47</v>
      </c>
      <c r="M6856" s="1" t="str">
        <f t="shared" si="4453"/>
        <v>0</v>
      </c>
      <c r="N6856" s="1" t="str">
        <f t="shared" si="4453"/>
        <v>0</v>
      </c>
      <c r="O6856" s="1" t="str">
        <f>"7.1"</f>
        <v>7.1</v>
      </c>
    </row>
    <row r="6857" s="1" customFormat="1" spans="1:15">
      <c r="A6857" s="1" t="str">
        <f t="shared" si="4443"/>
        <v>202406</v>
      </c>
      <c r="B6857" s="1" t="str">
        <f t="shared" si="4444"/>
        <v>150525100</v>
      </c>
      <c r="C6857" s="1" t="str">
        <f>"1014656046"</f>
        <v>1014656046</v>
      </c>
      <c r="D6857" s="1" t="str">
        <f>"152326196304063847"</f>
        <v>152326196304063847</v>
      </c>
      <c r="E6857" s="1" t="s">
        <v>6647</v>
      </c>
      <c r="F6857" s="1" t="s">
        <v>16</v>
      </c>
      <c r="G6857" s="1" t="s">
        <v>17</v>
      </c>
      <c r="H6857" s="1" t="str">
        <f>"61"</f>
        <v>61</v>
      </c>
      <c r="I6857" s="1" t="str">
        <f>"172.21"</f>
        <v>172.21</v>
      </c>
      <c r="J6857" s="1" t="str">
        <f t="shared" ref="J6857:N6857" si="4454">"0"</f>
        <v>0</v>
      </c>
      <c r="K6857" s="1" t="str">
        <f t="shared" si="4449"/>
        <v>103</v>
      </c>
      <c r="L6857" s="1" t="str">
        <f t="shared" si="4450"/>
        <v>47</v>
      </c>
      <c r="M6857" s="1" t="str">
        <f t="shared" si="4454"/>
        <v>0</v>
      </c>
      <c r="N6857" s="1" t="str">
        <f t="shared" si="4454"/>
        <v>0</v>
      </c>
      <c r="O6857" s="1" t="str">
        <f>"22.21"</f>
        <v>22.21</v>
      </c>
    </row>
    <row r="6858" s="1" customFormat="1" spans="1:15">
      <c r="A6858" s="1" t="str">
        <f t="shared" si="4443"/>
        <v>202406</v>
      </c>
      <c r="B6858" s="1" t="str">
        <f t="shared" si="4444"/>
        <v>150525100</v>
      </c>
      <c r="C6858" s="1" t="str">
        <f>"1014656056"</f>
        <v>1014656056</v>
      </c>
      <c r="D6858" s="1" t="str">
        <f>"152326195408223820"</f>
        <v>152326195408223820</v>
      </c>
      <c r="E6858" s="1" t="s">
        <v>6648</v>
      </c>
      <c r="F6858" s="1" t="s">
        <v>16</v>
      </c>
      <c r="G6858" s="1" t="s">
        <v>19</v>
      </c>
      <c r="H6858" s="1" t="str">
        <f>"70"</f>
        <v>70</v>
      </c>
      <c r="I6858" s="1" t="str">
        <f>"154.15"</f>
        <v>154.15</v>
      </c>
      <c r="J6858" s="1" t="str">
        <f t="shared" ref="J6858:N6858" si="4455">"0"</f>
        <v>0</v>
      </c>
      <c r="K6858" s="1" t="str">
        <f t="shared" si="4449"/>
        <v>103</v>
      </c>
      <c r="L6858" s="1" t="str">
        <f t="shared" si="4450"/>
        <v>47</v>
      </c>
      <c r="M6858" s="1" t="str">
        <f t="shared" si="4455"/>
        <v>0</v>
      </c>
      <c r="N6858" s="1" t="str">
        <f t="shared" si="4455"/>
        <v>0</v>
      </c>
      <c r="O6858" s="1" t="str">
        <f>"4.15"</f>
        <v>4.15</v>
      </c>
    </row>
    <row r="6859" s="1" customFormat="1" spans="1:15">
      <c r="A6859" s="1" t="str">
        <f t="shared" si="4443"/>
        <v>202406</v>
      </c>
      <c r="B6859" s="1" t="str">
        <f t="shared" si="4444"/>
        <v>150525100</v>
      </c>
      <c r="C6859" s="1" t="str">
        <f>"1015188657"</f>
        <v>1015188657</v>
      </c>
      <c r="D6859" s="1" t="str">
        <f>"152326194902130668"</f>
        <v>152326194902130668</v>
      </c>
      <c r="E6859" s="1" t="s">
        <v>6649</v>
      </c>
      <c r="F6859" s="1" t="s">
        <v>16</v>
      </c>
      <c r="G6859" s="1" t="s">
        <v>17</v>
      </c>
      <c r="H6859" s="1" t="str">
        <f>"75"</f>
        <v>75</v>
      </c>
      <c r="I6859" s="1" t="str">
        <f>"160"</f>
        <v>160</v>
      </c>
      <c r="J6859" s="1" t="str">
        <f t="shared" ref="J6859:O6859" si="4456">"0"</f>
        <v>0</v>
      </c>
      <c r="K6859" s="1" t="str">
        <f t="shared" si="4449"/>
        <v>103</v>
      </c>
      <c r="L6859" s="1" t="str">
        <f t="shared" si="4450"/>
        <v>47</v>
      </c>
      <c r="M6859" s="1" t="str">
        <f t="shared" si="4456"/>
        <v>0</v>
      </c>
      <c r="N6859" s="1" t="str">
        <f t="shared" si="4456"/>
        <v>0</v>
      </c>
      <c r="O6859" s="1" t="str">
        <f t="shared" si="4456"/>
        <v>0</v>
      </c>
    </row>
    <row r="6860" s="1" customFormat="1" spans="1:15">
      <c r="A6860" s="1" t="str">
        <f t="shared" si="4443"/>
        <v>202406</v>
      </c>
      <c r="B6860" s="1" t="str">
        <f t="shared" si="4444"/>
        <v>150525100</v>
      </c>
      <c r="C6860" s="1" t="str">
        <f>"1015188660"</f>
        <v>1015188660</v>
      </c>
      <c r="D6860" s="1" t="str">
        <f>"152326193312170665"</f>
        <v>152326193312170665</v>
      </c>
      <c r="E6860" s="1" t="s">
        <v>6650</v>
      </c>
      <c r="F6860" s="1" t="s">
        <v>16</v>
      </c>
      <c r="G6860" s="1" t="s">
        <v>17</v>
      </c>
      <c r="H6860" s="1" t="str">
        <f>"91"</f>
        <v>91</v>
      </c>
      <c r="I6860" s="1" t="str">
        <f>"170"</f>
        <v>170</v>
      </c>
      <c r="J6860" s="1" t="str">
        <f t="shared" ref="J6860:O6860" si="4457">"0"</f>
        <v>0</v>
      </c>
      <c r="K6860" s="1" t="str">
        <f t="shared" si="4449"/>
        <v>103</v>
      </c>
      <c r="L6860" s="1" t="str">
        <f t="shared" si="4450"/>
        <v>47</v>
      </c>
      <c r="M6860" s="1" t="str">
        <f t="shared" si="4457"/>
        <v>0</v>
      </c>
      <c r="N6860" s="1" t="str">
        <f t="shared" si="4457"/>
        <v>0</v>
      </c>
      <c r="O6860" s="1" t="str">
        <f t="shared" si="4457"/>
        <v>0</v>
      </c>
    </row>
    <row r="6861" s="1" customFormat="1" spans="1:15">
      <c r="A6861" s="1" t="str">
        <f t="shared" si="4443"/>
        <v>202406</v>
      </c>
      <c r="B6861" s="1" t="str">
        <f t="shared" si="4444"/>
        <v>150525100</v>
      </c>
      <c r="C6861" s="1" t="str">
        <f>"1042706204"</f>
        <v>1042706204</v>
      </c>
      <c r="D6861" s="1" t="str">
        <f>"152326196304040434"</f>
        <v>152326196304040434</v>
      </c>
      <c r="E6861" s="1" t="s">
        <v>6651</v>
      </c>
      <c r="F6861" s="1" t="s">
        <v>25</v>
      </c>
      <c r="G6861" s="1" t="s">
        <v>17</v>
      </c>
      <c r="H6861" s="1" t="str">
        <f>"61"</f>
        <v>61</v>
      </c>
      <c r="I6861" s="1" t="str">
        <f>"168.38"</f>
        <v>168.38</v>
      </c>
      <c r="J6861" s="1" t="str">
        <f t="shared" ref="J6861:N6861" si="4458">"0"</f>
        <v>0</v>
      </c>
      <c r="K6861" s="1" t="str">
        <f t="shared" si="4449"/>
        <v>103</v>
      </c>
      <c r="L6861" s="1" t="str">
        <f t="shared" si="4450"/>
        <v>47</v>
      </c>
      <c r="M6861" s="1" t="str">
        <f t="shared" si="4458"/>
        <v>0</v>
      </c>
      <c r="N6861" s="1" t="str">
        <f t="shared" si="4458"/>
        <v>0</v>
      </c>
      <c r="O6861" s="1" t="str">
        <f>"18.38"</f>
        <v>18.38</v>
      </c>
    </row>
    <row r="6862" s="1" customFormat="1" spans="1:15">
      <c r="A6862" s="1" t="str">
        <f t="shared" si="4443"/>
        <v>202406</v>
      </c>
      <c r="B6862" s="1" t="str">
        <f t="shared" si="4444"/>
        <v>150525100</v>
      </c>
      <c r="C6862" s="1" t="str">
        <f>"1042687418"</f>
        <v>1042687418</v>
      </c>
      <c r="D6862" s="1" t="str">
        <f>"152326196103010423"</f>
        <v>152326196103010423</v>
      </c>
      <c r="E6862" s="1" t="s">
        <v>6652</v>
      </c>
      <c r="F6862" s="1" t="s">
        <v>16</v>
      </c>
      <c r="G6862" s="1" t="s">
        <v>17</v>
      </c>
      <c r="H6862" s="1" t="str">
        <f>"63"</f>
        <v>63</v>
      </c>
      <c r="I6862" s="1" t="str">
        <f>"165.85"</f>
        <v>165.85</v>
      </c>
      <c r="J6862" s="1" t="str">
        <f t="shared" ref="J6862:N6862" si="4459">"0"</f>
        <v>0</v>
      </c>
      <c r="K6862" s="1" t="str">
        <f t="shared" si="4449"/>
        <v>103</v>
      </c>
      <c r="L6862" s="1" t="str">
        <f t="shared" si="4450"/>
        <v>47</v>
      </c>
      <c r="M6862" s="1" t="str">
        <f t="shared" si="4459"/>
        <v>0</v>
      </c>
      <c r="N6862" s="1" t="str">
        <f t="shared" si="4459"/>
        <v>0</v>
      </c>
      <c r="O6862" s="1" t="str">
        <f>"15.85"</f>
        <v>15.85</v>
      </c>
    </row>
    <row r="6863" s="1" customFormat="1" spans="1:15">
      <c r="A6863" s="1" t="str">
        <f t="shared" si="4443"/>
        <v>202406</v>
      </c>
      <c r="B6863" s="1" t="str">
        <f t="shared" si="4444"/>
        <v>150525100</v>
      </c>
      <c r="C6863" s="1" t="str">
        <f>"1042698980"</f>
        <v>1042698980</v>
      </c>
      <c r="D6863" s="1" t="str">
        <f>"152326195902050662"</f>
        <v>152326195902050662</v>
      </c>
      <c r="E6863" s="1" t="s">
        <v>6653</v>
      </c>
      <c r="F6863" s="1" t="s">
        <v>16</v>
      </c>
      <c r="G6863" s="1" t="s">
        <v>17</v>
      </c>
      <c r="H6863" s="1" t="str">
        <f>"65"</f>
        <v>65</v>
      </c>
      <c r="I6863" s="1" t="str">
        <f>"156.48"</f>
        <v>156.48</v>
      </c>
      <c r="J6863" s="1" t="str">
        <f t="shared" ref="J6863:N6863" si="4460">"0"</f>
        <v>0</v>
      </c>
      <c r="K6863" s="1" t="str">
        <f t="shared" si="4449"/>
        <v>103</v>
      </c>
      <c r="L6863" s="1" t="str">
        <f t="shared" si="4450"/>
        <v>47</v>
      </c>
      <c r="M6863" s="1" t="str">
        <f t="shared" si="4460"/>
        <v>0</v>
      </c>
      <c r="N6863" s="1" t="str">
        <f t="shared" si="4460"/>
        <v>0</v>
      </c>
      <c r="O6863" s="1" t="str">
        <f>"6.48"</f>
        <v>6.48</v>
      </c>
    </row>
    <row r="6864" s="1" customFormat="1" spans="1:15">
      <c r="A6864" s="1" t="str">
        <f t="shared" si="4443"/>
        <v>202406</v>
      </c>
      <c r="B6864" s="1" t="str">
        <f t="shared" si="4444"/>
        <v>150525100</v>
      </c>
      <c r="C6864" s="1" t="str">
        <f>"1014552312"</f>
        <v>1014552312</v>
      </c>
      <c r="D6864" s="1" t="str">
        <f>"152326195206163823"</f>
        <v>152326195206163823</v>
      </c>
      <c r="E6864" s="1" t="s">
        <v>6654</v>
      </c>
      <c r="F6864" s="1" t="s">
        <v>16</v>
      </c>
      <c r="G6864" s="1" t="s">
        <v>19</v>
      </c>
      <c r="H6864" s="1" t="str">
        <f>"72"</f>
        <v>72</v>
      </c>
      <c r="I6864" s="1" t="str">
        <f>"162.15"</f>
        <v>162.15</v>
      </c>
      <c r="J6864" s="1" t="str">
        <f t="shared" ref="J6864:N6864" si="4461">"0"</f>
        <v>0</v>
      </c>
      <c r="K6864" s="1" t="str">
        <f t="shared" si="4449"/>
        <v>103</v>
      </c>
      <c r="L6864" s="1" t="str">
        <f t="shared" si="4450"/>
        <v>47</v>
      </c>
      <c r="M6864" s="1" t="str">
        <f t="shared" si="4461"/>
        <v>0</v>
      </c>
      <c r="N6864" s="1" t="str">
        <f t="shared" si="4461"/>
        <v>0</v>
      </c>
      <c r="O6864" s="1" t="str">
        <f>"2.15"</f>
        <v>2.15</v>
      </c>
    </row>
    <row r="6865" s="1" customFormat="1" spans="1:15">
      <c r="A6865" s="1" t="str">
        <f t="shared" si="4443"/>
        <v>202406</v>
      </c>
      <c r="B6865" s="1" t="str">
        <f t="shared" si="4444"/>
        <v>150525100</v>
      </c>
      <c r="C6865" s="1" t="str">
        <f>"1014552320"</f>
        <v>1014552320</v>
      </c>
      <c r="D6865" s="1" t="str">
        <f>"152326195411133818"</f>
        <v>152326195411133818</v>
      </c>
      <c r="E6865" s="1" t="s">
        <v>6655</v>
      </c>
      <c r="F6865" s="1" t="s">
        <v>25</v>
      </c>
      <c r="G6865" s="1" t="s">
        <v>19</v>
      </c>
      <c r="H6865" s="1" t="str">
        <f>"70"</f>
        <v>70</v>
      </c>
      <c r="I6865" s="1" t="str">
        <f>"153.77"</f>
        <v>153.77</v>
      </c>
      <c r="J6865" s="1" t="str">
        <f t="shared" ref="J6865:N6865" si="4462">"0"</f>
        <v>0</v>
      </c>
      <c r="K6865" s="1" t="str">
        <f t="shared" si="4449"/>
        <v>103</v>
      </c>
      <c r="L6865" s="1" t="str">
        <f t="shared" si="4450"/>
        <v>47</v>
      </c>
      <c r="M6865" s="1" t="str">
        <f t="shared" si="4462"/>
        <v>0</v>
      </c>
      <c r="N6865" s="1" t="str">
        <f t="shared" si="4462"/>
        <v>0</v>
      </c>
      <c r="O6865" s="1" t="str">
        <f>"3.77"</f>
        <v>3.77</v>
      </c>
    </row>
    <row r="6866" s="1" customFormat="1" spans="1:15">
      <c r="A6866" s="1" t="str">
        <f t="shared" si="4443"/>
        <v>202406</v>
      </c>
      <c r="B6866" s="1" t="str">
        <f t="shared" si="4444"/>
        <v>150525100</v>
      </c>
      <c r="C6866" s="1" t="str">
        <f>"1014575766"</f>
        <v>1014575766</v>
      </c>
      <c r="D6866" s="1" t="str">
        <f>"152326195603020666"</f>
        <v>152326195603020666</v>
      </c>
      <c r="E6866" s="1" t="s">
        <v>6656</v>
      </c>
      <c r="F6866" s="1" t="s">
        <v>16</v>
      </c>
      <c r="G6866" s="1" t="s">
        <v>17</v>
      </c>
      <c r="H6866" s="1" t="str">
        <f t="shared" ref="H6866:H6869" si="4463">"68"</f>
        <v>68</v>
      </c>
      <c r="I6866" s="1" t="str">
        <f>"155.99"</f>
        <v>155.99</v>
      </c>
      <c r="J6866" s="1" t="str">
        <f t="shared" ref="J6866:N6866" si="4464">"0"</f>
        <v>0</v>
      </c>
      <c r="K6866" s="1" t="str">
        <f t="shared" si="4449"/>
        <v>103</v>
      </c>
      <c r="L6866" s="1" t="str">
        <f t="shared" si="4450"/>
        <v>47</v>
      </c>
      <c r="M6866" s="1" t="str">
        <f t="shared" si="4464"/>
        <v>0</v>
      </c>
      <c r="N6866" s="1" t="str">
        <f t="shared" si="4464"/>
        <v>0</v>
      </c>
      <c r="O6866" s="1" t="str">
        <f>"5.99"</f>
        <v>5.99</v>
      </c>
    </row>
    <row r="6867" s="1" customFormat="1" spans="1:15">
      <c r="A6867" s="1" t="str">
        <f t="shared" si="4443"/>
        <v>202406</v>
      </c>
      <c r="B6867" s="1" t="str">
        <f t="shared" si="4444"/>
        <v>150525100</v>
      </c>
      <c r="C6867" s="1" t="str">
        <f>"1014575769"</f>
        <v>1014575769</v>
      </c>
      <c r="D6867" s="1" t="str">
        <f>"152326195606090678"</f>
        <v>152326195606090678</v>
      </c>
      <c r="E6867" s="1" t="s">
        <v>6657</v>
      </c>
      <c r="F6867" s="1" t="s">
        <v>25</v>
      </c>
      <c r="G6867" s="1" t="s">
        <v>17</v>
      </c>
      <c r="H6867" s="1" t="str">
        <f t="shared" si="4463"/>
        <v>68</v>
      </c>
      <c r="I6867" s="1" t="str">
        <f>"155.77"</f>
        <v>155.77</v>
      </c>
      <c r="J6867" s="1" t="str">
        <f t="shared" ref="J6867:N6867" si="4465">"0"</f>
        <v>0</v>
      </c>
      <c r="K6867" s="1" t="str">
        <f t="shared" si="4449"/>
        <v>103</v>
      </c>
      <c r="L6867" s="1" t="str">
        <f t="shared" si="4450"/>
        <v>47</v>
      </c>
      <c r="M6867" s="1" t="str">
        <f t="shared" si="4465"/>
        <v>0</v>
      </c>
      <c r="N6867" s="1" t="str">
        <f t="shared" si="4465"/>
        <v>0</v>
      </c>
      <c r="O6867" s="1" t="str">
        <f>"5.77"</f>
        <v>5.77</v>
      </c>
    </row>
    <row r="6868" s="1" customFormat="1" spans="1:15">
      <c r="A6868" s="1" t="str">
        <f t="shared" si="4443"/>
        <v>202406</v>
      </c>
      <c r="B6868" s="1" t="str">
        <f t="shared" si="4444"/>
        <v>150525100</v>
      </c>
      <c r="C6868" s="1" t="str">
        <f>"1014575775"</f>
        <v>1014575775</v>
      </c>
      <c r="D6868" s="1" t="str">
        <f>"152326195702160672"</f>
        <v>152326195702160672</v>
      </c>
      <c r="E6868" s="1" t="s">
        <v>6658</v>
      </c>
      <c r="F6868" s="1" t="s">
        <v>25</v>
      </c>
      <c r="G6868" s="1" t="s">
        <v>17</v>
      </c>
      <c r="H6868" s="1" t="str">
        <f>"67"</f>
        <v>67</v>
      </c>
      <c r="I6868" s="1" t="str">
        <f>"156.03"</f>
        <v>156.03</v>
      </c>
      <c r="J6868" s="1" t="str">
        <f t="shared" ref="J6868:N6868" si="4466">"0"</f>
        <v>0</v>
      </c>
      <c r="K6868" s="1" t="str">
        <f t="shared" si="4449"/>
        <v>103</v>
      </c>
      <c r="L6868" s="1" t="str">
        <f t="shared" si="4450"/>
        <v>47</v>
      </c>
      <c r="M6868" s="1" t="str">
        <f t="shared" si="4466"/>
        <v>0</v>
      </c>
      <c r="N6868" s="1" t="str">
        <f t="shared" si="4466"/>
        <v>0</v>
      </c>
      <c r="O6868" s="1" t="str">
        <f>"6.03"</f>
        <v>6.03</v>
      </c>
    </row>
    <row r="6869" s="1" customFormat="1" spans="1:15">
      <c r="A6869" s="1" t="str">
        <f t="shared" si="4443"/>
        <v>202406</v>
      </c>
      <c r="B6869" s="1" t="str">
        <f t="shared" si="4444"/>
        <v>150525100</v>
      </c>
      <c r="C6869" s="1" t="str">
        <f>"1014576103"</f>
        <v>1014576103</v>
      </c>
      <c r="D6869" s="1" t="s">
        <v>6659</v>
      </c>
      <c r="E6869" s="1" t="s">
        <v>6660</v>
      </c>
      <c r="F6869" s="1" t="s">
        <v>16</v>
      </c>
      <c r="G6869" s="1" t="s">
        <v>17</v>
      </c>
      <c r="H6869" s="1" t="str">
        <f t="shared" si="4463"/>
        <v>68</v>
      </c>
      <c r="I6869" s="1" t="str">
        <f>"156.02"</f>
        <v>156.02</v>
      </c>
      <c r="J6869" s="1" t="str">
        <f t="shared" ref="J6869:N6869" si="4467">"0"</f>
        <v>0</v>
      </c>
      <c r="K6869" s="1" t="str">
        <f t="shared" si="4449"/>
        <v>103</v>
      </c>
      <c r="L6869" s="1" t="str">
        <f t="shared" si="4450"/>
        <v>47</v>
      </c>
      <c r="M6869" s="1" t="str">
        <f t="shared" si="4467"/>
        <v>0</v>
      </c>
      <c r="N6869" s="1" t="str">
        <f t="shared" si="4467"/>
        <v>0</v>
      </c>
      <c r="O6869" s="1" t="str">
        <f>"6.02"</f>
        <v>6.02</v>
      </c>
    </row>
    <row r="6870" s="1" customFormat="1" spans="1:15">
      <c r="A6870" s="1" t="str">
        <f t="shared" si="4443"/>
        <v>202406</v>
      </c>
      <c r="B6870" s="1" t="str">
        <f t="shared" si="4444"/>
        <v>150525100</v>
      </c>
      <c r="C6870" s="1" t="str">
        <f>"1014548094"</f>
        <v>1014548094</v>
      </c>
      <c r="D6870" s="1" t="str">
        <f>"152326195508143086"</f>
        <v>152326195508143086</v>
      </c>
      <c r="E6870" s="1" t="s">
        <v>6661</v>
      </c>
      <c r="F6870" s="1" t="s">
        <v>16</v>
      </c>
      <c r="G6870" s="1" t="s">
        <v>17</v>
      </c>
      <c r="H6870" s="1" t="str">
        <f>"69"</f>
        <v>69</v>
      </c>
      <c r="I6870" s="1" t="str">
        <f>"155.1"</f>
        <v>155.1</v>
      </c>
      <c r="J6870" s="1" t="str">
        <f t="shared" ref="J6870:N6870" si="4468">"0"</f>
        <v>0</v>
      </c>
      <c r="K6870" s="1" t="str">
        <f t="shared" si="4449"/>
        <v>103</v>
      </c>
      <c r="L6870" s="1" t="str">
        <f t="shared" si="4450"/>
        <v>47</v>
      </c>
      <c r="M6870" s="1" t="str">
        <f t="shared" si="4468"/>
        <v>0</v>
      </c>
      <c r="N6870" s="1" t="str">
        <f t="shared" si="4468"/>
        <v>0</v>
      </c>
      <c r="O6870" s="1" t="str">
        <f>"5.1"</f>
        <v>5.1</v>
      </c>
    </row>
    <row r="6871" s="1" customFormat="1" spans="1:15">
      <c r="A6871" s="1" t="str">
        <f t="shared" si="4443"/>
        <v>202406</v>
      </c>
      <c r="B6871" s="1" t="str">
        <f t="shared" si="4444"/>
        <v>150525100</v>
      </c>
      <c r="C6871" s="1" t="str">
        <f>"1014548095"</f>
        <v>1014548095</v>
      </c>
      <c r="D6871" s="1" t="str">
        <f>"152326195603283079"</f>
        <v>152326195603283079</v>
      </c>
      <c r="E6871" s="1" t="s">
        <v>6662</v>
      </c>
      <c r="F6871" s="1" t="s">
        <v>25</v>
      </c>
      <c r="G6871" s="1" t="s">
        <v>17</v>
      </c>
      <c r="H6871" s="1" t="str">
        <f>"68"</f>
        <v>68</v>
      </c>
      <c r="I6871" s="1" t="str">
        <f>"156.04"</f>
        <v>156.04</v>
      </c>
      <c r="J6871" s="1" t="str">
        <f t="shared" ref="J6871:N6871" si="4469">"0"</f>
        <v>0</v>
      </c>
      <c r="K6871" s="1" t="str">
        <f t="shared" si="4449"/>
        <v>103</v>
      </c>
      <c r="L6871" s="1" t="str">
        <f t="shared" si="4450"/>
        <v>47</v>
      </c>
      <c r="M6871" s="1" t="str">
        <f t="shared" si="4469"/>
        <v>0</v>
      </c>
      <c r="N6871" s="1" t="str">
        <f t="shared" si="4469"/>
        <v>0</v>
      </c>
      <c r="O6871" s="1" t="str">
        <f>"6.04"</f>
        <v>6.04</v>
      </c>
    </row>
    <row r="6872" s="1" customFormat="1" spans="1:15">
      <c r="A6872" s="1" t="str">
        <f t="shared" si="4443"/>
        <v>202406</v>
      </c>
      <c r="B6872" s="1" t="str">
        <f t="shared" si="4444"/>
        <v>150525100</v>
      </c>
      <c r="C6872" s="1" t="str">
        <f>"1014572026"</f>
        <v>1014572026</v>
      </c>
      <c r="D6872" s="1" t="str">
        <f>"152326195206130415"</f>
        <v>152326195206130415</v>
      </c>
      <c r="E6872" s="1" t="s">
        <v>6663</v>
      </c>
      <c r="F6872" s="1" t="s">
        <v>25</v>
      </c>
      <c r="G6872" s="1" t="s">
        <v>17</v>
      </c>
      <c r="H6872" s="1" t="str">
        <f>"72"</f>
        <v>72</v>
      </c>
      <c r="I6872" s="1" t="str">
        <f>"162.14"</f>
        <v>162.14</v>
      </c>
      <c r="J6872" s="1" t="str">
        <f t="shared" ref="J6872:N6872" si="4470">"0"</f>
        <v>0</v>
      </c>
      <c r="K6872" s="1" t="str">
        <f t="shared" si="4449"/>
        <v>103</v>
      </c>
      <c r="L6872" s="1" t="str">
        <f t="shared" si="4450"/>
        <v>47</v>
      </c>
      <c r="M6872" s="1" t="str">
        <f t="shared" si="4470"/>
        <v>0</v>
      </c>
      <c r="N6872" s="1" t="str">
        <f t="shared" si="4470"/>
        <v>0</v>
      </c>
      <c r="O6872" s="1" t="str">
        <f>"2.14"</f>
        <v>2.14</v>
      </c>
    </row>
    <row r="6873" s="1" customFormat="1" spans="1:15">
      <c r="A6873" s="1" t="str">
        <f t="shared" si="4443"/>
        <v>202406</v>
      </c>
      <c r="B6873" s="1" t="str">
        <f t="shared" si="4444"/>
        <v>150525100</v>
      </c>
      <c r="C6873" s="1" t="str">
        <f>"1014576638"</f>
        <v>1014576638</v>
      </c>
      <c r="D6873" s="1" t="str">
        <f>"152326195708200663"</f>
        <v>152326195708200663</v>
      </c>
      <c r="E6873" s="1" t="s">
        <v>2677</v>
      </c>
      <c r="F6873" s="1" t="s">
        <v>16</v>
      </c>
      <c r="G6873" s="1" t="s">
        <v>19</v>
      </c>
      <c r="H6873" s="1" t="str">
        <f>"67"</f>
        <v>67</v>
      </c>
      <c r="I6873" s="1" t="str">
        <f>"156.08"</f>
        <v>156.08</v>
      </c>
      <c r="J6873" s="1" t="str">
        <f t="shared" ref="J6873:N6873" si="4471">"0"</f>
        <v>0</v>
      </c>
      <c r="K6873" s="1" t="str">
        <f t="shared" si="4449"/>
        <v>103</v>
      </c>
      <c r="L6873" s="1" t="str">
        <f t="shared" si="4450"/>
        <v>47</v>
      </c>
      <c r="M6873" s="1" t="str">
        <f t="shared" si="4471"/>
        <v>0</v>
      </c>
      <c r="N6873" s="1" t="str">
        <f t="shared" si="4471"/>
        <v>0</v>
      </c>
      <c r="O6873" s="1" t="str">
        <f>"6.08"</f>
        <v>6.08</v>
      </c>
    </row>
    <row r="6874" s="1" customFormat="1" spans="1:15">
      <c r="A6874" s="1" t="str">
        <f t="shared" si="4443"/>
        <v>202406</v>
      </c>
      <c r="B6874" s="1" t="str">
        <f t="shared" si="4444"/>
        <v>150525100</v>
      </c>
      <c r="C6874" s="1" t="str">
        <f>"1014576651"</f>
        <v>1014576651</v>
      </c>
      <c r="D6874" s="1" t="str">
        <f>"152326196007040673"</f>
        <v>152326196007040673</v>
      </c>
      <c r="E6874" s="1" t="s">
        <v>6664</v>
      </c>
      <c r="F6874" s="1" t="s">
        <v>25</v>
      </c>
      <c r="G6874" s="1" t="s">
        <v>19</v>
      </c>
      <c r="H6874" s="1" t="str">
        <f>"64"</f>
        <v>64</v>
      </c>
      <c r="I6874" s="1" t="str">
        <f>"159.23"</f>
        <v>159.23</v>
      </c>
      <c r="J6874" s="1" t="str">
        <f t="shared" ref="J6874:N6874" si="4472">"0"</f>
        <v>0</v>
      </c>
      <c r="K6874" s="1" t="str">
        <f t="shared" si="4449"/>
        <v>103</v>
      </c>
      <c r="L6874" s="1" t="str">
        <f t="shared" si="4450"/>
        <v>47</v>
      </c>
      <c r="M6874" s="1" t="str">
        <f t="shared" si="4472"/>
        <v>0</v>
      </c>
      <c r="N6874" s="1" t="str">
        <f t="shared" si="4472"/>
        <v>0</v>
      </c>
      <c r="O6874" s="1" t="str">
        <f>"9.23"</f>
        <v>9.23</v>
      </c>
    </row>
    <row r="6875" s="1" customFormat="1" spans="1:15">
      <c r="A6875" s="1" t="str">
        <f t="shared" si="4443"/>
        <v>202406</v>
      </c>
      <c r="B6875" s="1" t="str">
        <f t="shared" si="4444"/>
        <v>150525100</v>
      </c>
      <c r="C6875" s="1" t="str">
        <f>"1014576660"</f>
        <v>1014576660</v>
      </c>
      <c r="D6875" s="1" t="str">
        <f>"152326196004046375"</f>
        <v>152326196004046375</v>
      </c>
      <c r="E6875" s="1" t="s">
        <v>6665</v>
      </c>
      <c r="F6875" s="1" t="s">
        <v>25</v>
      </c>
      <c r="G6875" s="1" t="s">
        <v>17</v>
      </c>
      <c r="H6875" s="1" t="str">
        <f>"64"</f>
        <v>64</v>
      </c>
      <c r="I6875" s="1" t="str">
        <f>"160.02"</f>
        <v>160.02</v>
      </c>
      <c r="J6875" s="1" t="str">
        <f t="shared" ref="J6875:N6875" si="4473">"0"</f>
        <v>0</v>
      </c>
      <c r="K6875" s="1" t="str">
        <f t="shared" si="4449"/>
        <v>103</v>
      </c>
      <c r="L6875" s="1" t="str">
        <f t="shared" si="4450"/>
        <v>47</v>
      </c>
      <c r="M6875" s="1" t="str">
        <f t="shared" si="4473"/>
        <v>0</v>
      </c>
      <c r="N6875" s="1" t="str">
        <f t="shared" si="4473"/>
        <v>0</v>
      </c>
      <c r="O6875" s="1" t="str">
        <f>"10.02"</f>
        <v>10.02</v>
      </c>
    </row>
    <row r="6876" s="1" customFormat="1" spans="1:15">
      <c r="A6876" s="1" t="str">
        <f t="shared" si="4443"/>
        <v>202406</v>
      </c>
      <c r="B6876" s="1" t="str">
        <f t="shared" si="4444"/>
        <v>150525100</v>
      </c>
      <c r="C6876" s="1" t="str">
        <f>"1014548036"</f>
        <v>1014548036</v>
      </c>
      <c r="D6876" s="1" t="str">
        <f>"152326195303163825"</f>
        <v>152326195303163825</v>
      </c>
      <c r="E6876" s="1" t="s">
        <v>2856</v>
      </c>
      <c r="F6876" s="1" t="s">
        <v>16</v>
      </c>
      <c r="G6876" s="1" t="s">
        <v>17</v>
      </c>
      <c r="H6876" s="1" t="str">
        <f>"71"</f>
        <v>71</v>
      </c>
      <c r="I6876" s="1" t="str">
        <f>"163.16"</f>
        <v>163.16</v>
      </c>
      <c r="J6876" s="1" t="str">
        <f t="shared" ref="J6876:N6876" si="4474">"0"</f>
        <v>0</v>
      </c>
      <c r="K6876" s="1" t="str">
        <f t="shared" si="4449"/>
        <v>103</v>
      </c>
      <c r="L6876" s="1" t="str">
        <f t="shared" si="4450"/>
        <v>47</v>
      </c>
      <c r="M6876" s="1" t="str">
        <f t="shared" si="4474"/>
        <v>0</v>
      </c>
      <c r="N6876" s="1" t="str">
        <f t="shared" si="4474"/>
        <v>0</v>
      </c>
      <c r="O6876" s="1" t="str">
        <f>"3.16"</f>
        <v>3.16</v>
      </c>
    </row>
    <row r="6877" s="1" customFormat="1" spans="1:15">
      <c r="A6877" s="1" t="str">
        <f t="shared" si="4443"/>
        <v>202406</v>
      </c>
      <c r="B6877" s="1" t="str">
        <f t="shared" si="4444"/>
        <v>150525100</v>
      </c>
      <c r="C6877" s="1" t="str">
        <f>"1014548044"</f>
        <v>1014548044</v>
      </c>
      <c r="D6877" s="1" t="str">
        <f>"152326196310153822"</f>
        <v>152326196310153822</v>
      </c>
      <c r="E6877" s="1" t="s">
        <v>4403</v>
      </c>
      <c r="F6877" s="1" t="s">
        <v>16</v>
      </c>
      <c r="G6877" s="1" t="s">
        <v>17</v>
      </c>
      <c r="H6877" s="1" t="str">
        <f>"61"</f>
        <v>61</v>
      </c>
      <c r="I6877" s="1" t="str">
        <f>"164.07"</f>
        <v>164.07</v>
      </c>
      <c r="J6877" s="1" t="str">
        <f t="shared" ref="J6877:N6877" si="4475">"0"</f>
        <v>0</v>
      </c>
      <c r="K6877" s="1" t="str">
        <f t="shared" si="4449"/>
        <v>103</v>
      </c>
      <c r="L6877" s="1" t="str">
        <f t="shared" si="4450"/>
        <v>47</v>
      </c>
      <c r="M6877" s="1" t="str">
        <f t="shared" si="4475"/>
        <v>0</v>
      </c>
      <c r="N6877" s="1" t="str">
        <f t="shared" si="4475"/>
        <v>0</v>
      </c>
      <c r="O6877" s="1" t="str">
        <f>"14.07"</f>
        <v>14.07</v>
      </c>
    </row>
    <row r="6878" s="1" customFormat="1" spans="1:15">
      <c r="A6878" s="1" t="str">
        <f t="shared" si="4443"/>
        <v>202406</v>
      </c>
      <c r="B6878" s="1" t="str">
        <f t="shared" si="4444"/>
        <v>150525100</v>
      </c>
      <c r="C6878" s="1" t="str">
        <f>"1014572171"</f>
        <v>1014572171</v>
      </c>
      <c r="D6878" s="1" t="s">
        <v>6666</v>
      </c>
      <c r="E6878" s="1" t="s">
        <v>6667</v>
      </c>
      <c r="F6878" s="1" t="s">
        <v>25</v>
      </c>
      <c r="G6878" s="1" t="s">
        <v>17</v>
      </c>
      <c r="H6878" s="1" t="str">
        <f>"65"</f>
        <v>65</v>
      </c>
      <c r="I6878" s="1" t="str">
        <f>"217.72"</f>
        <v>217.72</v>
      </c>
      <c r="J6878" s="1" t="str">
        <f t="shared" ref="J6878:N6878" si="4476">"0"</f>
        <v>0</v>
      </c>
      <c r="K6878" s="1" t="str">
        <f t="shared" si="4449"/>
        <v>103</v>
      </c>
      <c r="L6878" s="1" t="str">
        <f t="shared" si="4450"/>
        <v>47</v>
      </c>
      <c r="M6878" s="1" t="str">
        <f t="shared" si="4476"/>
        <v>0</v>
      </c>
      <c r="N6878" s="1" t="str">
        <f t="shared" si="4476"/>
        <v>0</v>
      </c>
      <c r="O6878" s="1" t="str">
        <f>"67.72"</f>
        <v>67.72</v>
      </c>
    </row>
    <row r="6879" s="1" customFormat="1" spans="1:15">
      <c r="A6879" s="1" t="str">
        <f t="shared" si="4443"/>
        <v>202406</v>
      </c>
      <c r="B6879" s="1" t="str">
        <f t="shared" si="4444"/>
        <v>150525100</v>
      </c>
      <c r="C6879" s="1" t="str">
        <f>"1014572176"</f>
        <v>1014572176</v>
      </c>
      <c r="D6879" s="1" t="s">
        <v>6668</v>
      </c>
      <c r="E6879" s="1" t="s">
        <v>931</v>
      </c>
      <c r="F6879" s="1" t="s">
        <v>16</v>
      </c>
      <c r="G6879" s="1" t="s">
        <v>17</v>
      </c>
      <c r="H6879" s="1" t="str">
        <f>"61"</f>
        <v>61</v>
      </c>
      <c r="I6879" s="1" t="str">
        <f>"339.87"</f>
        <v>339.87</v>
      </c>
      <c r="J6879" s="1" t="str">
        <f t="shared" ref="J6879:N6879" si="4477">"0"</f>
        <v>0</v>
      </c>
      <c r="K6879" s="1" t="str">
        <f t="shared" si="4449"/>
        <v>103</v>
      </c>
      <c r="L6879" s="1" t="str">
        <f t="shared" si="4450"/>
        <v>47</v>
      </c>
      <c r="M6879" s="1" t="str">
        <f t="shared" si="4477"/>
        <v>0</v>
      </c>
      <c r="N6879" s="1" t="str">
        <f t="shared" si="4477"/>
        <v>0</v>
      </c>
      <c r="O6879" s="1" t="str">
        <f>"189.87"</f>
        <v>189.87</v>
      </c>
    </row>
    <row r="6880" s="1" customFormat="1" spans="1:15">
      <c r="A6880" s="1" t="str">
        <f t="shared" si="4443"/>
        <v>202406</v>
      </c>
      <c r="B6880" s="1" t="str">
        <f t="shared" si="4444"/>
        <v>150525100</v>
      </c>
      <c r="C6880" s="1" t="str">
        <f>"1014552373"</f>
        <v>1014552373</v>
      </c>
      <c r="D6880" s="1" t="s">
        <v>6669</v>
      </c>
      <c r="E6880" s="1" t="s">
        <v>1865</v>
      </c>
      <c r="F6880" s="1" t="s">
        <v>25</v>
      </c>
      <c r="G6880" s="1" t="s">
        <v>19</v>
      </c>
      <c r="H6880" s="1" t="str">
        <f>"66"</f>
        <v>66</v>
      </c>
      <c r="I6880" s="1" t="str">
        <f>"156.89"</f>
        <v>156.89</v>
      </c>
      <c r="J6880" s="1" t="str">
        <f t="shared" ref="J6880:N6880" si="4478">"0"</f>
        <v>0</v>
      </c>
      <c r="K6880" s="1" t="str">
        <f t="shared" si="4449"/>
        <v>103</v>
      </c>
      <c r="L6880" s="1" t="str">
        <f t="shared" si="4450"/>
        <v>47</v>
      </c>
      <c r="M6880" s="1" t="str">
        <f t="shared" si="4478"/>
        <v>0</v>
      </c>
      <c r="N6880" s="1" t="str">
        <f t="shared" si="4478"/>
        <v>0</v>
      </c>
      <c r="O6880" s="1" t="str">
        <f>"6.89"</f>
        <v>6.89</v>
      </c>
    </row>
    <row r="6881" s="1" customFormat="1" spans="1:15">
      <c r="A6881" s="1" t="str">
        <f t="shared" si="4443"/>
        <v>202406</v>
      </c>
      <c r="B6881" s="1" t="str">
        <f t="shared" si="4444"/>
        <v>150525100</v>
      </c>
      <c r="C6881" s="1" t="str">
        <f>"1014576345"</f>
        <v>1014576345</v>
      </c>
      <c r="D6881" s="1" t="str">
        <f>"152326196208220697"</f>
        <v>152326196208220697</v>
      </c>
      <c r="E6881" s="1" t="s">
        <v>6136</v>
      </c>
      <c r="F6881" s="1" t="s">
        <v>25</v>
      </c>
      <c r="G6881" s="1" t="s">
        <v>19</v>
      </c>
      <c r="H6881" s="1" t="str">
        <f>"62"</f>
        <v>62</v>
      </c>
      <c r="I6881" s="1" t="str">
        <f>"163.1"</f>
        <v>163.1</v>
      </c>
      <c r="J6881" s="1" t="str">
        <f t="shared" ref="J6881:N6881" si="4479">"0"</f>
        <v>0</v>
      </c>
      <c r="K6881" s="1" t="str">
        <f t="shared" si="4449"/>
        <v>103</v>
      </c>
      <c r="L6881" s="1" t="str">
        <f t="shared" si="4450"/>
        <v>47</v>
      </c>
      <c r="M6881" s="1" t="str">
        <f t="shared" si="4479"/>
        <v>0</v>
      </c>
      <c r="N6881" s="1" t="str">
        <f t="shared" si="4479"/>
        <v>0</v>
      </c>
      <c r="O6881" s="1" t="str">
        <f>"13.1"</f>
        <v>13.1</v>
      </c>
    </row>
    <row r="6882" s="1" customFormat="1" spans="1:15">
      <c r="A6882" s="1" t="str">
        <f t="shared" si="4443"/>
        <v>202406</v>
      </c>
      <c r="B6882" s="1" t="str">
        <f t="shared" si="4444"/>
        <v>150525100</v>
      </c>
      <c r="C6882" s="1" t="str">
        <f>"1014576474"</f>
        <v>1014576474</v>
      </c>
      <c r="D6882" s="1" t="str">
        <f>"152326195702176375"</f>
        <v>152326195702176375</v>
      </c>
      <c r="E6882" s="1" t="s">
        <v>6670</v>
      </c>
      <c r="F6882" s="1" t="s">
        <v>25</v>
      </c>
      <c r="G6882" s="1" t="s">
        <v>17</v>
      </c>
      <c r="H6882" s="1" t="str">
        <f>"67"</f>
        <v>67</v>
      </c>
      <c r="I6882" s="1" t="str">
        <f>"156.03"</f>
        <v>156.03</v>
      </c>
      <c r="J6882" s="1" t="str">
        <f t="shared" ref="J6882:N6882" si="4480">"0"</f>
        <v>0</v>
      </c>
      <c r="K6882" s="1" t="str">
        <f t="shared" si="4449"/>
        <v>103</v>
      </c>
      <c r="L6882" s="1" t="str">
        <f t="shared" si="4450"/>
        <v>47</v>
      </c>
      <c r="M6882" s="1" t="str">
        <f t="shared" si="4480"/>
        <v>0</v>
      </c>
      <c r="N6882" s="1" t="str">
        <f t="shared" si="4480"/>
        <v>0</v>
      </c>
      <c r="O6882" s="1" t="str">
        <f>"6.03"</f>
        <v>6.03</v>
      </c>
    </row>
    <row r="6883" s="1" customFormat="1" spans="1:15">
      <c r="A6883" s="1" t="str">
        <f t="shared" si="4443"/>
        <v>202406</v>
      </c>
      <c r="B6883" s="1" t="str">
        <f t="shared" si="4444"/>
        <v>150525100</v>
      </c>
      <c r="C6883" s="1" t="str">
        <f>"1014576478"</f>
        <v>1014576478</v>
      </c>
      <c r="D6883" s="1" t="str">
        <f>"152326195806156125"</f>
        <v>152326195806156125</v>
      </c>
      <c r="E6883" s="1" t="s">
        <v>6671</v>
      </c>
      <c r="F6883" s="1" t="s">
        <v>16</v>
      </c>
      <c r="G6883" s="1" t="s">
        <v>17</v>
      </c>
      <c r="H6883" s="1" t="str">
        <f>"66"</f>
        <v>66</v>
      </c>
      <c r="I6883" s="1" t="str">
        <f>"157.01"</f>
        <v>157.01</v>
      </c>
      <c r="J6883" s="1" t="str">
        <f t="shared" ref="J6883:N6883" si="4481">"0"</f>
        <v>0</v>
      </c>
      <c r="K6883" s="1" t="str">
        <f t="shared" si="4449"/>
        <v>103</v>
      </c>
      <c r="L6883" s="1" t="str">
        <f t="shared" si="4450"/>
        <v>47</v>
      </c>
      <c r="M6883" s="1" t="str">
        <f t="shared" si="4481"/>
        <v>0</v>
      </c>
      <c r="N6883" s="1" t="str">
        <f t="shared" si="4481"/>
        <v>0</v>
      </c>
      <c r="O6883" s="1" t="str">
        <f>"7.01"</f>
        <v>7.01</v>
      </c>
    </row>
    <row r="6884" s="1" customFormat="1" spans="1:15">
      <c r="A6884" s="1" t="str">
        <f t="shared" si="4443"/>
        <v>202406</v>
      </c>
      <c r="B6884" s="1" t="str">
        <f t="shared" si="4444"/>
        <v>150525100</v>
      </c>
      <c r="C6884" s="1" t="str">
        <f>"1014576682"</f>
        <v>1014576682</v>
      </c>
      <c r="D6884" s="1" t="str">
        <f>"152326195708103089"</f>
        <v>152326195708103089</v>
      </c>
      <c r="E6884" s="1" t="s">
        <v>6672</v>
      </c>
      <c r="F6884" s="1" t="s">
        <v>16</v>
      </c>
      <c r="G6884" s="1" t="s">
        <v>17</v>
      </c>
      <c r="H6884" s="1" t="str">
        <f>"67"</f>
        <v>67</v>
      </c>
      <c r="I6884" s="1" t="str">
        <f>"156.07"</f>
        <v>156.07</v>
      </c>
      <c r="J6884" s="1" t="str">
        <f t="shared" ref="J6884:N6884" si="4482">"0"</f>
        <v>0</v>
      </c>
      <c r="K6884" s="1" t="str">
        <f t="shared" si="4449"/>
        <v>103</v>
      </c>
      <c r="L6884" s="1" t="str">
        <f t="shared" si="4450"/>
        <v>47</v>
      </c>
      <c r="M6884" s="1" t="str">
        <f t="shared" si="4482"/>
        <v>0</v>
      </c>
      <c r="N6884" s="1" t="str">
        <f t="shared" si="4482"/>
        <v>0</v>
      </c>
      <c r="O6884" s="1" t="str">
        <f>"6.07"</f>
        <v>6.07</v>
      </c>
    </row>
    <row r="6885" s="1" customFormat="1" spans="1:15">
      <c r="A6885" s="1" t="str">
        <f t="shared" si="4443"/>
        <v>202406</v>
      </c>
      <c r="B6885" s="1" t="str">
        <f t="shared" si="4444"/>
        <v>150525100</v>
      </c>
      <c r="C6885" s="1" t="str">
        <f>"1014548087"</f>
        <v>1014548087</v>
      </c>
      <c r="D6885" s="1" t="str">
        <f>"152326195307270695"</f>
        <v>152326195307270695</v>
      </c>
      <c r="E6885" s="1" t="s">
        <v>6673</v>
      </c>
      <c r="F6885" s="1" t="s">
        <v>25</v>
      </c>
      <c r="G6885" s="1" t="s">
        <v>17</v>
      </c>
      <c r="H6885" s="1" t="str">
        <f t="shared" ref="H6885:H6888" si="4483">"71"</f>
        <v>71</v>
      </c>
      <c r="I6885" s="1" t="str">
        <f>"163.16"</f>
        <v>163.16</v>
      </c>
      <c r="J6885" s="1" t="str">
        <f t="shared" ref="J6885:N6885" si="4484">"0"</f>
        <v>0</v>
      </c>
      <c r="K6885" s="1" t="str">
        <f t="shared" si="4449"/>
        <v>103</v>
      </c>
      <c r="L6885" s="1" t="str">
        <f t="shared" si="4450"/>
        <v>47</v>
      </c>
      <c r="M6885" s="1" t="str">
        <f t="shared" si="4484"/>
        <v>0</v>
      </c>
      <c r="N6885" s="1" t="str">
        <f t="shared" si="4484"/>
        <v>0</v>
      </c>
      <c r="O6885" s="1" t="str">
        <f>"3.16"</f>
        <v>3.16</v>
      </c>
    </row>
    <row r="6886" s="1" customFormat="1" spans="1:15">
      <c r="A6886" s="1" t="str">
        <f t="shared" si="4443"/>
        <v>202406</v>
      </c>
      <c r="B6886" s="1" t="str">
        <f t="shared" si="4444"/>
        <v>150525100</v>
      </c>
      <c r="C6886" s="1" t="str">
        <f>"1014548473"</f>
        <v>1014548473</v>
      </c>
      <c r="D6886" s="1" t="str">
        <f>"150430195311043397"</f>
        <v>150430195311043397</v>
      </c>
      <c r="E6886" s="1" t="s">
        <v>6674</v>
      </c>
      <c r="F6886" s="1" t="s">
        <v>25</v>
      </c>
      <c r="G6886" s="1" t="s">
        <v>17</v>
      </c>
      <c r="H6886" s="1" t="str">
        <f t="shared" si="4483"/>
        <v>71</v>
      </c>
      <c r="I6886" s="1" t="str">
        <f>"173.38"</f>
        <v>173.38</v>
      </c>
      <c r="J6886" s="1" t="str">
        <f t="shared" ref="J6886:N6886" si="4485">"0"</f>
        <v>0</v>
      </c>
      <c r="K6886" s="1" t="str">
        <f t="shared" si="4449"/>
        <v>103</v>
      </c>
      <c r="L6886" s="1" t="str">
        <f t="shared" si="4450"/>
        <v>47</v>
      </c>
      <c r="M6886" s="1" t="str">
        <f t="shared" si="4485"/>
        <v>0</v>
      </c>
      <c r="N6886" s="1" t="str">
        <f t="shared" si="4485"/>
        <v>0</v>
      </c>
      <c r="O6886" s="1" t="str">
        <f>"13.38"</f>
        <v>13.38</v>
      </c>
    </row>
    <row r="6887" s="1" customFormat="1" spans="1:15">
      <c r="A6887" s="1" t="str">
        <f t="shared" si="4443"/>
        <v>202406</v>
      </c>
      <c r="B6887" s="1" t="str">
        <f t="shared" si="4444"/>
        <v>150525100</v>
      </c>
      <c r="C6887" s="1" t="str">
        <f>"1014552432"</f>
        <v>1014552432</v>
      </c>
      <c r="D6887" s="1" t="str">
        <f>"152326195901253847"</f>
        <v>152326195901253847</v>
      </c>
      <c r="E6887" s="1" t="s">
        <v>1622</v>
      </c>
      <c r="F6887" s="1" t="s">
        <v>16</v>
      </c>
      <c r="G6887" s="1" t="s">
        <v>17</v>
      </c>
      <c r="H6887" s="1" t="str">
        <f>"65"</f>
        <v>65</v>
      </c>
      <c r="I6887" s="1" t="str">
        <f>"159.07"</f>
        <v>159.07</v>
      </c>
      <c r="J6887" s="1" t="str">
        <f t="shared" ref="J6887:N6887" si="4486">"0"</f>
        <v>0</v>
      </c>
      <c r="K6887" s="1" t="str">
        <f t="shared" si="4449"/>
        <v>103</v>
      </c>
      <c r="L6887" s="1" t="str">
        <f t="shared" si="4450"/>
        <v>47</v>
      </c>
      <c r="M6887" s="1" t="str">
        <f t="shared" si="4486"/>
        <v>0</v>
      </c>
      <c r="N6887" s="1" t="str">
        <f t="shared" si="4486"/>
        <v>0</v>
      </c>
      <c r="O6887" s="1" t="str">
        <f>"9.07"</f>
        <v>9.07</v>
      </c>
    </row>
    <row r="6888" s="1" customFormat="1" spans="1:15">
      <c r="A6888" s="1" t="str">
        <f t="shared" si="4443"/>
        <v>202406</v>
      </c>
      <c r="B6888" s="1" t="str">
        <f t="shared" si="4444"/>
        <v>150525100</v>
      </c>
      <c r="C6888" s="1" t="str">
        <f>"1014576524"</f>
        <v>1014576524</v>
      </c>
      <c r="D6888" s="1" t="str">
        <f>"152326195303106388"</f>
        <v>152326195303106388</v>
      </c>
      <c r="E6888" s="1" t="s">
        <v>4141</v>
      </c>
      <c r="F6888" s="1" t="s">
        <v>16</v>
      </c>
      <c r="G6888" s="1" t="s">
        <v>19</v>
      </c>
      <c r="H6888" s="1" t="str">
        <f t="shared" si="4483"/>
        <v>71</v>
      </c>
      <c r="I6888" s="1" t="str">
        <f>"163.16"</f>
        <v>163.16</v>
      </c>
      <c r="J6888" s="1" t="str">
        <f t="shared" ref="J6888:N6888" si="4487">"0"</f>
        <v>0</v>
      </c>
      <c r="K6888" s="1" t="str">
        <f t="shared" si="4449"/>
        <v>103</v>
      </c>
      <c r="L6888" s="1" t="str">
        <f t="shared" si="4450"/>
        <v>47</v>
      </c>
      <c r="M6888" s="1" t="str">
        <f t="shared" si="4487"/>
        <v>0</v>
      </c>
      <c r="N6888" s="1" t="str">
        <f t="shared" si="4487"/>
        <v>0</v>
      </c>
      <c r="O6888" s="1" t="str">
        <f>"3.16"</f>
        <v>3.16</v>
      </c>
    </row>
    <row r="6889" s="1" customFormat="1" spans="1:15">
      <c r="A6889" s="1" t="str">
        <f t="shared" si="4443"/>
        <v>202406</v>
      </c>
      <c r="B6889" s="1" t="str">
        <f t="shared" si="4444"/>
        <v>150525100</v>
      </c>
      <c r="C6889" s="1" t="str">
        <f>"1014576961"</f>
        <v>1014576961</v>
      </c>
      <c r="D6889" s="1" t="s">
        <v>6675</v>
      </c>
      <c r="E6889" s="1" t="s">
        <v>6676</v>
      </c>
      <c r="F6889" s="1" t="s">
        <v>25</v>
      </c>
      <c r="G6889" s="1" t="s">
        <v>17</v>
      </c>
      <c r="H6889" s="1" t="str">
        <f>"61"</f>
        <v>61</v>
      </c>
      <c r="I6889" s="1" t="str">
        <f>"164.92"</f>
        <v>164.92</v>
      </c>
      <c r="J6889" s="1" t="str">
        <f t="shared" ref="J6889:N6889" si="4488">"0"</f>
        <v>0</v>
      </c>
      <c r="K6889" s="1" t="str">
        <f t="shared" si="4449"/>
        <v>103</v>
      </c>
      <c r="L6889" s="1" t="str">
        <f t="shared" si="4450"/>
        <v>47</v>
      </c>
      <c r="M6889" s="1" t="str">
        <f t="shared" si="4488"/>
        <v>0</v>
      </c>
      <c r="N6889" s="1" t="str">
        <f t="shared" si="4488"/>
        <v>0</v>
      </c>
      <c r="O6889" s="1" t="str">
        <f>"14.92"</f>
        <v>14.92</v>
      </c>
    </row>
    <row r="6890" s="1" customFormat="1" spans="1:15">
      <c r="A6890" s="1" t="str">
        <f t="shared" si="4443"/>
        <v>202406</v>
      </c>
      <c r="B6890" s="1" t="str">
        <f t="shared" si="4444"/>
        <v>150525100</v>
      </c>
      <c r="C6890" s="1" t="str">
        <f>"1014548195"</f>
        <v>1014548195</v>
      </c>
      <c r="D6890" s="1" t="str">
        <f>"152326195511053866"</f>
        <v>152326195511053866</v>
      </c>
      <c r="E6890" s="1" t="s">
        <v>6677</v>
      </c>
      <c r="F6890" s="1" t="s">
        <v>16</v>
      </c>
      <c r="G6890" s="1" t="s">
        <v>17</v>
      </c>
      <c r="H6890" s="1" t="str">
        <f>"69"</f>
        <v>69</v>
      </c>
      <c r="I6890" s="1" t="str">
        <f>"155.11"</f>
        <v>155.11</v>
      </c>
      <c r="J6890" s="1" t="str">
        <f t="shared" ref="J6890:N6890" si="4489">"0"</f>
        <v>0</v>
      </c>
      <c r="K6890" s="1" t="str">
        <f t="shared" si="4449"/>
        <v>103</v>
      </c>
      <c r="L6890" s="1" t="str">
        <f t="shared" si="4450"/>
        <v>47</v>
      </c>
      <c r="M6890" s="1" t="str">
        <f t="shared" si="4489"/>
        <v>0</v>
      </c>
      <c r="N6890" s="1" t="str">
        <f t="shared" si="4489"/>
        <v>0</v>
      </c>
      <c r="O6890" s="1" t="str">
        <f>"5.11"</f>
        <v>5.11</v>
      </c>
    </row>
    <row r="6891" s="1" customFormat="1" spans="1:15">
      <c r="A6891" s="1" t="str">
        <f t="shared" si="4443"/>
        <v>202406</v>
      </c>
      <c r="B6891" s="1" t="str">
        <f t="shared" si="4444"/>
        <v>150525100</v>
      </c>
      <c r="C6891" s="1" t="str">
        <f>"1014572086"</f>
        <v>1014572086</v>
      </c>
      <c r="D6891" s="1" t="s">
        <v>6678</v>
      </c>
      <c r="E6891" s="1" t="s">
        <v>6679</v>
      </c>
      <c r="F6891" s="1" t="s">
        <v>25</v>
      </c>
      <c r="G6891" s="1" t="s">
        <v>17</v>
      </c>
      <c r="H6891" s="1" t="str">
        <f>"67"</f>
        <v>67</v>
      </c>
      <c r="I6891" s="1" t="str">
        <f>"165.78"</f>
        <v>165.78</v>
      </c>
      <c r="J6891" s="1" t="str">
        <f t="shared" ref="J6891:N6891" si="4490">"0"</f>
        <v>0</v>
      </c>
      <c r="K6891" s="1" t="str">
        <f t="shared" si="4449"/>
        <v>103</v>
      </c>
      <c r="L6891" s="1" t="str">
        <f t="shared" si="4450"/>
        <v>47</v>
      </c>
      <c r="M6891" s="1" t="str">
        <f t="shared" si="4490"/>
        <v>0</v>
      </c>
      <c r="N6891" s="1" t="str">
        <f t="shared" si="4490"/>
        <v>0</v>
      </c>
      <c r="O6891" s="1" t="str">
        <f>"15.78"</f>
        <v>15.78</v>
      </c>
    </row>
    <row r="6892" s="1" customFormat="1" spans="1:15">
      <c r="A6892" s="1" t="str">
        <f t="shared" si="4443"/>
        <v>202406</v>
      </c>
      <c r="B6892" s="1" t="str">
        <f t="shared" si="4444"/>
        <v>150525100</v>
      </c>
      <c r="C6892" s="1" t="str">
        <f>"1014572092"</f>
        <v>1014572092</v>
      </c>
      <c r="D6892" s="1" t="s">
        <v>6680</v>
      </c>
      <c r="E6892" s="1" t="s">
        <v>6681</v>
      </c>
      <c r="F6892" s="1" t="s">
        <v>25</v>
      </c>
      <c r="G6892" s="1" t="s">
        <v>17</v>
      </c>
      <c r="H6892" s="1" t="str">
        <f>"66"</f>
        <v>66</v>
      </c>
      <c r="I6892" s="1" t="str">
        <f>"157.1"</f>
        <v>157.1</v>
      </c>
      <c r="J6892" s="1" t="str">
        <f t="shared" ref="J6892:N6892" si="4491">"0"</f>
        <v>0</v>
      </c>
      <c r="K6892" s="1" t="str">
        <f t="shared" si="4449"/>
        <v>103</v>
      </c>
      <c r="L6892" s="1" t="str">
        <f t="shared" si="4450"/>
        <v>47</v>
      </c>
      <c r="M6892" s="1" t="str">
        <f t="shared" si="4491"/>
        <v>0</v>
      </c>
      <c r="N6892" s="1" t="str">
        <f t="shared" si="4491"/>
        <v>0</v>
      </c>
      <c r="O6892" s="1" t="str">
        <f>"7.1"</f>
        <v>7.1</v>
      </c>
    </row>
    <row r="6893" s="1" customFormat="1" spans="1:15">
      <c r="A6893" s="1" t="str">
        <f t="shared" si="4443"/>
        <v>202406</v>
      </c>
      <c r="B6893" s="1" t="str">
        <f t="shared" si="4444"/>
        <v>150525100</v>
      </c>
      <c r="C6893" s="1" t="str">
        <f>"1014570256"</f>
        <v>1014570256</v>
      </c>
      <c r="D6893" s="1" t="str">
        <f>"152326195507063818"</f>
        <v>152326195507063818</v>
      </c>
      <c r="E6893" s="1" t="s">
        <v>285</v>
      </c>
      <c r="F6893" s="1" t="s">
        <v>25</v>
      </c>
      <c r="G6893" s="1" t="s">
        <v>17</v>
      </c>
      <c r="H6893" s="1" t="str">
        <f>"69"</f>
        <v>69</v>
      </c>
      <c r="I6893" s="1" t="str">
        <f>"181.78"</f>
        <v>181.78</v>
      </c>
      <c r="J6893" s="1" t="str">
        <f>"0"</f>
        <v>0</v>
      </c>
      <c r="K6893" s="1" t="str">
        <f t="shared" si="4449"/>
        <v>103</v>
      </c>
      <c r="L6893" s="1" t="str">
        <f t="shared" si="4450"/>
        <v>47</v>
      </c>
      <c r="M6893" s="1" t="str">
        <f>"0"</f>
        <v>0</v>
      </c>
      <c r="N6893" s="1" t="str">
        <f>"26.67"</f>
        <v>26.67</v>
      </c>
      <c r="O6893" s="1" t="str">
        <f>"5.11"</f>
        <v>5.11</v>
      </c>
    </row>
    <row r="6894" s="1" customFormat="1" spans="1:15">
      <c r="A6894" s="1" t="str">
        <f t="shared" si="4443"/>
        <v>202406</v>
      </c>
      <c r="B6894" s="1" t="str">
        <f t="shared" si="4444"/>
        <v>150525100</v>
      </c>
      <c r="C6894" s="1" t="str">
        <f>"1014570266"</f>
        <v>1014570266</v>
      </c>
      <c r="D6894" s="1" t="str">
        <f>"152326195908173823"</f>
        <v>152326195908173823</v>
      </c>
      <c r="E6894" s="1" t="s">
        <v>6682</v>
      </c>
      <c r="F6894" s="1" t="s">
        <v>16</v>
      </c>
      <c r="G6894" s="1" t="s">
        <v>17</v>
      </c>
      <c r="H6894" s="1" t="str">
        <f>"65"</f>
        <v>65</v>
      </c>
      <c r="I6894" s="1" t="str">
        <f>"157.94"</f>
        <v>157.94</v>
      </c>
      <c r="J6894" s="1" t="str">
        <f t="shared" ref="J6894:N6894" si="4492">"0"</f>
        <v>0</v>
      </c>
      <c r="K6894" s="1" t="str">
        <f t="shared" si="4449"/>
        <v>103</v>
      </c>
      <c r="L6894" s="1" t="str">
        <f t="shared" si="4450"/>
        <v>47</v>
      </c>
      <c r="M6894" s="1" t="str">
        <f t="shared" si="4492"/>
        <v>0</v>
      </c>
      <c r="N6894" s="1" t="str">
        <f t="shared" si="4492"/>
        <v>0</v>
      </c>
      <c r="O6894" s="1" t="str">
        <f>"7.94"</f>
        <v>7.94</v>
      </c>
    </row>
    <row r="6895" s="1" customFormat="1" spans="1:15">
      <c r="A6895" s="1" t="str">
        <f t="shared" si="4443"/>
        <v>202406</v>
      </c>
      <c r="B6895" s="1" t="str">
        <f t="shared" si="4444"/>
        <v>150525100</v>
      </c>
      <c r="C6895" s="1" t="str">
        <f>"1014576737"</f>
        <v>1014576737</v>
      </c>
      <c r="D6895" s="1" t="str">
        <f>"152326195304140684"</f>
        <v>152326195304140684</v>
      </c>
      <c r="E6895" s="1" t="s">
        <v>6683</v>
      </c>
      <c r="F6895" s="1" t="s">
        <v>16</v>
      </c>
      <c r="G6895" s="1" t="s">
        <v>19</v>
      </c>
      <c r="H6895" s="1" t="str">
        <f>"71"</f>
        <v>71</v>
      </c>
      <c r="I6895" s="1" t="str">
        <f>"163.16"</f>
        <v>163.16</v>
      </c>
      <c r="J6895" s="1" t="str">
        <f t="shared" ref="J6895:N6895" si="4493">"0"</f>
        <v>0</v>
      </c>
      <c r="K6895" s="1" t="str">
        <f t="shared" si="4449"/>
        <v>103</v>
      </c>
      <c r="L6895" s="1" t="str">
        <f t="shared" si="4450"/>
        <v>47</v>
      </c>
      <c r="M6895" s="1" t="str">
        <f t="shared" si="4493"/>
        <v>0</v>
      </c>
      <c r="N6895" s="1" t="str">
        <f t="shared" si="4493"/>
        <v>0</v>
      </c>
      <c r="O6895" s="1" t="str">
        <f>"3.16"</f>
        <v>3.16</v>
      </c>
    </row>
    <row r="6896" s="1" customFormat="1" spans="1:15">
      <c r="A6896" s="1" t="str">
        <f t="shared" si="4443"/>
        <v>202406</v>
      </c>
      <c r="B6896" s="1" t="str">
        <f t="shared" si="4444"/>
        <v>150525100</v>
      </c>
      <c r="C6896" s="1" t="str">
        <f>"1014576985"</f>
        <v>1014576985</v>
      </c>
      <c r="D6896" s="1" t="str">
        <f>"152326195303170670"</f>
        <v>152326195303170670</v>
      </c>
      <c r="E6896" s="1" t="s">
        <v>6684</v>
      </c>
      <c r="F6896" s="1" t="s">
        <v>25</v>
      </c>
      <c r="G6896" s="1" t="s">
        <v>17</v>
      </c>
      <c r="H6896" s="1" t="str">
        <f>"71"</f>
        <v>71</v>
      </c>
      <c r="I6896" s="1" t="str">
        <f>"163.16"</f>
        <v>163.16</v>
      </c>
      <c r="J6896" s="1" t="str">
        <f t="shared" ref="J6896:N6896" si="4494">"0"</f>
        <v>0</v>
      </c>
      <c r="K6896" s="1" t="str">
        <f t="shared" si="4449"/>
        <v>103</v>
      </c>
      <c r="L6896" s="1" t="str">
        <f t="shared" si="4450"/>
        <v>47</v>
      </c>
      <c r="M6896" s="1" t="str">
        <f t="shared" si="4494"/>
        <v>0</v>
      </c>
      <c r="N6896" s="1" t="str">
        <f t="shared" si="4494"/>
        <v>0</v>
      </c>
      <c r="O6896" s="1" t="str">
        <f>"3.16"</f>
        <v>3.16</v>
      </c>
    </row>
    <row r="6897" s="1" customFormat="1" spans="1:15">
      <c r="A6897" s="1" t="str">
        <f t="shared" si="4443"/>
        <v>202406</v>
      </c>
      <c r="B6897" s="1" t="str">
        <f t="shared" si="4444"/>
        <v>150525100</v>
      </c>
      <c r="C6897" s="1" t="str">
        <f>"1014576994"</f>
        <v>1014576994</v>
      </c>
      <c r="D6897" s="1" t="str">
        <f>"152326195406190674"</f>
        <v>152326195406190674</v>
      </c>
      <c r="E6897" s="1" t="s">
        <v>6685</v>
      </c>
      <c r="F6897" s="1" t="s">
        <v>25</v>
      </c>
      <c r="G6897" s="1" t="s">
        <v>17</v>
      </c>
      <c r="H6897" s="1" t="str">
        <f>"70"</f>
        <v>70</v>
      </c>
      <c r="I6897" s="1" t="str">
        <f>"154.14"</f>
        <v>154.14</v>
      </c>
      <c r="J6897" s="1" t="str">
        <f t="shared" ref="J6897:N6897" si="4495">"0"</f>
        <v>0</v>
      </c>
      <c r="K6897" s="1" t="str">
        <f t="shared" si="4449"/>
        <v>103</v>
      </c>
      <c r="L6897" s="1" t="str">
        <f t="shared" si="4450"/>
        <v>47</v>
      </c>
      <c r="M6897" s="1" t="str">
        <f t="shared" si="4495"/>
        <v>0</v>
      </c>
      <c r="N6897" s="1" t="str">
        <f t="shared" si="4495"/>
        <v>0</v>
      </c>
      <c r="O6897" s="1" t="str">
        <f>"4.14"</f>
        <v>4.14</v>
      </c>
    </row>
    <row r="6898" s="1" customFormat="1" spans="1:15">
      <c r="A6898" s="1" t="str">
        <f t="shared" si="4443"/>
        <v>202406</v>
      </c>
      <c r="B6898" s="1" t="str">
        <f t="shared" si="4444"/>
        <v>150525100</v>
      </c>
      <c r="C6898" s="1" t="str">
        <f>"1014576997"</f>
        <v>1014576997</v>
      </c>
      <c r="D6898" s="1" t="str">
        <f>"152326195412260667"</f>
        <v>152326195412260667</v>
      </c>
      <c r="E6898" s="1" t="s">
        <v>738</v>
      </c>
      <c r="F6898" s="1" t="s">
        <v>16</v>
      </c>
      <c r="G6898" s="1" t="s">
        <v>17</v>
      </c>
      <c r="H6898" s="1" t="str">
        <f>"70"</f>
        <v>70</v>
      </c>
      <c r="I6898" s="1" t="str">
        <f>"154.14"</f>
        <v>154.14</v>
      </c>
      <c r="J6898" s="1" t="str">
        <f t="shared" ref="J6898:N6898" si="4496">"0"</f>
        <v>0</v>
      </c>
      <c r="K6898" s="1" t="str">
        <f t="shared" si="4449"/>
        <v>103</v>
      </c>
      <c r="L6898" s="1" t="str">
        <f t="shared" si="4450"/>
        <v>47</v>
      </c>
      <c r="M6898" s="1" t="str">
        <f t="shared" si="4496"/>
        <v>0</v>
      </c>
      <c r="N6898" s="1" t="str">
        <f t="shared" si="4496"/>
        <v>0</v>
      </c>
      <c r="O6898" s="1" t="str">
        <f>"4.14"</f>
        <v>4.14</v>
      </c>
    </row>
    <row r="6899" s="1" customFormat="1" spans="1:15">
      <c r="A6899" s="1" t="str">
        <f t="shared" si="4443"/>
        <v>202406</v>
      </c>
      <c r="B6899" s="1" t="str">
        <f t="shared" si="4444"/>
        <v>150525100</v>
      </c>
      <c r="C6899" s="1" t="str">
        <f>"1014548239"</f>
        <v>1014548239</v>
      </c>
      <c r="D6899" s="1" t="str">
        <f>"152326195903050664"</f>
        <v>152326195903050664</v>
      </c>
      <c r="E6899" s="1" t="s">
        <v>1252</v>
      </c>
      <c r="F6899" s="1" t="s">
        <v>16</v>
      </c>
      <c r="G6899" s="1" t="s">
        <v>19</v>
      </c>
      <c r="H6899" s="1" t="str">
        <f>"65"</f>
        <v>65</v>
      </c>
      <c r="I6899" s="1" t="str">
        <f>"158.12"</f>
        <v>158.12</v>
      </c>
      <c r="J6899" s="1" t="str">
        <f t="shared" ref="J6899:N6899" si="4497">"0"</f>
        <v>0</v>
      </c>
      <c r="K6899" s="1" t="str">
        <f t="shared" si="4449"/>
        <v>103</v>
      </c>
      <c r="L6899" s="1" t="str">
        <f t="shared" si="4450"/>
        <v>47</v>
      </c>
      <c r="M6899" s="1" t="str">
        <f t="shared" si="4497"/>
        <v>0</v>
      </c>
      <c r="N6899" s="1" t="str">
        <f t="shared" si="4497"/>
        <v>0</v>
      </c>
      <c r="O6899" s="1" t="str">
        <f>"8.12"</f>
        <v>8.12</v>
      </c>
    </row>
    <row r="6900" s="1" customFormat="1" spans="1:15">
      <c r="A6900" s="1" t="str">
        <f t="shared" si="4443"/>
        <v>202406</v>
      </c>
      <c r="B6900" s="1" t="str">
        <f t="shared" si="4444"/>
        <v>150525100</v>
      </c>
      <c r="C6900" s="1" t="str">
        <f>"1014570293"</f>
        <v>1014570293</v>
      </c>
      <c r="D6900" s="1" t="str">
        <f>"152326195509233825"</f>
        <v>152326195509233825</v>
      </c>
      <c r="E6900" s="1" t="s">
        <v>6686</v>
      </c>
      <c r="F6900" s="1" t="s">
        <v>16</v>
      </c>
      <c r="G6900" s="1" t="s">
        <v>19</v>
      </c>
      <c r="H6900" s="1" t="str">
        <f>"69"</f>
        <v>69</v>
      </c>
      <c r="I6900" s="1" t="str">
        <f>"155.11"</f>
        <v>155.11</v>
      </c>
      <c r="J6900" s="1" t="str">
        <f t="shared" ref="J6900:N6900" si="4498">"0"</f>
        <v>0</v>
      </c>
      <c r="K6900" s="1" t="str">
        <f t="shared" si="4449"/>
        <v>103</v>
      </c>
      <c r="L6900" s="1" t="str">
        <f t="shared" si="4450"/>
        <v>47</v>
      </c>
      <c r="M6900" s="1" t="str">
        <f t="shared" si="4498"/>
        <v>0</v>
      </c>
      <c r="N6900" s="1" t="str">
        <f t="shared" si="4498"/>
        <v>0</v>
      </c>
      <c r="O6900" s="1" t="str">
        <f>"5.11"</f>
        <v>5.11</v>
      </c>
    </row>
    <row r="6901" s="1" customFormat="1" spans="1:15">
      <c r="A6901" s="1" t="str">
        <f t="shared" si="4443"/>
        <v>202406</v>
      </c>
      <c r="B6901" s="1" t="str">
        <f t="shared" si="4444"/>
        <v>150525100</v>
      </c>
      <c r="C6901" s="1" t="str">
        <f>"1014570318"</f>
        <v>1014570318</v>
      </c>
      <c r="D6901" s="1" t="s">
        <v>6687</v>
      </c>
      <c r="E6901" s="1" t="s">
        <v>6688</v>
      </c>
      <c r="F6901" s="1" t="s">
        <v>25</v>
      </c>
      <c r="G6901" s="1" t="s">
        <v>19</v>
      </c>
      <c r="H6901" s="1" t="str">
        <f t="shared" ref="H6901:H6906" si="4499">"72"</f>
        <v>72</v>
      </c>
      <c r="I6901" s="1" t="str">
        <f>"162.16"</f>
        <v>162.16</v>
      </c>
      <c r="J6901" s="1" t="str">
        <f t="shared" ref="J6901:N6901" si="4500">"0"</f>
        <v>0</v>
      </c>
      <c r="K6901" s="1" t="str">
        <f t="shared" si="4449"/>
        <v>103</v>
      </c>
      <c r="L6901" s="1" t="str">
        <f t="shared" si="4450"/>
        <v>47</v>
      </c>
      <c r="M6901" s="1" t="str">
        <f t="shared" si="4500"/>
        <v>0</v>
      </c>
      <c r="N6901" s="1" t="str">
        <f t="shared" si="4500"/>
        <v>0</v>
      </c>
      <c r="O6901" s="1" t="str">
        <f>"2.16"</f>
        <v>2.16</v>
      </c>
    </row>
    <row r="6902" s="1" customFormat="1" spans="1:15">
      <c r="A6902" s="1" t="str">
        <f t="shared" si="4443"/>
        <v>202406</v>
      </c>
      <c r="B6902" s="1" t="str">
        <f t="shared" si="4444"/>
        <v>150525100</v>
      </c>
      <c r="C6902" s="1" t="str">
        <f>"1014552490"</f>
        <v>1014552490</v>
      </c>
      <c r="D6902" s="1" t="str">
        <f>"152326195807283812"</f>
        <v>152326195807283812</v>
      </c>
      <c r="E6902" s="1" t="s">
        <v>6689</v>
      </c>
      <c r="F6902" s="1" t="s">
        <v>25</v>
      </c>
      <c r="G6902" s="1" t="s">
        <v>19</v>
      </c>
      <c r="H6902" s="1" t="str">
        <f>"66"</f>
        <v>66</v>
      </c>
      <c r="I6902" s="1" t="str">
        <f>"157.82"</f>
        <v>157.82</v>
      </c>
      <c r="J6902" s="1" t="str">
        <f t="shared" ref="J6902:N6902" si="4501">"0"</f>
        <v>0</v>
      </c>
      <c r="K6902" s="1" t="str">
        <f t="shared" si="4449"/>
        <v>103</v>
      </c>
      <c r="L6902" s="1" t="str">
        <f t="shared" si="4450"/>
        <v>47</v>
      </c>
      <c r="M6902" s="1" t="str">
        <f t="shared" si="4501"/>
        <v>0</v>
      </c>
      <c r="N6902" s="1" t="str">
        <f t="shared" si="4501"/>
        <v>0</v>
      </c>
      <c r="O6902" s="1" t="str">
        <f>"7.82"</f>
        <v>7.82</v>
      </c>
    </row>
    <row r="6903" s="1" customFormat="1" spans="1:15">
      <c r="A6903" s="1" t="str">
        <f t="shared" si="4443"/>
        <v>202406</v>
      </c>
      <c r="B6903" s="1" t="str">
        <f t="shared" si="4444"/>
        <v>150525100</v>
      </c>
      <c r="C6903" s="1" t="str">
        <f>"1014552507"</f>
        <v>1014552507</v>
      </c>
      <c r="D6903" s="1" t="str">
        <f>"152326195403213826"</f>
        <v>152326195403213826</v>
      </c>
      <c r="E6903" s="1" t="s">
        <v>6690</v>
      </c>
      <c r="F6903" s="1" t="s">
        <v>16</v>
      </c>
      <c r="G6903" s="1" t="s">
        <v>17</v>
      </c>
      <c r="H6903" s="1" t="str">
        <f>"70"</f>
        <v>70</v>
      </c>
      <c r="I6903" s="1" t="str">
        <f>"163.91"</f>
        <v>163.91</v>
      </c>
      <c r="J6903" s="1" t="str">
        <f t="shared" ref="J6903:N6903" si="4502">"0"</f>
        <v>0</v>
      </c>
      <c r="K6903" s="1" t="str">
        <f t="shared" si="4449"/>
        <v>103</v>
      </c>
      <c r="L6903" s="1" t="str">
        <f t="shared" si="4450"/>
        <v>47</v>
      </c>
      <c r="M6903" s="1" t="str">
        <f t="shared" si="4502"/>
        <v>0</v>
      </c>
      <c r="N6903" s="1" t="str">
        <f t="shared" si="4502"/>
        <v>0</v>
      </c>
      <c r="O6903" s="1" t="str">
        <f>"3.91"</f>
        <v>3.91</v>
      </c>
    </row>
    <row r="6904" s="1" customFormat="1" spans="1:15">
      <c r="A6904" s="1" t="str">
        <f t="shared" si="4443"/>
        <v>202406</v>
      </c>
      <c r="B6904" s="1" t="str">
        <f t="shared" si="4444"/>
        <v>150525100</v>
      </c>
      <c r="C6904" s="1" t="str">
        <f>"1014576787"</f>
        <v>1014576787</v>
      </c>
      <c r="D6904" s="1" t="str">
        <f>"152326195506063082"</f>
        <v>152326195506063082</v>
      </c>
      <c r="E6904" s="1" t="s">
        <v>4441</v>
      </c>
      <c r="F6904" s="1" t="s">
        <v>16</v>
      </c>
      <c r="G6904" s="1" t="s">
        <v>17</v>
      </c>
      <c r="H6904" s="1" t="str">
        <f>"69"</f>
        <v>69</v>
      </c>
      <c r="I6904" s="1" t="str">
        <f>"155.09"</f>
        <v>155.09</v>
      </c>
      <c r="J6904" s="1" t="str">
        <f t="shared" ref="J6904:N6904" si="4503">"0"</f>
        <v>0</v>
      </c>
      <c r="K6904" s="1" t="str">
        <f t="shared" si="4449"/>
        <v>103</v>
      </c>
      <c r="L6904" s="1" t="str">
        <f t="shared" si="4450"/>
        <v>47</v>
      </c>
      <c r="M6904" s="1" t="str">
        <f t="shared" si="4503"/>
        <v>0</v>
      </c>
      <c r="N6904" s="1" t="str">
        <f t="shared" si="4503"/>
        <v>0</v>
      </c>
      <c r="O6904" s="1" t="str">
        <f>"5.09"</f>
        <v>5.09</v>
      </c>
    </row>
    <row r="6905" s="1" customFormat="1" spans="1:15">
      <c r="A6905" s="1" t="str">
        <f t="shared" si="4443"/>
        <v>202406</v>
      </c>
      <c r="B6905" s="1" t="str">
        <f t="shared" si="4444"/>
        <v>150525100</v>
      </c>
      <c r="C6905" s="1" t="str">
        <f>"1014577031"</f>
        <v>1014577031</v>
      </c>
      <c r="D6905" s="1" t="str">
        <f>"152326195209100676"</f>
        <v>152326195209100676</v>
      </c>
      <c r="E6905" s="1" t="s">
        <v>6691</v>
      </c>
      <c r="F6905" s="1" t="s">
        <v>25</v>
      </c>
      <c r="G6905" s="1" t="s">
        <v>17</v>
      </c>
      <c r="H6905" s="1" t="str">
        <f t="shared" si="4499"/>
        <v>72</v>
      </c>
      <c r="I6905" s="1" t="str">
        <f t="shared" ref="I6905:I6915" si="4504">"162.14"</f>
        <v>162.14</v>
      </c>
      <c r="J6905" s="1" t="str">
        <f t="shared" ref="J6905:N6905" si="4505">"0"</f>
        <v>0</v>
      </c>
      <c r="K6905" s="1" t="str">
        <f t="shared" si="4449"/>
        <v>103</v>
      </c>
      <c r="L6905" s="1" t="str">
        <f t="shared" si="4450"/>
        <v>47</v>
      </c>
      <c r="M6905" s="1" t="str">
        <f t="shared" si="4505"/>
        <v>0</v>
      </c>
      <c r="N6905" s="1" t="str">
        <f t="shared" si="4505"/>
        <v>0</v>
      </c>
      <c r="O6905" s="1" t="str">
        <f t="shared" ref="O6905:O6915" si="4506">"2.14"</f>
        <v>2.14</v>
      </c>
    </row>
    <row r="6906" s="1" customFormat="1" spans="1:15">
      <c r="A6906" s="1" t="str">
        <f t="shared" si="4443"/>
        <v>202406</v>
      </c>
      <c r="B6906" s="1" t="str">
        <f t="shared" si="4444"/>
        <v>150525100</v>
      </c>
      <c r="C6906" s="1" t="str">
        <f>"1014577034"</f>
        <v>1014577034</v>
      </c>
      <c r="D6906" s="1" t="str">
        <f>"152326195210060675"</f>
        <v>152326195210060675</v>
      </c>
      <c r="E6906" s="1" t="s">
        <v>6692</v>
      </c>
      <c r="F6906" s="1" t="s">
        <v>25</v>
      </c>
      <c r="G6906" s="1" t="s">
        <v>17</v>
      </c>
      <c r="H6906" s="1" t="str">
        <f t="shared" si="4499"/>
        <v>72</v>
      </c>
      <c r="I6906" s="1" t="str">
        <f t="shared" si="4504"/>
        <v>162.14</v>
      </c>
      <c r="J6906" s="1" t="str">
        <f t="shared" ref="J6906:N6906" si="4507">"0"</f>
        <v>0</v>
      </c>
      <c r="K6906" s="1" t="str">
        <f t="shared" si="4449"/>
        <v>103</v>
      </c>
      <c r="L6906" s="1" t="str">
        <f t="shared" si="4450"/>
        <v>47</v>
      </c>
      <c r="M6906" s="1" t="str">
        <f t="shared" si="4507"/>
        <v>0</v>
      </c>
      <c r="N6906" s="1" t="str">
        <f t="shared" si="4507"/>
        <v>0</v>
      </c>
      <c r="O6906" s="1" t="str">
        <f t="shared" si="4506"/>
        <v>2.14</v>
      </c>
    </row>
    <row r="6907" s="1" customFormat="1" spans="1:15">
      <c r="A6907" s="1" t="str">
        <f t="shared" si="4443"/>
        <v>202406</v>
      </c>
      <c r="B6907" s="1" t="str">
        <f t="shared" si="4444"/>
        <v>150525100</v>
      </c>
      <c r="C6907" s="1" t="str">
        <f>"1014577039"</f>
        <v>1014577039</v>
      </c>
      <c r="D6907" s="1" t="str">
        <f>"152326195305010662"</f>
        <v>152326195305010662</v>
      </c>
      <c r="E6907" s="1" t="s">
        <v>6693</v>
      </c>
      <c r="F6907" s="1" t="s">
        <v>16</v>
      </c>
      <c r="G6907" s="1" t="s">
        <v>17</v>
      </c>
      <c r="H6907" s="1" t="str">
        <f>"71"</f>
        <v>71</v>
      </c>
      <c r="I6907" s="1" t="str">
        <f>"163.16"</f>
        <v>163.16</v>
      </c>
      <c r="J6907" s="1" t="str">
        <f t="shared" ref="J6907:N6907" si="4508">"0"</f>
        <v>0</v>
      </c>
      <c r="K6907" s="1" t="str">
        <f t="shared" si="4449"/>
        <v>103</v>
      </c>
      <c r="L6907" s="1" t="str">
        <f t="shared" si="4450"/>
        <v>47</v>
      </c>
      <c r="M6907" s="1" t="str">
        <f t="shared" si="4508"/>
        <v>0</v>
      </c>
      <c r="N6907" s="1" t="str">
        <f t="shared" si="4508"/>
        <v>0</v>
      </c>
      <c r="O6907" s="1" t="str">
        <f>"3.16"</f>
        <v>3.16</v>
      </c>
    </row>
    <row r="6908" s="1" customFormat="1" spans="1:15">
      <c r="A6908" s="1" t="str">
        <f t="shared" si="4443"/>
        <v>202406</v>
      </c>
      <c r="B6908" s="1" t="str">
        <f t="shared" si="4444"/>
        <v>150525100</v>
      </c>
      <c r="C6908" s="1" t="str">
        <f>"1014548259"</f>
        <v>1014548259</v>
      </c>
      <c r="D6908" s="1" t="str">
        <f>"152326195905203812"</f>
        <v>152326195905203812</v>
      </c>
      <c r="E6908" s="1" t="s">
        <v>6694</v>
      </c>
      <c r="F6908" s="1" t="s">
        <v>25</v>
      </c>
      <c r="G6908" s="1" t="s">
        <v>19</v>
      </c>
      <c r="H6908" s="1" t="str">
        <f>"65"</f>
        <v>65</v>
      </c>
      <c r="I6908" s="1" t="str">
        <f>"158.16"</f>
        <v>158.16</v>
      </c>
      <c r="J6908" s="1" t="str">
        <f t="shared" ref="J6908:N6908" si="4509">"0"</f>
        <v>0</v>
      </c>
      <c r="K6908" s="1" t="str">
        <f t="shared" si="4449"/>
        <v>103</v>
      </c>
      <c r="L6908" s="1" t="str">
        <f t="shared" si="4450"/>
        <v>47</v>
      </c>
      <c r="M6908" s="1" t="str">
        <f t="shared" si="4509"/>
        <v>0</v>
      </c>
      <c r="N6908" s="1" t="str">
        <f t="shared" si="4509"/>
        <v>0</v>
      </c>
      <c r="O6908" s="1" t="str">
        <f>"8.16"</f>
        <v>8.16</v>
      </c>
    </row>
    <row r="6909" s="1" customFormat="1" spans="1:15">
      <c r="A6909" s="1" t="str">
        <f t="shared" si="4443"/>
        <v>202406</v>
      </c>
      <c r="B6909" s="1" t="str">
        <f t="shared" si="4444"/>
        <v>150525100</v>
      </c>
      <c r="C6909" s="1" t="str">
        <f>"1014548276"</f>
        <v>1014548276</v>
      </c>
      <c r="D6909" s="1" t="str">
        <f>"152326195503033849"</f>
        <v>152326195503033849</v>
      </c>
      <c r="E6909" s="1" t="s">
        <v>2407</v>
      </c>
      <c r="F6909" s="1" t="s">
        <v>16</v>
      </c>
      <c r="G6909" s="1" t="s">
        <v>17</v>
      </c>
      <c r="H6909" s="1" t="str">
        <f>"69"</f>
        <v>69</v>
      </c>
      <c r="I6909" s="1" t="str">
        <f>"155.1"</f>
        <v>155.1</v>
      </c>
      <c r="J6909" s="1" t="str">
        <f t="shared" ref="J6909:N6909" si="4510">"0"</f>
        <v>0</v>
      </c>
      <c r="K6909" s="1" t="str">
        <f t="shared" si="4449"/>
        <v>103</v>
      </c>
      <c r="L6909" s="1" t="str">
        <f t="shared" si="4450"/>
        <v>47</v>
      </c>
      <c r="M6909" s="1" t="str">
        <f t="shared" si="4510"/>
        <v>0</v>
      </c>
      <c r="N6909" s="1" t="str">
        <f t="shared" si="4510"/>
        <v>0</v>
      </c>
      <c r="O6909" s="1" t="str">
        <f>"5.1"</f>
        <v>5.1</v>
      </c>
    </row>
    <row r="6910" s="1" customFormat="1" spans="1:15">
      <c r="A6910" s="1" t="str">
        <f t="shared" si="4443"/>
        <v>202406</v>
      </c>
      <c r="B6910" s="1" t="str">
        <f t="shared" si="4444"/>
        <v>150525100</v>
      </c>
      <c r="C6910" s="1" t="str">
        <f>"1014572494"</f>
        <v>1014572494</v>
      </c>
      <c r="D6910" s="1" t="str">
        <f>"152326195202060421"</f>
        <v>152326195202060421</v>
      </c>
      <c r="E6910" s="1" t="s">
        <v>6695</v>
      </c>
      <c r="F6910" s="1" t="s">
        <v>16</v>
      </c>
      <c r="G6910" s="1" t="s">
        <v>17</v>
      </c>
      <c r="H6910" s="1" t="str">
        <f t="shared" ref="H6910:H6915" si="4511">"72"</f>
        <v>72</v>
      </c>
      <c r="I6910" s="1" t="str">
        <f t="shared" si="4504"/>
        <v>162.14</v>
      </c>
      <c r="J6910" s="1" t="str">
        <f t="shared" ref="J6910:N6910" si="4512">"0"</f>
        <v>0</v>
      </c>
      <c r="K6910" s="1" t="str">
        <f t="shared" si="4449"/>
        <v>103</v>
      </c>
      <c r="L6910" s="1" t="str">
        <f t="shared" si="4450"/>
        <v>47</v>
      </c>
      <c r="M6910" s="1" t="str">
        <f t="shared" si="4512"/>
        <v>0</v>
      </c>
      <c r="N6910" s="1" t="str">
        <f t="shared" si="4512"/>
        <v>0</v>
      </c>
      <c r="O6910" s="1" t="str">
        <f t="shared" si="4506"/>
        <v>2.14</v>
      </c>
    </row>
    <row r="6911" s="1" customFormat="1" spans="1:15">
      <c r="A6911" s="1" t="str">
        <f t="shared" si="4443"/>
        <v>202406</v>
      </c>
      <c r="B6911" s="1" t="str">
        <f t="shared" si="4444"/>
        <v>150525100</v>
      </c>
      <c r="C6911" s="1" t="str">
        <f>"1014572500"</f>
        <v>1014572500</v>
      </c>
      <c r="D6911" s="1" t="str">
        <f>"152326195203200414"</f>
        <v>152326195203200414</v>
      </c>
      <c r="E6911" s="1" t="s">
        <v>6696</v>
      </c>
      <c r="F6911" s="1" t="s">
        <v>25</v>
      </c>
      <c r="G6911" s="1" t="s">
        <v>17</v>
      </c>
      <c r="H6911" s="1" t="str">
        <f t="shared" si="4511"/>
        <v>72</v>
      </c>
      <c r="I6911" s="1" t="str">
        <f t="shared" si="4504"/>
        <v>162.14</v>
      </c>
      <c r="J6911" s="1" t="str">
        <f t="shared" ref="J6911:N6911" si="4513">"0"</f>
        <v>0</v>
      </c>
      <c r="K6911" s="1" t="str">
        <f t="shared" si="4449"/>
        <v>103</v>
      </c>
      <c r="L6911" s="1" t="str">
        <f t="shared" si="4450"/>
        <v>47</v>
      </c>
      <c r="M6911" s="1" t="str">
        <f t="shared" si="4513"/>
        <v>0</v>
      </c>
      <c r="N6911" s="1" t="str">
        <f t="shared" si="4513"/>
        <v>0</v>
      </c>
      <c r="O6911" s="1" t="str">
        <f t="shared" si="4506"/>
        <v>2.14</v>
      </c>
    </row>
    <row r="6912" s="1" customFormat="1" spans="1:15">
      <c r="A6912" s="1" t="str">
        <f t="shared" si="4443"/>
        <v>202406</v>
      </c>
      <c r="B6912" s="1" t="str">
        <f t="shared" si="4444"/>
        <v>150525100</v>
      </c>
      <c r="C6912" s="1" t="str">
        <f>"1014572503"</f>
        <v>1014572503</v>
      </c>
      <c r="D6912" s="1" t="str">
        <f>"152326195205033074"</f>
        <v>152326195205033074</v>
      </c>
      <c r="E6912" s="1" t="s">
        <v>6697</v>
      </c>
      <c r="F6912" s="1" t="s">
        <v>25</v>
      </c>
      <c r="G6912" s="1" t="s">
        <v>17</v>
      </c>
      <c r="H6912" s="1" t="str">
        <f t="shared" si="4511"/>
        <v>72</v>
      </c>
      <c r="I6912" s="1" t="str">
        <f t="shared" si="4504"/>
        <v>162.14</v>
      </c>
      <c r="J6912" s="1" t="str">
        <f t="shared" ref="J6912:N6912" si="4514">"0"</f>
        <v>0</v>
      </c>
      <c r="K6912" s="1" t="str">
        <f t="shared" si="4449"/>
        <v>103</v>
      </c>
      <c r="L6912" s="1" t="str">
        <f t="shared" si="4450"/>
        <v>47</v>
      </c>
      <c r="M6912" s="1" t="str">
        <f t="shared" si="4514"/>
        <v>0</v>
      </c>
      <c r="N6912" s="1" t="str">
        <f t="shared" si="4514"/>
        <v>0</v>
      </c>
      <c r="O6912" s="1" t="str">
        <f t="shared" si="4506"/>
        <v>2.14</v>
      </c>
    </row>
    <row r="6913" s="1" customFormat="1" spans="1:15">
      <c r="A6913" s="1" t="str">
        <f t="shared" si="4443"/>
        <v>202406</v>
      </c>
      <c r="B6913" s="1" t="str">
        <f t="shared" si="4444"/>
        <v>150525100</v>
      </c>
      <c r="C6913" s="1" t="str">
        <f>"1014572508"</f>
        <v>1014572508</v>
      </c>
      <c r="D6913" s="1" t="str">
        <f>"152326195206070010"</f>
        <v>152326195206070010</v>
      </c>
      <c r="E6913" s="1" t="s">
        <v>6698</v>
      </c>
      <c r="F6913" s="1" t="s">
        <v>25</v>
      </c>
      <c r="G6913" s="1" t="s">
        <v>17</v>
      </c>
      <c r="H6913" s="1" t="str">
        <f t="shared" si="4511"/>
        <v>72</v>
      </c>
      <c r="I6913" s="1" t="str">
        <f t="shared" si="4504"/>
        <v>162.14</v>
      </c>
      <c r="J6913" s="1" t="str">
        <f t="shared" ref="J6913:N6913" si="4515">"0"</f>
        <v>0</v>
      </c>
      <c r="K6913" s="1" t="str">
        <f t="shared" si="4449"/>
        <v>103</v>
      </c>
      <c r="L6913" s="1" t="str">
        <f t="shared" si="4450"/>
        <v>47</v>
      </c>
      <c r="M6913" s="1" t="str">
        <f t="shared" si="4515"/>
        <v>0</v>
      </c>
      <c r="N6913" s="1" t="str">
        <f t="shared" si="4515"/>
        <v>0</v>
      </c>
      <c r="O6913" s="1" t="str">
        <f t="shared" si="4506"/>
        <v>2.14</v>
      </c>
    </row>
    <row r="6914" s="1" customFormat="1" spans="1:15">
      <c r="A6914" s="1" t="str">
        <f t="shared" ref="A6914:A6977" si="4516">"202406"</f>
        <v>202406</v>
      </c>
      <c r="B6914" s="1" t="str">
        <f t="shared" ref="B6914:B6977" si="4517">"150525100"</f>
        <v>150525100</v>
      </c>
      <c r="C6914" s="1" t="str">
        <f>"1014572516"</f>
        <v>1014572516</v>
      </c>
      <c r="D6914" s="1" t="str">
        <f>"152326195208210021"</f>
        <v>152326195208210021</v>
      </c>
      <c r="E6914" s="1" t="s">
        <v>6699</v>
      </c>
      <c r="F6914" s="1" t="s">
        <v>16</v>
      </c>
      <c r="G6914" s="1" t="s">
        <v>17</v>
      </c>
      <c r="H6914" s="1" t="str">
        <f t="shared" si="4511"/>
        <v>72</v>
      </c>
      <c r="I6914" s="1" t="str">
        <f t="shared" si="4504"/>
        <v>162.14</v>
      </c>
      <c r="J6914" s="1" t="str">
        <f t="shared" ref="J6914:N6914" si="4518">"0"</f>
        <v>0</v>
      </c>
      <c r="K6914" s="1" t="str">
        <f t="shared" si="4449"/>
        <v>103</v>
      </c>
      <c r="L6914" s="1" t="str">
        <f t="shared" si="4450"/>
        <v>47</v>
      </c>
      <c r="M6914" s="1" t="str">
        <f t="shared" si="4518"/>
        <v>0</v>
      </c>
      <c r="N6914" s="1" t="str">
        <f t="shared" si="4518"/>
        <v>0</v>
      </c>
      <c r="O6914" s="1" t="str">
        <f t="shared" si="4506"/>
        <v>2.14</v>
      </c>
    </row>
    <row r="6915" s="1" customFormat="1" spans="1:15">
      <c r="A6915" s="1" t="str">
        <f t="shared" si="4516"/>
        <v>202406</v>
      </c>
      <c r="B6915" s="1" t="str">
        <f t="shared" si="4517"/>
        <v>150525100</v>
      </c>
      <c r="C6915" s="1" t="str">
        <f>"1014572519"</f>
        <v>1014572519</v>
      </c>
      <c r="D6915" s="1" t="str">
        <f>"152326195210100024"</f>
        <v>152326195210100024</v>
      </c>
      <c r="E6915" s="1" t="s">
        <v>6700</v>
      </c>
      <c r="F6915" s="1" t="s">
        <v>16</v>
      </c>
      <c r="G6915" s="1" t="s">
        <v>17</v>
      </c>
      <c r="H6915" s="1" t="str">
        <f t="shared" si="4511"/>
        <v>72</v>
      </c>
      <c r="I6915" s="1" t="str">
        <f t="shared" si="4504"/>
        <v>162.14</v>
      </c>
      <c r="J6915" s="1" t="str">
        <f t="shared" ref="J6915:N6915" si="4519">"0"</f>
        <v>0</v>
      </c>
      <c r="K6915" s="1" t="str">
        <f t="shared" si="4449"/>
        <v>103</v>
      </c>
      <c r="L6915" s="1" t="str">
        <f t="shared" si="4450"/>
        <v>47</v>
      </c>
      <c r="M6915" s="1" t="str">
        <f t="shared" si="4519"/>
        <v>0</v>
      </c>
      <c r="N6915" s="1" t="str">
        <f t="shared" si="4519"/>
        <v>0</v>
      </c>
      <c r="O6915" s="1" t="str">
        <f t="shared" si="4506"/>
        <v>2.14</v>
      </c>
    </row>
    <row r="6916" s="1" customFormat="1" spans="1:15">
      <c r="A6916" s="1" t="str">
        <f t="shared" si="4516"/>
        <v>202406</v>
      </c>
      <c r="B6916" s="1" t="str">
        <f t="shared" si="4517"/>
        <v>150525100</v>
      </c>
      <c r="C6916" s="1" t="str">
        <f>"1014552524"</f>
        <v>1014552524</v>
      </c>
      <c r="D6916" s="1" t="str">
        <f>"152326195304133820"</f>
        <v>152326195304133820</v>
      </c>
      <c r="E6916" s="1" t="s">
        <v>6701</v>
      </c>
      <c r="F6916" s="1" t="s">
        <v>16</v>
      </c>
      <c r="G6916" s="1" t="s">
        <v>17</v>
      </c>
      <c r="H6916" s="1" t="str">
        <f>"71"</f>
        <v>71</v>
      </c>
      <c r="I6916" s="1" t="str">
        <f>"162.93"</f>
        <v>162.93</v>
      </c>
      <c r="J6916" s="1" t="str">
        <f t="shared" ref="J6916:N6916" si="4520">"0"</f>
        <v>0</v>
      </c>
      <c r="K6916" s="1" t="str">
        <f t="shared" si="4449"/>
        <v>103</v>
      </c>
      <c r="L6916" s="1" t="str">
        <f t="shared" si="4450"/>
        <v>47</v>
      </c>
      <c r="M6916" s="1" t="str">
        <f t="shared" si="4520"/>
        <v>0</v>
      </c>
      <c r="N6916" s="1" t="str">
        <f t="shared" si="4520"/>
        <v>0</v>
      </c>
      <c r="O6916" s="1" t="str">
        <f>"2.93"</f>
        <v>2.93</v>
      </c>
    </row>
    <row r="6917" s="1" customFormat="1" spans="1:15">
      <c r="A6917" s="1" t="str">
        <f t="shared" si="4516"/>
        <v>202406</v>
      </c>
      <c r="B6917" s="1" t="str">
        <f t="shared" si="4517"/>
        <v>150525100</v>
      </c>
      <c r="C6917" s="1" t="str">
        <f>"1014577068"</f>
        <v>1014577068</v>
      </c>
      <c r="D6917" s="1" t="str">
        <f>"152326195807200677"</f>
        <v>152326195807200677</v>
      </c>
      <c r="E6917" s="1" t="s">
        <v>6702</v>
      </c>
      <c r="F6917" s="1" t="s">
        <v>25</v>
      </c>
      <c r="G6917" s="1" t="s">
        <v>19</v>
      </c>
      <c r="H6917" s="1" t="str">
        <f t="shared" ref="H6917:H6921" si="4521">"66"</f>
        <v>66</v>
      </c>
      <c r="I6917" s="1" t="str">
        <f>"157.86"</f>
        <v>157.86</v>
      </c>
      <c r="J6917" s="1" t="str">
        <f t="shared" ref="J6917:N6917" si="4522">"0"</f>
        <v>0</v>
      </c>
      <c r="K6917" s="1" t="str">
        <f t="shared" ref="K6917:K6980" si="4523">"103"</f>
        <v>103</v>
      </c>
      <c r="L6917" s="1" t="str">
        <f t="shared" ref="L6917:L6980" si="4524">"47"</f>
        <v>47</v>
      </c>
      <c r="M6917" s="1" t="str">
        <f t="shared" si="4522"/>
        <v>0</v>
      </c>
      <c r="N6917" s="1" t="str">
        <f t="shared" si="4522"/>
        <v>0</v>
      </c>
      <c r="O6917" s="1" t="str">
        <f>"7.86"</f>
        <v>7.86</v>
      </c>
    </row>
    <row r="6918" s="1" customFormat="1" spans="1:15">
      <c r="A6918" s="1" t="str">
        <f t="shared" si="4516"/>
        <v>202406</v>
      </c>
      <c r="B6918" s="1" t="str">
        <f t="shared" si="4517"/>
        <v>150525100</v>
      </c>
      <c r="C6918" s="1" t="str">
        <f>"1014577070"</f>
        <v>1014577070</v>
      </c>
      <c r="D6918" s="1" t="str">
        <f>"152326195811130667"</f>
        <v>152326195811130667</v>
      </c>
      <c r="E6918" s="1" t="s">
        <v>6703</v>
      </c>
      <c r="F6918" s="1" t="s">
        <v>16</v>
      </c>
      <c r="G6918" s="1" t="s">
        <v>17</v>
      </c>
      <c r="H6918" s="1" t="str">
        <f t="shared" si="4521"/>
        <v>66</v>
      </c>
      <c r="I6918" s="1" t="str">
        <f>"157.14"</f>
        <v>157.14</v>
      </c>
      <c r="J6918" s="1" t="str">
        <f t="shared" ref="J6918:N6918" si="4525">"0"</f>
        <v>0</v>
      </c>
      <c r="K6918" s="1" t="str">
        <f t="shared" si="4523"/>
        <v>103</v>
      </c>
      <c r="L6918" s="1" t="str">
        <f t="shared" si="4524"/>
        <v>47</v>
      </c>
      <c r="M6918" s="1" t="str">
        <f t="shared" si="4525"/>
        <v>0</v>
      </c>
      <c r="N6918" s="1" t="str">
        <f t="shared" si="4525"/>
        <v>0</v>
      </c>
      <c r="O6918" s="1" t="str">
        <f>"7.14"</f>
        <v>7.14</v>
      </c>
    </row>
    <row r="6919" s="1" customFormat="1" spans="1:15">
      <c r="A6919" s="1" t="str">
        <f t="shared" si="4516"/>
        <v>202406</v>
      </c>
      <c r="B6919" s="1" t="str">
        <f t="shared" si="4517"/>
        <v>150525100</v>
      </c>
      <c r="C6919" s="1" t="str">
        <f>"1014548300"</f>
        <v>1014548300</v>
      </c>
      <c r="D6919" s="1" t="str">
        <f>"152326195508200677"</f>
        <v>152326195508200677</v>
      </c>
      <c r="E6919" s="1" t="s">
        <v>6704</v>
      </c>
      <c r="F6919" s="1" t="s">
        <v>25</v>
      </c>
      <c r="G6919" s="1" t="s">
        <v>17</v>
      </c>
      <c r="H6919" s="1" t="str">
        <f>"69"</f>
        <v>69</v>
      </c>
      <c r="I6919" s="1" t="str">
        <f>"155.1"</f>
        <v>155.1</v>
      </c>
      <c r="J6919" s="1" t="str">
        <f t="shared" ref="J6919:N6919" si="4526">"0"</f>
        <v>0</v>
      </c>
      <c r="K6919" s="1" t="str">
        <f t="shared" si="4523"/>
        <v>103</v>
      </c>
      <c r="L6919" s="1" t="str">
        <f t="shared" si="4524"/>
        <v>47</v>
      </c>
      <c r="M6919" s="1" t="str">
        <f t="shared" si="4526"/>
        <v>0</v>
      </c>
      <c r="N6919" s="1" t="str">
        <f t="shared" si="4526"/>
        <v>0</v>
      </c>
      <c r="O6919" s="1" t="str">
        <f>"5.1"</f>
        <v>5.1</v>
      </c>
    </row>
    <row r="6920" s="1" customFormat="1" spans="1:15">
      <c r="A6920" s="1" t="str">
        <f t="shared" si="4516"/>
        <v>202406</v>
      </c>
      <c r="B6920" s="1" t="str">
        <f t="shared" si="4517"/>
        <v>150525100</v>
      </c>
      <c r="C6920" s="1" t="str">
        <f>"1014570320"</f>
        <v>1014570320</v>
      </c>
      <c r="D6920" s="1" t="str">
        <f>"152326195301203846"</f>
        <v>152326195301203846</v>
      </c>
      <c r="E6920" s="1" t="s">
        <v>6705</v>
      </c>
      <c r="F6920" s="1" t="s">
        <v>16</v>
      </c>
      <c r="G6920" s="1" t="s">
        <v>19</v>
      </c>
      <c r="H6920" s="1" t="str">
        <f>"71"</f>
        <v>71</v>
      </c>
      <c r="I6920" s="1" t="str">
        <f>"163.17"</f>
        <v>163.17</v>
      </c>
      <c r="J6920" s="1" t="str">
        <f t="shared" ref="J6920:N6920" si="4527">"0"</f>
        <v>0</v>
      </c>
      <c r="K6920" s="1" t="str">
        <f t="shared" si="4523"/>
        <v>103</v>
      </c>
      <c r="L6920" s="1" t="str">
        <f t="shared" si="4524"/>
        <v>47</v>
      </c>
      <c r="M6920" s="1" t="str">
        <f t="shared" si="4527"/>
        <v>0</v>
      </c>
      <c r="N6920" s="1" t="str">
        <f t="shared" si="4527"/>
        <v>0</v>
      </c>
      <c r="O6920" s="1" t="str">
        <f>"3.17"</f>
        <v>3.17</v>
      </c>
    </row>
    <row r="6921" s="1" customFormat="1" spans="1:15">
      <c r="A6921" s="1" t="str">
        <f t="shared" si="4516"/>
        <v>202406</v>
      </c>
      <c r="B6921" s="1" t="str">
        <f t="shared" si="4517"/>
        <v>150525100</v>
      </c>
      <c r="C6921" s="1" t="str">
        <f>"1014570346"</f>
        <v>1014570346</v>
      </c>
      <c r="D6921" s="1" t="str">
        <f>"152326195810283813"</f>
        <v>152326195810283813</v>
      </c>
      <c r="E6921" s="1" t="s">
        <v>6706</v>
      </c>
      <c r="F6921" s="1" t="s">
        <v>25</v>
      </c>
      <c r="G6921" s="1" t="s">
        <v>19</v>
      </c>
      <c r="H6921" s="1" t="str">
        <f t="shared" si="4521"/>
        <v>66</v>
      </c>
      <c r="I6921" s="1" t="str">
        <f>"157.85"</f>
        <v>157.85</v>
      </c>
      <c r="J6921" s="1" t="str">
        <f t="shared" ref="J6921:N6921" si="4528">"0"</f>
        <v>0</v>
      </c>
      <c r="K6921" s="1" t="str">
        <f t="shared" si="4523"/>
        <v>103</v>
      </c>
      <c r="L6921" s="1" t="str">
        <f t="shared" si="4524"/>
        <v>47</v>
      </c>
      <c r="M6921" s="1" t="str">
        <f t="shared" si="4528"/>
        <v>0</v>
      </c>
      <c r="N6921" s="1" t="str">
        <f t="shared" si="4528"/>
        <v>0</v>
      </c>
      <c r="O6921" s="1" t="str">
        <f>"7.85"</f>
        <v>7.85</v>
      </c>
    </row>
    <row r="6922" s="1" customFormat="1" spans="1:15">
      <c r="A6922" s="1" t="str">
        <f t="shared" si="4516"/>
        <v>202406</v>
      </c>
      <c r="B6922" s="1" t="str">
        <f t="shared" si="4517"/>
        <v>150525100</v>
      </c>
      <c r="C6922" s="1" t="str">
        <f>"1014572294"</f>
        <v>1014572294</v>
      </c>
      <c r="D6922" s="1" t="str">
        <f>"152326195303190049"</f>
        <v>152326195303190049</v>
      </c>
      <c r="E6922" s="1" t="s">
        <v>6707</v>
      </c>
      <c r="F6922" s="1" t="s">
        <v>16</v>
      </c>
      <c r="G6922" s="1" t="s">
        <v>96</v>
      </c>
      <c r="H6922" s="1" t="str">
        <f>"71"</f>
        <v>71</v>
      </c>
      <c r="I6922" s="1" t="str">
        <f>"163.16"</f>
        <v>163.16</v>
      </c>
      <c r="J6922" s="1" t="str">
        <f t="shared" ref="J6922:N6922" si="4529">"0"</f>
        <v>0</v>
      </c>
      <c r="K6922" s="1" t="str">
        <f t="shared" si="4523"/>
        <v>103</v>
      </c>
      <c r="L6922" s="1" t="str">
        <f t="shared" si="4524"/>
        <v>47</v>
      </c>
      <c r="M6922" s="1" t="str">
        <f t="shared" si="4529"/>
        <v>0</v>
      </c>
      <c r="N6922" s="1" t="str">
        <f t="shared" si="4529"/>
        <v>0</v>
      </c>
      <c r="O6922" s="1" t="str">
        <f>"3.16"</f>
        <v>3.16</v>
      </c>
    </row>
    <row r="6923" s="1" customFormat="1" spans="1:15">
      <c r="A6923" s="1" t="str">
        <f t="shared" si="4516"/>
        <v>202406</v>
      </c>
      <c r="B6923" s="1" t="str">
        <f t="shared" si="4517"/>
        <v>150525100</v>
      </c>
      <c r="C6923" s="1" t="str">
        <f>"1014572297"</f>
        <v>1014572297</v>
      </c>
      <c r="D6923" s="1" t="str">
        <f>"152326195707260015"</f>
        <v>152326195707260015</v>
      </c>
      <c r="E6923" s="1" t="s">
        <v>6708</v>
      </c>
      <c r="F6923" s="1" t="s">
        <v>25</v>
      </c>
      <c r="G6923" s="1" t="s">
        <v>96</v>
      </c>
      <c r="H6923" s="1" t="str">
        <f>"67"</f>
        <v>67</v>
      </c>
      <c r="I6923" s="1" t="str">
        <f>"156.07"</f>
        <v>156.07</v>
      </c>
      <c r="J6923" s="1" t="str">
        <f t="shared" ref="J6923:N6923" si="4530">"0"</f>
        <v>0</v>
      </c>
      <c r="K6923" s="1" t="str">
        <f t="shared" si="4523"/>
        <v>103</v>
      </c>
      <c r="L6923" s="1" t="str">
        <f t="shared" si="4524"/>
        <v>47</v>
      </c>
      <c r="M6923" s="1" t="str">
        <f t="shared" si="4530"/>
        <v>0</v>
      </c>
      <c r="N6923" s="1" t="str">
        <f t="shared" si="4530"/>
        <v>0</v>
      </c>
      <c r="O6923" s="1" t="str">
        <f>"6.07"</f>
        <v>6.07</v>
      </c>
    </row>
    <row r="6924" s="1" customFormat="1" spans="1:15">
      <c r="A6924" s="1" t="str">
        <f t="shared" si="4516"/>
        <v>202406</v>
      </c>
      <c r="B6924" s="1" t="str">
        <f t="shared" si="4517"/>
        <v>150525100</v>
      </c>
      <c r="C6924" s="1" t="str">
        <f>"1014572591"</f>
        <v>1014572591</v>
      </c>
      <c r="D6924" s="1" t="str">
        <f>"152326195604280910"</f>
        <v>152326195604280910</v>
      </c>
      <c r="E6924" s="1" t="s">
        <v>6709</v>
      </c>
      <c r="F6924" s="1" t="s">
        <v>25</v>
      </c>
      <c r="G6924" s="1" t="s">
        <v>19</v>
      </c>
      <c r="H6924" s="1" t="str">
        <f>"68"</f>
        <v>68</v>
      </c>
      <c r="I6924" s="1" t="str">
        <f>"155.53"</f>
        <v>155.53</v>
      </c>
      <c r="J6924" s="1" t="str">
        <f t="shared" ref="J6924:N6924" si="4531">"0"</f>
        <v>0</v>
      </c>
      <c r="K6924" s="1" t="str">
        <f t="shared" si="4523"/>
        <v>103</v>
      </c>
      <c r="L6924" s="1" t="str">
        <f t="shared" si="4524"/>
        <v>47</v>
      </c>
      <c r="M6924" s="1" t="str">
        <f t="shared" si="4531"/>
        <v>0</v>
      </c>
      <c r="N6924" s="1" t="str">
        <f t="shared" si="4531"/>
        <v>0</v>
      </c>
      <c r="O6924" s="1" t="str">
        <f>"5.53"</f>
        <v>5.53</v>
      </c>
    </row>
    <row r="6925" s="1" customFormat="1" spans="1:15">
      <c r="A6925" s="1" t="str">
        <f t="shared" si="4516"/>
        <v>202406</v>
      </c>
      <c r="B6925" s="1" t="str">
        <f t="shared" si="4517"/>
        <v>150525100</v>
      </c>
      <c r="C6925" s="1" t="str">
        <f>"1014572602"</f>
        <v>1014572602</v>
      </c>
      <c r="D6925" s="1" t="str">
        <f>"152326195705040924"</f>
        <v>152326195705040924</v>
      </c>
      <c r="E6925" s="1" t="s">
        <v>6710</v>
      </c>
      <c r="F6925" s="1" t="s">
        <v>16</v>
      </c>
      <c r="G6925" s="1" t="s">
        <v>19</v>
      </c>
      <c r="H6925" s="1" t="str">
        <f>"67"</f>
        <v>67</v>
      </c>
      <c r="I6925" s="1" t="str">
        <f>"156.06"</f>
        <v>156.06</v>
      </c>
      <c r="J6925" s="1" t="str">
        <f t="shared" ref="J6925:N6925" si="4532">"0"</f>
        <v>0</v>
      </c>
      <c r="K6925" s="1" t="str">
        <f t="shared" si="4523"/>
        <v>103</v>
      </c>
      <c r="L6925" s="1" t="str">
        <f t="shared" si="4524"/>
        <v>47</v>
      </c>
      <c r="M6925" s="1" t="str">
        <f t="shared" si="4532"/>
        <v>0</v>
      </c>
      <c r="N6925" s="1" t="str">
        <f t="shared" si="4532"/>
        <v>0</v>
      </c>
      <c r="O6925" s="1" t="str">
        <f>"6.06"</f>
        <v>6.06</v>
      </c>
    </row>
    <row r="6926" s="1" customFormat="1" spans="1:15">
      <c r="A6926" s="1" t="str">
        <f t="shared" si="4516"/>
        <v>202406</v>
      </c>
      <c r="B6926" s="1" t="str">
        <f t="shared" si="4517"/>
        <v>150525100</v>
      </c>
      <c r="C6926" s="1" t="str">
        <f>"1014651186"</f>
        <v>1014651186</v>
      </c>
      <c r="D6926" s="1" t="str">
        <f>"152326195401250412"</f>
        <v>152326195401250412</v>
      </c>
      <c r="E6926" s="1" t="s">
        <v>6711</v>
      </c>
      <c r="F6926" s="1" t="s">
        <v>25</v>
      </c>
      <c r="G6926" s="1" t="s">
        <v>17</v>
      </c>
      <c r="H6926" s="1" t="str">
        <f>"70"</f>
        <v>70</v>
      </c>
      <c r="I6926" s="1" t="str">
        <f>"163.89"</f>
        <v>163.89</v>
      </c>
      <c r="J6926" s="1" t="str">
        <f t="shared" ref="J6926:N6926" si="4533">"0"</f>
        <v>0</v>
      </c>
      <c r="K6926" s="1" t="str">
        <f t="shared" si="4523"/>
        <v>103</v>
      </c>
      <c r="L6926" s="1" t="str">
        <f t="shared" si="4524"/>
        <v>47</v>
      </c>
      <c r="M6926" s="1" t="str">
        <f t="shared" si="4533"/>
        <v>0</v>
      </c>
      <c r="N6926" s="1" t="str">
        <f t="shared" si="4533"/>
        <v>0</v>
      </c>
      <c r="O6926" s="1" t="str">
        <f>"3.89"</f>
        <v>3.89</v>
      </c>
    </row>
    <row r="6927" s="1" customFormat="1" spans="1:15">
      <c r="A6927" s="1" t="str">
        <f t="shared" si="4516"/>
        <v>202406</v>
      </c>
      <c r="B6927" s="1" t="str">
        <f t="shared" si="4517"/>
        <v>150525100</v>
      </c>
      <c r="C6927" s="1" t="str">
        <f>"1014548319"</f>
        <v>1014548319</v>
      </c>
      <c r="D6927" s="1" t="str">
        <f>"152326195810253833"</f>
        <v>152326195810253833</v>
      </c>
      <c r="E6927" s="1" t="s">
        <v>6712</v>
      </c>
      <c r="F6927" s="1" t="s">
        <v>25</v>
      </c>
      <c r="G6927" s="1" t="s">
        <v>17</v>
      </c>
      <c r="H6927" s="1" t="str">
        <f>"66"</f>
        <v>66</v>
      </c>
      <c r="I6927" s="1" t="str">
        <f>"156.67"</f>
        <v>156.67</v>
      </c>
      <c r="J6927" s="1" t="str">
        <f t="shared" ref="J6927:N6927" si="4534">"0"</f>
        <v>0</v>
      </c>
      <c r="K6927" s="1" t="str">
        <f t="shared" si="4523"/>
        <v>103</v>
      </c>
      <c r="L6927" s="1" t="str">
        <f t="shared" si="4524"/>
        <v>47</v>
      </c>
      <c r="M6927" s="1" t="str">
        <f t="shared" si="4534"/>
        <v>0</v>
      </c>
      <c r="N6927" s="1" t="str">
        <f t="shared" si="4534"/>
        <v>0</v>
      </c>
      <c r="O6927" s="1" t="str">
        <f>"6.67"</f>
        <v>6.67</v>
      </c>
    </row>
    <row r="6928" s="1" customFormat="1" spans="1:15">
      <c r="A6928" s="1" t="str">
        <f t="shared" si="4516"/>
        <v>202406</v>
      </c>
      <c r="B6928" s="1" t="str">
        <f t="shared" si="4517"/>
        <v>150525100</v>
      </c>
      <c r="C6928" s="1" t="str">
        <f>"1014548340"</f>
        <v>1014548340</v>
      </c>
      <c r="D6928" s="1" t="str">
        <f>"152326195207090662"</f>
        <v>152326195207090662</v>
      </c>
      <c r="E6928" s="1" t="s">
        <v>1731</v>
      </c>
      <c r="F6928" s="1" t="s">
        <v>16</v>
      </c>
      <c r="G6928" s="1" t="s">
        <v>17</v>
      </c>
      <c r="H6928" s="1" t="str">
        <f>"72"</f>
        <v>72</v>
      </c>
      <c r="I6928" s="1" t="str">
        <f>"162.15"</f>
        <v>162.15</v>
      </c>
      <c r="J6928" s="1" t="str">
        <f t="shared" ref="J6928:N6928" si="4535">"0"</f>
        <v>0</v>
      </c>
      <c r="K6928" s="1" t="str">
        <f t="shared" si="4523"/>
        <v>103</v>
      </c>
      <c r="L6928" s="1" t="str">
        <f t="shared" si="4524"/>
        <v>47</v>
      </c>
      <c r="M6928" s="1" t="str">
        <f t="shared" si="4535"/>
        <v>0</v>
      </c>
      <c r="N6928" s="1" t="str">
        <f t="shared" si="4535"/>
        <v>0</v>
      </c>
      <c r="O6928" s="1" t="str">
        <f>"2.15"</f>
        <v>2.15</v>
      </c>
    </row>
    <row r="6929" s="1" customFormat="1" spans="1:15">
      <c r="A6929" s="1" t="str">
        <f t="shared" si="4516"/>
        <v>202406</v>
      </c>
      <c r="B6929" s="1" t="str">
        <f t="shared" si="4517"/>
        <v>150525100</v>
      </c>
      <c r="C6929" s="1" t="str">
        <f>"1014572459"</f>
        <v>1014572459</v>
      </c>
      <c r="D6929" s="1" t="str">
        <f>"152326195303150928"</f>
        <v>152326195303150928</v>
      </c>
      <c r="E6929" s="1" t="s">
        <v>6713</v>
      </c>
      <c r="F6929" s="1" t="s">
        <v>16</v>
      </c>
      <c r="G6929" s="1" t="s">
        <v>19</v>
      </c>
      <c r="H6929" s="1" t="str">
        <f t="shared" ref="H6929:H6931" si="4536">"71"</f>
        <v>71</v>
      </c>
      <c r="I6929" s="1" t="str">
        <f t="shared" ref="I6929:I6931" si="4537">"162.91"</f>
        <v>162.91</v>
      </c>
      <c r="J6929" s="1" t="str">
        <f t="shared" ref="J6929:N6929" si="4538">"0"</f>
        <v>0</v>
      </c>
      <c r="K6929" s="1" t="str">
        <f t="shared" si="4523"/>
        <v>103</v>
      </c>
      <c r="L6929" s="1" t="str">
        <f t="shared" si="4524"/>
        <v>47</v>
      </c>
      <c r="M6929" s="1" t="str">
        <f t="shared" si="4538"/>
        <v>0</v>
      </c>
      <c r="N6929" s="1" t="str">
        <f t="shared" si="4538"/>
        <v>0</v>
      </c>
      <c r="O6929" s="1" t="str">
        <f t="shared" ref="O6929:O6931" si="4539">"2.91"</f>
        <v>2.91</v>
      </c>
    </row>
    <row r="6930" s="1" customFormat="1" spans="1:15">
      <c r="A6930" s="1" t="str">
        <f t="shared" si="4516"/>
        <v>202406</v>
      </c>
      <c r="B6930" s="1" t="str">
        <f t="shared" si="4517"/>
        <v>150525100</v>
      </c>
      <c r="C6930" s="1" t="str">
        <f>"1014572462"</f>
        <v>1014572462</v>
      </c>
      <c r="D6930" s="1" t="str">
        <f>"152326195306200927"</f>
        <v>152326195306200927</v>
      </c>
      <c r="E6930" s="1" t="s">
        <v>6714</v>
      </c>
      <c r="F6930" s="1" t="s">
        <v>16</v>
      </c>
      <c r="G6930" s="1" t="s">
        <v>19</v>
      </c>
      <c r="H6930" s="1" t="str">
        <f t="shared" si="4536"/>
        <v>71</v>
      </c>
      <c r="I6930" s="1" t="str">
        <f t="shared" si="4537"/>
        <v>162.91</v>
      </c>
      <c r="J6930" s="1" t="str">
        <f t="shared" ref="J6930:N6930" si="4540">"0"</f>
        <v>0</v>
      </c>
      <c r="K6930" s="1" t="str">
        <f t="shared" si="4523"/>
        <v>103</v>
      </c>
      <c r="L6930" s="1" t="str">
        <f t="shared" si="4524"/>
        <v>47</v>
      </c>
      <c r="M6930" s="1" t="str">
        <f t="shared" si="4540"/>
        <v>0</v>
      </c>
      <c r="N6930" s="1" t="str">
        <f t="shared" si="4540"/>
        <v>0</v>
      </c>
      <c r="O6930" s="1" t="str">
        <f t="shared" si="4539"/>
        <v>2.91</v>
      </c>
    </row>
    <row r="6931" s="1" customFormat="1" spans="1:15">
      <c r="A6931" s="1" t="str">
        <f t="shared" si="4516"/>
        <v>202406</v>
      </c>
      <c r="B6931" s="1" t="str">
        <f t="shared" si="4517"/>
        <v>150525100</v>
      </c>
      <c r="C6931" s="1" t="str">
        <f>"1014572463"</f>
        <v>1014572463</v>
      </c>
      <c r="D6931" s="1" t="str">
        <f>"152326195308140921"</f>
        <v>152326195308140921</v>
      </c>
      <c r="E6931" s="1" t="s">
        <v>6715</v>
      </c>
      <c r="F6931" s="1" t="s">
        <v>16</v>
      </c>
      <c r="G6931" s="1" t="s">
        <v>19</v>
      </c>
      <c r="H6931" s="1" t="str">
        <f t="shared" si="4536"/>
        <v>71</v>
      </c>
      <c r="I6931" s="1" t="str">
        <f t="shared" si="4537"/>
        <v>162.91</v>
      </c>
      <c r="J6931" s="1" t="str">
        <f t="shared" ref="J6931:N6931" si="4541">"0"</f>
        <v>0</v>
      </c>
      <c r="K6931" s="1" t="str">
        <f t="shared" si="4523"/>
        <v>103</v>
      </c>
      <c r="L6931" s="1" t="str">
        <f t="shared" si="4524"/>
        <v>47</v>
      </c>
      <c r="M6931" s="1" t="str">
        <f t="shared" si="4541"/>
        <v>0</v>
      </c>
      <c r="N6931" s="1" t="str">
        <f t="shared" si="4541"/>
        <v>0</v>
      </c>
      <c r="O6931" s="1" t="str">
        <f t="shared" si="4539"/>
        <v>2.91</v>
      </c>
    </row>
    <row r="6932" s="1" customFormat="1" spans="1:15">
      <c r="A6932" s="1" t="str">
        <f t="shared" si="4516"/>
        <v>202406</v>
      </c>
      <c r="B6932" s="1" t="str">
        <f t="shared" si="4517"/>
        <v>150525100</v>
      </c>
      <c r="C6932" s="1" t="str">
        <f>"1014572584"</f>
        <v>1014572584</v>
      </c>
      <c r="D6932" s="1" t="str">
        <f>"152326195512263080"</f>
        <v>152326195512263080</v>
      </c>
      <c r="E6932" s="1" t="s">
        <v>6716</v>
      </c>
      <c r="F6932" s="1" t="s">
        <v>16</v>
      </c>
      <c r="G6932" s="1" t="s">
        <v>19</v>
      </c>
      <c r="H6932" s="1" t="str">
        <f>"69"</f>
        <v>69</v>
      </c>
      <c r="I6932" s="1" t="str">
        <f>"154.52"</f>
        <v>154.52</v>
      </c>
      <c r="J6932" s="1" t="str">
        <f t="shared" ref="J6932:N6932" si="4542">"0"</f>
        <v>0</v>
      </c>
      <c r="K6932" s="1" t="str">
        <f t="shared" si="4523"/>
        <v>103</v>
      </c>
      <c r="L6932" s="1" t="str">
        <f t="shared" si="4524"/>
        <v>47</v>
      </c>
      <c r="M6932" s="1" t="str">
        <f t="shared" si="4542"/>
        <v>0</v>
      </c>
      <c r="N6932" s="1" t="str">
        <f t="shared" si="4542"/>
        <v>0</v>
      </c>
      <c r="O6932" s="1" t="str">
        <f>"4.52"</f>
        <v>4.52</v>
      </c>
    </row>
    <row r="6933" s="1" customFormat="1" spans="1:15">
      <c r="A6933" s="1" t="str">
        <f t="shared" si="4516"/>
        <v>202406</v>
      </c>
      <c r="B6933" s="1" t="str">
        <f t="shared" si="4517"/>
        <v>150525100</v>
      </c>
      <c r="C6933" s="1" t="str">
        <f>"1014572585"</f>
        <v>1014572585</v>
      </c>
      <c r="D6933" s="1" t="str">
        <f>"152326195601020929"</f>
        <v>152326195601020929</v>
      </c>
      <c r="E6933" s="1" t="s">
        <v>5176</v>
      </c>
      <c r="F6933" s="1" t="s">
        <v>16</v>
      </c>
      <c r="G6933" s="1" t="s">
        <v>19</v>
      </c>
      <c r="H6933" s="1" t="str">
        <f>"69"</f>
        <v>69</v>
      </c>
      <c r="I6933" s="1" t="str">
        <f>"155.99"</f>
        <v>155.99</v>
      </c>
      <c r="J6933" s="1" t="str">
        <f t="shared" ref="J6933:N6933" si="4543">"0"</f>
        <v>0</v>
      </c>
      <c r="K6933" s="1" t="str">
        <f t="shared" si="4523"/>
        <v>103</v>
      </c>
      <c r="L6933" s="1" t="str">
        <f t="shared" si="4524"/>
        <v>47</v>
      </c>
      <c r="M6933" s="1" t="str">
        <f t="shared" si="4543"/>
        <v>0</v>
      </c>
      <c r="N6933" s="1" t="str">
        <f t="shared" si="4543"/>
        <v>0</v>
      </c>
      <c r="O6933" s="1" t="str">
        <f>"5.99"</f>
        <v>5.99</v>
      </c>
    </row>
    <row r="6934" s="1" customFormat="1" spans="1:15">
      <c r="A6934" s="1" t="str">
        <f t="shared" si="4516"/>
        <v>202406</v>
      </c>
      <c r="B6934" s="1" t="str">
        <f t="shared" si="4517"/>
        <v>150525100</v>
      </c>
      <c r="C6934" s="1" t="str">
        <f>"1014572621"</f>
        <v>1014572621</v>
      </c>
      <c r="D6934" s="1" t="str">
        <f>"152326195212093104"</f>
        <v>152326195212093104</v>
      </c>
      <c r="E6934" s="1" t="s">
        <v>6717</v>
      </c>
      <c r="F6934" s="1" t="s">
        <v>16</v>
      </c>
      <c r="G6934" s="1" t="s">
        <v>17</v>
      </c>
      <c r="H6934" s="1" t="str">
        <f>"72"</f>
        <v>72</v>
      </c>
      <c r="I6934" s="1" t="str">
        <f>"162.14"</f>
        <v>162.14</v>
      </c>
      <c r="J6934" s="1" t="str">
        <f t="shared" ref="J6934:N6934" si="4544">"0"</f>
        <v>0</v>
      </c>
      <c r="K6934" s="1" t="str">
        <f t="shared" si="4523"/>
        <v>103</v>
      </c>
      <c r="L6934" s="1" t="str">
        <f t="shared" si="4524"/>
        <v>47</v>
      </c>
      <c r="M6934" s="1" t="str">
        <f t="shared" si="4544"/>
        <v>0</v>
      </c>
      <c r="N6934" s="1" t="str">
        <f t="shared" si="4544"/>
        <v>0</v>
      </c>
      <c r="O6934" s="1" t="str">
        <f>"2.14"</f>
        <v>2.14</v>
      </c>
    </row>
    <row r="6935" s="1" customFormat="1" spans="1:15">
      <c r="A6935" s="1" t="str">
        <f t="shared" si="4516"/>
        <v>202406</v>
      </c>
      <c r="B6935" s="1" t="str">
        <f t="shared" si="4517"/>
        <v>150525100</v>
      </c>
      <c r="C6935" s="1" t="str">
        <f>"1014572622"</f>
        <v>1014572622</v>
      </c>
      <c r="D6935" s="1" t="str">
        <f>"152326195212100423"</f>
        <v>152326195212100423</v>
      </c>
      <c r="E6935" s="1" t="s">
        <v>6718</v>
      </c>
      <c r="F6935" s="1" t="s">
        <v>16</v>
      </c>
      <c r="G6935" s="1" t="s">
        <v>17</v>
      </c>
      <c r="H6935" s="1" t="str">
        <f>"72"</f>
        <v>72</v>
      </c>
      <c r="I6935" s="1" t="str">
        <f>"162.14"</f>
        <v>162.14</v>
      </c>
      <c r="J6935" s="1" t="str">
        <f t="shared" ref="J6935:N6935" si="4545">"0"</f>
        <v>0</v>
      </c>
      <c r="K6935" s="1" t="str">
        <f t="shared" si="4523"/>
        <v>103</v>
      </c>
      <c r="L6935" s="1" t="str">
        <f t="shared" si="4524"/>
        <v>47</v>
      </c>
      <c r="M6935" s="1" t="str">
        <f t="shared" si="4545"/>
        <v>0</v>
      </c>
      <c r="N6935" s="1" t="str">
        <f t="shared" si="4545"/>
        <v>0</v>
      </c>
      <c r="O6935" s="1" t="str">
        <f>"2.14"</f>
        <v>2.14</v>
      </c>
    </row>
    <row r="6936" s="1" customFormat="1" spans="1:15">
      <c r="A6936" s="1" t="str">
        <f t="shared" si="4516"/>
        <v>202406</v>
      </c>
      <c r="B6936" s="1" t="str">
        <f t="shared" si="4517"/>
        <v>150525100</v>
      </c>
      <c r="C6936" s="1" t="str">
        <f>"1014572629"</f>
        <v>1014572629</v>
      </c>
      <c r="D6936" s="1" t="str">
        <f>"152326195302283083"</f>
        <v>152326195302283083</v>
      </c>
      <c r="E6936" s="1" t="s">
        <v>6719</v>
      </c>
      <c r="F6936" s="1" t="s">
        <v>16</v>
      </c>
      <c r="G6936" s="1" t="s">
        <v>17</v>
      </c>
      <c r="H6936" s="1" t="str">
        <f t="shared" ref="H6936:H6938" si="4546">"71"</f>
        <v>71</v>
      </c>
      <c r="I6936" s="1" t="str">
        <f t="shared" ref="I6936:I6941" si="4547">"163.16"</f>
        <v>163.16</v>
      </c>
      <c r="J6936" s="1" t="str">
        <f t="shared" ref="J6936:N6936" si="4548">"0"</f>
        <v>0</v>
      </c>
      <c r="K6936" s="1" t="str">
        <f t="shared" si="4523"/>
        <v>103</v>
      </c>
      <c r="L6936" s="1" t="str">
        <f t="shared" si="4524"/>
        <v>47</v>
      </c>
      <c r="M6936" s="1" t="str">
        <f t="shared" si="4548"/>
        <v>0</v>
      </c>
      <c r="N6936" s="1" t="str">
        <f t="shared" si="4548"/>
        <v>0</v>
      </c>
      <c r="O6936" s="1" t="str">
        <f t="shared" ref="O6936:O6941" si="4549">"3.16"</f>
        <v>3.16</v>
      </c>
    </row>
    <row r="6937" s="1" customFormat="1" spans="1:15">
      <c r="A6937" s="1" t="str">
        <f t="shared" si="4516"/>
        <v>202406</v>
      </c>
      <c r="B6937" s="1" t="str">
        <f t="shared" si="4517"/>
        <v>150525100</v>
      </c>
      <c r="C6937" s="1" t="str">
        <f>"1014572647"</f>
        <v>1014572647</v>
      </c>
      <c r="D6937" s="1" t="str">
        <f>"152326195308180413"</f>
        <v>152326195308180413</v>
      </c>
      <c r="E6937" s="1" t="s">
        <v>6720</v>
      </c>
      <c r="F6937" s="1" t="s">
        <v>25</v>
      </c>
      <c r="G6937" s="1" t="s">
        <v>17</v>
      </c>
      <c r="H6937" s="1" t="str">
        <f t="shared" si="4546"/>
        <v>71</v>
      </c>
      <c r="I6937" s="1" t="str">
        <f t="shared" si="4547"/>
        <v>163.16</v>
      </c>
      <c r="J6937" s="1" t="str">
        <f t="shared" ref="J6937:N6937" si="4550">"0"</f>
        <v>0</v>
      </c>
      <c r="K6937" s="1" t="str">
        <f t="shared" si="4523"/>
        <v>103</v>
      </c>
      <c r="L6937" s="1" t="str">
        <f t="shared" si="4524"/>
        <v>47</v>
      </c>
      <c r="M6937" s="1" t="str">
        <f t="shared" si="4550"/>
        <v>0</v>
      </c>
      <c r="N6937" s="1" t="str">
        <f t="shared" si="4550"/>
        <v>0</v>
      </c>
      <c r="O6937" s="1" t="str">
        <f t="shared" si="4549"/>
        <v>3.16</v>
      </c>
    </row>
    <row r="6938" s="1" customFormat="1" spans="1:15">
      <c r="A6938" s="1" t="str">
        <f t="shared" si="4516"/>
        <v>202406</v>
      </c>
      <c r="B6938" s="1" t="str">
        <f t="shared" si="4517"/>
        <v>150525100</v>
      </c>
      <c r="C6938" s="1" t="str">
        <f>"1014572657"</f>
        <v>1014572657</v>
      </c>
      <c r="D6938" s="1" t="str">
        <f>"152326195310103089"</f>
        <v>152326195310103089</v>
      </c>
      <c r="E6938" s="1" t="s">
        <v>1937</v>
      </c>
      <c r="F6938" s="1" t="s">
        <v>16</v>
      </c>
      <c r="G6938" s="1" t="s">
        <v>17</v>
      </c>
      <c r="H6938" s="1" t="str">
        <f t="shared" si="4546"/>
        <v>71</v>
      </c>
      <c r="I6938" s="1" t="str">
        <f>"176.18"</f>
        <v>176.18</v>
      </c>
      <c r="J6938" s="1" t="str">
        <f t="shared" ref="J6938:N6938" si="4551">"0"</f>
        <v>0</v>
      </c>
      <c r="K6938" s="1" t="str">
        <f t="shared" si="4523"/>
        <v>103</v>
      </c>
      <c r="L6938" s="1" t="str">
        <f t="shared" si="4524"/>
        <v>47</v>
      </c>
      <c r="M6938" s="1" t="str">
        <f t="shared" si="4551"/>
        <v>0</v>
      </c>
      <c r="N6938" s="1" t="str">
        <f t="shared" si="4551"/>
        <v>0</v>
      </c>
      <c r="O6938" s="1" t="str">
        <f>"16.18"</f>
        <v>16.18</v>
      </c>
    </row>
    <row r="6939" s="1" customFormat="1" spans="1:15">
      <c r="A6939" s="1" t="str">
        <f t="shared" si="4516"/>
        <v>202406</v>
      </c>
      <c r="B6939" s="1" t="str">
        <f t="shared" si="4517"/>
        <v>150525100</v>
      </c>
      <c r="C6939" s="1" t="str">
        <f>"1014644450"</f>
        <v>1014644450</v>
      </c>
      <c r="D6939" s="1" t="str">
        <f>"152326196307140676"</f>
        <v>152326196307140676</v>
      </c>
      <c r="E6939" s="1" t="s">
        <v>6721</v>
      </c>
      <c r="F6939" s="1" t="s">
        <v>25</v>
      </c>
      <c r="G6939" s="1" t="s">
        <v>17</v>
      </c>
      <c r="H6939" s="1" t="str">
        <f>"61"</f>
        <v>61</v>
      </c>
      <c r="I6939" s="1" t="str">
        <f>"165.05"</f>
        <v>165.05</v>
      </c>
      <c r="J6939" s="1" t="str">
        <f t="shared" ref="J6939:N6939" si="4552">"0"</f>
        <v>0</v>
      </c>
      <c r="K6939" s="1" t="str">
        <f t="shared" si="4523"/>
        <v>103</v>
      </c>
      <c r="L6939" s="1" t="str">
        <f t="shared" si="4524"/>
        <v>47</v>
      </c>
      <c r="M6939" s="1" t="str">
        <f t="shared" si="4552"/>
        <v>0</v>
      </c>
      <c r="N6939" s="1" t="str">
        <f t="shared" si="4552"/>
        <v>0</v>
      </c>
      <c r="O6939" s="1" t="str">
        <f>"15.05"</f>
        <v>15.05</v>
      </c>
    </row>
    <row r="6940" s="1" customFormat="1" spans="1:15">
      <c r="A6940" s="1" t="str">
        <f t="shared" si="4516"/>
        <v>202406</v>
      </c>
      <c r="B6940" s="1" t="str">
        <f t="shared" si="4517"/>
        <v>150525100</v>
      </c>
      <c r="C6940" s="1" t="str">
        <f>"1014644456"</f>
        <v>1014644456</v>
      </c>
      <c r="D6940" s="1" t="str">
        <f>"152326196007020699"</f>
        <v>152326196007020699</v>
      </c>
      <c r="E6940" s="1" t="s">
        <v>6722</v>
      </c>
      <c r="F6940" s="1" t="s">
        <v>25</v>
      </c>
      <c r="G6940" s="1" t="s">
        <v>17</v>
      </c>
      <c r="H6940" s="1" t="str">
        <f>"64"</f>
        <v>64</v>
      </c>
      <c r="I6940" s="1" t="str">
        <f>"159.24"</f>
        <v>159.24</v>
      </c>
      <c r="J6940" s="1" t="str">
        <f t="shared" ref="J6940:N6940" si="4553">"0"</f>
        <v>0</v>
      </c>
      <c r="K6940" s="1" t="str">
        <f t="shared" si="4523"/>
        <v>103</v>
      </c>
      <c r="L6940" s="1" t="str">
        <f t="shared" si="4524"/>
        <v>47</v>
      </c>
      <c r="M6940" s="1" t="str">
        <f t="shared" si="4553"/>
        <v>0</v>
      </c>
      <c r="N6940" s="1" t="str">
        <f t="shared" si="4553"/>
        <v>0</v>
      </c>
      <c r="O6940" s="1" t="str">
        <f>"9.24"</f>
        <v>9.24</v>
      </c>
    </row>
    <row r="6941" s="1" customFormat="1" spans="1:15">
      <c r="A6941" s="1" t="str">
        <f t="shared" si="4516"/>
        <v>202406</v>
      </c>
      <c r="B6941" s="1" t="str">
        <f t="shared" si="4517"/>
        <v>150525100</v>
      </c>
      <c r="C6941" s="1" t="str">
        <f>"1014567729"</f>
        <v>1014567729</v>
      </c>
      <c r="D6941" s="1" t="str">
        <f>"152326195310173829"</f>
        <v>152326195310173829</v>
      </c>
      <c r="E6941" s="1" t="s">
        <v>4847</v>
      </c>
      <c r="F6941" s="1" t="s">
        <v>16</v>
      </c>
      <c r="G6941" s="1" t="s">
        <v>17</v>
      </c>
      <c r="H6941" s="1" t="str">
        <f>"71"</f>
        <v>71</v>
      </c>
      <c r="I6941" s="1" t="str">
        <f t="shared" si="4547"/>
        <v>163.16</v>
      </c>
      <c r="J6941" s="1" t="str">
        <f t="shared" ref="J6941:N6941" si="4554">"0"</f>
        <v>0</v>
      </c>
      <c r="K6941" s="1" t="str">
        <f t="shared" si="4523"/>
        <v>103</v>
      </c>
      <c r="L6941" s="1" t="str">
        <f t="shared" si="4524"/>
        <v>47</v>
      </c>
      <c r="M6941" s="1" t="str">
        <f t="shared" si="4554"/>
        <v>0</v>
      </c>
      <c r="N6941" s="1" t="str">
        <f t="shared" si="4554"/>
        <v>0</v>
      </c>
      <c r="O6941" s="1" t="str">
        <f t="shared" si="4549"/>
        <v>3.16</v>
      </c>
    </row>
    <row r="6942" s="1" customFormat="1" spans="1:15">
      <c r="A6942" s="1" t="str">
        <f t="shared" si="4516"/>
        <v>202406</v>
      </c>
      <c r="B6942" s="1" t="str">
        <f t="shared" si="4517"/>
        <v>150525100</v>
      </c>
      <c r="C6942" s="1" t="str">
        <f>"1014567732"</f>
        <v>1014567732</v>
      </c>
      <c r="D6942" s="1" t="str">
        <f>"152326195702263823"</f>
        <v>152326195702263823</v>
      </c>
      <c r="E6942" s="1" t="s">
        <v>6723</v>
      </c>
      <c r="F6942" s="1" t="s">
        <v>16</v>
      </c>
      <c r="G6942" s="1" t="s">
        <v>17</v>
      </c>
      <c r="H6942" s="1" t="str">
        <f>"67"</f>
        <v>67</v>
      </c>
      <c r="I6942" s="1" t="str">
        <f>"156.05"</f>
        <v>156.05</v>
      </c>
      <c r="J6942" s="1" t="str">
        <f t="shared" ref="J6942:N6942" si="4555">"0"</f>
        <v>0</v>
      </c>
      <c r="K6942" s="1" t="str">
        <f t="shared" si="4523"/>
        <v>103</v>
      </c>
      <c r="L6942" s="1" t="str">
        <f t="shared" si="4524"/>
        <v>47</v>
      </c>
      <c r="M6942" s="1" t="str">
        <f t="shared" si="4555"/>
        <v>0</v>
      </c>
      <c r="N6942" s="1" t="str">
        <f t="shared" si="4555"/>
        <v>0</v>
      </c>
      <c r="O6942" s="1" t="str">
        <f>"6.05"</f>
        <v>6.05</v>
      </c>
    </row>
    <row r="6943" s="1" customFormat="1" spans="1:15">
      <c r="A6943" s="1" t="str">
        <f t="shared" si="4516"/>
        <v>202406</v>
      </c>
      <c r="B6943" s="1" t="str">
        <f t="shared" si="4517"/>
        <v>150525100</v>
      </c>
      <c r="C6943" s="1" t="str">
        <f>"1014562798"</f>
        <v>1014562798</v>
      </c>
      <c r="D6943" s="1" t="str">
        <f>"152326195607120410"</f>
        <v>152326195607120410</v>
      </c>
      <c r="E6943" s="1" t="s">
        <v>6724</v>
      </c>
      <c r="F6943" s="1" t="s">
        <v>25</v>
      </c>
      <c r="G6943" s="1" t="s">
        <v>17</v>
      </c>
      <c r="H6943" s="1" t="str">
        <f>"68"</f>
        <v>68</v>
      </c>
      <c r="I6943" s="1" t="str">
        <f>"156.02"</f>
        <v>156.02</v>
      </c>
      <c r="J6943" s="1" t="str">
        <f t="shared" ref="J6943:N6943" si="4556">"0"</f>
        <v>0</v>
      </c>
      <c r="K6943" s="1" t="str">
        <f t="shared" si="4523"/>
        <v>103</v>
      </c>
      <c r="L6943" s="1" t="str">
        <f t="shared" si="4524"/>
        <v>47</v>
      </c>
      <c r="M6943" s="1" t="str">
        <f t="shared" si="4556"/>
        <v>0</v>
      </c>
      <c r="N6943" s="1" t="str">
        <f t="shared" si="4556"/>
        <v>0</v>
      </c>
      <c r="O6943" s="1" t="str">
        <f>"6.02"</f>
        <v>6.02</v>
      </c>
    </row>
    <row r="6944" s="1" customFormat="1" spans="1:15">
      <c r="A6944" s="1" t="str">
        <f t="shared" si="4516"/>
        <v>202406</v>
      </c>
      <c r="B6944" s="1" t="str">
        <f t="shared" si="4517"/>
        <v>150525100</v>
      </c>
      <c r="C6944" s="1" t="str">
        <f>"1014562807"</f>
        <v>1014562807</v>
      </c>
      <c r="D6944" s="1" t="str">
        <f>"152326195407260427"</f>
        <v>152326195407260427</v>
      </c>
      <c r="E6944" s="1" t="s">
        <v>6725</v>
      </c>
      <c r="F6944" s="1" t="s">
        <v>16</v>
      </c>
      <c r="G6944" s="1" t="s">
        <v>17</v>
      </c>
      <c r="H6944" s="1" t="str">
        <f t="shared" ref="H6944:H6948" si="4557">"70"</f>
        <v>70</v>
      </c>
      <c r="I6944" s="1" t="str">
        <f>"154.16"</f>
        <v>154.16</v>
      </c>
      <c r="J6944" s="1" t="str">
        <f t="shared" ref="J6944:N6944" si="4558">"0"</f>
        <v>0</v>
      </c>
      <c r="K6944" s="1" t="str">
        <f t="shared" si="4523"/>
        <v>103</v>
      </c>
      <c r="L6944" s="1" t="str">
        <f t="shared" si="4524"/>
        <v>47</v>
      </c>
      <c r="M6944" s="1" t="str">
        <f t="shared" si="4558"/>
        <v>0</v>
      </c>
      <c r="N6944" s="1" t="str">
        <f t="shared" si="4558"/>
        <v>0</v>
      </c>
      <c r="O6944" s="1" t="str">
        <f>"4.16"</f>
        <v>4.16</v>
      </c>
    </row>
    <row r="6945" s="1" customFormat="1" spans="1:15">
      <c r="A6945" s="1" t="str">
        <f t="shared" si="4516"/>
        <v>202406</v>
      </c>
      <c r="B6945" s="1" t="str">
        <f t="shared" si="4517"/>
        <v>150525100</v>
      </c>
      <c r="C6945" s="1" t="str">
        <f>"1014563189"</f>
        <v>1014563189</v>
      </c>
      <c r="D6945" s="1" t="str">
        <f>"152326195404180413"</f>
        <v>152326195404180413</v>
      </c>
      <c r="E6945" s="1" t="s">
        <v>6726</v>
      </c>
      <c r="F6945" s="1" t="s">
        <v>25</v>
      </c>
      <c r="G6945" s="1" t="s">
        <v>17</v>
      </c>
      <c r="H6945" s="1" t="str">
        <f t="shared" si="4557"/>
        <v>70</v>
      </c>
      <c r="I6945" s="1" t="str">
        <f>"164.16"</f>
        <v>164.16</v>
      </c>
      <c r="J6945" s="1" t="str">
        <f t="shared" ref="J6945:N6945" si="4559">"0"</f>
        <v>0</v>
      </c>
      <c r="K6945" s="1" t="str">
        <f t="shared" si="4523"/>
        <v>103</v>
      </c>
      <c r="L6945" s="1" t="str">
        <f t="shared" si="4524"/>
        <v>47</v>
      </c>
      <c r="M6945" s="1" t="str">
        <f t="shared" si="4559"/>
        <v>0</v>
      </c>
      <c r="N6945" s="1" t="str">
        <f t="shared" si="4559"/>
        <v>0</v>
      </c>
      <c r="O6945" s="1" t="str">
        <f>"4.16"</f>
        <v>4.16</v>
      </c>
    </row>
    <row r="6946" s="1" customFormat="1" spans="1:15">
      <c r="A6946" s="1" t="str">
        <f t="shared" si="4516"/>
        <v>202406</v>
      </c>
      <c r="B6946" s="1" t="str">
        <f t="shared" si="4517"/>
        <v>150525100</v>
      </c>
      <c r="C6946" s="1" t="str">
        <f>"1014563202"</f>
        <v>1014563202</v>
      </c>
      <c r="D6946" s="1" t="str">
        <f>"152326195902050419"</f>
        <v>152326195902050419</v>
      </c>
      <c r="E6946" s="1" t="s">
        <v>6727</v>
      </c>
      <c r="F6946" s="1" t="s">
        <v>25</v>
      </c>
      <c r="G6946" s="1" t="s">
        <v>17</v>
      </c>
      <c r="H6946" s="1" t="str">
        <f>"65"</f>
        <v>65</v>
      </c>
      <c r="I6946" s="1" t="str">
        <f>"158.14"</f>
        <v>158.14</v>
      </c>
      <c r="J6946" s="1" t="str">
        <f t="shared" ref="J6946:N6946" si="4560">"0"</f>
        <v>0</v>
      </c>
      <c r="K6946" s="1" t="str">
        <f t="shared" si="4523"/>
        <v>103</v>
      </c>
      <c r="L6946" s="1" t="str">
        <f t="shared" si="4524"/>
        <v>47</v>
      </c>
      <c r="M6946" s="1" t="str">
        <f t="shared" si="4560"/>
        <v>0</v>
      </c>
      <c r="N6946" s="1" t="str">
        <f t="shared" si="4560"/>
        <v>0</v>
      </c>
      <c r="O6946" s="1" t="str">
        <f>"8.14"</f>
        <v>8.14</v>
      </c>
    </row>
    <row r="6947" s="1" customFormat="1" spans="1:15">
      <c r="A6947" s="1" t="str">
        <f t="shared" si="4516"/>
        <v>202406</v>
      </c>
      <c r="B6947" s="1" t="str">
        <f t="shared" si="4517"/>
        <v>150525100</v>
      </c>
      <c r="C6947" s="1" t="str">
        <f>"1014563203"</f>
        <v>1014563203</v>
      </c>
      <c r="D6947" s="1" t="str">
        <f>"152326195902140422"</f>
        <v>152326195902140422</v>
      </c>
      <c r="E6947" s="1" t="s">
        <v>6728</v>
      </c>
      <c r="F6947" s="1" t="s">
        <v>16</v>
      </c>
      <c r="G6947" s="1" t="s">
        <v>17</v>
      </c>
      <c r="H6947" s="1" t="str">
        <f>"65"</f>
        <v>65</v>
      </c>
      <c r="I6947" s="1" t="str">
        <f>"158.14"</f>
        <v>158.14</v>
      </c>
      <c r="J6947" s="1" t="str">
        <f t="shared" ref="J6947:N6947" si="4561">"0"</f>
        <v>0</v>
      </c>
      <c r="K6947" s="1" t="str">
        <f t="shared" si="4523"/>
        <v>103</v>
      </c>
      <c r="L6947" s="1" t="str">
        <f t="shared" si="4524"/>
        <v>47</v>
      </c>
      <c r="M6947" s="1" t="str">
        <f t="shared" si="4561"/>
        <v>0</v>
      </c>
      <c r="N6947" s="1" t="str">
        <f t="shared" si="4561"/>
        <v>0</v>
      </c>
      <c r="O6947" s="1" t="str">
        <f>"8.14"</f>
        <v>8.14</v>
      </c>
    </row>
    <row r="6948" s="1" customFormat="1" spans="1:15">
      <c r="A6948" s="1" t="str">
        <f t="shared" si="4516"/>
        <v>202406</v>
      </c>
      <c r="B6948" s="1" t="str">
        <f t="shared" si="4517"/>
        <v>150525100</v>
      </c>
      <c r="C6948" s="1" t="str">
        <f>"1014569634"</f>
        <v>1014569634</v>
      </c>
      <c r="D6948" s="1" t="s">
        <v>6729</v>
      </c>
      <c r="E6948" s="1" t="s">
        <v>6730</v>
      </c>
      <c r="F6948" s="1" t="s">
        <v>25</v>
      </c>
      <c r="G6948" s="1" t="s">
        <v>17</v>
      </c>
      <c r="H6948" s="1" t="str">
        <f t="shared" si="4557"/>
        <v>70</v>
      </c>
      <c r="I6948" s="1" t="str">
        <f>"154.14"</f>
        <v>154.14</v>
      </c>
      <c r="J6948" s="1" t="str">
        <f t="shared" ref="J6948:N6948" si="4562">"0"</f>
        <v>0</v>
      </c>
      <c r="K6948" s="1" t="str">
        <f t="shared" si="4523"/>
        <v>103</v>
      </c>
      <c r="L6948" s="1" t="str">
        <f t="shared" si="4524"/>
        <v>47</v>
      </c>
      <c r="M6948" s="1" t="str">
        <f t="shared" si="4562"/>
        <v>0</v>
      </c>
      <c r="N6948" s="1" t="str">
        <f t="shared" si="4562"/>
        <v>0</v>
      </c>
      <c r="O6948" s="1" t="str">
        <f>"4.14"</f>
        <v>4.14</v>
      </c>
    </row>
    <row r="6949" s="1" customFormat="1" spans="1:15">
      <c r="A6949" s="1" t="str">
        <f t="shared" si="4516"/>
        <v>202406</v>
      </c>
      <c r="B6949" s="1" t="str">
        <f t="shared" si="4517"/>
        <v>150525100</v>
      </c>
      <c r="C6949" s="1" t="str">
        <f>"1014584012"</f>
        <v>1014584012</v>
      </c>
      <c r="D6949" s="1" t="str">
        <f>"152326195704010416"</f>
        <v>152326195704010416</v>
      </c>
      <c r="E6949" s="1" t="s">
        <v>6731</v>
      </c>
      <c r="F6949" s="1" t="s">
        <v>25</v>
      </c>
      <c r="G6949" s="1" t="s">
        <v>17</v>
      </c>
      <c r="H6949" s="1" t="str">
        <f t="shared" ref="H6949:H6951" si="4563">"67"</f>
        <v>67</v>
      </c>
      <c r="I6949" s="1" t="str">
        <f>"156.05"</f>
        <v>156.05</v>
      </c>
      <c r="J6949" s="1" t="str">
        <f t="shared" ref="J6949:N6949" si="4564">"0"</f>
        <v>0</v>
      </c>
      <c r="K6949" s="1" t="str">
        <f t="shared" si="4523"/>
        <v>103</v>
      </c>
      <c r="L6949" s="1" t="str">
        <f t="shared" si="4524"/>
        <v>47</v>
      </c>
      <c r="M6949" s="1" t="str">
        <f t="shared" si="4564"/>
        <v>0</v>
      </c>
      <c r="N6949" s="1" t="str">
        <f t="shared" si="4564"/>
        <v>0</v>
      </c>
      <c r="O6949" s="1" t="str">
        <f>"6.05"</f>
        <v>6.05</v>
      </c>
    </row>
    <row r="6950" s="1" customFormat="1" spans="1:15">
      <c r="A6950" s="1" t="str">
        <f t="shared" si="4516"/>
        <v>202406</v>
      </c>
      <c r="B6950" s="1" t="str">
        <f t="shared" si="4517"/>
        <v>150525100</v>
      </c>
      <c r="C6950" s="1" t="str">
        <f>"1014584028"</f>
        <v>1014584028</v>
      </c>
      <c r="D6950" s="1" t="str">
        <f>"152326195709090419"</f>
        <v>152326195709090419</v>
      </c>
      <c r="E6950" s="1" t="s">
        <v>6732</v>
      </c>
      <c r="F6950" s="1" t="s">
        <v>25</v>
      </c>
      <c r="G6950" s="1" t="s">
        <v>17</v>
      </c>
      <c r="H6950" s="1" t="str">
        <f t="shared" si="4563"/>
        <v>67</v>
      </c>
      <c r="I6950" s="1" t="str">
        <f>"156.08"</f>
        <v>156.08</v>
      </c>
      <c r="J6950" s="1" t="str">
        <f t="shared" ref="J6950:N6950" si="4565">"0"</f>
        <v>0</v>
      </c>
      <c r="K6950" s="1" t="str">
        <f t="shared" si="4523"/>
        <v>103</v>
      </c>
      <c r="L6950" s="1" t="str">
        <f t="shared" si="4524"/>
        <v>47</v>
      </c>
      <c r="M6950" s="1" t="str">
        <f t="shared" si="4565"/>
        <v>0</v>
      </c>
      <c r="N6950" s="1" t="str">
        <f t="shared" si="4565"/>
        <v>0</v>
      </c>
      <c r="O6950" s="1" t="str">
        <f>"6.08"</f>
        <v>6.08</v>
      </c>
    </row>
    <row r="6951" s="1" customFormat="1" spans="1:15">
      <c r="A6951" s="1" t="str">
        <f t="shared" si="4516"/>
        <v>202406</v>
      </c>
      <c r="B6951" s="1" t="str">
        <f t="shared" si="4517"/>
        <v>150525100</v>
      </c>
      <c r="C6951" s="1" t="str">
        <f>"1014584029"</f>
        <v>1014584029</v>
      </c>
      <c r="D6951" s="1" t="str">
        <f>"152326195709160413"</f>
        <v>152326195709160413</v>
      </c>
      <c r="E6951" s="1" t="s">
        <v>6733</v>
      </c>
      <c r="F6951" s="1" t="s">
        <v>25</v>
      </c>
      <c r="G6951" s="1" t="s">
        <v>17</v>
      </c>
      <c r="H6951" s="1" t="str">
        <f t="shared" si="4563"/>
        <v>67</v>
      </c>
      <c r="I6951" s="1" t="str">
        <f>"156.08"</f>
        <v>156.08</v>
      </c>
      <c r="J6951" s="1" t="str">
        <f t="shared" ref="J6951:N6951" si="4566">"0"</f>
        <v>0</v>
      </c>
      <c r="K6951" s="1" t="str">
        <f t="shared" si="4523"/>
        <v>103</v>
      </c>
      <c r="L6951" s="1" t="str">
        <f t="shared" si="4524"/>
        <v>47</v>
      </c>
      <c r="M6951" s="1" t="str">
        <f t="shared" si="4566"/>
        <v>0</v>
      </c>
      <c r="N6951" s="1" t="str">
        <f t="shared" si="4566"/>
        <v>0</v>
      </c>
      <c r="O6951" s="1" t="str">
        <f>"6.08"</f>
        <v>6.08</v>
      </c>
    </row>
    <row r="6952" s="1" customFormat="1" spans="1:15">
      <c r="A6952" s="1" t="str">
        <f t="shared" si="4516"/>
        <v>202406</v>
      </c>
      <c r="B6952" s="1" t="str">
        <f t="shared" si="4517"/>
        <v>150525100</v>
      </c>
      <c r="C6952" s="1" t="str">
        <f>"1014584342"</f>
        <v>1014584342</v>
      </c>
      <c r="D6952" s="1" t="str">
        <f>"152326195202260423"</f>
        <v>152326195202260423</v>
      </c>
      <c r="E6952" s="1" t="s">
        <v>6734</v>
      </c>
      <c r="F6952" s="1" t="s">
        <v>16</v>
      </c>
      <c r="G6952" s="1" t="s">
        <v>17</v>
      </c>
      <c r="H6952" s="1" t="str">
        <f>"72"</f>
        <v>72</v>
      </c>
      <c r="I6952" s="1" t="str">
        <f>"162.14"</f>
        <v>162.14</v>
      </c>
      <c r="J6952" s="1" t="str">
        <f t="shared" ref="J6952:N6952" si="4567">"0"</f>
        <v>0</v>
      </c>
      <c r="K6952" s="1" t="str">
        <f t="shared" si="4523"/>
        <v>103</v>
      </c>
      <c r="L6952" s="1" t="str">
        <f t="shared" si="4524"/>
        <v>47</v>
      </c>
      <c r="M6952" s="1" t="str">
        <f t="shared" si="4567"/>
        <v>0</v>
      </c>
      <c r="N6952" s="1" t="str">
        <f t="shared" si="4567"/>
        <v>0</v>
      </c>
      <c r="O6952" s="1" t="str">
        <f>"2.14"</f>
        <v>2.14</v>
      </c>
    </row>
    <row r="6953" s="1" customFormat="1" spans="1:15">
      <c r="A6953" s="1" t="str">
        <f t="shared" si="4516"/>
        <v>202406</v>
      </c>
      <c r="B6953" s="1" t="str">
        <f t="shared" si="4517"/>
        <v>150525100</v>
      </c>
      <c r="C6953" s="1" t="str">
        <f>"1014550402"</f>
        <v>1014550402</v>
      </c>
      <c r="D6953" s="1" t="s">
        <v>6735</v>
      </c>
      <c r="E6953" s="1" t="s">
        <v>6736</v>
      </c>
      <c r="F6953" s="1" t="s">
        <v>16</v>
      </c>
      <c r="G6953" s="1" t="s">
        <v>17</v>
      </c>
      <c r="H6953" s="1" t="str">
        <f>"72"</f>
        <v>72</v>
      </c>
      <c r="I6953" s="1" t="str">
        <f>"162.15"</f>
        <v>162.15</v>
      </c>
      <c r="J6953" s="1" t="str">
        <f t="shared" ref="J6953:N6953" si="4568">"0"</f>
        <v>0</v>
      </c>
      <c r="K6953" s="1" t="str">
        <f t="shared" si="4523"/>
        <v>103</v>
      </c>
      <c r="L6953" s="1" t="str">
        <f t="shared" si="4524"/>
        <v>47</v>
      </c>
      <c r="M6953" s="1" t="str">
        <f t="shared" si="4568"/>
        <v>0</v>
      </c>
      <c r="N6953" s="1" t="str">
        <f t="shared" si="4568"/>
        <v>0</v>
      </c>
      <c r="O6953" s="1" t="str">
        <f>"2.15"</f>
        <v>2.15</v>
      </c>
    </row>
    <row r="6954" s="1" customFormat="1" spans="1:15">
      <c r="A6954" s="1" t="str">
        <f t="shared" si="4516"/>
        <v>202406</v>
      </c>
      <c r="B6954" s="1" t="str">
        <f t="shared" si="4517"/>
        <v>150525100</v>
      </c>
      <c r="C6954" s="1" t="str">
        <f>"1014550414"</f>
        <v>1014550414</v>
      </c>
      <c r="D6954" s="1" t="str">
        <f>"152326196311110680"</f>
        <v>152326196311110680</v>
      </c>
      <c r="E6954" s="1" t="s">
        <v>6737</v>
      </c>
      <c r="F6954" s="1" t="s">
        <v>16</v>
      </c>
      <c r="G6954" s="1" t="s">
        <v>17</v>
      </c>
      <c r="H6954" s="1" t="str">
        <f>"61"</f>
        <v>61</v>
      </c>
      <c r="I6954" s="1" t="str">
        <f>"165.11"</f>
        <v>165.11</v>
      </c>
      <c r="J6954" s="1" t="str">
        <f t="shared" ref="J6954:N6954" si="4569">"0"</f>
        <v>0</v>
      </c>
      <c r="K6954" s="1" t="str">
        <f t="shared" si="4523"/>
        <v>103</v>
      </c>
      <c r="L6954" s="1" t="str">
        <f t="shared" si="4524"/>
        <v>47</v>
      </c>
      <c r="M6954" s="1" t="str">
        <f t="shared" si="4569"/>
        <v>0</v>
      </c>
      <c r="N6954" s="1" t="str">
        <f t="shared" si="4569"/>
        <v>0</v>
      </c>
      <c r="O6954" s="1" t="str">
        <f>"15.11"</f>
        <v>15.11</v>
      </c>
    </row>
    <row r="6955" s="1" customFormat="1" spans="1:15">
      <c r="A6955" s="1" t="str">
        <f t="shared" si="4516"/>
        <v>202406</v>
      </c>
      <c r="B6955" s="1" t="str">
        <f t="shared" si="4517"/>
        <v>150525100</v>
      </c>
      <c r="C6955" s="1" t="str">
        <f>"1014584945"</f>
        <v>1014584945</v>
      </c>
      <c r="D6955" s="1" t="str">
        <f>"152326195310140664"</f>
        <v>152326195310140664</v>
      </c>
      <c r="E6955" s="1" t="s">
        <v>6738</v>
      </c>
      <c r="F6955" s="1" t="s">
        <v>16</v>
      </c>
      <c r="G6955" s="1" t="s">
        <v>17</v>
      </c>
      <c r="H6955" s="1" t="str">
        <f>"71"</f>
        <v>71</v>
      </c>
      <c r="I6955" s="1" t="str">
        <f>"163.16"</f>
        <v>163.16</v>
      </c>
      <c r="J6955" s="1" t="str">
        <f t="shared" ref="J6955:N6955" si="4570">"0"</f>
        <v>0</v>
      </c>
      <c r="K6955" s="1" t="str">
        <f t="shared" si="4523"/>
        <v>103</v>
      </c>
      <c r="L6955" s="1" t="str">
        <f t="shared" si="4524"/>
        <v>47</v>
      </c>
      <c r="M6955" s="1" t="str">
        <f t="shared" si="4570"/>
        <v>0</v>
      </c>
      <c r="N6955" s="1" t="str">
        <f t="shared" si="4570"/>
        <v>0</v>
      </c>
      <c r="O6955" s="1" t="str">
        <f>"3.16"</f>
        <v>3.16</v>
      </c>
    </row>
    <row r="6956" s="1" customFormat="1" spans="1:15">
      <c r="A6956" s="1" t="str">
        <f t="shared" si="4516"/>
        <v>202406</v>
      </c>
      <c r="B6956" s="1" t="str">
        <f t="shared" si="4517"/>
        <v>150525100</v>
      </c>
      <c r="C6956" s="1" t="str">
        <f>"1014584956"</f>
        <v>1014584956</v>
      </c>
      <c r="D6956" s="1" t="str">
        <f>"152326195502120414"</f>
        <v>152326195502120414</v>
      </c>
      <c r="E6956" s="1" t="s">
        <v>6739</v>
      </c>
      <c r="F6956" s="1" t="s">
        <v>25</v>
      </c>
      <c r="G6956" s="1" t="s">
        <v>17</v>
      </c>
      <c r="H6956" s="1" t="str">
        <f>"69"</f>
        <v>69</v>
      </c>
      <c r="I6956" s="1" t="str">
        <f>"155.1"</f>
        <v>155.1</v>
      </c>
      <c r="J6956" s="1" t="str">
        <f t="shared" ref="J6956:N6956" si="4571">"0"</f>
        <v>0</v>
      </c>
      <c r="K6956" s="1" t="str">
        <f t="shared" si="4523"/>
        <v>103</v>
      </c>
      <c r="L6956" s="1" t="str">
        <f t="shared" si="4524"/>
        <v>47</v>
      </c>
      <c r="M6956" s="1" t="str">
        <f t="shared" si="4571"/>
        <v>0</v>
      </c>
      <c r="N6956" s="1" t="str">
        <f t="shared" si="4571"/>
        <v>0</v>
      </c>
      <c r="O6956" s="1" t="str">
        <f>"5.1"</f>
        <v>5.1</v>
      </c>
    </row>
    <row r="6957" s="1" customFormat="1" spans="1:15">
      <c r="A6957" s="1" t="str">
        <f t="shared" si="4516"/>
        <v>202406</v>
      </c>
      <c r="B6957" s="1" t="str">
        <f t="shared" si="4517"/>
        <v>150525100</v>
      </c>
      <c r="C6957" s="1" t="str">
        <f>"1014568781"</f>
        <v>1014568781</v>
      </c>
      <c r="D6957" s="1" t="str">
        <f>"152326195309083826"</f>
        <v>152326195309083826</v>
      </c>
      <c r="E6957" s="1" t="s">
        <v>6740</v>
      </c>
      <c r="F6957" s="1" t="s">
        <v>16</v>
      </c>
      <c r="G6957" s="1" t="s">
        <v>19</v>
      </c>
      <c r="H6957" s="1" t="str">
        <f>"71"</f>
        <v>71</v>
      </c>
      <c r="I6957" s="1" t="str">
        <f>"163.16"</f>
        <v>163.16</v>
      </c>
      <c r="J6957" s="1" t="str">
        <f t="shared" ref="J6957:N6957" si="4572">"0"</f>
        <v>0</v>
      </c>
      <c r="K6957" s="1" t="str">
        <f t="shared" si="4523"/>
        <v>103</v>
      </c>
      <c r="L6957" s="1" t="str">
        <f t="shared" si="4524"/>
        <v>47</v>
      </c>
      <c r="M6957" s="1" t="str">
        <f t="shared" si="4572"/>
        <v>0</v>
      </c>
      <c r="N6957" s="1" t="str">
        <f t="shared" si="4572"/>
        <v>0</v>
      </c>
      <c r="O6957" s="1" t="str">
        <f>"3.16"</f>
        <v>3.16</v>
      </c>
    </row>
    <row r="6958" s="1" customFormat="1" spans="1:15">
      <c r="A6958" s="1" t="str">
        <f t="shared" si="4516"/>
        <v>202406</v>
      </c>
      <c r="B6958" s="1" t="str">
        <f t="shared" si="4517"/>
        <v>150525100</v>
      </c>
      <c r="C6958" s="1" t="str">
        <f>"1014568786"</f>
        <v>1014568786</v>
      </c>
      <c r="D6958" s="1" t="str">
        <f>"152326195603103840"</f>
        <v>152326195603103840</v>
      </c>
      <c r="E6958" s="1" t="s">
        <v>6741</v>
      </c>
      <c r="F6958" s="1" t="s">
        <v>16</v>
      </c>
      <c r="G6958" s="1" t="s">
        <v>19</v>
      </c>
      <c r="H6958" s="1" t="str">
        <f>"68"</f>
        <v>68</v>
      </c>
      <c r="I6958" s="1" t="str">
        <f>"156.01"</f>
        <v>156.01</v>
      </c>
      <c r="J6958" s="1" t="str">
        <f t="shared" ref="J6958:N6958" si="4573">"0"</f>
        <v>0</v>
      </c>
      <c r="K6958" s="1" t="str">
        <f t="shared" si="4523"/>
        <v>103</v>
      </c>
      <c r="L6958" s="1" t="str">
        <f t="shared" si="4524"/>
        <v>47</v>
      </c>
      <c r="M6958" s="1" t="str">
        <f t="shared" si="4573"/>
        <v>0</v>
      </c>
      <c r="N6958" s="1" t="str">
        <f t="shared" si="4573"/>
        <v>0</v>
      </c>
      <c r="O6958" s="1" t="str">
        <f>"6.01"</f>
        <v>6.01</v>
      </c>
    </row>
    <row r="6959" s="1" customFormat="1" spans="1:15">
      <c r="A6959" s="1" t="str">
        <f t="shared" si="4516"/>
        <v>202406</v>
      </c>
      <c r="B6959" s="1" t="str">
        <f t="shared" si="4517"/>
        <v>150525100</v>
      </c>
      <c r="C6959" s="1" t="str">
        <f>"1014568789"</f>
        <v>1014568789</v>
      </c>
      <c r="D6959" s="1" t="str">
        <f>"152326195708103820"</f>
        <v>152326195708103820</v>
      </c>
      <c r="E6959" s="1" t="s">
        <v>6742</v>
      </c>
      <c r="F6959" s="1" t="s">
        <v>16</v>
      </c>
      <c r="G6959" s="1" t="s">
        <v>19</v>
      </c>
      <c r="H6959" s="1" t="str">
        <f>"67"</f>
        <v>67</v>
      </c>
      <c r="I6959" s="1" t="str">
        <f>"156.09"</f>
        <v>156.09</v>
      </c>
      <c r="J6959" s="1" t="str">
        <f t="shared" ref="J6959:N6959" si="4574">"0"</f>
        <v>0</v>
      </c>
      <c r="K6959" s="1" t="str">
        <f t="shared" si="4523"/>
        <v>103</v>
      </c>
      <c r="L6959" s="1" t="str">
        <f t="shared" si="4524"/>
        <v>47</v>
      </c>
      <c r="M6959" s="1" t="str">
        <f t="shared" si="4574"/>
        <v>0</v>
      </c>
      <c r="N6959" s="1" t="str">
        <f t="shared" si="4574"/>
        <v>0</v>
      </c>
      <c r="O6959" s="1" t="str">
        <f>"6.09"</f>
        <v>6.09</v>
      </c>
    </row>
    <row r="6960" s="1" customFormat="1" spans="1:15">
      <c r="A6960" s="1" t="str">
        <f t="shared" si="4516"/>
        <v>202406</v>
      </c>
      <c r="B6960" s="1" t="str">
        <f t="shared" si="4517"/>
        <v>150525100</v>
      </c>
      <c r="C6960" s="1" t="str">
        <f>"1014568795"</f>
        <v>1014568795</v>
      </c>
      <c r="D6960" s="1" t="str">
        <f>"152326196203083822"</f>
        <v>152326196203083822</v>
      </c>
      <c r="E6960" s="1" t="s">
        <v>6743</v>
      </c>
      <c r="F6960" s="1" t="s">
        <v>16</v>
      </c>
      <c r="G6960" s="1" t="s">
        <v>19</v>
      </c>
      <c r="H6960" s="1" t="str">
        <f>"62"</f>
        <v>62</v>
      </c>
      <c r="I6960" s="1" t="str">
        <f>"162.95"</f>
        <v>162.95</v>
      </c>
      <c r="J6960" s="1" t="str">
        <f t="shared" ref="J6960:N6960" si="4575">"0"</f>
        <v>0</v>
      </c>
      <c r="K6960" s="1" t="str">
        <f t="shared" si="4523"/>
        <v>103</v>
      </c>
      <c r="L6960" s="1" t="str">
        <f t="shared" si="4524"/>
        <v>47</v>
      </c>
      <c r="M6960" s="1" t="str">
        <f t="shared" si="4575"/>
        <v>0</v>
      </c>
      <c r="N6960" s="1" t="str">
        <f t="shared" si="4575"/>
        <v>0</v>
      </c>
      <c r="O6960" s="1" t="str">
        <f>"12.95"</f>
        <v>12.95</v>
      </c>
    </row>
    <row r="6961" s="1" customFormat="1" spans="1:15">
      <c r="A6961" s="1" t="str">
        <f t="shared" si="4516"/>
        <v>202406</v>
      </c>
      <c r="B6961" s="1" t="str">
        <f t="shared" si="4517"/>
        <v>150525100</v>
      </c>
      <c r="C6961" s="1" t="str">
        <f>"1014562831"</f>
        <v>1014562831</v>
      </c>
      <c r="D6961" s="1" t="str">
        <f>"152326196203190425"</f>
        <v>152326196203190425</v>
      </c>
      <c r="E6961" s="1" t="s">
        <v>3953</v>
      </c>
      <c r="F6961" s="1" t="s">
        <v>16</v>
      </c>
      <c r="G6961" s="1" t="s">
        <v>17</v>
      </c>
      <c r="H6961" s="1" t="str">
        <f>"62"</f>
        <v>62</v>
      </c>
      <c r="I6961" s="1" t="str">
        <f>"162.97"</f>
        <v>162.97</v>
      </c>
      <c r="J6961" s="1" t="str">
        <f t="shared" ref="J6961:N6961" si="4576">"0"</f>
        <v>0</v>
      </c>
      <c r="K6961" s="1" t="str">
        <f t="shared" si="4523"/>
        <v>103</v>
      </c>
      <c r="L6961" s="1" t="str">
        <f t="shared" si="4524"/>
        <v>47</v>
      </c>
      <c r="M6961" s="1" t="str">
        <f t="shared" si="4576"/>
        <v>0</v>
      </c>
      <c r="N6961" s="1" t="str">
        <f t="shared" si="4576"/>
        <v>0</v>
      </c>
      <c r="O6961" s="1" t="str">
        <f>"12.97"</f>
        <v>12.97</v>
      </c>
    </row>
    <row r="6962" s="1" customFormat="1" spans="1:15">
      <c r="A6962" s="1" t="str">
        <f t="shared" si="4516"/>
        <v>202406</v>
      </c>
      <c r="B6962" s="1" t="str">
        <f t="shared" si="4517"/>
        <v>150525100</v>
      </c>
      <c r="C6962" s="1" t="str">
        <f>"1014562832"</f>
        <v>1014562832</v>
      </c>
      <c r="D6962" s="1" t="str">
        <f>"152326195303020410"</f>
        <v>152326195303020410</v>
      </c>
      <c r="E6962" s="1" t="s">
        <v>6744</v>
      </c>
      <c r="F6962" s="1" t="s">
        <v>25</v>
      </c>
      <c r="G6962" s="1" t="s">
        <v>17</v>
      </c>
      <c r="H6962" s="1" t="str">
        <f>"71"</f>
        <v>71</v>
      </c>
      <c r="I6962" s="1" t="str">
        <f>"163.18"</f>
        <v>163.18</v>
      </c>
      <c r="J6962" s="1" t="str">
        <f t="shared" ref="J6962:N6962" si="4577">"0"</f>
        <v>0</v>
      </c>
      <c r="K6962" s="1" t="str">
        <f t="shared" si="4523"/>
        <v>103</v>
      </c>
      <c r="L6962" s="1" t="str">
        <f t="shared" si="4524"/>
        <v>47</v>
      </c>
      <c r="M6962" s="1" t="str">
        <f t="shared" si="4577"/>
        <v>0</v>
      </c>
      <c r="N6962" s="1" t="str">
        <f t="shared" si="4577"/>
        <v>0</v>
      </c>
      <c r="O6962" s="1" t="str">
        <f>"3.18"</f>
        <v>3.18</v>
      </c>
    </row>
    <row r="6963" s="1" customFormat="1" spans="1:15">
      <c r="A6963" s="1" t="str">
        <f t="shared" si="4516"/>
        <v>202406</v>
      </c>
      <c r="B6963" s="1" t="str">
        <f t="shared" si="4517"/>
        <v>150525100</v>
      </c>
      <c r="C6963" s="1" t="str">
        <f>"1014562852"</f>
        <v>1014562852</v>
      </c>
      <c r="D6963" s="1" t="str">
        <f>"152326196304110420"</f>
        <v>152326196304110420</v>
      </c>
      <c r="E6963" s="1" t="s">
        <v>6745</v>
      </c>
      <c r="F6963" s="1" t="s">
        <v>16</v>
      </c>
      <c r="G6963" s="1" t="s">
        <v>19</v>
      </c>
      <c r="H6963" s="1" t="str">
        <f>"61"</f>
        <v>61</v>
      </c>
      <c r="I6963" s="1" t="str">
        <f>"167.21"</f>
        <v>167.21</v>
      </c>
      <c r="J6963" s="1" t="str">
        <f t="shared" ref="J6963:N6963" si="4578">"0"</f>
        <v>0</v>
      </c>
      <c r="K6963" s="1" t="str">
        <f t="shared" si="4523"/>
        <v>103</v>
      </c>
      <c r="L6963" s="1" t="str">
        <f t="shared" si="4524"/>
        <v>47</v>
      </c>
      <c r="M6963" s="1" t="str">
        <f t="shared" si="4578"/>
        <v>0</v>
      </c>
      <c r="N6963" s="1" t="str">
        <f t="shared" si="4578"/>
        <v>0</v>
      </c>
      <c r="O6963" s="1" t="str">
        <f>"17.21"</f>
        <v>17.21</v>
      </c>
    </row>
    <row r="6964" s="1" customFormat="1" spans="1:15">
      <c r="A6964" s="1" t="str">
        <f t="shared" si="4516"/>
        <v>202406</v>
      </c>
      <c r="B6964" s="1" t="str">
        <f t="shared" si="4517"/>
        <v>150525100</v>
      </c>
      <c r="C6964" s="1" t="str">
        <f>"1014562854"</f>
        <v>1014562854</v>
      </c>
      <c r="D6964" s="1" t="str">
        <f>"152326195503150420"</f>
        <v>152326195503150420</v>
      </c>
      <c r="E6964" s="1" t="s">
        <v>6746</v>
      </c>
      <c r="F6964" s="1" t="s">
        <v>16</v>
      </c>
      <c r="G6964" s="1" t="s">
        <v>19</v>
      </c>
      <c r="H6964" s="1" t="str">
        <f>"69"</f>
        <v>69</v>
      </c>
      <c r="I6964" s="1" t="str">
        <f>"155.12"</f>
        <v>155.12</v>
      </c>
      <c r="J6964" s="1" t="str">
        <f t="shared" ref="J6964:N6964" si="4579">"0"</f>
        <v>0</v>
      </c>
      <c r="K6964" s="1" t="str">
        <f t="shared" si="4523"/>
        <v>103</v>
      </c>
      <c r="L6964" s="1" t="str">
        <f t="shared" si="4524"/>
        <v>47</v>
      </c>
      <c r="M6964" s="1" t="str">
        <f t="shared" si="4579"/>
        <v>0</v>
      </c>
      <c r="N6964" s="1" t="str">
        <f t="shared" si="4579"/>
        <v>0</v>
      </c>
      <c r="O6964" s="1" t="str">
        <f>"5.12"</f>
        <v>5.12</v>
      </c>
    </row>
    <row r="6965" s="1" customFormat="1" spans="1:15">
      <c r="A6965" s="1" t="str">
        <f t="shared" si="4516"/>
        <v>202406</v>
      </c>
      <c r="B6965" s="1" t="str">
        <f t="shared" si="4517"/>
        <v>150525100</v>
      </c>
      <c r="C6965" s="1" t="str">
        <f>"1014563226"</f>
        <v>1014563226</v>
      </c>
      <c r="D6965" s="1" t="str">
        <f>"152326195309080414"</f>
        <v>152326195309080414</v>
      </c>
      <c r="E6965" s="1" t="s">
        <v>851</v>
      </c>
      <c r="F6965" s="1" t="s">
        <v>25</v>
      </c>
      <c r="G6965" s="1" t="s">
        <v>17</v>
      </c>
      <c r="H6965" s="1" t="str">
        <f>"71"</f>
        <v>71</v>
      </c>
      <c r="I6965" s="1" t="str">
        <f>"163.18"</f>
        <v>163.18</v>
      </c>
      <c r="J6965" s="1" t="str">
        <f t="shared" ref="J6965:N6965" si="4580">"0"</f>
        <v>0</v>
      </c>
      <c r="K6965" s="1" t="str">
        <f t="shared" si="4523"/>
        <v>103</v>
      </c>
      <c r="L6965" s="1" t="str">
        <f t="shared" si="4524"/>
        <v>47</v>
      </c>
      <c r="M6965" s="1" t="str">
        <f t="shared" si="4580"/>
        <v>0</v>
      </c>
      <c r="N6965" s="1" t="str">
        <f t="shared" si="4580"/>
        <v>0</v>
      </c>
      <c r="O6965" s="1" t="str">
        <f>"3.18"</f>
        <v>3.18</v>
      </c>
    </row>
    <row r="6966" s="1" customFormat="1" spans="1:15">
      <c r="A6966" s="1" t="str">
        <f t="shared" si="4516"/>
        <v>202406</v>
      </c>
      <c r="B6966" s="1" t="str">
        <f t="shared" si="4517"/>
        <v>150525100</v>
      </c>
      <c r="C6966" s="1" t="str">
        <f>"1014563228"</f>
        <v>1014563228</v>
      </c>
      <c r="D6966" s="1" t="str">
        <f>"152326195606140428"</f>
        <v>152326195606140428</v>
      </c>
      <c r="E6966" s="1" t="s">
        <v>741</v>
      </c>
      <c r="F6966" s="1" t="s">
        <v>16</v>
      </c>
      <c r="G6966" s="1" t="s">
        <v>17</v>
      </c>
      <c r="H6966" s="1" t="str">
        <f>"68"</f>
        <v>68</v>
      </c>
      <c r="I6966" s="1" t="str">
        <f>"156.02"</f>
        <v>156.02</v>
      </c>
      <c r="J6966" s="1" t="str">
        <f t="shared" ref="J6966:N6966" si="4581">"0"</f>
        <v>0</v>
      </c>
      <c r="K6966" s="1" t="str">
        <f t="shared" si="4523"/>
        <v>103</v>
      </c>
      <c r="L6966" s="1" t="str">
        <f t="shared" si="4524"/>
        <v>47</v>
      </c>
      <c r="M6966" s="1" t="str">
        <f t="shared" si="4581"/>
        <v>0</v>
      </c>
      <c r="N6966" s="1" t="str">
        <f t="shared" si="4581"/>
        <v>0</v>
      </c>
      <c r="O6966" s="1" t="str">
        <f>"6.02"</f>
        <v>6.02</v>
      </c>
    </row>
    <row r="6967" s="1" customFormat="1" spans="1:15">
      <c r="A6967" s="1" t="str">
        <f t="shared" si="4516"/>
        <v>202406</v>
      </c>
      <c r="B6967" s="1" t="str">
        <f t="shared" si="4517"/>
        <v>150525100</v>
      </c>
      <c r="C6967" s="1" t="str">
        <f>"1014569648"</f>
        <v>1014569648</v>
      </c>
      <c r="D6967" s="1" t="str">
        <f>"152326196104130427"</f>
        <v>152326196104130427</v>
      </c>
      <c r="E6967" s="1" t="s">
        <v>6747</v>
      </c>
      <c r="F6967" s="1" t="s">
        <v>16</v>
      </c>
      <c r="G6967" s="1" t="s">
        <v>17</v>
      </c>
      <c r="H6967" s="1" t="str">
        <f>"63"</f>
        <v>63</v>
      </c>
      <c r="I6967" s="1" t="str">
        <f>"168.58"</f>
        <v>168.58</v>
      </c>
      <c r="J6967" s="1" t="str">
        <f t="shared" ref="J6967:N6967" si="4582">"0"</f>
        <v>0</v>
      </c>
      <c r="K6967" s="1" t="str">
        <f t="shared" si="4523"/>
        <v>103</v>
      </c>
      <c r="L6967" s="1" t="str">
        <f t="shared" si="4524"/>
        <v>47</v>
      </c>
      <c r="M6967" s="1" t="str">
        <f t="shared" si="4582"/>
        <v>0</v>
      </c>
      <c r="N6967" s="1" t="str">
        <f t="shared" si="4582"/>
        <v>0</v>
      </c>
      <c r="O6967" s="1" t="str">
        <f>"18.58"</f>
        <v>18.58</v>
      </c>
    </row>
    <row r="6968" s="1" customFormat="1" spans="1:15">
      <c r="A6968" s="1" t="str">
        <f t="shared" si="4516"/>
        <v>202406</v>
      </c>
      <c r="B6968" s="1" t="str">
        <f t="shared" si="4517"/>
        <v>150525100</v>
      </c>
      <c r="C6968" s="1" t="str">
        <f>"1014569668"</f>
        <v>1014569668</v>
      </c>
      <c r="D6968" s="1" t="str">
        <f>"152326195207210425"</f>
        <v>152326195207210425</v>
      </c>
      <c r="E6968" s="1" t="s">
        <v>1927</v>
      </c>
      <c r="F6968" s="1" t="s">
        <v>16</v>
      </c>
      <c r="G6968" s="1" t="s">
        <v>17</v>
      </c>
      <c r="H6968" s="1" t="str">
        <f>"72"</f>
        <v>72</v>
      </c>
      <c r="I6968" s="1" t="str">
        <f>"162.15"</f>
        <v>162.15</v>
      </c>
      <c r="J6968" s="1" t="str">
        <f t="shared" ref="J6968:N6968" si="4583">"0"</f>
        <v>0</v>
      </c>
      <c r="K6968" s="1" t="str">
        <f t="shared" si="4523"/>
        <v>103</v>
      </c>
      <c r="L6968" s="1" t="str">
        <f t="shared" si="4524"/>
        <v>47</v>
      </c>
      <c r="M6968" s="1" t="str">
        <f t="shared" si="4583"/>
        <v>0</v>
      </c>
      <c r="N6968" s="1" t="str">
        <f t="shared" si="4583"/>
        <v>0</v>
      </c>
      <c r="O6968" s="1" t="str">
        <f>"2.15"</f>
        <v>2.15</v>
      </c>
    </row>
    <row r="6969" s="1" customFormat="1" spans="1:15">
      <c r="A6969" s="1" t="str">
        <f t="shared" si="4516"/>
        <v>202406</v>
      </c>
      <c r="B6969" s="1" t="str">
        <f t="shared" si="4517"/>
        <v>150525100</v>
      </c>
      <c r="C6969" s="1" t="str">
        <f>"1014569671"</f>
        <v>1014569671</v>
      </c>
      <c r="D6969" s="1" t="str">
        <f>"152326195209160417"</f>
        <v>152326195209160417</v>
      </c>
      <c r="E6969" s="1" t="s">
        <v>6748</v>
      </c>
      <c r="F6969" s="1" t="s">
        <v>25</v>
      </c>
      <c r="G6969" s="1" t="s">
        <v>17</v>
      </c>
      <c r="H6969" s="1" t="str">
        <f>"72"</f>
        <v>72</v>
      </c>
      <c r="I6969" s="1" t="str">
        <f>"162.15"</f>
        <v>162.15</v>
      </c>
      <c r="J6969" s="1" t="str">
        <f t="shared" ref="J6969:N6969" si="4584">"0"</f>
        <v>0</v>
      </c>
      <c r="K6969" s="1" t="str">
        <f t="shared" si="4523"/>
        <v>103</v>
      </c>
      <c r="L6969" s="1" t="str">
        <f t="shared" si="4524"/>
        <v>47</v>
      </c>
      <c r="M6969" s="1" t="str">
        <f t="shared" si="4584"/>
        <v>0</v>
      </c>
      <c r="N6969" s="1" t="str">
        <f t="shared" si="4584"/>
        <v>0</v>
      </c>
      <c r="O6969" s="1" t="str">
        <f>"2.15"</f>
        <v>2.15</v>
      </c>
    </row>
    <row r="6970" s="1" customFormat="1" spans="1:15">
      <c r="A6970" s="1" t="str">
        <f t="shared" si="4516"/>
        <v>202406</v>
      </c>
      <c r="B6970" s="1" t="str">
        <f t="shared" si="4517"/>
        <v>150525100</v>
      </c>
      <c r="C6970" s="1" t="str">
        <f>"1014584345"</f>
        <v>1014584345</v>
      </c>
      <c r="D6970" s="1" t="str">
        <f>"152326196211210414"</f>
        <v>152326196211210414</v>
      </c>
      <c r="E6970" s="1" t="s">
        <v>4087</v>
      </c>
      <c r="F6970" s="1" t="s">
        <v>25</v>
      </c>
      <c r="G6970" s="1" t="s">
        <v>19</v>
      </c>
      <c r="H6970" s="1" t="str">
        <f>"62"</f>
        <v>62</v>
      </c>
      <c r="I6970" s="1" t="str">
        <f>"163.19"</f>
        <v>163.19</v>
      </c>
      <c r="J6970" s="1" t="str">
        <f t="shared" ref="J6970:N6970" si="4585">"0"</f>
        <v>0</v>
      </c>
      <c r="K6970" s="1" t="str">
        <f t="shared" si="4523"/>
        <v>103</v>
      </c>
      <c r="L6970" s="1" t="str">
        <f t="shared" si="4524"/>
        <v>47</v>
      </c>
      <c r="M6970" s="1" t="str">
        <f t="shared" si="4585"/>
        <v>0</v>
      </c>
      <c r="N6970" s="1" t="str">
        <f t="shared" si="4585"/>
        <v>0</v>
      </c>
      <c r="O6970" s="1" t="str">
        <f>"13.19"</f>
        <v>13.19</v>
      </c>
    </row>
    <row r="6971" s="1" customFormat="1" spans="1:15">
      <c r="A6971" s="1" t="str">
        <f t="shared" si="4516"/>
        <v>202406</v>
      </c>
      <c r="B6971" s="1" t="str">
        <f t="shared" si="4517"/>
        <v>150525100</v>
      </c>
      <c r="C6971" s="1" t="str">
        <f>"1014549925"</f>
        <v>1014549925</v>
      </c>
      <c r="D6971" s="1" t="str">
        <f>"152326195502093073"</f>
        <v>152326195502093073</v>
      </c>
      <c r="E6971" s="1" t="s">
        <v>6749</v>
      </c>
      <c r="F6971" s="1" t="s">
        <v>25</v>
      </c>
      <c r="G6971" s="1" t="s">
        <v>17</v>
      </c>
      <c r="H6971" s="1" t="str">
        <f>"69"</f>
        <v>69</v>
      </c>
      <c r="I6971" s="1" t="str">
        <f>"155.1"</f>
        <v>155.1</v>
      </c>
      <c r="J6971" s="1" t="str">
        <f t="shared" ref="J6971:N6971" si="4586">"0"</f>
        <v>0</v>
      </c>
      <c r="K6971" s="1" t="str">
        <f t="shared" si="4523"/>
        <v>103</v>
      </c>
      <c r="L6971" s="1" t="str">
        <f t="shared" si="4524"/>
        <v>47</v>
      </c>
      <c r="M6971" s="1" t="str">
        <f t="shared" si="4586"/>
        <v>0</v>
      </c>
      <c r="N6971" s="1" t="str">
        <f t="shared" si="4586"/>
        <v>0</v>
      </c>
      <c r="O6971" s="1" t="str">
        <f>"5.1"</f>
        <v>5.1</v>
      </c>
    </row>
    <row r="6972" s="1" customFormat="1" spans="1:15">
      <c r="A6972" s="1" t="str">
        <f t="shared" si="4516"/>
        <v>202406</v>
      </c>
      <c r="B6972" s="1" t="str">
        <f t="shared" si="4517"/>
        <v>150525100</v>
      </c>
      <c r="C6972" s="1" t="str">
        <f>"1014550462"</f>
        <v>1014550462</v>
      </c>
      <c r="D6972" s="1" t="s">
        <v>6750</v>
      </c>
      <c r="E6972" s="1" t="s">
        <v>6751</v>
      </c>
      <c r="F6972" s="1" t="s">
        <v>16</v>
      </c>
      <c r="G6972" s="1" t="s">
        <v>19</v>
      </c>
      <c r="H6972" s="1" t="str">
        <f t="shared" ref="H6972:H6974" si="4587">"70"</f>
        <v>70</v>
      </c>
      <c r="I6972" s="1" t="str">
        <f>"154.15"</f>
        <v>154.15</v>
      </c>
      <c r="J6972" s="1" t="str">
        <f t="shared" ref="J6972:N6972" si="4588">"0"</f>
        <v>0</v>
      </c>
      <c r="K6972" s="1" t="str">
        <f t="shared" si="4523"/>
        <v>103</v>
      </c>
      <c r="L6972" s="1" t="str">
        <f t="shared" si="4524"/>
        <v>47</v>
      </c>
      <c r="M6972" s="1" t="str">
        <f t="shared" si="4588"/>
        <v>0</v>
      </c>
      <c r="N6972" s="1" t="str">
        <f t="shared" si="4588"/>
        <v>0</v>
      </c>
      <c r="O6972" s="1" t="str">
        <f>"4.15"</f>
        <v>4.15</v>
      </c>
    </row>
    <row r="6973" s="1" customFormat="1" spans="1:15">
      <c r="A6973" s="1" t="str">
        <f t="shared" si="4516"/>
        <v>202406</v>
      </c>
      <c r="B6973" s="1" t="str">
        <f t="shared" si="4517"/>
        <v>150525100</v>
      </c>
      <c r="C6973" s="1" t="str">
        <f>"1014584464"</f>
        <v>1014584464</v>
      </c>
      <c r="D6973" s="1" t="s">
        <v>6752</v>
      </c>
      <c r="E6973" s="1" t="s">
        <v>6753</v>
      </c>
      <c r="F6973" s="1" t="s">
        <v>25</v>
      </c>
      <c r="G6973" s="1" t="s">
        <v>17</v>
      </c>
      <c r="H6973" s="1" t="str">
        <f t="shared" si="4587"/>
        <v>70</v>
      </c>
      <c r="I6973" s="1" t="str">
        <f>"164.14"</f>
        <v>164.14</v>
      </c>
      <c r="J6973" s="1" t="str">
        <f t="shared" ref="J6973:N6973" si="4589">"0"</f>
        <v>0</v>
      </c>
      <c r="K6973" s="1" t="str">
        <f t="shared" si="4523"/>
        <v>103</v>
      </c>
      <c r="L6973" s="1" t="str">
        <f t="shared" si="4524"/>
        <v>47</v>
      </c>
      <c r="M6973" s="1" t="str">
        <f t="shared" si="4589"/>
        <v>0</v>
      </c>
      <c r="N6973" s="1" t="str">
        <f t="shared" si="4589"/>
        <v>0</v>
      </c>
      <c r="O6973" s="1" t="str">
        <f>"4.14"</f>
        <v>4.14</v>
      </c>
    </row>
    <row r="6974" s="1" customFormat="1" spans="1:15">
      <c r="A6974" s="1" t="str">
        <f t="shared" si="4516"/>
        <v>202406</v>
      </c>
      <c r="B6974" s="1" t="str">
        <f t="shared" si="4517"/>
        <v>150525100</v>
      </c>
      <c r="C6974" s="1" t="str">
        <f>"1014584473"</f>
        <v>1014584473</v>
      </c>
      <c r="D6974" s="1" t="str">
        <f>"152326195411140428"</f>
        <v>152326195411140428</v>
      </c>
      <c r="E6974" s="1" t="s">
        <v>6754</v>
      </c>
      <c r="F6974" s="1" t="s">
        <v>16</v>
      </c>
      <c r="G6974" s="1" t="s">
        <v>17</v>
      </c>
      <c r="H6974" s="1" t="str">
        <f t="shared" si="4587"/>
        <v>70</v>
      </c>
      <c r="I6974" s="1" t="str">
        <f>"154.14"</f>
        <v>154.14</v>
      </c>
      <c r="J6974" s="1" t="str">
        <f t="shared" ref="J6974:N6974" si="4590">"0"</f>
        <v>0</v>
      </c>
      <c r="K6974" s="1" t="str">
        <f t="shared" si="4523"/>
        <v>103</v>
      </c>
      <c r="L6974" s="1" t="str">
        <f t="shared" si="4524"/>
        <v>47</v>
      </c>
      <c r="M6974" s="1" t="str">
        <f t="shared" si="4590"/>
        <v>0</v>
      </c>
      <c r="N6974" s="1" t="str">
        <f t="shared" si="4590"/>
        <v>0</v>
      </c>
      <c r="O6974" s="1" t="str">
        <f>"4.14"</f>
        <v>4.14</v>
      </c>
    </row>
    <row r="6975" s="1" customFormat="1" spans="1:15">
      <c r="A6975" s="1" t="str">
        <f t="shared" si="4516"/>
        <v>202406</v>
      </c>
      <c r="B6975" s="1" t="str">
        <f t="shared" si="4517"/>
        <v>150525100</v>
      </c>
      <c r="C6975" s="1" t="str">
        <f>"1014584972"</f>
        <v>1014584972</v>
      </c>
      <c r="D6975" s="1" t="s">
        <v>6755</v>
      </c>
      <c r="E6975" s="1" t="s">
        <v>6756</v>
      </c>
      <c r="F6975" s="1" t="s">
        <v>16</v>
      </c>
      <c r="G6975" s="1" t="s">
        <v>17</v>
      </c>
      <c r="H6975" s="1" t="str">
        <f>"68"</f>
        <v>68</v>
      </c>
      <c r="I6975" s="1" t="str">
        <f>"156.01"</f>
        <v>156.01</v>
      </c>
      <c r="J6975" s="1" t="str">
        <f t="shared" ref="J6975:N6975" si="4591">"0"</f>
        <v>0</v>
      </c>
      <c r="K6975" s="1" t="str">
        <f t="shared" si="4523"/>
        <v>103</v>
      </c>
      <c r="L6975" s="1" t="str">
        <f t="shared" si="4524"/>
        <v>47</v>
      </c>
      <c r="M6975" s="1" t="str">
        <f t="shared" si="4591"/>
        <v>0</v>
      </c>
      <c r="N6975" s="1" t="str">
        <f t="shared" si="4591"/>
        <v>0</v>
      </c>
      <c r="O6975" s="1" t="str">
        <f>"6.01"</f>
        <v>6.01</v>
      </c>
    </row>
    <row r="6976" s="1" customFormat="1" spans="1:15">
      <c r="A6976" s="1" t="str">
        <f t="shared" si="4516"/>
        <v>202406</v>
      </c>
      <c r="B6976" s="1" t="str">
        <f t="shared" si="4517"/>
        <v>150525100</v>
      </c>
      <c r="C6976" s="1" t="str">
        <f>"1040833011"</f>
        <v>1040833011</v>
      </c>
      <c r="D6976" s="1" t="str">
        <f>"152326195503200686"</f>
        <v>152326195503200686</v>
      </c>
      <c r="E6976" s="1" t="s">
        <v>3569</v>
      </c>
      <c r="F6976" s="1" t="s">
        <v>16</v>
      </c>
      <c r="G6976" s="1" t="s">
        <v>17</v>
      </c>
      <c r="H6976" s="1" t="str">
        <f>"69"</f>
        <v>69</v>
      </c>
      <c r="I6976" s="1" t="str">
        <f>"154.52"</f>
        <v>154.52</v>
      </c>
      <c r="J6976" s="1" t="str">
        <f t="shared" ref="J6976:N6976" si="4592">"0"</f>
        <v>0</v>
      </c>
      <c r="K6976" s="1" t="str">
        <f t="shared" si="4523"/>
        <v>103</v>
      </c>
      <c r="L6976" s="1" t="str">
        <f t="shared" si="4524"/>
        <v>47</v>
      </c>
      <c r="M6976" s="1" t="str">
        <f t="shared" si="4592"/>
        <v>0</v>
      </c>
      <c r="N6976" s="1" t="str">
        <f t="shared" si="4592"/>
        <v>0</v>
      </c>
      <c r="O6976" s="1" t="str">
        <f>"4.52"</f>
        <v>4.52</v>
      </c>
    </row>
    <row r="6977" s="1" customFormat="1" spans="1:15">
      <c r="A6977" s="1" t="str">
        <f t="shared" si="4516"/>
        <v>202406</v>
      </c>
      <c r="B6977" s="1" t="str">
        <f t="shared" si="4517"/>
        <v>150525100</v>
      </c>
      <c r="C6977" s="1" t="str">
        <f>"1040833012"</f>
        <v>1040833012</v>
      </c>
      <c r="D6977" s="1" t="str">
        <f>"152326195508100692"</f>
        <v>152326195508100692</v>
      </c>
      <c r="E6977" s="1" t="s">
        <v>285</v>
      </c>
      <c r="F6977" s="1" t="s">
        <v>25</v>
      </c>
      <c r="G6977" s="1" t="s">
        <v>17</v>
      </c>
      <c r="H6977" s="1" t="str">
        <f>"69"</f>
        <v>69</v>
      </c>
      <c r="I6977" s="1" t="str">
        <f>"154.52"</f>
        <v>154.52</v>
      </c>
      <c r="J6977" s="1" t="str">
        <f t="shared" ref="J6977:N6977" si="4593">"0"</f>
        <v>0</v>
      </c>
      <c r="K6977" s="1" t="str">
        <f t="shared" si="4523"/>
        <v>103</v>
      </c>
      <c r="L6977" s="1" t="str">
        <f t="shared" si="4524"/>
        <v>47</v>
      </c>
      <c r="M6977" s="1" t="str">
        <f t="shared" si="4593"/>
        <v>0</v>
      </c>
      <c r="N6977" s="1" t="str">
        <f t="shared" si="4593"/>
        <v>0</v>
      </c>
      <c r="O6977" s="1" t="str">
        <f>"4.52"</f>
        <v>4.52</v>
      </c>
    </row>
    <row r="6978" s="1" customFormat="1" spans="1:15">
      <c r="A6978" s="1" t="str">
        <f t="shared" ref="A6978:A7041" si="4594">"202406"</f>
        <v>202406</v>
      </c>
      <c r="B6978" s="1" t="str">
        <f t="shared" ref="B6978:B7041" si="4595">"150525100"</f>
        <v>150525100</v>
      </c>
      <c r="C6978" s="1" t="str">
        <f>"1014567805"</f>
        <v>1014567805</v>
      </c>
      <c r="D6978" s="1" t="str">
        <f>"152326195904243847"</f>
        <v>152326195904243847</v>
      </c>
      <c r="E6978" s="1" t="s">
        <v>6757</v>
      </c>
      <c r="F6978" s="1" t="s">
        <v>16</v>
      </c>
      <c r="G6978" s="1" t="s">
        <v>19</v>
      </c>
      <c r="H6978" s="1" t="str">
        <f>"65"</f>
        <v>65</v>
      </c>
      <c r="I6978" s="1" t="str">
        <f>"158.15"</f>
        <v>158.15</v>
      </c>
      <c r="J6978" s="1" t="str">
        <f t="shared" ref="J6978:N6978" si="4596">"0"</f>
        <v>0</v>
      </c>
      <c r="K6978" s="1" t="str">
        <f t="shared" si="4523"/>
        <v>103</v>
      </c>
      <c r="L6978" s="1" t="str">
        <f t="shared" si="4524"/>
        <v>47</v>
      </c>
      <c r="M6978" s="1" t="str">
        <f t="shared" si="4596"/>
        <v>0</v>
      </c>
      <c r="N6978" s="1" t="str">
        <f t="shared" si="4596"/>
        <v>0</v>
      </c>
      <c r="O6978" s="1" t="str">
        <f>"8.15"</f>
        <v>8.15</v>
      </c>
    </row>
    <row r="6979" s="1" customFormat="1" spans="1:15">
      <c r="A6979" s="1" t="str">
        <f t="shared" si="4594"/>
        <v>202406</v>
      </c>
      <c r="B6979" s="1" t="str">
        <f t="shared" si="4595"/>
        <v>150525100</v>
      </c>
      <c r="C6979" s="1" t="str">
        <f>"1014568818"</f>
        <v>1014568818</v>
      </c>
      <c r="D6979" s="1" t="str">
        <f>"152326196006123821"</f>
        <v>152326196006123821</v>
      </c>
      <c r="E6979" s="1" t="s">
        <v>6758</v>
      </c>
      <c r="F6979" s="1" t="s">
        <v>16</v>
      </c>
      <c r="G6979" s="1" t="s">
        <v>17</v>
      </c>
      <c r="H6979" s="1" t="str">
        <f>"64"</f>
        <v>64</v>
      </c>
      <c r="I6979" s="1" t="str">
        <f>"189.51"</f>
        <v>189.51</v>
      </c>
      <c r="J6979" s="1" t="str">
        <f t="shared" ref="J6979:N6979" si="4597">"0"</f>
        <v>0</v>
      </c>
      <c r="K6979" s="1" t="str">
        <f t="shared" si="4523"/>
        <v>103</v>
      </c>
      <c r="L6979" s="1" t="str">
        <f t="shared" si="4524"/>
        <v>47</v>
      </c>
      <c r="M6979" s="1" t="str">
        <f t="shared" si="4597"/>
        <v>0</v>
      </c>
      <c r="N6979" s="1" t="str">
        <f t="shared" si="4597"/>
        <v>0</v>
      </c>
      <c r="O6979" s="1" t="str">
        <f>"39.51"</f>
        <v>39.51</v>
      </c>
    </row>
    <row r="6980" s="1" customFormat="1" spans="1:15">
      <c r="A6980" s="1" t="str">
        <f t="shared" si="4594"/>
        <v>202406</v>
      </c>
      <c r="B6980" s="1" t="str">
        <f t="shared" si="4595"/>
        <v>150525100</v>
      </c>
      <c r="C6980" s="1" t="str">
        <f>"1014569677"</f>
        <v>1014569677</v>
      </c>
      <c r="D6980" s="1" t="str">
        <f>"152326195308030423"</f>
        <v>152326195308030423</v>
      </c>
      <c r="E6980" s="1" t="s">
        <v>6759</v>
      </c>
      <c r="F6980" s="1" t="s">
        <v>16</v>
      </c>
      <c r="G6980" s="1" t="s">
        <v>17</v>
      </c>
      <c r="H6980" s="1" t="str">
        <f>"71"</f>
        <v>71</v>
      </c>
      <c r="I6980" s="1" t="str">
        <f>"163.16"</f>
        <v>163.16</v>
      </c>
      <c r="J6980" s="1" t="str">
        <f t="shared" ref="J6980:N6980" si="4598">"0"</f>
        <v>0</v>
      </c>
      <c r="K6980" s="1" t="str">
        <f t="shared" si="4523"/>
        <v>103</v>
      </c>
      <c r="L6980" s="1" t="str">
        <f t="shared" si="4524"/>
        <v>47</v>
      </c>
      <c r="M6980" s="1" t="str">
        <f t="shared" si="4598"/>
        <v>0</v>
      </c>
      <c r="N6980" s="1" t="str">
        <f t="shared" si="4598"/>
        <v>0</v>
      </c>
      <c r="O6980" s="1" t="str">
        <f>"3.16"</f>
        <v>3.16</v>
      </c>
    </row>
    <row r="6981" s="1" customFormat="1" spans="1:15">
      <c r="A6981" s="1" t="str">
        <f t="shared" si="4594"/>
        <v>202406</v>
      </c>
      <c r="B6981" s="1" t="str">
        <f t="shared" si="4595"/>
        <v>150525100</v>
      </c>
      <c r="C6981" s="1" t="str">
        <f>"1014584085"</f>
        <v>1014584085</v>
      </c>
      <c r="D6981" s="1" t="str">
        <f>"152326195712160422"</f>
        <v>152326195712160422</v>
      </c>
      <c r="E6981" s="1" t="s">
        <v>6760</v>
      </c>
      <c r="F6981" s="1" t="s">
        <v>16</v>
      </c>
      <c r="G6981" s="1" t="s">
        <v>17</v>
      </c>
      <c r="H6981" s="1" t="str">
        <f>"67"</f>
        <v>67</v>
      </c>
      <c r="I6981" s="1" t="str">
        <f>"156.11"</f>
        <v>156.11</v>
      </c>
      <c r="J6981" s="1" t="str">
        <f t="shared" ref="J6981:N6981" si="4599">"0"</f>
        <v>0</v>
      </c>
      <c r="K6981" s="1" t="str">
        <f t="shared" ref="K6981:K7041" si="4600">"103"</f>
        <v>103</v>
      </c>
      <c r="L6981" s="1" t="str">
        <f t="shared" ref="L6981:L7041" si="4601">"47"</f>
        <v>47</v>
      </c>
      <c r="M6981" s="1" t="str">
        <f t="shared" si="4599"/>
        <v>0</v>
      </c>
      <c r="N6981" s="1" t="str">
        <f t="shared" si="4599"/>
        <v>0</v>
      </c>
      <c r="O6981" s="1" t="str">
        <f>"6.11"</f>
        <v>6.11</v>
      </c>
    </row>
    <row r="6982" s="1" customFormat="1" spans="1:15">
      <c r="A6982" s="1" t="str">
        <f t="shared" si="4594"/>
        <v>202406</v>
      </c>
      <c r="B6982" s="1" t="str">
        <f t="shared" si="4595"/>
        <v>150525100</v>
      </c>
      <c r="C6982" s="1" t="str">
        <f>"1014550473"</f>
        <v>1014550473</v>
      </c>
      <c r="D6982" s="1" t="str">
        <f>"150525196102020024"</f>
        <v>150525196102020024</v>
      </c>
      <c r="E6982" s="1" t="s">
        <v>6761</v>
      </c>
      <c r="F6982" s="1" t="s">
        <v>16</v>
      </c>
      <c r="G6982" s="1" t="s">
        <v>17</v>
      </c>
      <c r="H6982" s="1" t="str">
        <f>"63"</f>
        <v>63</v>
      </c>
      <c r="I6982" s="1" t="str">
        <f>"161.02"</f>
        <v>161.02</v>
      </c>
      <c r="J6982" s="1" t="str">
        <f t="shared" ref="J6982:N6982" si="4602">"0"</f>
        <v>0</v>
      </c>
      <c r="K6982" s="1" t="str">
        <f t="shared" si="4600"/>
        <v>103</v>
      </c>
      <c r="L6982" s="1" t="str">
        <f t="shared" si="4601"/>
        <v>47</v>
      </c>
      <c r="M6982" s="1" t="str">
        <f t="shared" si="4602"/>
        <v>0</v>
      </c>
      <c r="N6982" s="1" t="str">
        <f t="shared" si="4602"/>
        <v>0</v>
      </c>
      <c r="O6982" s="1" t="str">
        <f>"11.02"</f>
        <v>11.02</v>
      </c>
    </row>
    <row r="6983" s="1" customFormat="1" spans="1:15">
      <c r="A6983" s="1" t="str">
        <f t="shared" si="4594"/>
        <v>202406</v>
      </c>
      <c r="B6983" s="1" t="str">
        <f t="shared" si="4595"/>
        <v>150525100</v>
      </c>
      <c r="C6983" s="1" t="str">
        <f>"1014550482"</f>
        <v>1014550482</v>
      </c>
      <c r="D6983" s="1" t="str">
        <f>"152326195201173109"</f>
        <v>152326195201173109</v>
      </c>
      <c r="E6983" s="1" t="s">
        <v>6762</v>
      </c>
      <c r="F6983" s="1" t="s">
        <v>16</v>
      </c>
      <c r="G6983" s="1" t="s">
        <v>17</v>
      </c>
      <c r="H6983" s="1" t="str">
        <f>"72"</f>
        <v>72</v>
      </c>
      <c r="I6983" s="1" t="str">
        <f>"162.15"</f>
        <v>162.15</v>
      </c>
      <c r="J6983" s="1" t="str">
        <f t="shared" ref="J6983:N6983" si="4603">"0"</f>
        <v>0</v>
      </c>
      <c r="K6983" s="1" t="str">
        <f t="shared" si="4600"/>
        <v>103</v>
      </c>
      <c r="L6983" s="1" t="str">
        <f t="shared" si="4601"/>
        <v>47</v>
      </c>
      <c r="M6983" s="1" t="str">
        <f t="shared" si="4603"/>
        <v>0</v>
      </c>
      <c r="N6983" s="1" t="str">
        <f t="shared" si="4603"/>
        <v>0</v>
      </c>
      <c r="O6983" s="1" t="str">
        <f>"2.15"</f>
        <v>2.15</v>
      </c>
    </row>
    <row r="6984" s="1" customFormat="1" spans="1:15">
      <c r="A6984" s="1" t="str">
        <f t="shared" si="4594"/>
        <v>202406</v>
      </c>
      <c r="B6984" s="1" t="str">
        <f t="shared" si="4595"/>
        <v>150525100</v>
      </c>
      <c r="C6984" s="1" t="str">
        <f>"1040832968"</f>
        <v>1040832968</v>
      </c>
      <c r="D6984" s="1" t="str">
        <f>"152326195301250028"</f>
        <v>152326195301250028</v>
      </c>
      <c r="E6984" s="1" t="s">
        <v>6763</v>
      </c>
      <c r="F6984" s="1" t="s">
        <v>16</v>
      </c>
      <c r="G6984" s="1" t="s">
        <v>17</v>
      </c>
      <c r="H6984" s="1" t="str">
        <f>"71"</f>
        <v>71</v>
      </c>
      <c r="I6984" s="1" t="str">
        <f>"162.59"</f>
        <v>162.59</v>
      </c>
      <c r="J6984" s="1" t="str">
        <f t="shared" ref="J6984:N6984" si="4604">"0"</f>
        <v>0</v>
      </c>
      <c r="K6984" s="1" t="str">
        <f t="shared" si="4600"/>
        <v>103</v>
      </c>
      <c r="L6984" s="1" t="str">
        <f t="shared" si="4601"/>
        <v>47</v>
      </c>
      <c r="M6984" s="1" t="str">
        <f t="shared" si="4604"/>
        <v>0</v>
      </c>
      <c r="N6984" s="1" t="str">
        <f t="shared" si="4604"/>
        <v>0</v>
      </c>
      <c r="O6984" s="1" t="str">
        <f>"2.59"</f>
        <v>2.59</v>
      </c>
    </row>
    <row r="6985" s="1" customFormat="1" spans="1:15">
      <c r="A6985" s="1" t="str">
        <f t="shared" si="4594"/>
        <v>202406</v>
      </c>
      <c r="B6985" s="1" t="str">
        <f t="shared" si="4595"/>
        <v>150525100</v>
      </c>
      <c r="C6985" s="1" t="str">
        <f>"1040832989"</f>
        <v>1040832989</v>
      </c>
      <c r="D6985" s="1" t="str">
        <f>"152326195508010929"</f>
        <v>152326195508010929</v>
      </c>
      <c r="E6985" s="1" t="s">
        <v>6764</v>
      </c>
      <c r="F6985" s="1" t="s">
        <v>16</v>
      </c>
      <c r="G6985" s="1" t="s">
        <v>19</v>
      </c>
      <c r="H6985" s="1" t="str">
        <f>"69"</f>
        <v>69</v>
      </c>
      <c r="I6985" s="1" t="str">
        <f>"169.73"</f>
        <v>169.73</v>
      </c>
      <c r="J6985" s="1" t="str">
        <f t="shared" ref="J6985:N6985" si="4605">"0"</f>
        <v>0</v>
      </c>
      <c r="K6985" s="1" t="str">
        <f t="shared" si="4600"/>
        <v>103</v>
      </c>
      <c r="L6985" s="1" t="str">
        <f t="shared" si="4601"/>
        <v>47</v>
      </c>
      <c r="M6985" s="1" t="str">
        <f t="shared" si="4605"/>
        <v>0</v>
      </c>
      <c r="N6985" s="1" t="str">
        <f t="shared" si="4605"/>
        <v>0</v>
      </c>
      <c r="O6985" s="1" t="str">
        <f>"19.73"</f>
        <v>19.73</v>
      </c>
    </row>
    <row r="6986" s="1" customFormat="1" spans="1:15">
      <c r="A6986" s="1" t="str">
        <f t="shared" si="4594"/>
        <v>202406</v>
      </c>
      <c r="B6986" s="1" t="str">
        <f t="shared" si="4595"/>
        <v>150525100</v>
      </c>
      <c r="C6986" s="1" t="str">
        <f>"1040833003"</f>
        <v>1040833003</v>
      </c>
      <c r="D6986" s="1" t="str">
        <f>"152326195411040670"</f>
        <v>152326195411040670</v>
      </c>
      <c r="E6986" s="1" t="s">
        <v>6765</v>
      </c>
      <c r="F6986" s="1" t="s">
        <v>25</v>
      </c>
      <c r="G6986" s="1" t="s">
        <v>17</v>
      </c>
      <c r="H6986" s="1" t="str">
        <f>"70"</f>
        <v>70</v>
      </c>
      <c r="I6986" s="1" t="str">
        <f>"153.56"</f>
        <v>153.56</v>
      </c>
      <c r="J6986" s="1" t="str">
        <f t="shared" ref="J6986:N6986" si="4606">"0"</f>
        <v>0</v>
      </c>
      <c r="K6986" s="1" t="str">
        <f t="shared" si="4600"/>
        <v>103</v>
      </c>
      <c r="L6986" s="1" t="str">
        <f t="shared" si="4601"/>
        <v>47</v>
      </c>
      <c r="M6986" s="1" t="str">
        <f t="shared" si="4606"/>
        <v>0</v>
      </c>
      <c r="N6986" s="1" t="str">
        <f t="shared" si="4606"/>
        <v>0</v>
      </c>
      <c r="O6986" s="1" t="str">
        <f>"3.56"</f>
        <v>3.56</v>
      </c>
    </row>
    <row r="6987" s="1" customFormat="1" spans="1:15">
      <c r="A6987" s="1" t="str">
        <f t="shared" si="4594"/>
        <v>202406</v>
      </c>
      <c r="B6987" s="1" t="str">
        <f t="shared" si="4595"/>
        <v>150525100</v>
      </c>
      <c r="C6987" s="1" t="str">
        <f>"1040833026"</f>
        <v>1040833026</v>
      </c>
      <c r="D6987" s="1" t="str">
        <f>"152326195109123811"</f>
        <v>152326195109123811</v>
      </c>
      <c r="E6987" s="1" t="s">
        <v>6766</v>
      </c>
      <c r="F6987" s="1" t="s">
        <v>25</v>
      </c>
      <c r="G6987" s="1" t="s">
        <v>17</v>
      </c>
      <c r="H6987" s="1" t="str">
        <f>"73"</f>
        <v>73</v>
      </c>
      <c r="I6987" s="1" t="str">
        <f>"160"</f>
        <v>160</v>
      </c>
      <c r="J6987" s="1" t="str">
        <f t="shared" ref="J6987:O6987" si="4607">"0"</f>
        <v>0</v>
      </c>
      <c r="K6987" s="1" t="str">
        <f t="shared" si="4600"/>
        <v>103</v>
      </c>
      <c r="L6987" s="1" t="str">
        <f t="shared" si="4601"/>
        <v>47</v>
      </c>
      <c r="M6987" s="1" t="str">
        <f t="shared" si="4607"/>
        <v>0</v>
      </c>
      <c r="N6987" s="1" t="str">
        <f t="shared" si="4607"/>
        <v>0</v>
      </c>
      <c r="O6987" s="1" t="str">
        <f t="shared" si="4607"/>
        <v>0</v>
      </c>
    </row>
    <row r="6988" s="1" customFormat="1" spans="1:15">
      <c r="A6988" s="1" t="str">
        <f t="shared" si="4594"/>
        <v>202406</v>
      </c>
      <c r="B6988" s="1" t="str">
        <f t="shared" si="4595"/>
        <v>150525100</v>
      </c>
      <c r="C6988" s="1" t="str">
        <f>"1040833044"</f>
        <v>1040833044</v>
      </c>
      <c r="D6988" s="1" t="str">
        <f>"152326194808150662"</f>
        <v>152326194808150662</v>
      </c>
      <c r="E6988" s="1" t="s">
        <v>6767</v>
      </c>
      <c r="F6988" s="1" t="s">
        <v>16</v>
      </c>
      <c r="G6988" s="1" t="s">
        <v>17</v>
      </c>
      <c r="H6988" s="1" t="str">
        <f>"76"</f>
        <v>76</v>
      </c>
      <c r="I6988" s="1" t="str">
        <f>"160"</f>
        <v>160</v>
      </c>
      <c r="J6988" s="1" t="str">
        <f t="shared" ref="J6988:O6988" si="4608">"0"</f>
        <v>0</v>
      </c>
      <c r="K6988" s="1" t="str">
        <f t="shared" si="4600"/>
        <v>103</v>
      </c>
      <c r="L6988" s="1" t="str">
        <f t="shared" si="4601"/>
        <v>47</v>
      </c>
      <c r="M6988" s="1" t="str">
        <f t="shared" si="4608"/>
        <v>0</v>
      </c>
      <c r="N6988" s="1" t="str">
        <f t="shared" si="4608"/>
        <v>0</v>
      </c>
      <c r="O6988" s="1" t="str">
        <f t="shared" si="4608"/>
        <v>0</v>
      </c>
    </row>
    <row r="6989" s="1" customFormat="1" spans="1:15">
      <c r="A6989" s="1" t="str">
        <f t="shared" si="4594"/>
        <v>202406</v>
      </c>
      <c r="B6989" s="1" t="str">
        <f t="shared" si="4595"/>
        <v>150525100</v>
      </c>
      <c r="C6989" s="1" t="str">
        <f>"1014567814"</f>
        <v>1014567814</v>
      </c>
      <c r="D6989" s="1" t="str">
        <f>"152326195201243832"</f>
        <v>152326195201243832</v>
      </c>
      <c r="E6989" s="1" t="s">
        <v>6768</v>
      </c>
      <c r="F6989" s="1" t="s">
        <v>25</v>
      </c>
      <c r="G6989" s="1" t="s">
        <v>19</v>
      </c>
      <c r="H6989" s="1" t="str">
        <f t="shared" ref="H6989:H6991" si="4609">"72"</f>
        <v>72</v>
      </c>
      <c r="I6989" s="1" t="str">
        <f>"161.88"</f>
        <v>161.88</v>
      </c>
      <c r="J6989" s="1" t="str">
        <f t="shared" ref="J6989:N6989" si="4610">"0"</f>
        <v>0</v>
      </c>
      <c r="K6989" s="1" t="str">
        <f t="shared" si="4600"/>
        <v>103</v>
      </c>
      <c r="L6989" s="1" t="str">
        <f t="shared" si="4601"/>
        <v>47</v>
      </c>
      <c r="M6989" s="1" t="str">
        <f t="shared" si="4610"/>
        <v>0</v>
      </c>
      <c r="N6989" s="1" t="str">
        <f t="shared" si="4610"/>
        <v>0</v>
      </c>
      <c r="O6989" s="1" t="str">
        <f>"1.88"</f>
        <v>1.88</v>
      </c>
    </row>
    <row r="6990" s="1" customFormat="1" spans="1:15">
      <c r="A6990" s="1" t="str">
        <f t="shared" si="4594"/>
        <v>202406</v>
      </c>
      <c r="B6990" s="1" t="str">
        <f t="shared" si="4595"/>
        <v>150525100</v>
      </c>
      <c r="C6990" s="1" t="str">
        <f>"1014567815"</f>
        <v>1014567815</v>
      </c>
      <c r="D6990" s="1" t="str">
        <f>"152326195211023841"</f>
        <v>152326195211023841</v>
      </c>
      <c r="E6990" s="1" t="s">
        <v>2531</v>
      </c>
      <c r="F6990" s="1" t="s">
        <v>16</v>
      </c>
      <c r="G6990" s="1" t="s">
        <v>19</v>
      </c>
      <c r="H6990" s="1" t="str">
        <f t="shared" si="4609"/>
        <v>72</v>
      </c>
      <c r="I6990" s="1" t="str">
        <f>"162.15"</f>
        <v>162.15</v>
      </c>
      <c r="J6990" s="1" t="str">
        <f t="shared" ref="J6990:N6990" si="4611">"0"</f>
        <v>0</v>
      </c>
      <c r="K6990" s="1" t="str">
        <f t="shared" si="4600"/>
        <v>103</v>
      </c>
      <c r="L6990" s="1" t="str">
        <f t="shared" si="4601"/>
        <v>47</v>
      </c>
      <c r="M6990" s="1" t="str">
        <f t="shared" si="4611"/>
        <v>0</v>
      </c>
      <c r="N6990" s="1" t="str">
        <f t="shared" si="4611"/>
        <v>0</v>
      </c>
      <c r="O6990" s="1" t="str">
        <f>"2.15"</f>
        <v>2.15</v>
      </c>
    </row>
    <row r="6991" s="1" customFormat="1" spans="1:15">
      <c r="A6991" s="1" t="str">
        <f t="shared" si="4594"/>
        <v>202406</v>
      </c>
      <c r="B6991" s="1" t="str">
        <f t="shared" si="4595"/>
        <v>150525100</v>
      </c>
      <c r="C6991" s="1" t="str">
        <f>"1014562897"</f>
        <v>1014562897</v>
      </c>
      <c r="D6991" s="1" t="str">
        <f>"152326195205220427"</f>
        <v>152326195205220427</v>
      </c>
      <c r="E6991" s="1" t="s">
        <v>6769</v>
      </c>
      <c r="F6991" s="1" t="s">
        <v>16</v>
      </c>
      <c r="G6991" s="1" t="s">
        <v>17</v>
      </c>
      <c r="H6991" s="1" t="str">
        <f t="shared" si="4609"/>
        <v>72</v>
      </c>
      <c r="I6991" s="1" t="str">
        <f>"162.16"</f>
        <v>162.16</v>
      </c>
      <c r="J6991" s="1" t="str">
        <f t="shared" ref="J6991:N6991" si="4612">"0"</f>
        <v>0</v>
      </c>
      <c r="K6991" s="1" t="str">
        <f t="shared" si="4600"/>
        <v>103</v>
      </c>
      <c r="L6991" s="1" t="str">
        <f t="shared" si="4601"/>
        <v>47</v>
      </c>
      <c r="M6991" s="1" t="str">
        <f t="shared" si="4612"/>
        <v>0</v>
      </c>
      <c r="N6991" s="1" t="str">
        <f t="shared" si="4612"/>
        <v>0</v>
      </c>
      <c r="O6991" s="1" t="str">
        <f>"2.16"</f>
        <v>2.16</v>
      </c>
    </row>
    <row r="6992" s="1" customFormat="1" spans="1:15">
      <c r="A6992" s="1" t="str">
        <f t="shared" si="4594"/>
        <v>202406</v>
      </c>
      <c r="B6992" s="1" t="str">
        <f t="shared" si="4595"/>
        <v>150525100</v>
      </c>
      <c r="C6992" s="1" t="str">
        <f>"1014563277"</f>
        <v>1014563277</v>
      </c>
      <c r="D6992" s="1" t="str">
        <f>"152326195304290420"</f>
        <v>152326195304290420</v>
      </c>
      <c r="E6992" s="1" t="s">
        <v>767</v>
      </c>
      <c r="F6992" s="1" t="s">
        <v>16</v>
      </c>
      <c r="G6992" s="1" t="s">
        <v>17</v>
      </c>
      <c r="H6992" s="1" t="str">
        <f>"71"</f>
        <v>71</v>
      </c>
      <c r="I6992" s="1" t="str">
        <f>"163.18"</f>
        <v>163.18</v>
      </c>
      <c r="J6992" s="1" t="str">
        <f t="shared" ref="J6992:N6992" si="4613">"0"</f>
        <v>0</v>
      </c>
      <c r="K6992" s="1" t="str">
        <f t="shared" si="4600"/>
        <v>103</v>
      </c>
      <c r="L6992" s="1" t="str">
        <f t="shared" si="4601"/>
        <v>47</v>
      </c>
      <c r="M6992" s="1" t="str">
        <f t="shared" si="4613"/>
        <v>0</v>
      </c>
      <c r="N6992" s="1" t="str">
        <f t="shared" si="4613"/>
        <v>0</v>
      </c>
      <c r="O6992" s="1" t="str">
        <f>"3.18"</f>
        <v>3.18</v>
      </c>
    </row>
    <row r="6993" s="1" customFormat="1" spans="1:15">
      <c r="A6993" s="1" t="str">
        <f t="shared" si="4594"/>
        <v>202406</v>
      </c>
      <c r="B6993" s="1" t="str">
        <f t="shared" si="4595"/>
        <v>150525100</v>
      </c>
      <c r="C6993" s="1" t="str">
        <f>"1014563298"</f>
        <v>1014563298</v>
      </c>
      <c r="D6993" s="1" t="str">
        <f>"152326195201180421"</f>
        <v>152326195201180421</v>
      </c>
      <c r="E6993" s="1" t="s">
        <v>6770</v>
      </c>
      <c r="F6993" s="1" t="s">
        <v>16</v>
      </c>
      <c r="G6993" s="1" t="s">
        <v>19</v>
      </c>
      <c r="H6993" s="1" t="str">
        <f>"72"</f>
        <v>72</v>
      </c>
      <c r="I6993" s="1" t="str">
        <f>"162.16"</f>
        <v>162.16</v>
      </c>
      <c r="J6993" s="1" t="str">
        <f t="shared" ref="J6993:N6993" si="4614">"0"</f>
        <v>0</v>
      </c>
      <c r="K6993" s="1" t="str">
        <f t="shared" si="4600"/>
        <v>103</v>
      </c>
      <c r="L6993" s="1" t="str">
        <f t="shared" si="4601"/>
        <v>47</v>
      </c>
      <c r="M6993" s="1" t="str">
        <f t="shared" si="4614"/>
        <v>0</v>
      </c>
      <c r="N6993" s="1" t="str">
        <f t="shared" si="4614"/>
        <v>0</v>
      </c>
      <c r="O6993" s="1" t="str">
        <f>"2.16"</f>
        <v>2.16</v>
      </c>
    </row>
    <row r="6994" s="1" customFormat="1" spans="1:15">
      <c r="A6994" s="1" t="str">
        <f t="shared" si="4594"/>
        <v>202406</v>
      </c>
      <c r="B6994" s="1" t="str">
        <f t="shared" si="4595"/>
        <v>150525100</v>
      </c>
      <c r="C6994" s="1" t="str">
        <f>"1014569695"</f>
        <v>1014569695</v>
      </c>
      <c r="D6994" s="1" t="str">
        <f>"152326195509190415"</f>
        <v>152326195509190415</v>
      </c>
      <c r="E6994" s="1" t="s">
        <v>3764</v>
      </c>
      <c r="F6994" s="1" t="s">
        <v>25</v>
      </c>
      <c r="G6994" s="1" t="s">
        <v>17</v>
      </c>
      <c r="H6994" s="1" t="str">
        <f>"69"</f>
        <v>69</v>
      </c>
      <c r="I6994" s="1" t="str">
        <f>"155.1"</f>
        <v>155.1</v>
      </c>
      <c r="J6994" s="1" t="str">
        <f t="shared" ref="J6994:N6994" si="4615">"0"</f>
        <v>0</v>
      </c>
      <c r="K6994" s="1" t="str">
        <f t="shared" si="4600"/>
        <v>103</v>
      </c>
      <c r="L6994" s="1" t="str">
        <f t="shared" si="4601"/>
        <v>47</v>
      </c>
      <c r="M6994" s="1" t="str">
        <f t="shared" si="4615"/>
        <v>0</v>
      </c>
      <c r="N6994" s="1" t="str">
        <f t="shared" si="4615"/>
        <v>0</v>
      </c>
      <c r="O6994" s="1" t="str">
        <f>"5.1"</f>
        <v>5.1</v>
      </c>
    </row>
    <row r="6995" s="1" customFormat="1" spans="1:15">
      <c r="A6995" s="1" t="str">
        <f t="shared" si="4594"/>
        <v>202406</v>
      </c>
      <c r="B6995" s="1" t="str">
        <f t="shared" si="4595"/>
        <v>150525100</v>
      </c>
      <c r="C6995" s="1" t="str">
        <f>"1014569698"</f>
        <v>1014569698</v>
      </c>
      <c r="D6995" s="1" t="str">
        <f>"152326195603300422"</f>
        <v>152326195603300422</v>
      </c>
      <c r="E6995" s="1" t="s">
        <v>29</v>
      </c>
      <c r="F6995" s="1" t="s">
        <v>16</v>
      </c>
      <c r="G6995" s="1" t="s">
        <v>17</v>
      </c>
      <c r="H6995" s="1" t="str">
        <f>"68"</f>
        <v>68</v>
      </c>
      <c r="I6995" s="1" t="str">
        <f>"155.03"</f>
        <v>155.03</v>
      </c>
      <c r="J6995" s="1" t="str">
        <f t="shared" ref="J6995:N6995" si="4616">"0"</f>
        <v>0</v>
      </c>
      <c r="K6995" s="1" t="str">
        <f t="shared" si="4600"/>
        <v>103</v>
      </c>
      <c r="L6995" s="1" t="str">
        <f t="shared" si="4601"/>
        <v>47</v>
      </c>
      <c r="M6995" s="1" t="str">
        <f t="shared" si="4616"/>
        <v>0</v>
      </c>
      <c r="N6995" s="1" t="str">
        <f t="shared" si="4616"/>
        <v>0</v>
      </c>
      <c r="O6995" s="1" t="str">
        <f>"5.03"</f>
        <v>5.03</v>
      </c>
    </row>
    <row r="6996" s="1" customFormat="1" spans="1:15">
      <c r="A6996" s="1" t="str">
        <f t="shared" si="4594"/>
        <v>202406</v>
      </c>
      <c r="B6996" s="1" t="str">
        <f t="shared" si="4595"/>
        <v>150525100</v>
      </c>
      <c r="C6996" s="1" t="str">
        <f>"1014569701"</f>
        <v>1014569701</v>
      </c>
      <c r="D6996" s="1" t="str">
        <f>"152326196109260415"</f>
        <v>152326196109260415</v>
      </c>
      <c r="E6996" s="1" t="s">
        <v>6771</v>
      </c>
      <c r="F6996" s="1" t="s">
        <v>25</v>
      </c>
      <c r="G6996" s="1" t="s">
        <v>17</v>
      </c>
      <c r="H6996" s="1" t="str">
        <f>"63"</f>
        <v>63</v>
      </c>
      <c r="I6996" s="1" t="str">
        <f>"161.11"</f>
        <v>161.11</v>
      </c>
      <c r="J6996" s="1" t="str">
        <f t="shared" ref="J6996:N6996" si="4617">"0"</f>
        <v>0</v>
      </c>
      <c r="K6996" s="1" t="str">
        <f t="shared" si="4600"/>
        <v>103</v>
      </c>
      <c r="L6996" s="1" t="str">
        <f t="shared" si="4601"/>
        <v>47</v>
      </c>
      <c r="M6996" s="1" t="str">
        <f t="shared" si="4617"/>
        <v>0</v>
      </c>
      <c r="N6996" s="1" t="str">
        <f t="shared" si="4617"/>
        <v>0</v>
      </c>
      <c r="O6996" s="1" t="str">
        <f>"11.11"</f>
        <v>11.11</v>
      </c>
    </row>
    <row r="6997" s="1" customFormat="1" spans="1:15">
      <c r="A6997" s="1" t="str">
        <f t="shared" si="4594"/>
        <v>202406</v>
      </c>
      <c r="B6997" s="1" t="str">
        <f t="shared" si="4595"/>
        <v>150525100</v>
      </c>
      <c r="C6997" s="1" t="str">
        <f>"1014569703"</f>
        <v>1014569703</v>
      </c>
      <c r="D6997" s="1" t="str">
        <f>"152326196112120421"</f>
        <v>152326196112120421</v>
      </c>
      <c r="E6997" s="1" t="s">
        <v>6772</v>
      </c>
      <c r="F6997" s="1" t="s">
        <v>16</v>
      </c>
      <c r="G6997" s="1" t="s">
        <v>17</v>
      </c>
      <c r="H6997" s="1" t="str">
        <f>"63"</f>
        <v>63</v>
      </c>
      <c r="I6997" s="1" t="str">
        <f>"161.16"</f>
        <v>161.16</v>
      </c>
      <c r="J6997" s="1" t="str">
        <f t="shared" ref="J6997:N6997" si="4618">"0"</f>
        <v>0</v>
      </c>
      <c r="K6997" s="1" t="str">
        <f t="shared" si="4600"/>
        <v>103</v>
      </c>
      <c r="L6997" s="1" t="str">
        <f t="shared" si="4601"/>
        <v>47</v>
      </c>
      <c r="M6997" s="1" t="str">
        <f t="shared" si="4618"/>
        <v>0</v>
      </c>
      <c r="N6997" s="1" t="str">
        <f t="shared" si="4618"/>
        <v>0</v>
      </c>
      <c r="O6997" s="1" t="str">
        <f>"11.16"</f>
        <v>11.16</v>
      </c>
    </row>
    <row r="6998" s="1" customFormat="1" spans="1:15">
      <c r="A6998" s="1" t="str">
        <f t="shared" si="4594"/>
        <v>202406</v>
      </c>
      <c r="B6998" s="1" t="str">
        <f t="shared" si="4595"/>
        <v>150525100</v>
      </c>
      <c r="C6998" s="1" t="str">
        <f>"1014569708"</f>
        <v>1014569708</v>
      </c>
      <c r="D6998" s="1" t="str">
        <f>"152326196206210428"</f>
        <v>152326196206210428</v>
      </c>
      <c r="E6998" s="1" t="s">
        <v>6773</v>
      </c>
      <c r="F6998" s="1" t="s">
        <v>16</v>
      </c>
      <c r="G6998" s="1" t="s">
        <v>17</v>
      </c>
      <c r="H6998" s="1" t="str">
        <f>"62"</f>
        <v>62</v>
      </c>
      <c r="I6998" s="1" t="str">
        <f>"163.04"</f>
        <v>163.04</v>
      </c>
      <c r="J6998" s="1" t="str">
        <f t="shared" ref="J6998:N6998" si="4619">"0"</f>
        <v>0</v>
      </c>
      <c r="K6998" s="1" t="str">
        <f t="shared" si="4600"/>
        <v>103</v>
      </c>
      <c r="L6998" s="1" t="str">
        <f t="shared" si="4601"/>
        <v>47</v>
      </c>
      <c r="M6998" s="1" t="str">
        <f t="shared" si="4619"/>
        <v>0</v>
      </c>
      <c r="N6998" s="1" t="str">
        <f t="shared" si="4619"/>
        <v>0</v>
      </c>
      <c r="O6998" s="1" t="str">
        <f>"13.04"</f>
        <v>13.04</v>
      </c>
    </row>
    <row r="6999" s="1" customFormat="1" spans="1:15">
      <c r="A6999" s="1" t="str">
        <f t="shared" si="4594"/>
        <v>202406</v>
      </c>
      <c r="B6999" s="1" t="str">
        <f t="shared" si="4595"/>
        <v>150525100</v>
      </c>
      <c r="C6999" s="1" t="str">
        <f>"1014569724"</f>
        <v>1014569724</v>
      </c>
      <c r="D6999" s="1" t="str">
        <f>"152326196310240416"</f>
        <v>152326196310240416</v>
      </c>
      <c r="E6999" s="1" t="s">
        <v>6774</v>
      </c>
      <c r="F6999" s="1" t="s">
        <v>25</v>
      </c>
      <c r="G6999" s="1" t="s">
        <v>17</v>
      </c>
      <c r="H6999" s="1" t="str">
        <f>"61"</f>
        <v>61</v>
      </c>
      <c r="I6999" s="1" t="str">
        <f>"165.11"</f>
        <v>165.11</v>
      </c>
      <c r="J6999" s="1" t="str">
        <f t="shared" ref="J6999:N6999" si="4620">"0"</f>
        <v>0</v>
      </c>
      <c r="K6999" s="1" t="str">
        <f t="shared" si="4600"/>
        <v>103</v>
      </c>
      <c r="L6999" s="1" t="str">
        <f t="shared" si="4601"/>
        <v>47</v>
      </c>
      <c r="M6999" s="1" t="str">
        <f t="shared" si="4620"/>
        <v>0</v>
      </c>
      <c r="N6999" s="1" t="str">
        <f t="shared" si="4620"/>
        <v>0</v>
      </c>
      <c r="O6999" s="1" t="str">
        <f>"15.11"</f>
        <v>15.11</v>
      </c>
    </row>
    <row r="7000" s="1" customFormat="1" spans="1:15">
      <c r="A7000" s="1" t="str">
        <f t="shared" si="4594"/>
        <v>202406</v>
      </c>
      <c r="B7000" s="1" t="str">
        <f t="shared" si="4595"/>
        <v>150525100</v>
      </c>
      <c r="C7000" s="1" t="str">
        <f>"1014584420"</f>
        <v>1014584420</v>
      </c>
      <c r="D7000" s="1" t="str">
        <f>"152326195202030660"</f>
        <v>152326195202030660</v>
      </c>
      <c r="E7000" s="1" t="s">
        <v>5259</v>
      </c>
      <c r="F7000" s="1" t="s">
        <v>16</v>
      </c>
      <c r="G7000" s="1" t="s">
        <v>17</v>
      </c>
      <c r="H7000" s="1" t="str">
        <f>"72"</f>
        <v>72</v>
      </c>
      <c r="I7000" s="1" t="str">
        <f>"162.14"</f>
        <v>162.14</v>
      </c>
      <c r="J7000" s="1" t="str">
        <f t="shared" ref="J7000:N7000" si="4621">"0"</f>
        <v>0</v>
      </c>
      <c r="K7000" s="1" t="str">
        <f t="shared" si="4600"/>
        <v>103</v>
      </c>
      <c r="L7000" s="1" t="str">
        <f t="shared" si="4601"/>
        <v>47</v>
      </c>
      <c r="M7000" s="1" t="str">
        <f t="shared" si="4621"/>
        <v>0</v>
      </c>
      <c r="N7000" s="1" t="str">
        <f t="shared" si="4621"/>
        <v>0</v>
      </c>
      <c r="O7000" s="1" t="str">
        <f>"2.14"</f>
        <v>2.14</v>
      </c>
    </row>
    <row r="7001" s="1" customFormat="1" spans="1:15">
      <c r="A7001" s="1" t="str">
        <f t="shared" si="4594"/>
        <v>202406</v>
      </c>
      <c r="B7001" s="1" t="str">
        <f t="shared" si="4595"/>
        <v>150525100</v>
      </c>
      <c r="C7001" s="1" t="str">
        <f>"1014585043"</f>
        <v>1014585043</v>
      </c>
      <c r="D7001" s="1" t="str">
        <f>"152326195506220412"</f>
        <v>152326195506220412</v>
      </c>
      <c r="E7001" s="1" t="s">
        <v>6775</v>
      </c>
      <c r="F7001" s="1" t="s">
        <v>25</v>
      </c>
      <c r="G7001" s="1" t="s">
        <v>17</v>
      </c>
      <c r="H7001" s="1" t="str">
        <f>"69"</f>
        <v>69</v>
      </c>
      <c r="I7001" s="1" t="str">
        <f>"159.21"</f>
        <v>159.21</v>
      </c>
      <c r="J7001" s="1" t="str">
        <f t="shared" ref="J7001:N7001" si="4622">"0"</f>
        <v>0</v>
      </c>
      <c r="K7001" s="1" t="str">
        <f t="shared" si="4600"/>
        <v>103</v>
      </c>
      <c r="L7001" s="1" t="str">
        <f t="shared" si="4601"/>
        <v>47</v>
      </c>
      <c r="M7001" s="1" t="str">
        <f t="shared" si="4622"/>
        <v>0</v>
      </c>
      <c r="N7001" s="1" t="str">
        <f t="shared" si="4622"/>
        <v>0</v>
      </c>
      <c r="O7001" s="1" t="str">
        <f>"9.21"</f>
        <v>9.21</v>
      </c>
    </row>
    <row r="7002" s="1" customFormat="1" spans="1:15">
      <c r="A7002" s="1" t="str">
        <f t="shared" si="4594"/>
        <v>202406</v>
      </c>
      <c r="B7002" s="1" t="str">
        <f t="shared" si="4595"/>
        <v>150525100</v>
      </c>
      <c r="C7002" s="1" t="str">
        <f>"1014585050"</f>
        <v>1014585050</v>
      </c>
      <c r="D7002" s="1" t="str">
        <f>"152326195404230425"</f>
        <v>152326195404230425</v>
      </c>
      <c r="E7002" s="1" t="s">
        <v>6001</v>
      </c>
      <c r="F7002" s="1" t="s">
        <v>16</v>
      </c>
      <c r="G7002" s="1" t="s">
        <v>17</v>
      </c>
      <c r="H7002" s="1" t="str">
        <f>"70"</f>
        <v>70</v>
      </c>
      <c r="I7002" s="1" t="str">
        <f>"164.14"</f>
        <v>164.14</v>
      </c>
      <c r="J7002" s="1" t="str">
        <f t="shared" ref="J7002:N7002" si="4623">"0"</f>
        <v>0</v>
      </c>
      <c r="K7002" s="1" t="str">
        <f t="shared" si="4600"/>
        <v>103</v>
      </c>
      <c r="L7002" s="1" t="str">
        <f t="shared" si="4601"/>
        <v>47</v>
      </c>
      <c r="M7002" s="1" t="str">
        <f t="shared" si="4623"/>
        <v>0</v>
      </c>
      <c r="N7002" s="1" t="str">
        <f t="shared" si="4623"/>
        <v>0</v>
      </c>
      <c r="O7002" s="1" t="str">
        <f>"4.14"</f>
        <v>4.14</v>
      </c>
    </row>
    <row r="7003" s="1" customFormat="1" spans="1:15">
      <c r="A7003" s="1" t="str">
        <f t="shared" si="4594"/>
        <v>202406</v>
      </c>
      <c r="B7003" s="1" t="str">
        <f t="shared" si="4595"/>
        <v>150525100</v>
      </c>
      <c r="C7003" s="1" t="str">
        <f>"1014561117"</f>
        <v>1014561117</v>
      </c>
      <c r="D7003" s="1" t="str">
        <f>"152326195912260428"</f>
        <v>152326195912260428</v>
      </c>
      <c r="E7003" s="1" t="s">
        <v>6776</v>
      </c>
      <c r="F7003" s="1" t="s">
        <v>16</v>
      </c>
      <c r="G7003" s="1" t="s">
        <v>17</v>
      </c>
      <c r="H7003" s="1" t="str">
        <f>"65"</f>
        <v>65</v>
      </c>
      <c r="I7003" s="1" t="str">
        <f>"185.21"</f>
        <v>185.21</v>
      </c>
      <c r="J7003" s="1" t="str">
        <f t="shared" ref="J7003:N7003" si="4624">"0"</f>
        <v>0</v>
      </c>
      <c r="K7003" s="1" t="str">
        <f t="shared" si="4600"/>
        <v>103</v>
      </c>
      <c r="L7003" s="1" t="str">
        <f t="shared" si="4601"/>
        <v>47</v>
      </c>
      <c r="M7003" s="1" t="str">
        <f t="shared" si="4624"/>
        <v>0</v>
      </c>
      <c r="N7003" s="1" t="str">
        <f t="shared" si="4624"/>
        <v>0</v>
      </c>
      <c r="O7003" s="1" t="str">
        <f>"35.21"</f>
        <v>35.21</v>
      </c>
    </row>
    <row r="7004" s="1" customFormat="1" spans="1:15">
      <c r="A7004" s="1" t="str">
        <f t="shared" si="4594"/>
        <v>202406</v>
      </c>
      <c r="B7004" s="1" t="str">
        <f t="shared" si="4595"/>
        <v>150525100</v>
      </c>
      <c r="C7004" s="1" t="str">
        <f>"1014561171"</f>
        <v>1014561171</v>
      </c>
      <c r="D7004" s="1" t="str">
        <f>"152326195602130425"</f>
        <v>152326195602130425</v>
      </c>
      <c r="E7004" s="1" t="s">
        <v>6777</v>
      </c>
      <c r="F7004" s="1" t="s">
        <v>16</v>
      </c>
      <c r="G7004" s="1" t="s">
        <v>17</v>
      </c>
      <c r="H7004" s="1" t="str">
        <f>"68"</f>
        <v>68</v>
      </c>
      <c r="I7004" s="1" t="str">
        <f>"155.96"</f>
        <v>155.96</v>
      </c>
      <c r="J7004" s="1" t="str">
        <f t="shared" ref="J7004:N7004" si="4625">"0"</f>
        <v>0</v>
      </c>
      <c r="K7004" s="1" t="str">
        <f t="shared" si="4600"/>
        <v>103</v>
      </c>
      <c r="L7004" s="1" t="str">
        <f t="shared" si="4601"/>
        <v>47</v>
      </c>
      <c r="M7004" s="1" t="str">
        <f t="shared" si="4625"/>
        <v>0</v>
      </c>
      <c r="N7004" s="1" t="str">
        <f t="shared" si="4625"/>
        <v>0</v>
      </c>
      <c r="O7004" s="1" t="str">
        <f>"5.96"</f>
        <v>5.96</v>
      </c>
    </row>
    <row r="7005" s="1" customFormat="1" spans="1:15">
      <c r="A7005" s="1" t="str">
        <f t="shared" si="4594"/>
        <v>202406</v>
      </c>
      <c r="B7005" s="1" t="str">
        <f t="shared" si="4595"/>
        <v>150525100</v>
      </c>
      <c r="C7005" s="1" t="str">
        <f>"1014561180"</f>
        <v>1014561180</v>
      </c>
      <c r="D7005" s="1" t="str">
        <f>"152326195611100412"</f>
        <v>152326195611100412</v>
      </c>
      <c r="E7005" s="1" t="s">
        <v>1755</v>
      </c>
      <c r="F7005" s="1" t="s">
        <v>25</v>
      </c>
      <c r="G7005" s="1" t="s">
        <v>17</v>
      </c>
      <c r="H7005" s="1" t="str">
        <f>"68"</f>
        <v>68</v>
      </c>
      <c r="I7005" s="1" t="str">
        <f>"156.01"</f>
        <v>156.01</v>
      </c>
      <c r="J7005" s="1" t="str">
        <f t="shared" ref="J7005:N7005" si="4626">"0"</f>
        <v>0</v>
      </c>
      <c r="K7005" s="1" t="str">
        <f t="shared" si="4600"/>
        <v>103</v>
      </c>
      <c r="L7005" s="1" t="str">
        <f t="shared" si="4601"/>
        <v>47</v>
      </c>
      <c r="M7005" s="1" t="str">
        <f t="shared" si="4626"/>
        <v>0</v>
      </c>
      <c r="N7005" s="1" t="str">
        <f t="shared" si="4626"/>
        <v>0</v>
      </c>
      <c r="O7005" s="1" t="str">
        <f>"6.01"</f>
        <v>6.01</v>
      </c>
    </row>
    <row r="7006" s="1" customFormat="1" spans="1:15">
      <c r="A7006" s="1" t="str">
        <f t="shared" si="4594"/>
        <v>202406</v>
      </c>
      <c r="B7006" s="1" t="str">
        <f t="shared" si="4595"/>
        <v>150525100</v>
      </c>
      <c r="C7006" s="1" t="str">
        <f>"1014567848"</f>
        <v>1014567848</v>
      </c>
      <c r="D7006" s="1" t="str">
        <f>"152326195709013819"</f>
        <v>152326195709013819</v>
      </c>
      <c r="E7006" s="1" t="s">
        <v>6778</v>
      </c>
      <c r="F7006" s="1" t="s">
        <v>25</v>
      </c>
      <c r="G7006" s="1" t="s">
        <v>19</v>
      </c>
      <c r="H7006" s="1" t="str">
        <f>"67"</f>
        <v>67</v>
      </c>
      <c r="I7006" s="1" t="str">
        <f>"156.1"</f>
        <v>156.1</v>
      </c>
      <c r="J7006" s="1" t="str">
        <f t="shared" ref="J7006:N7006" si="4627">"0"</f>
        <v>0</v>
      </c>
      <c r="K7006" s="1" t="str">
        <f t="shared" si="4600"/>
        <v>103</v>
      </c>
      <c r="L7006" s="1" t="str">
        <f t="shared" si="4601"/>
        <v>47</v>
      </c>
      <c r="M7006" s="1" t="str">
        <f t="shared" si="4627"/>
        <v>0</v>
      </c>
      <c r="N7006" s="1" t="str">
        <f t="shared" si="4627"/>
        <v>0</v>
      </c>
      <c r="O7006" s="1" t="str">
        <f>"6.1"</f>
        <v>6.1</v>
      </c>
    </row>
    <row r="7007" s="1" customFormat="1" spans="1:15">
      <c r="A7007" s="1" t="str">
        <f t="shared" si="4594"/>
        <v>202406</v>
      </c>
      <c r="B7007" s="1" t="str">
        <f t="shared" si="4595"/>
        <v>150525100</v>
      </c>
      <c r="C7007" s="1" t="str">
        <f>"1014567856"</f>
        <v>1014567856</v>
      </c>
      <c r="D7007" s="1" t="str">
        <f>"152326195409223814"</f>
        <v>152326195409223814</v>
      </c>
      <c r="E7007" s="1" t="s">
        <v>6779</v>
      </c>
      <c r="F7007" s="1" t="s">
        <v>25</v>
      </c>
      <c r="G7007" s="1" t="s">
        <v>19</v>
      </c>
      <c r="H7007" s="1" t="str">
        <f>"70"</f>
        <v>70</v>
      </c>
      <c r="I7007" s="1" t="str">
        <f>"154.15"</f>
        <v>154.15</v>
      </c>
      <c r="J7007" s="1" t="str">
        <f t="shared" ref="J7007:N7007" si="4628">"0"</f>
        <v>0</v>
      </c>
      <c r="K7007" s="1" t="str">
        <f t="shared" si="4600"/>
        <v>103</v>
      </c>
      <c r="L7007" s="1" t="str">
        <f t="shared" si="4601"/>
        <v>47</v>
      </c>
      <c r="M7007" s="1" t="str">
        <f t="shared" si="4628"/>
        <v>0</v>
      </c>
      <c r="N7007" s="1" t="str">
        <f t="shared" si="4628"/>
        <v>0</v>
      </c>
      <c r="O7007" s="1" t="str">
        <f>"4.15"</f>
        <v>4.15</v>
      </c>
    </row>
    <row r="7008" s="1" customFormat="1" spans="1:15">
      <c r="A7008" s="1" t="str">
        <f t="shared" si="4594"/>
        <v>202406</v>
      </c>
      <c r="B7008" s="1" t="str">
        <f t="shared" si="4595"/>
        <v>150525100</v>
      </c>
      <c r="C7008" s="1" t="str">
        <f>"1014567860"</f>
        <v>1014567860</v>
      </c>
      <c r="D7008" s="1" t="str">
        <f>"152326195801243844"</f>
        <v>152326195801243844</v>
      </c>
      <c r="E7008" s="1" t="s">
        <v>6780</v>
      </c>
      <c r="F7008" s="1" t="s">
        <v>16</v>
      </c>
      <c r="G7008" s="1" t="s">
        <v>19</v>
      </c>
      <c r="H7008" s="1" t="str">
        <f>"66"</f>
        <v>66</v>
      </c>
      <c r="I7008" s="1" t="str">
        <f>"157.07"</f>
        <v>157.07</v>
      </c>
      <c r="J7008" s="1" t="str">
        <f t="shared" ref="J7008:N7008" si="4629">"0"</f>
        <v>0</v>
      </c>
      <c r="K7008" s="1" t="str">
        <f t="shared" si="4600"/>
        <v>103</v>
      </c>
      <c r="L7008" s="1" t="str">
        <f t="shared" si="4601"/>
        <v>47</v>
      </c>
      <c r="M7008" s="1" t="str">
        <f t="shared" si="4629"/>
        <v>0</v>
      </c>
      <c r="N7008" s="1" t="str">
        <f t="shared" si="4629"/>
        <v>0</v>
      </c>
      <c r="O7008" s="1" t="str">
        <f>"7.07"</f>
        <v>7.07</v>
      </c>
    </row>
    <row r="7009" s="1" customFormat="1" spans="1:15">
      <c r="A7009" s="1" t="str">
        <f t="shared" si="4594"/>
        <v>202406</v>
      </c>
      <c r="B7009" s="1" t="str">
        <f t="shared" si="4595"/>
        <v>150525100</v>
      </c>
      <c r="C7009" s="1" t="str">
        <f>"1014562930"</f>
        <v>1014562930</v>
      </c>
      <c r="D7009" s="1" t="str">
        <f>"152326195912160419"</f>
        <v>152326195912160419</v>
      </c>
      <c r="E7009" s="1" t="s">
        <v>6781</v>
      </c>
      <c r="F7009" s="1" t="s">
        <v>25</v>
      </c>
      <c r="G7009" s="1" t="s">
        <v>17</v>
      </c>
      <c r="H7009" s="1" t="str">
        <f>"65"</f>
        <v>65</v>
      </c>
      <c r="I7009" s="1" t="str">
        <f>"158.24"</f>
        <v>158.24</v>
      </c>
      <c r="J7009" s="1" t="str">
        <f t="shared" ref="J7009:N7009" si="4630">"0"</f>
        <v>0</v>
      </c>
      <c r="K7009" s="1" t="str">
        <f t="shared" si="4600"/>
        <v>103</v>
      </c>
      <c r="L7009" s="1" t="str">
        <f t="shared" si="4601"/>
        <v>47</v>
      </c>
      <c r="M7009" s="1" t="str">
        <f t="shared" si="4630"/>
        <v>0</v>
      </c>
      <c r="N7009" s="1" t="str">
        <f t="shared" si="4630"/>
        <v>0</v>
      </c>
      <c r="O7009" s="1" t="str">
        <f>"8.24"</f>
        <v>8.24</v>
      </c>
    </row>
    <row r="7010" s="1" customFormat="1" spans="1:15">
      <c r="A7010" s="1" t="str">
        <f t="shared" si="4594"/>
        <v>202406</v>
      </c>
      <c r="B7010" s="1" t="str">
        <f t="shared" si="4595"/>
        <v>150525100</v>
      </c>
      <c r="C7010" s="1" t="str">
        <f>"1014562935"</f>
        <v>1014562935</v>
      </c>
      <c r="D7010" s="1" t="str">
        <f>"152326196306210417"</f>
        <v>152326196306210417</v>
      </c>
      <c r="E7010" s="1" t="s">
        <v>6782</v>
      </c>
      <c r="F7010" s="1" t="s">
        <v>25</v>
      </c>
      <c r="G7010" s="1" t="s">
        <v>17</v>
      </c>
      <c r="H7010" s="1" t="str">
        <f>"61"</f>
        <v>61</v>
      </c>
      <c r="I7010" s="1" t="str">
        <f>"251.52"</f>
        <v>251.52</v>
      </c>
      <c r="J7010" s="1" t="str">
        <f t="shared" ref="J7010:N7010" si="4631">"0"</f>
        <v>0</v>
      </c>
      <c r="K7010" s="1" t="str">
        <f t="shared" si="4600"/>
        <v>103</v>
      </c>
      <c r="L7010" s="1" t="str">
        <f t="shared" si="4601"/>
        <v>47</v>
      </c>
      <c r="M7010" s="1" t="str">
        <f t="shared" si="4631"/>
        <v>0</v>
      </c>
      <c r="N7010" s="1" t="str">
        <f t="shared" si="4631"/>
        <v>0</v>
      </c>
      <c r="O7010" s="1" t="str">
        <f>"101.52"</f>
        <v>101.52</v>
      </c>
    </row>
    <row r="7011" s="1" customFormat="1" spans="1:15">
      <c r="A7011" s="1" t="str">
        <f t="shared" si="4594"/>
        <v>202406</v>
      </c>
      <c r="B7011" s="1" t="str">
        <f t="shared" si="4595"/>
        <v>150525100</v>
      </c>
      <c r="C7011" s="1" t="str">
        <f>"1014562941"</f>
        <v>1014562941</v>
      </c>
      <c r="D7011" s="1" t="str">
        <f>"152326196211300428"</f>
        <v>152326196211300428</v>
      </c>
      <c r="E7011" s="1" t="s">
        <v>6783</v>
      </c>
      <c r="F7011" s="1" t="s">
        <v>16</v>
      </c>
      <c r="G7011" s="1" t="s">
        <v>17</v>
      </c>
      <c r="H7011" s="1" t="str">
        <f>"62"</f>
        <v>62</v>
      </c>
      <c r="I7011" s="1" t="str">
        <f>"163.2"</f>
        <v>163.2</v>
      </c>
      <c r="J7011" s="1" t="str">
        <f t="shared" ref="J7011:N7011" si="4632">"0"</f>
        <v>0</v>
      </c>
      <c r="K7011" s="1" t="str">
        <f t="shared" si="4600"/>
        <v>103</v>
      </c>
      <c r="L7011" s="1" t="str">
        <f t="shared" si="4601"/>
        <v>47</v>
      </c>
      <c r="M7011" s="1" t="str">
        <f t="shared" si="4632"/>
        <v>0</v>
      </c>
      <c r="N7011" s="1" t="str">
        <f t="shared" si="4632"/>
        <v>0</v>
      </c>
      <c r="O7011" s="1" t="str">
        <f>"13.2"</f>
        <v>13.2</v>
      </c>
    </row>
    <row r="7012" s="1" customFormat="1" spans="1:15">
      <c r="A7012" s="1" t="str">
        <f t="shared" si="4594"/>
        <v>202406</v>
      </c>
      <c r="B7012" s="1" t="str">
        <f t="shared" si="4595"/>
        <v>150525100</v>
      </c>
      <c r="C7012" s="1" t="str">
        <f>"1014585064"</f>
        <v>1014585064</v>
      </c>
      <c r="D7012" s="1" t="str">
        <f>"152326195410060426"</f>
        <v>152326195410060426</v>
      </c>
      <c r="E7012" s="1" t="s">
        <v>6784</v>
      </c>
      <c r="F7012" s="1" t="s">
        <v>16</v>
      </c>
      <c r="G7012" s="1" t="s">
        <v>17</v>
      </c>
      <c r="H7012" s="1" t="str">
        <f>"70"</f>
        <v>70</v>
      </c>
      <c r="I7012" s="1" t="str">
        <f>"154.14"</f>
        <v>154.14</v>
      </c>
      <c r="J7012" s="1" t="str">
        <f t="shared" ref="J7012:N7012" si="4633">"0"</f>
        <v>0</v>
      </c>
      <c r="K7012" s="1" t="str">
        <f t="shared" si="4600"/>
        <v>103</v>
      </c>
      <c r="L7012" s="1" t="str">
        <f t="shared" si="4601"/>
        <v>47</v>
      </c>
      <c r="M7012" s="1" t="str">
        <f t="shared" si="4633"/>
        <v>0</v>
      </c>
      <c r="N7012" s="1" t="str">
        <f t="shared" si="4633"/>
        <v>0</v>
      </c>
      <c r="O7012" s="1" t="str">
        <f>"4.14"</f>
        <v>4.14</v>
      </c>
    </row>
    <row r="7013" s="1" customFormat="1" spans="1:15">
      <c r="A7013" s="1" t="str">
        <f t="shared" si="4594"/>
        <v>202406</v>
      </c>
      <c r="B7013" s="1" t="str">
        <f t="shared" si="4595"/>
        <v>150525100</v>
      </c>
      <c r="C7013" s="1" t="str">
        <f>"1014561204"</f>
        <v>1014561204</v>
      </c>
      <c r="D7013" s="1" t="str">
        <f>"152326195710020418"</f>
        <v>152326195710020418</v>
      </c>
      <c r="E7013" s="1" t="s">
        <v>6785</v>
      </c>
      <c r="F7013" s="1" t="s">
        <v>25</v>
      </c>
      <c r="G7013" s="1" t="s">
        <v>19</v>
      </c>
      <c r="H7013" s="1" t="str">
        <f>"67"</f>
        <v>67</v>
      </c>
      <c r="I7013" s="1" t="str">
        <f>"155.83"</f>
        <v>155.83</v>
      </c>
      <c r="J7013" s="1" t="str">
        <f t="shared" ref="J7013:N7013" si="4634">"0"</f>
        <v>0</v>
      </c>
      <c r="K7013" s="1" t="str">
        <f t="shared" si="4600"/>
        <v>103</v>
      </c>
      <c r="L7013" s="1" t="str">
        <f t="shared" si="4601"/>
        <v>47</v>
      </c>
      <c r="M7013" s="1" t="str">
        <f t="shared" si="4634"/>
        <v>0</v>
      </c>
      <c r="N7013" s="1" t="str">
        <f t="shared" si="4634"/>
        <v>0</v>
      </c>
      <c r="O7013" s="1" t="str">
        <f>"5.83"</f>
        <v>5.83</v>
      </c>
    </row>
    <row r="7014" s="1" customFormat="1" spans="1:15">
      <c r="A7014" s="1" t="str">
        <f t="shared" si="4594"/>
        <v>202406</v>
      </c>
      <c r="B7014" s="1" t="str">
        <f t="shared" si="4595"/>
        <v>150525100</v>
      </c>
      <c r="C7014" s="1" t="str">
        <f>"1014561225"</f>
        <v>1014561225</v>
      </c>
      <c r="D7014" s="1" t="str">
        <f>"152326195906120410"</f>
        <v>152326195906120410</v>
      </c>
      <c r="E7014" s="1" t="s">
        <v>6363</v>
      </c>
      <c r="F7014" s="1" t="s">
        <v>25</v>
      </c>
      <c r="G7014" s="1" t="s">
        <v>17</v>
      </c>
      <c r="H7014" s="1" t="str">
        <f>"65"</f>
        <v>65</v>
      </c>
      <c r="I7014" s="1" t="str">
        <f>"158.15"</f>
        <v>158.15</v>
      </c>
      <c r="J7014" s="1" t="str">
        <f t="shared" ref="J7014:N7014" si="4635">"0"</f>
        <v>0</v>
      </c>
      <c r="K7014" s="1" t="str">
        <f t="shared" si="4600"/>
        <v>103</v>
      </c>
      <c r="L7014" s="1" t="str">
        <f t="shared" si="4601"/>
        <v>47</v>
      </c>
      <c r="M7014" s="1" t="str">
        <f t="shared" si="4635"/>
        <v>0</v>
      </c>
      <c r="N7014" s="1" t="str">
        <f t="shared" si="4635"/>
        <v>0</v>
      </c>
      <c r="O7014" s="1" t="str">
        <f>"8.15"</f>
        <v>8.15</v>
      </c>
    </row>
    <row r="7015" s="1" customFormat="1" spans="1:15">
      <c r="A7015" s="1" t="str">
        <f t="shared" si="4594"/>
        <v>202406</v>
      </c>
      <c r="B7015" s="1" t="str">
        <f t="shared" si="4595"/>
        <v>150525100</v>
      </c>
      <c r="C7015" s="1" t="str">
        <f>"1040833178"</f>
        <v>1040833178</v>
      </c>
      <c r="D7015" s="1" t="str">
        <f>"152326195412203312"</f>
        <v>152326195412203312</v>
      </c>
      <c r="E7015" s="1" t="s">
        <v>6786</v>
      </c>
      <c r="F7015" s="1" t="s">
        <v>25</v>
      </c>
      <c r="G7015" s="1" t="s">
        <v>17</v>
      </c>
      <c r="H7015" s="1" t="str">
        <f>"70"</f>
        <v>70</v>
      </c>
      <c r="I7015" s="1" t="str">
        <f>"153.48"</f>
        <v>153.48</v>
      </c>
      <c r="J7015" s="1" t="str">
        <f t="shared" ref="J7015:N7015" si="4636">"0"</f>
        <v>0</v>
      </c>
      <c r="K7015" s="1" t="str">
        <f t="shared" si="4600"/>
        <v>103</v>
      </c>
      <c r="L7015" s="1" t="str">
        <f t="shared" si="4601"/>
        <v>47</v>
      </c>
      <c r="M7015" s="1" t="str">
        <f t="shared" si="4636"/>
        <v>0</v>
      </c>
      <c r="N7015" s="1" t="str">
        <f t="shared" si="4636"/>
        <v>0</v>
      </c>
      <c r="O7015" s="1" t="str">
        <f>"3.48"</f>
        <v>3.48</v>
      </c>
    </row>
    <row r="7016" s="1" customFormat="1" spans="1:15">
      <c r="A7016" s="1" t="str">
        <f t="shared" si="4594"/>
        <v>202406</v>
      </c>
      <c r="B7016" s="1" t="str">
        <f t="shared" si="4595"/>
        <v>150525100</v>
      </c>
      <c r="C7016" s="1" t="str">
        <f>"1014569759"</f>
        <v>1014569759</v>
      </c>
      <c r="D7016" s="1" t="str">
        <f>"152326195712220421"</f>
        <v>152326195712220421</v>
      </c>
      <c r="E7016" s="1" t="s">
        <v>6787</v>
      </c>
      <c r="F7016" s="1" t="s">
        <v>16</v>
      </c>
      <c r="G7016" s="1" t="s">
        <v>17</v>
      </c>
      <c r="H7016" s="1" t="str">
        <f>"67"</f>
        <v>67</v>
      </c>
      <c r="I7016" s="1" t="str">
        <f>"156.11"</f>
        <v>156.11</v>
      </c>
      <c r="J7016" s="1" t="str">
        <f t="shared" ref="J7016:N7016" si="4637">"0"</f>
        <v>0</v>
      </c>
      <c r="K7016" s="1" t="str">
        <f t="shared" si="4600"/>
        <v>103</v>
      </c>
      <c r="L7016" s="1" t="str">
        <f t="shared" si="4601"/>
        <v>47</v>
      </c>
      <c r="M7016" s="1" t="str">
        <f t="shared" si="4637"/>
        <v>0</v>
      </c>
      <c r="N7016" s="1" t="str">
        <f t="shared" si="4637"/>
        <v>0</v>
      </c>
      <c r="O7016" s="1" t="str">
        <f>"6.11"</f>
        <v>6.11</v>
      </c>
    </row>
    <row r="7017" s="1" customFormat="1" spans="1:15">
      <c r="A7017" s="1" t="str">
        <f t="shared" si="4594"/>
        <v>202406</v>
      </c>
      <c r="B7017" s="1" t="str">
        <f t="shared" si="4595"/>
        <v>150525100</v>
      </c>
      <c r="C7017" s="1" t="str">
        <f>"1014569778"</f>
        <v>1014569778</v>
      </c>
      <c r="D7017" s="1" t="str">
        <f>"152326196001240412"</f>
        <v>152326196001240412</v>
      </c>
      <c r="E7017" s="1" t="s">
        <v>2173</v>
      </c>
      <c r="F7017" s="1" t="s">
        <v>25</v>
      </c>
      <c r="G7017" s="1" t="s">
        <v>17</v>
      </c>
      <c r="H7017" s="1" t="str">
        <f>"64"</f>
        <v>64</v>
      </c>
      <c r="I7017" s="1" t="str">
        <f>"159.16"</f>
        <v>159.16</v>
      </c>
      <c r="J7017" s="1" t="str">
        <f t="shared" ref="J7017:N7017" si="4638">"0"</f>
        <v>0</v>
      </c>
      <c r="K7017" s="1" t="str">
        <f t="shared" si="4600"/>
        <v>103</v>
      </c>
      <c r="L7017" s="1" t="str">
        <f t="shared" si="4601"/>
        <v>47</v>
      </c>
      <c r="M7017" s="1" t="str">
        <f t="shared" si="4638"/>
        <v>0</v>
      </c>
      <c r="N7017" s="1" t="str">
        <f t="shared" si="4638"/>
        <v>0</v>
      </c>
      <c r="O7017" s="1" t="str">
        <f>"9.16"</f>
        <v>9.16</v>
      </c>
    </row>
    <row r="7018" s="1" customFormat="1" spans="1:15">
      <c r="A7018" s="1" t="str">
        <f t="shared" si="4594"/>
        <v>202406</v>
      </c>
      <c r="B7018" s="1" t="str">
        <f t="shared" si="4595"/>
        <v>150525100</v>
      </c>
      <c r="C7018" s="1" t="str">
        <f>"1014569780"</f>
        <v>1014569780</v>
      </c>
      <c r="D7018" s="1" t="str">
        <f>"152326196004040440"</f>
        <v>152326196004040440</v>
      </c>
      <c r="E7018" s="1" t="s">
        <v>6788</v>
      </c>
      <c r="F7018" s="1" t="s">
        <v>16</v>
      </c>
      <c r="G7018" s="1" t="s">
        <v>17</v>
      </c>
      <c r="H7018" s="1" t="str">
        <f>"64"</f>
        <v>64</v>
      </c>
      <c r="I7018" s="1" t="str">
        <f>"159.2"</f>
        <v>159.2</v>
      </c>
      <c r="J7018" s="1" t="str">
        <f t="shared" ref="J7018:N7018" si="4639">"0"</f>
        <v>0</v>
      </c>
      <c r="K7018" s="1" t="str">
        <f t="shared" si="4600"/>
        <v>103</v>
      </c>
      <c r="L7018" s="1" t="str">
        <f t="shared" si="4601"/>
        <v>47</v>
      </c>
      <c r="M7018" s="1" t="str">
        <f t="shared" si="4639"/>
        <v>0</v>
      </c>
      <c r="N7018" s="1" t="str">
        <f t="shared" si="4639"/>
        <v>0</v>
      </c>
      <c r="O7018" s="1" t="str">
        <f>"9.2"</f>
        <v>9.2</v>
      </c>
    </row>
    <row r="7019" s="1" customFormat="1" spans="1:15">
      <c r="A7019" s="1" t="str">
        <f t="shared" si="4594"/>
        <v>202406</v>
      </c>
      <c r="B7019" s="1" t="str">
        <f t="shared" si="4595"/>
        <v>150525100</v>
      </c>
      <c r="C7019" s="1" t="str">
        <f>"1014569786"</f>
        <v>1014569786</v>
      </c>
      <c r="D7019" s="1" t="str">
        <f>"152326196102020419"</f>
        <v>152326196102020419</v>
      </c>
      <c r="E7019" s="1" t="s">
        <v>6789</v>
      </c>
      <c r="F7019" s="1" t="s">
        <v>25</v>
      </c>
      <c r="G7019" s="1" t="s">
        <v>17</v>
      </c>
      <c r="H7019" s="1" t="str">
        <f>"63"</f>
        <v>63</v>
      </c>
      <c r="I7019" s="1" t="str">
        <f>"161.01"</f>
        <v>161.01</v>
      </c>
      <c r="J7019" s="1" t="str">
        <f t="shared" ref="J7019:N7019" si="4640">"0"</f>
        <v>0</v>
      </c>
      <c r="K7019" s="1" t="str">
        <f t="shared" si="4600"/>
        <v>103</v>
      </c>
      <c r="L7019" s="1" t="str">
        <f t="shared" si="4601"/>
        <v>47</v>
      </c>
      <c r="M7019" s="1" t="str">
        <f t="shared" si="4640"/>
        <v>0</v>
      </c>
      <c r="N7019" s="1" t="str">
        <f t="shared" si="4640"/>
        <v>0</v>
      </c>
      <c r="O7019" s="1" t="str">
        <f>"11.01"</f>
        <v>11.01</v>
      </c>
    </row>
    <row r="7020" s="1" customFormat="1" spans="1:15">
      <c r="A7020" s="1" t="str">
        <f t="shared" si="4594"/>
        <v>202406</v>
      </c>
      <c r="B7020" s="1" t="str">
        <f t="shared" si="4595"/>
        <v>150525100</v>
      </c>
      <c r="C7020" s="1" t="str">
        <f>"1014550061"</f>
        <v>1014550061</v>
      </c>
      <c r="D7020" s="1" t="str">
        <f>"152326195604163087"</f>
        <v>152326195604163087</v>
      </c>
      <c r="E7020" s="1" t="s">
        <v>6790</v>
      </c>
      <c r="F7020" s="1" t="s">
        <v>16</v>
      </c>
      <c r="G7020" s="1" t="s">
        <v>6491</v>
      </c>
      <c r="H7020" s="1" t="str">
        <f t="shared" ref="H7020:H7022" si="4641">"68"</f>
        <v>68</v>
      </c>
      <c r="I7020" s="1" t="str">
        <f>"155.91"</f>
        <v>155.91</v>
      </c>
      <c r="J7020" s="1" t="str">
        <f t="shared" ref="J7020:N7020" si="4642">"0"</f>
        <v>0</v>
      </c>
      <c r="K7020" s="1" t="str">
        <f t="shared" si="4600"/>
        <v>103</v>
      </c>
      <c r="L7020" s="1" t="str">
        <f t="shared" si="4601"/>
        <v>47</v>
      </c>
      <c r="M7020" s="1" t="str">
        <f t="shared" si="4642"/>
        <v>0</v>
      </c>
      <c r="N7020" s="1" t="str">
        <f t="shared" si="4642"/>
        <v>0</v>
      </c>
      <c r="O7020" s="1" t="str">
        <f>"5.91"</f>
        <v>5.91</v>
      </c>
    </row>
    <row r="7021" s="1" customFormat="1" spans="1:15">
      <c r="A7021" s="1" t="str">
        <f t="shared" si="4594"/>
        <v>202406</v>
      </c>
      <c r="B7021" s="1" t="str">
        <f t="shared" si="4595"/>
        <v>150525100</v>
      </c>
      <c r="C7021" s="1" t="str">
        <f>"1014550063"</f>
        <v>1014550063</v>
      </c>
      <c r="D7021" s="1" t="str">
        <f>"152326195604230673"</f>
        <v>152326195604230673</v>
      </c>
      <c r="E7021" s="1" t="s">
        <v>6791</v>
      </c>
      <c r="F7021" s="1" t="s">
        <v>25</v>
      </c>
      <c r="G7021" s="1" t="s">
        <v>17</v>
      </c>
      <c r="H7021" s="1" t="str">
        <f t="shared" si="4641"/>
        <v>68</v>
      </c>
      <c r="I7021" s="1" t="str">
        <f t="shared" ref="I7021:I7026" si="4643">"156.02"</f>
        <v>156.02</v>
      </c>
      <c r="J7021" s="1" t="str">
        <f t="shared" ref="J7021:N7021" si="4644">"0"</f>
        <v>0</v>
      </c>
      <c r="K7021" s="1" t="str">
        <f t="shared" si="4600"/>
        <v>103</v>
      </c>
      <c r="L7021" s="1" t="str">
        <f t="shared" si="4601"/>
        <v>47</v>
      </c>
      <c r="M7021" s="1" t="str">
        <f t="shared" si="4644"/>
        <v>0</v>
      </c>
      <c r="N7021" s="1" t="str">
        <f t="shared" si="4644"/>
        <v>0</v>
      </c>
      <c r="O7021" s="1" t="str">
        <f t="shared" ref="O7021:O7026" si="4645">"6.02"</f>
        <v>6.02</v>
      </c>
    </row>
    <row r="7022" s="1" customFormat="1" spans="1:15">
      <c r="A7022" s="1" t="str">
        <f t="shared" si="4594"/>
        <v>202406</v>
      </c>
      <c r="B7022" s="1" t="str">
        <f t="shared" si="4595"/>
        <v>150525100</v>
      </c>
      <c r="C7022" s="1" t="str">
        <f>"1014550072"</f>
        <v>1014550072</v>
      </c>
      <c r="D7022" s="1" t="str">
        <f>"152326195608130661"</f>
        <v>152326195608130661</v>
      </c>
      <c r="E7022" s="1" t="s">
        <v>6792</v>
      </c>
      <c r="F7022" s="1" t="s">
        <v>16</v>
      </c>
      <c r="G7022" s="1" t="s">
        <v>19</v>
      </c>
      <c r="H7022" s="1" t="str">
        <f t="shared" si="4641"/>
        <v>68</v>
      </c>
      <c r="I7022" s="1" t="str">
        <f t="shared" si="4643"/>
        <v>156.02</v>
      </c>
      <c r="J7022" s="1" t="str">
        <f t="shared" ref="J7022:N7022" si="4646">"0"</f>
        <v>0</v>
      </c>
      <c r="K7022" s="1" t="str">
        <f t="shared" si="4600"/>
        <v>103</v>
      </c>
      <c r="L7022" s="1" t="str">
        <f t="shared" si="4601"/>
        <v>47</v>
      </c>
      <c r="M7022" s="1" t="str">
        <f t="shared" si="4646"/>
        <v>0</v>
      </c>
      <c r="N7022" s="1" t="str">
        <f t="shared" si="4646"/>
        <v>0</v>
      </c>
      <c r="O7022" s="1" t="str">
        <f t="shared" si="4645"/>
        <v>6.02</v>
      </c>
    </row>
    <row r="7023" s="1" customFormat="1" spans="1:15">
      <c r="A7023" s="1" t="str">
        <f t="shared" si="4594"/>
        <v>202406</v>
      </c>
      <c r="B7023" s="1" t="str">
        <f t="shared" si="4595"/>
        <v>150525100</v>
      </c>
      <c r="C7023" s="1" t="str">
        <f>"1014585112"</f>
        <v>1014585112</v>
      </c>
      <c r="D7023" s="1" t="str">
        <f>"152326196307080466"</f>
        <v>152326196307080466</v>
      </c>
      <c r="E7023" s="1" t="s">
        <v>6793</v>
      </c>
      <c r="F7023" s="1" t="s">
        <v>16</v>
      </c>
      <c r="G7023" s="1" t="s">
        <v>17</v>
      </c>
      <c r="H7023" s="1" t="str">
        <f>"61"</f>
        <v>61</v>
      </c>
      <c r="I7023" s="1" t="str">
        <f>"167.78"</f>
        <v>167.78</v>
      </c>
      <c r="J7023" s="1" t="str">
        <f t="shared" ref="J7023:N7023" si="4647">"0"</f>
        <v>0</v>
      </c>
      <c r="K7023" s="1" t="str">
        <f t="shared" si="4600"/>
        <v>103</v>
      </c>
      <c r="L7023" s="1" t="str">
        <f t="shared" si="4601"/>
        <v>47</v>
      </c>
      <c r="M7023" s="1" t="str">
        <f t="shared" si="4647"/>
        <v>0</v>
      </c>
      <c r="N7023" s="1" t="str">
        <f t="shared" si="4647"/>
        <v>0</v>
      </c>
      <c r="O7023" s="1" t="str">
        <f>"17.78"</f>
        <v>17.78</v>
      </c>
    </row>
    <row r="7024" s="1" customFormat="1" spans="1:15">
      <c r="A7024" s="1" t="str">
        <f t="shared" si="4594"/>
        <v>202406</v>
      </c>
      <c r="B7024" s="1" t="str">
        <f t="shared" si="4595"/>
        <v>150525100</v>
      </c>
      <c r="C7024" s="1" t="str">
        <f>"1014561253"</f>
        <v>1014561253</v>
      </c>
      <c r="D7024" s="1" t="str">
        <f>"152326196111210425"</f>
        <v>152326196111210425</v>
      </c>
      <c r="E7024" s="1" t="s">
        <v>6794</v>
      </c>
      <c r="F7024" s="1" t="s">
        <v>16</v>
      </c>
      <c r="G7024" s="1" t="s">
        <v>17</v>
      </c>
      <c r="H7024" s="1" t="str">
        <f>"63"</f>
        <v>63</v>
      </c>
      <c r="I7024" s="1" t="str">
        <f>"161.72"</f>
        <v>161.72</v>
      </c>
      <c r="J7024" s="1" t="str">
        <f t="shared" ref="J7024:N7024" si="4648">"0"</f>
        <v>0</v>
      </c>
      <c r="K7024" s="1" t="str">
        <f t="shared" si="4600"/>
        <v>103</v>
      </c>
      <c r="L7024" s="1" t="str">
        <f t="shared" si="4601"/>
        <v>47</v>
      </c>
      <c r="M7024" s="1" t="str">
        <f t="shared" si="4648"/>
        <v>0</v>
      </c>
      <c r="N7024" s="1" t="str">
        <f t="shared" si="4648"/>
        <v>0</v>
      </c>
      <c r="O7024" s="1" t="str">
        <f>"11.72"</f>
        <v>11.72</v>
      </c>
    </row>
    <row r="7025" s="1" customFormat="1" spans="1:15">
      <c r="A7025" s="1" t="str">
        <f t="shared" si="4594"/>
        <v>202406</v>
      </c>
      <c r="B7025" s="1" t="str">
        <f t="shared" si="4595"/>
        <v>150525100</v>
      </c>
      <c r="C7025" s="1" t="str">
        <f>"1014561256"</f>
        <v>1014561256</v>
      </c>
      <c r="D7025" s="1" t="str">
        <f>"152326196312250415"</f>
        <v>152326196312250415</v>
      </c>
      <c r="E7025" s="1" t="s">
        <v>6795</v>
      </c>
      <c r="F7025" s="1" t="s">
        <v>25</v>
      </c>
      <c r="G7025" s="1" t="s">
        <v>17</v>
      </c>
      <c r="H7025" s="1" t="str">
        <f>"61"</f>
        <v>61</v>
      </c>
      <c r="I7025" s="1" t="str">
        <f>"165.12"</f>
        <v>165.12</v>
      </c>
      <c r="J7025" s="1" t="str">
        <f t="shared" ref="J7025:N7025" si="4649">"0"</f>
        <v>0</v>
      </c>
      <c r="K7025" s="1" t="str">
        <f t="shared" si="4600"/>
        <v>103</v>
      </c>
      <c r="L7025" s="1" t="str">
        <f t="shared" si="4601"/>
        <v>47</v>
      </c>
      <c r="M7025" s="1" t="str">
        <f t="shared" si="4649"/>
        <v>0</v>
      </c>
      <c r="N7025" s="1" t="str">
        <f t="shared" si="4649"/>
        <v>0</v>
      </c>
      <c r="O7025" s="1" t="str">
        <f>"15.12"</f>
        <v>15.12</v>
      </c>
    </row>
    <row r="7026" s="1" customFormat="1" spans="1:15">
      <c r="A7026" s="1" t="str">
        <f t="shared" si="4594"/>
        <v>202406</v>
      </c>
      <c r="B7026" s="1" t="str">
        <f t="shared" si="4595"/>
        <v>150525100</v>
      </c>
      <c r="C7026" s="1" t="str">
        <f>"1014562998"</f>
        <v>1014562998</v>
      </c>
      <c r="D7026" s="1" t="str">
        <f>"152326195603140414"</f>
        <v>152326195603140414</v>
      </c>
      <c r="E7026" s="1" t="s">
        <v>6796</v>
      </c>
      <c r="F7026" s="1" t="s">
        <v>25</v>
      </c>
      <c r="G7026" s="1" t="s">
        <v>17</v>
      </c>
      <c r="H7026" s="1" t="str">
        <f t="shared" ref="H7026:H7030" si="4650">"68"</f>
        <v>68</v>
      </c>
      <c r="I7026" s="1" t="str">
        <f t="shared" si="4643"/>
        <v>156.02</v>
      </c>
      <c r="J7026" s="1" t="str">
        <f t="shared" ref="J7026:N7026" si="4651">"0"</f>
        <v>0</v>
      </c>
      <c r="K7026" s="1" t="str">
        <f t="shared" si="4600"/>
        <v>103</v>
      </c>
      <c r="L7026" s="1" t="str">
        <f t="shared" si="4601"/>
        <v>47</v>
      </c>
      <c r="M7026" s="1" t="str">
        <f t="shared" si="4651"/>
        <v>0</v>
      </c>
      <c r="N7026" s="1" t="str">
        <f t="shared" si="4651"/>
        <v>0</v>
      </c>
      <c r="O7026" s="1" t="str">
        <f t="shared" si="4645"/>
        <v>6.02</v>
      </c>
    </row>
    <row r="7027" s="1" customFormat="1" spans="1:15">
      <c r="A7027" s="1" t="str">
        <f t="shared" si="4594"/>
        <v>202406</v>
      </c>
      <c r="B7027" s="1" t="str">
        <f t="shared" si="4595"/>
        <v>150525100</v>
      </c>
      <c r="C7027" s="1" t="str">
        <f>"1014569788"</f>
        <v>1014569788</v>
      </c>
      <c r="D7027" s="1" t="str">
        <f>"152326196106050420"</f>
        <v>152326196106050420</v>
      </c>
      <c r="E7027" s="1" t="s">
        <v>6797</v>
      </c>
      <c r="F7027" s="1" t="s">
        <v>16</v>
      </c>
      <c r="G7027" s="1" t="s">
        <v>17</v>
      </c>
      <c r="H7027" s="1" t="str">
        <f>"63"</f>
        <v>63</v>
      </c>
      <c r="I7027" s="1" t="str">
        <f>"161.07"</f>
        <v>161.07</v>
      </c>
      <c r="J7027" s="1" t="str">
        <f t="shared" ref="J7027:N7027" si="4652">"0"</f>
        <v>0</v>
      </c>
      <c r="K7027" s="1" t="str">
        <f t="shared" si="4600"/>
        <v>103</v>
      </c>
      <c r="L7027" s="1" t="str">
        <f t="shared" si="4601"/>
        <v>47</v>
      </c>
      <c r="M7027" s="1" t="str">
        <f t="shared" si="4652"/>
        <v>0</v>
      </c>
      <c r="N7027" s="1" t="str">
        <f t="shared" si="4652"/>
        <v>0</v>
      </c>
      <c r="O7027" s="1" t="str">
        <f>"11.07"</f>
        <v>11.07</v>
      </c>
    </row>
    <row r="7028" s="1" customFormat="1" spans="1:15">
      <c r="A7028" s="1" t="str">
        <f t="shared" si="4594"/>
        <v>202406</v>
      </c>
      <c r="B7028" s="1" t="str">
        <f t="shared" si="4595"/>
        <v>150525100</v>
      </c>
      <c r="C7028" s="1" t="str">
        <f>"1014549573"</f>
        <v>1014549573</v>
      </c>
      <c r="D7028" s="1" t="s">
        <v>6798</v>
      </c>
      <c r="E7028" s="1" t="s">
        <v>6799</v>
      </c>
      <c r="F7028" s="1" t="s">
        <v>25</v>
      </c>
      <c r="G7028" s="1" t="s">
        <v>17</v>
      </c>
      <c r="H7028" s="1" t="str">
        <f t="shared" si="4650"/>
        <v>68</v>
      </c>
      <c r="I7028" s="1" t="str">
        <f t="shared" ref="I7028:I7030" si="4653">"156.02"</f>
        <v>156.02</v>
      </c>
      <c r="J7028" s="1" t="str">
        <f t="shared" ref="J7028:N7028" si="4654">"0"</f>
        <v>0</v>
      </c>
      <c r="K7028" s="1" t="str">
        <f t="shared" si="4600"/>
        <v>103</v>
      </c>
      <c r="L7028" s="1" t="str">
        <f t="shared" si="4601"/>
        <v>47</v>
      </c>
      <c r="M7028" s="1" t="str">
        <f t="shared" si="4654"/>
        <v>0</v>
      </c>
      <c r="N7028" s="1" t="str">
        <f t="shared" si="4654"/>
        <v>0</v>
      </c>
      <c r="O7028" s="1" t="str">
        <f t="shared" ref="O7028:O7030" si="4655">"6.02"</f>
        <v>6.02</v>
      </c>
    </row>
    <row r="7029" s="1" customFormat="1" spans="1:15">
      <c r="A7029" s="1" t="str">
        <f t="shared" si="4594"/>
        <v>202406</v>
      </c>
      <c r="B7029" s="1" t="str">
        <f t="shared" si="4595"/>
        <v>150525100</v>
      </c>
      <c r="C7029" s="1" t="str">
        <f>"1014549580"</f>
        <v>1014549580</v>
      </c>
      <c r="D7029" s="1" t="str">
        <f>"152326195612253816"</f>
        <v>152326195612253816</v>
      </c>
      <c r="E7029" s="1" t="s">
        <v>6800</v>
      </c>
      <c r="F7029" s="1" t="s">
        <v>25</v>
      </c>
      <c r="G7029" s="1" t="s">
        <v>19</v>
      </c>
      <c r="H7029" s="1" t="str">
        <f t="shared" si="4650"/>
        <v>68</v>
      </c>
      <c r="I7029" s="1" t="str">
        <f t="shared" si="4653"/>
        <v>156.02</v>
      </c>
      <c r="J7029" s="1" t="str">
        <f t="shared" ref="J7029:N7029" si="4656">"0"</f>
        <v>0</v>
      </c>
      <c r="K7029" s="1" t="str">
        <f t="shared" si="4600"/>
        <v>103</v>
      </c>
      <c r="L7029" s="1" t="str">
        <f t="shared" si="4601"/>
        <v>47</v>
      </c>
      <c r="M7029" s="1" t="str">
        <f t="shared" si="4656"/>
        <v>0</v>
      </c>
      <c r="N7029" s="1" t="str">
        <f t="shared" si="4656"/>
        <v>0</v>
      </c>
      <c r="O7029" s="1" t="str">
        <f t="shared" si="4655"/>
        <v>6.02</v>
      </c>
    </row>
    <row r="7030" s="1" customFormat="1" spans="1:15">
      <c r="A7030" s="1" t="str">
        <f t="shared" si="4594"/>
        <v>202406</v>
      </c>
      <c r="B7030" s="1" t="str">
        <f t="shared" si="4595"/>
        <v>150525100</v>
      </c>
      <c r="C7030" s="1" t="str">
        <f>"1014550077"</f>
        <v>1014550077</v>
      </c>
      <c r="D7030" s="1" t="str">
        <f>"152326195609260679"</f>
        <v>152326195609260679</v>
      </c>
      <c r="E7030" s="1" t="s">
        <v>6801</v>
      </c>
      <c r="F7030" s="1" t="s">
        <v>25</v>
      </c>
      <c r="G7030" s="1" t="s">
        <v>17</v>
      </c>
      <c r="H7030" s="1" t="str">
        <f t="shared" si="4650"/>
        <v>68</v>
      </c>
      <c r="I7030" s="1" t="str">
        <f t="shared" si="4653"/>
        <v>156.02</v>
      </c>
      <c r="J7030" s="1" t="str">
        <f t="shared" ref="J7030:N7030" si="4657">"0"</f>
        <v>0</v>
      </c>
      <c r="K7030" s="1" t="str">
        <f t="shared" si="4600"/>
        <v>103</v>
      </c>
      <c r="L7030" s="1" t="str">
        <f t="shared" si="4601"/>
        <v>47</v>
      </c>
      <c r="M7030" s="1" t="str">
        <f t="shared" si="4657"/>
        <v>0</v>
      </c>
      <c r="N7030" s="1" t="str">
        <f t="shared" si="4657"/>
        <v>0</v>
      </c>
      <c r="O7030" s="1" t="str">
        <f t="shared" si="4655"/>
        <v>6.02</v>
      </c>
    </row>
    <row r="7031" s="1" customFormat="1" spans="1:15">
      <c r="A7031" s="1" t="str">
        <f t="shared" si="4594"/>
        <v>202406</v>
      </c>
      <c r="B7031" s="1" t="str">
        <f t="shared" si="4595"/>
        <v>150525100</v>
      </c>
      <c r="C7031" s="1" t="str">
        <f>"1014550588"</f>
        <v>1014550588</v>
      </c>
      <c r="D7031" s="1" t="str">
        <f>"152326195211233312"</f>
        <v>152326195211233312</v>
      </c>
      <c r="E7031" s="1" t="s">
        <v>6802</v>
      </c>
      <c r="F7031" s="1" t="s">
        <v>25</v>
      </c>
      <c r="G7031" s="1" t="s">
        <v>19</v>
      </c>
      <c r="H7031" s="1" t="str">
        <f>"72"</f>
        <v>72</v>
      </c>
      <c r="I7031" s="1" t="str">
        <f>"162.15"</f>
        <v>162.15</v>
      </c>
      <c r="J7031" s="1" t="str">
        <f t="shared" ref="J7031:N7031" si="4658">"0"</f>
        <v>0</v>
      </c>
      <c r="K7031" s="1" t="str">
        <f t="shared" si="4600"/>
        <v>103</v>
      </c>
      <c r="L7031" s="1" t="str">
        <f t="shared" si="4601"/>
        <v>47</v>
      </c>
      <c r="M7031" s="1" t="str">
        <f t="shared" si="4658"/>
        <v>0</v>
      </c>
      <c r="N7031" s="1" t="str">
        <f t="shared" si="4658"/>
        <v>0</v>
      </c>
      <c r="O7031" s="1" t="str">
        <f>"2.15"</f>
        <v>2.15</v>
      </c>
    </row>
    <row r="7032" s="1" customFormat="1" spans="1:15">
      <c r="A7032" s="1" t="str">
        <f t="shared" si="4594"/>
        <v>202406</v>
      </c>
      <c r="B7032" s="1" t="str">
        <f t="shared" si="4595"/>
        <v>150525100</v>
      </c>
      <c r="C7032" s="1" t="str">
        <f>"1014550589"</f>
        <v>1014550589</v>
      </c>
      <c r="D7032" s="1" t="str">
        <f>"152326195211243318"</f>
        <v>152326195211243318</v>
      </c>
      <c r="E7032" s="1" t="s">
        <v>6803</v>
      </c>
      <c r="F7032" s="1" t="s">
        <v>25</v>
      </c>
      <c r="G7032" s="1" t="s">
        <v>17</v>
      </c>
      <c r="H7032" s="1" t="str">
        <f>"72"</f>
        <v>72</v>
      </c>
      <c r="I7032" s="1" t="str">
        <f>"162.15"</f>
        <v>162.15</v>
      </c>
      <c r="J7032" s="1" t="str">
        <f t="shared" ref="J7032:N7032" si="4659">"0"</f>
        <v>0</v>
      </c>
      <c r="K7032" s="1" t="str">
        <f t="shared" si="4600"/>
        <v>103</v>
      </c>
      <c r="L7032" s="1" t="str">
        <f t="shared" si="4601"/>
        <v>47</v>
      </c>
      <c r="M7032" s="1" t="str">
        <f t="shared" si="4659"/>
        <v>0</v>
      </c>
      <c r="N7032" s="1" t="str">
        <f t="shared" si="4659"/>
        <v>0</v>
      </c>
      <c r="O7032" s="1" t="str">
        <f>"2.15"</f>
        <v>2.15</v>
      </c>
    </row>
    <row r="7033" s="1" customFormat="1" spans="1:15">
      <c r="A7033" s="1" t="str">
        <f t="shared" si="4594"/>
        <v>202406</v>
      </c>
      <c r="B7033" s="1" t="str">
        <f t="shared" si="4595"/>
        <v>150525100</v>
      </c>
      <c r="C7033" s="1" t="str">
        <f>"1014561282"</f>
        <v>1014561282</v>
      </c>
      <c r="D7033" s="1" t="str">
        <f>"152326196106200425"</f>
        <v>152326196106200425</v>
      </c>
      <c r="E7033" s="1" t="s">
        <v>6804</v>
      </c>
      <c r="F7033" s="1" t="s">
        <v>16</v>
      </c>
      <c r="G7033" s="1" t="s">
        <v>17</v>
      </c>
      <c r="H7033" s="1" t="str">
        <f>"63"</f>
        <v>63</v>
      </c>
      <c r="I7033" s="1" t="str">
        <f>"161.06"</f>
        <v>161.06</v>
      </c>
      <c r="J7033" s="1" t="str">
        <f t="shared" ref="J7033:N7033" si="4660">"0"</f>
        <v>0</v>
      </c>
      <c r="K7033" s="1" t="str">
        <f t="shared" si="4600"/>
        <v>103</v>
      </c>
      <c r="L7033" s="1" t="str">
        <f t="shared" si="4601"/>
        <v>47</v>
      </c>
      <c r="M7033" s="1" t="str">
        <f t="shared" si="4660"/>
        <v>0</v>
      </c>
      <c r="N7033" s="1" t="str">
        <f t="shared" si="4660"/>
        <v>0</v>
      </c>
      <c r="O7033" s="1" t="str">
        <f>"11.06"</f>
        <v>11.06</v>
      </c>
    </row>
    <row r="7034" s="1" customFormat="1" spans="1:15">
      <c r="A7034" s="1" t="str">
        <f t="shared" si="4594"/>
        <v>202406</v>
      </c>
      <c r="B7034" s="1" t="str">
        <f t="shared" si="4595"/>
        <v>150525100</v>
      </c>
      <c r="C7034" s="1" t="str">
        <f>"1014563026"</f>
        <v>1014563026</v>
      </c>
      <c r="D7034" s="1" t="str">
        <f>"152326196402050441"</f>
        <v>152326196402050441</v>
      </c>
      <c r="E7034" s="1" t="s">
        <v>6805</v>
      </c>
      <c r="F7034" s="1" t="s">
        <v>16</v>
      </c>
      <c r="G7034" s="1" t="s">
        <v>17</v>
      </c>
      <c r="H7034" s="1" t="str">
        <f>"60"</f>
        <v>60</v>
      </c>
      <c r="I7034" s="1" t="str">
        <f>"166.81"</f>
        <v>166.81</v>
      </c>
      <c r="J7034" s="1" t="str">
        <f t="shared" ref="J7034:N7034" si="4661">"0"</f>
        <v>0</v>
      </c>
      <c r="K7034" s="1" t="str">
        <f t="shared" si="4600"/>
        <v>103</v>
      </c>
      <c r="L7034" s="1" t="str">
        <f t="shared" si="4601"/>
        <v>47</v>
      </c>
      <c r="M7034" s="1" t="str">
        <f t="shared" si="4661"/>
        <v>0</v>
      </c>
      <c r="N7034" s="1" t="str">
        <f t="shared" si="4661"/>
        <v>0</v>
      </c>
      <c r="O7034" s="1" t="str">
        <f>"16.81"</f>
        <v>16.81</v>
      </c>
    </row>
    <row r="7035" s="1" customFormat="1" spans="1:15">
      <c r="A7035" s="1" t="str">
        <f t="shared" si="4594"/>
        <v>202406</v>
      </c>
      <c r="B7035" s="1" t="str">
        <f t="shared" si="4595"/>
        <v>150525100</v>
      </c>
      <c r="C7035" s="1" t="str">
        <f>"1014563043"</f>
        <v>1014563043</v>
      </c>
      <c r="D7035" s="1" t="str">
        <f>"152326195510160424"</f>
        <v>152326195510160424</v>
      </c>
      <c r="E7035" s="1" t="s">
        <v>3857</v>
      </c>
      <c r="F7035" s="1" t="s">
        <v>16</v>
      </c>
      <c r="G7035" s="1" t="s">
        <v>17</v>
      </c>
      <c r="H7035" s="1" t="str">
        <f>"69"</f>
        <v>69</v>
      </c>
      <c r="I7035" s="1" t="str">
        <f>"155.12"</f>
        <v>155.12</v>
      </c>
      <c r="J7035" s="1" t="str">
        <f t="shared" ref="J7035:N7035" si="4662">"0"</f>
        <v>0</v>
      </c>
      <c r="K7035" s="1" t="str">
        <f t="shared" si="4600"/>
        <v>103</v>
      </c>
      <c r="L7035" s="1" t="str">
        <f t="shared" si="4601"/>
        <v>47</v>
      </c>
      <c r="M7035" s="1" t="str">
        <f t="shared" si="4662"/>
        <v>0</v>
      </c>
      <c r="N7035" s="1" t="str">
        <f t="shared" si="4662"/>
        <v>0</v>
      </c>
      <c r="O7035" s="1" t="str">
        <f>"5.12"</f>
        <v>5.12</v>
      </c>
    </row>
    <row r="7036" s="1" customFormat="1" spans="1:15">
      <c r="A7036" s="1" t="str">
        <f t="shared" si="4594"/>
        <v>202406</v>
      </c>
      <c r="B7036" s="1" t="str">
        <f t="shared" si="4595"/>
        <v>150525100</v>
      </c>
      <c r="C7036" s="1" t="str">
        <f>"1014563396"</f>
        <v>1014563396</v>
      </c>
      <c r="D7036" s="1" t="str">
        <f>"152326195602170427"</f>
        <v>152326195602170427</v>
      </c>
      <c r="E7036" s="1" t="s">
        <v>6806</v>
      </c>
      <c r="F7036" s="1" t="s">
        <v>16</v>
      </c>
      <c r="G7036" s="1" t="s">
        <v>19</v>
      </c>
      <c r="H7036" s="1" t="str">
        <f>"68"</f>
        <v>68</v>
      </c>
      <c r="I7036" s="1" t="str">
        <f>"156.02"</f>
        <v>156.02</v>
      </c>
      <c r="J7036" s="1" t="str">
        <f t="shared" ref="J7036:N7036" si="4663">"0"</f>
        <v>0</v>
      </c>
      <c r="K7036" s="1" t="str">
        <f t="shared" si="4600"/>
        <v>103</v>
      </c>
      <c r="L7036" s="1" t="str">
        <f t="shared" si="4601"/>
        <v>47</v>
      </c>
      <c r="M7036" s="1" t="str">
        <f t="shared" si="4663"/>
        <v>0</v>
      </c>
      <c r="N7036" s="1" t="str">
        <f t="shared" si="4663"/>
        <v>0</v>
      </c>
      <c r="O7036" s="1" t="str">
        <f>"6.02"</f>
        <v>6.02</v>
      </c>
    </row>
    <row r="7037" s="1" customFormat="1" spans="1:15">
      <c r="A7037" s="1" t="str">
        <f t="shared" si="4594"/>
        <v>202406</v>
      </c>
      <c r="B7037" s="1" t="str">
        <f t="shared" si="4595"/>
        <v>150525100</v>
      </c>
      <c r="C7037" s="1" t="str">
        <f>"1014563397"</f>
        <v>1014563397</v>
      </c>
      <c r="D7037" s="1" t="str">
        <f>"152326195712070427"</f>
        <v>152326195712070427</v>
      </c>
      <c r="E7037" s="1" t="s">
        <v>364</v>
      </c>
      <c r="F7037" s="1" t="s">
        <v>16</v>
      </c>
      <c r="G7037" s="1" t="s">
        <v>19</v>
      </c>
      <c r="H7037" s="1" t="str">
        <f>"67"</f>
        <v>67</v>
      </c>
      <c r="I7037" s="1" t="str">
        <f>"156.13"</f>
        <v>156.13</v>
      </c>
      <c r="J7037" s="1" t="str">
        <f t="shared" ref="J7037:N7037" si="4664">"0"</f>
        <v>0</v>
      </c>
      <c r="K7037" s="1" t="str">
        <f t="shared" si="4600"/>
        <v>103</v>
      </c>
      <c r="L7037" s="1" t="str">
        <f t="shared" si="4601"/>
        <v>47</v>
      </c>
      <c r="M7037" s="1" t="str">
        <f t="shared" si="4664"/>
        <v>0</v>
      </c>
      <c r="N7037" s="1" t="str">
        <f t="shared" si="4664"/>
        <v>0</v>
      </c>
      <c r="O7037" s="1" t="str">
        <f>"6.13"</f>
        <v>6.13</v>
      </c>
    </row>
    <row r="7038" s="1" customFormat="1" spans="1:15">
      <c r="A7038" s="1" t="str">
        <f t="shared" si="4594"/>
        <v>202406</v>
      </c>
      <c r="B7038" s="1" t="str">
        <f t="shared" si="4595"/>
        <v>150525100</v>
      </c>
      <c r="C7038" s="1" t="str">
        <f>"1014563413"</f>
        <v>1014563413</v>
      </c>
      <c r="D7038" s="1" t="s">
        <v>6807</v>
      </c>
      <c r="E7038" s="1" t="s">
        <v>6808</v>
      </c>
      <c r="F7038" s="1" t="s">
        <v>16</v>
      </c>
      <c r="G7038" s="1" t="s">
        <v>17</v>
      </c>
      <c r="H7038" s="1" t="str">
        <f>"69"</f>
        <v>69</v>
      </c>
      <c r="I7038" s="1" t="str">
        <f>"155.11"</f>
        <v>155.11</v>
      </c>
      <c r="J7038" s="1" t="str">
        <f t="shared" ref="J7038:N7038" si="4665">"0"</f>
        <v>0</v>
      </c>
      <c r="K7038" s="1" t="str">
        <f t="shared" si="4600"/>
        <v>103</v>
      </c>
      <c r="L7038" s="1" t="str">
        <f t="shared" si="4601"/>
        <v>47</v>
      </c>
      <c r="M7038" s="1" t="str">
        <f t="shared" si="4665"/>
        <v>0</v>
      </c>
      <c r="N7038" s="1" t="str">
        <f t="shared" si="4665"/>
        <v>0</v>
      </c>
      <c r="O7038" s="1" t="str">
        <f>"5.11"</f>
        <v>5.11</v>
      </c>
    </row>
    <row r="7039" s="1" customFormat="1" spans="1:15">
      <c r="A7039" s="1" t="str">
        <f t="shared" si="4594"/>
        <v>202406</v>
      </c>
      <c r="B7039" s="1" t="str">
        <f t="shared" si="4595"/>
        <v>150525100</v>
      </c>
      <c r="C7039" s="1" t="str">
        <f>"1014549591"</f>
        <v>1014549591</v>
      </c>
      <c r="D7039" s="1" t="str">
        <f>"152326196209200428"</f>
        <v>152326196209200428</v>
      </c>
      <c r="E7039" s="1" t="s">
        <v>6809</v>
      </c>
      <c r="F7039" s="1" t="s">
        <v>16</v>
      </c>
      <c r="G7039" s="1" t="s">
        <v>17</v>
      </c>
      <c r="H7039" s="1" t="str">
        <f>"62"</f>
        <v>62</v>
      </c>
      <c r="I7039" s="1" t="str">
        <f>"163.22"</f>
        <v>163.22</v>
      </c>
      <c r="J7039" s="1" t="str">
        <f t="shared" ref="J7039:N7039" si="4666">"0"</f>
        <v>0</v>
      </c>
      <c r="K7039" s="1" t="str">
        <f t="shared" si="4600"/>
        <v>103</v>
      </c>
      <c r="L7039" s="1" t="str">
        <f t="shared" si="4601"/>
        <v>47</v>
      </c>
      <c r="M7039" s="1" t="str">
        <f t="shared" si="4666"/>
        <v>0</v>
      </c>
      <c r="N7039" s="1" t="str">
        <f t="shared" si="4666"/>
        <v>0</v>
      </c>
      <c r="O7039" s="1" t="str">
        <f>"13.22"</f>
        <v>13.22</v>
      </c>
    </row>
    <row r="7040" s="1" customFormat="1" spans="1:15">
      <c r="A7040" s="1" t="str">
        <f t="shared" si="4594"/>
        <v>202406</v>
      </c>
      <c r="B7040" s="1" t="str">
        <f t="shared" si="4595"/>
        <v>150525100</v>
      </c>
      <c r="C7040" s="1" t="str">
        <f>"1014585176"</f>
        <v>1014585176</v>
      </c>
      <c r="D7040" s="1" t="str">
        <f>"152326196012250421"</f>
        <v>152326196012250421</v>
      </c>
      <c r="E7040" s="1" t="s">
        <v>6810</v>
      </c>
      <c r="F7040" s="1" t="s">
        <v>16</v>
      </c>
      <c r="G7040" s="1" t="s">
        <v>17</v>
      </c>
      <c r="H7040" s="1" t="str">
        <f>"64"</f>
        <v>64</v>
      </c>
      <c r="I7040" s="1" t="str">
        <f>"160.09"</f>
        <v>160.09</v>
      </c>
      <c r="J7040" s="1" t="str">
        <f t="shared" ref="J7040:N7040" si="4667">"0"</f>
        <v>0</v>
      </c>
      <c r="K7040" s="1" t="str">
        <f t="shared" si="4600"/>
        <v>103</v>
      </c>
      <c r="L7040" s="1" t="str">
        <f t="shared" si="4601"/>
        <v>47</v>
      </c>
      <c r="M7040" s="1" t="str">
        <f t="shared" si="4667"/>
        <v>0</v>
      </c>
      <c r="N7040" s="1" t="str">
        <f t="shared" si="4667"/>
        <v>0</v>
      </c>
      <c r="O7040" s="1" t="str">
        <f>"10.09"</f>
        <v>10.09</v>
      </c>
    </row>
    <row r="7041" s="1" customFormat="1" spans="1:15">
      <c r="A7041" s="1" t="str">
        <f t="shared" si="4594"/>
        <v>202406</v>
      </c>
      <c r="B7041" s="1" t="str">
        <f t="shared" si="4595"/>
        <v>150525100</v>
      </c>
      <c r="C7041" s="1" t="str">
        <f>"1015311298"</f>
        <v>1015311298</v>
      </c>
      <c r="D7041" s="1" t="str">
        <f>"152326195311230426"</f>
        <v>152326195311230426</v>
      </c>
      <c r="E7041" s="1" t="s">
        <v>966</v>
      </c>
      <c r="F7041" s="1" t="s">
        <v>16</v>
      </c>
      <c r="G7041" s="1" t="s">
        <v>17</v>
      </c>
      <c r="H7041" s="1" t="str">
        <f t="shared" ref="H7041:H7049" si="4668">"71"</f>
        <v>71</v>
      </c>
      <c r="I7041" s="1" t="str">
        <f t="shared" ref="I7041:I7045" si="4669">"162.57"</f>
        <v>162.57</v>
      </c>
      <c r="J7041" s="1" t="str">
        <f t="shared" ref="J7041:N7041" si="4670">"0"</f>
        <v>0</v>
      </c>
      <c r="K7041" s="1" t="str">
        <f t="shared" si="4600"/>
        <v>103</v>
      </c>
      <c r="L7041" s="1" t="str">
        <f t="shared" si="4601"/>
        <v>47</v>
      </c>
      <c r="M7041" s="1" t="str">
        <f t="shared" si="4670"/>
        <v>0</v>
      </c>
      <c r="N7041" s="1" t="str">
        <f t="shared" si="4670"/>
        <v>0</v>
      </c>
      <c r="O7041" s="1" t="str">
        <f t="shared" ref="O7041:O7045" si="4671">"2.57"</f>
        <v>2.57</v>
      </c>
    </row>
    <row r="7042" s="1" customFormat="1" spans="1:15">
      <c r="A7042" s="1" t="str">
        <f t="shared" ref="A7042:A7105" si="4672">"202406"</f>
        <v>202406</v>
      </c>
      <c r="B7042" s="1" t="str">
        <f t="shared" ref="B7042:B7105" si="4673">"150525100"</f>
        <v>150525100</v>
      </c>
      <c r="C7042" s="1" t="str">
        <f>"1015311300"</f>
        <v>1015311300</v>
      </c>
      <c r="D7042" s="1" t="str">
        <f>"152326195311050919"</f>
        <v>152326195311050919</v>
      </c>
      <c r="E7042" s="1" t="s">
        <v>6811</v>
      </c>
      <c r="F7042" s="1" t="s">
        <v>25</v>
      </c>
      <c r="G7042" s="1" t="s">
        <v>19</v>
      </c>
      <c r="H7042" s="1" t="str">
        <f t="shared" si="4668"/>
        <v>71</v>
      </c>
      <c r="I7042" s="1" t="str">
        <f>"1595.7"</f>
        <v>1595.7</v>
      </c>
      <c r="J7042" s="1" t="str">
        <f>"1433.13"</f>
        <v>1433.13</v>
      </c>
      <c r="K7042" s="1" t="str">
        <f>"1030"</f>
        <v>1030</v>
      </c>
      <c r="L7042" s="1" t="str">
        <f>"470"</f>
        <v>470</v>
      </c>
      <c r="M7042" s="1" t="str">
        <f>"0"</f>
        <v>0</v>
      </c>
      <c r="N7042" s="1" t="str">
        <f>"0"</f>
        <v>0</v>
      </c>
      <c r="O7042" s="1" t="str">
        <f>"25.7"</f>
        <v>25.7</v>
      </c>
    </row>
    <row r="7043" s="1" customFormat="1" spans="1:15">
      <c r="A7043" s="1" t="str">
        <f t="shared" si="4672"/>
        <v>202406</v>
      </c>
      <c r="B7043" s="1" t="str">
        <f t="shared" si="4673"/>
        <v>150525100</v>
      </c>
      <c r="C7043" s="1" t="str">
        <f>"1015311308"</f>
        <v>1015311308</v>
      </c>
      <c r="D7043" s="1" t="str">
        <f>"152326195312260918"</f>
        <v>152326195312260918</v>
      </c>
      <c r="E7043" s="1" t="s">
        <v>6812</v>
      </c>
      <c r="F7043" s="1" t="s">
        <v>25</v>
      </c>
      <c r="G7043" s="1" t="s">
        <v>19</v>
      </c>
      <c r="H7043" s="1" t="str">
        <f t="shared" si="4668"/>
        <v>71</v>
      </c>
      <c r="I7043" s="1" t="str">
        <f>"162.54"</f>
        <v>162.54</v>
      </c>
      <c r="J7043" s="1" t="str">
        <f t="shared" ref="J7043:N7043" si="4674">"0"</f>
        <v>0</v>
      </c>
      <c r="K7043" s="1" t="str">
        <f t="shared" ref="K7043:K7074" si="4675">"103"</f>
        <v>103</v>
      </c>
      <c r="L7043" s="1" t="str">
        <f t="shared" ref="L7043:L7074" si="4676">"47"</f>
        <v>47</v>
      </c>
      <c r="M7043" s="1" t="str">
        <f t="shared" si="4674"/>
        <v>0</v>
      </c>
      <c r="N7043" s="1" t="str">
        <f t="shared" si="4674"/>
        <v>0</v>
      </c>
      <c r="O7043" s="1" t="str">
        <f>"2.54"</f>
        <v>2.54</v>
      </c>
    </row>
    <row r="7044" s="1" customFormat="1" spans="1:15">
      <c r="A7044" s="1" t="str">
        <f t="shared" si="4672"/>
        <v>202406</v>
      </c>
      <c r="B7044" s="1" t="str">
        <f t="shared" si="4673"/>
        <v>150525100</v>
      </c>
      <c r="C7044" s="1" t="str">
        <f>"1015311462"</f>
        <v>1015311462</v>
      </c>
      <c r="D7044" s="1" t="str">
        <f>"152326195311046370"</f>
        <v>152326195311046370</v>
      </c>
      <c r="E7044" s="1" t="s">
        <v>6813</v>
      </c>
      <c r="F7044" s="1" t="s">
        <v>25</v>
      </c>
      <c r="G7044" s="1" t="s">
        <v>17</v>
      </c>
      <c r="H7044" s="1" t="str">
        <f t="shared" si="4668"/>
        <v>71</v>
      </c>
      <c r="I7044" s="1" t="str">
        <f t="shared" si="4669"/>
        <v>162.57</v>
      </c>
      <c r="J7044" s="1" t="str">
        <f t="shared" ref="J7044:N7044" si="4677">"0"</f>
        <v>0</v>
      </c>
      <c r="K7044" s="1" t="str">
        <f t="shared" si="4675"/>
        <v>103</v>
      </c>
      <c r="L7044" s="1" t="str">
        <f t="shared" si="4676"/>
        <v>47</v>
      </c>
      <c r="M7044" s="1" t="str">
        <f t="shared" si="4677"/>
        <v>0</v>
      </c>
      <c r="N7044" s="1" t="str">
        <f t="shared" si="4677"/>
        <v>0</v>
      </c>
      <c r="O7044" s="1" t="str">
        <f t="shared" si="4671"/>
        <v>2.57</v>
      </c>
    </row>
    <row r="7045" s="1" customFormat="1" spans="1:15">
      <c r="A7045" s="1" t="str">
        <f t="shared" si="4672"/>
        <v>202406</v>
      </c>
      <c r="B7045" s="1" t="str">
        <f t="shared" si="4673"/>
        <v>150525100</v>
      </c>
      <c r="C7045" s="1" t="str">
        <f>"1015311472"</f>
        <v>1015311472</v>
      </c>
      <c r="D7045" s="1" t="str">
        <f>"152326195307206124"</f>
        <v>152326195307206124</v>
      </c>
      <c r="E7045" s="1" t="s">
        <v>6814</v>
      </c>
      <c r="F7045" s="1" t="s">
        <v>16</v>
      </c>
      <c r="G7045" s="1" t="s">
        <v>17</v>
      </c>
      <c r="H7045" s="1" t="str">
        <f t="shared" si="4668"/>
        <v>71</v>
      </c>
      <c r="I7045" s="1" t="str">
        <f t="shared" si="4669"/>
        <v>162.57</v>
      </c>
      <c r="J7045" s="1" t="str">
        <f t="shared" ref="J7045:N7045" si="4678">"0"</f>
        <v>0</v>
      </c>
      <c r="K7045" s="1" t="str">
        <f t="shared" si="4675"/>
        <v>103</v>
      </c>
      <c r="L7045" s="1" t="str">
        <f t="shared" si="4676"/>
        <v>47</v>
      </c>
      <c r="M7045" s="1" t="str">
        <f t="shared" si="4678"/>
        <v>0</v>
      </c>
      <c r="N7045" s="1" t="str">
        <f t="shared" si="4678"/>
        <v>0</v>
      </c>
      <c r="O7045" s="1" t="str">
        <f t="shared" si="4671"/>
        <v>2.57</v>
      </c>
    </row>
    <row r="7046" s="1" customFormat="1" spans="1:15">
      <c r="A7046" s="1" t="str">
        <f t="shared" si="4672"/>
        <v>202406</v>
      </c>
      <c r="B7046" s="1" t="str">
        <f t="shared" si="4673"/>
        <v>150525100</v>
      </c>
      <c r="C7046" s="1" t="str">
        <f>"1015311346"</f>
        <v>1015311346</v>
      </c>
      <c r="D7046" s="1" t="str">
        <f>"152326195305110022"</f>
        <v>152326195305110022</v>
      </c>
      <c r="E7046" s="1" t="s">
        <v>2669</v>
      </c>
      <c r="F7046" s="1" t="s">
        <v>16</v>
      </c>
      <c r="G7046" s="1" t="s">
        <v>17</v>
      </c>
      <c r="H7046" s="1" t="str">
        <f t="shared" si="4668"/>
        <v>71</v>
      </c>
      <c r="I7046" s="1" t="str">
        <f>"162.31"</f>
        <v>162.31</v>
      </c>
      <c r="J7046" s="1" t="str">
        <f t="shared" ref="J7046:N7046" si="4679">"0"</f>
        <v>0</v>
      </c>
      <c r="K7046" s="1" t="str">
        <f t="shared" si="4675"/>
        <v>103</v>
      </c>
      <c r="L7046" s="1" t="str">
        <f t="shared" si="4676"/>
        <v>47</v>
      </c>
      <c r="M7046" s="1" t="str">
        <f t="shared" si="4679"/>
        <v>0</v>
      </c>
      <c r="N7046" s="1" t="str">
        <f t="shared" si="4679"/>
        <v>0</v>
      </c>
      <c r="O7046" s="1" t="str">
        <f>"2.31"</f>
        <v>2.31</v>
      </c>
    </row>
    <row r="7047" s="1" customFormat="1" spans="1:15">
      <c r="A7047" s="1" t="str">
        <f t="shared" si="4672"/>
        <v>202406</v>
      </c>
      <c r="B7047" s="1" t="str">
        <f t="shared" si="4673"/>
        <v>150525100</v>
      </c>
      <c r="C7047" s="1" t="str">
        <f>"1015311489"</f>
        <v>1015311489</v>
      </c>
      <c r="D7047" s="1" t="str">
        <f>"152326195311130417"</f>
        <v>152326195311130417</v>
      </c>
      <c r="E7047" s="1" t="s">
        <v>6815</v>
      </c>
      <c r="F7047" s="1" t="s">
        <v>25</v>
      </c>
      <c r="G7047" s="1" t="s">
        <v>17</v>
      </c>
      <c r="H7047" s="1" t="str">
        <f t="shared" si="4668"/>
        <v>71</v>
      </c>
      <c r="I7047" s="1" t="str">
        <f>"162.58"</f>
        <v>162.58</v>
      </c>
      <c r="J7047" s="1" t="str">
        <f t="shared" ref="J7047:N7047" si="4680">"0"</f>
        <v>0</v>
      </c>
      <c r="K7047" s="1" t="str">
        <f t="shared" si="4675"/>
        <v>103</v>
      </c>
      <c r="L7047" s="1" t="str">
        <f t="shared" si="4676"/>
        <v>47</v>
      </c>
      <c r="M7047" s="1" t="str">
        <f t="shared" si="4680"/>
        <v>0</v>
      </c>
      <c r="N7047" s="1" t="str">
        <f t="shared" si="4680"/>
        <v>0</v>
      </c>
      <c r="O7047" s="1" t="str">
        <f>"2.58"</f>
        <v>2.58</v>
      </c>
    </row>
    <row r="7048" s="1" customFormat="1" spans="1:15">
      <c r="A7048" s="1" t="str">
        <f t="shared" si="4672"/>
        <v>202406</v>
      </c>
      <c r="B7048" s="1" t="str">
        <f t="shared" si="4673"/>
        <v>150525100</v>
      </c>
      <c r="C7048" s="1" t="str">
        <f>"1015311493"</f>
        <v>1015311493</v>
      </c>
      <c r="D7048" s="1" t="str">
        <f>"152326195311240413"</f>
        <v>152326195311240413</v>
      </c>
      <c r="E7048" s="1" t="s">
        <v>513</v>
      </c>
      <c r="F7048" s="1" t="s">
        <v>25</v>
      </c>
      <c r="G7048" s="1" t="s">
        <v>17</v>
      </c>
      <c r="H7048" s="1" t="str">
        <f t="shared" si="4668"/>
        <v>71</v>
      </c>
      <c r="I7048" s="1" t="str">
        <f>"162.58"</f>
        <v>162.58</v>
      </c>
      <c r="J7048" s="1" t="str">
        <f t="shared" ref="J7048:N7048" si="4681">"0"</f>
        <v>0</v>
      </c>
      <c r="K7048" s="1" t="str">
        <f t="shared" si="4675"/>
        <v>103</v>
      </c>
      <c r="L7048" s="1" t="str">
        <f t="shared" si="4676"/>
        <v>47</v>
      </c>
      <c r="M7048" s="1" t="str">
        <f t="shared" si="4681"/>
        <v>0</v>
      </c>
      <c r="N7048" s="1" t="str">
        <f t="shared" si="4681"/>
        <v>0</v>
      </c>
      <c r="O7048" s="1" t="str">
        <f>"2.58"</f>
        <v>2.58</v>
      </c>
    </row>
    <row r="7049" s="1" customFormat="1" spans="1:15">
      <c r="A7049" s="1" t="str">
        <f t="shared" si="4672"/>
        <v>202406</v>
      </c>
      <c r="B7049" s="1" t="str">
        <f t="shared" si="4673"/>
        <v>150525100</v>
      </c>
      <c r="C7049" s="1" t="str">
        <f>"1015311501"</f>
        <v>1015311501</v>
      </c>
      <c r="D7049" s="1" t="s">
        <v>6816</v>
      </c>
      <c r="E7049" s="1" t="s">
        <v>980</v>
      </c>
      <c r="F7049" s="1" t="s">
        <v>16</v>
      </c>
      <c r="G7049" s="1" t="s">
        <v>17</v>
      </c>
      <c r="H7049" s="1" t="str">
        <f t="shared" si="4668"/>
        <v>71</v>
      </c>
      <c r="I7049" s="1" t="str">
        <f>"164.62"</f>
        <v>164.62</v>
      </c>
      <c r="J7049" s="1" t="str">
        <f t="shared" ref="J7049:N7049" si="4682">"0"</f>
        <v>0</v>
      </c>
      <c r="K7049" s="1" t="str">
        <f t="shared" si="4675"/>
        <v>103</v>
      </c>
      <c r="L7049" s="1" t="str">
        <f t="shared" si="4676"/>
        <v>47</v>
      </c>
      <c r="M7049" s="1" t="str">
        <f t="shared" si="4682"/>
        <v>0</v>
      </c>
      <c r="N7049" s="1" t="str">
        <f t="shared" si="4682"/>
        <v>0</v>
      </c>
      <c r="O7049" s="1" t="str">
        <f>"4.62"</f>
        <v>4.62</v>
      </c>
    </row>
    <row r="7050" s="1" customFormat="1" spans="1:15">
      <c r="A7050" s="1" t="str">
        <f t="shared" si="4672"/>
        <v>202406</v>
      </c>
      <c r="B7050" s="1" t="str">
        <f t="shared" si="4673"/>
        <v>150525100</v>
      </c>
      <c r="C7050" s="1" t="str">
        <f>"1015311670"</f>
        <v>1015311670</v>
      </c>
      <c r="D7050" s="1" t="str">
        <f>"152326195206020670"</f>
        <v>152326195206020670</v>
      </c>
      <c r="E7050" s="1" t="s">
        <v>6817</v>
      </c>
      <c r="F7050" s="1" t="s">
        <v>25</v>
      </c>
      <c r="G7050" s="1" t="s">
        <v>19</v>
      </c>
      <c r="H7050" s="1" t="str">
        <f t="shared" ref="H7050:H7059" si="4683">"72"</f>
        <v>72</v>
      </c>
      <c r="I7050" s="1" t="str">
        <f t="shared" ref="I7050:I7054" si="4684">"161.56"</f>
        <v>161.56</v>
      </c>
      <c r="J7050" s="1" t="str">
        <f t="shared" ref="J7050:N7050" si="4685">"0"</f>
        <v>0</v>
      </c>
      <c r="K7050" s="1" t="str">
        <f t="shared" si="4675"/>
        <v>103</v>
      </c>
      <c r="L7050" s="1" t="str">
        <f t="shared" si="4676"/>
        <v>47</v>
      </c>
      <c r="M7050" s="1" t="str">
        <f t="shared" si="4685"/>
        <v>0</v>
      </c>
      <c r="N7050" s="1" t="str">
        <f t="shared" si="4685"/>
        <v>0</v>
      </c>
      <c r="O7050" s="1" t="str">
        <f t="shared" ref="O7050:O7054" si="4686">"1.56"</f>
        <v>1.56</v>
      </c>
    </row>
    <row r="7051" s="1" customFormat="1" spans="1:15">
      <c r="A7051" s="1" t="str">
        <f t="shared" si="4672"/>
        <v>202406</v>
      </c>
      <c r="B7051" s="1" t="str">
        <f t="shared" si="4673"/>
        <v>150525100</v>
      </c>
      <c r="C7051" s="1" t="str">
        <f>"1040833139"</f>
        <v>1040833139</v>
      </c>
      <c r="D7051" s="1" t="str">
        <f>"152326195502220044"</f>
        <v>152326195502220044</v>
      </c>
      <c r="E7051" s="1" t="s">
        <v>6818</v>
      </c>
      <c r="F7051" s="1" t="s">
        <v>16</v>
      </c>
      <c r="G7051" s="1" t="s">
        <v>17</v>
      </c>
      <c r="H7051" s="1" t="str">
        <f>"69"</f>
        <v>69</v>
      </c>
      <c r="I7051" s="1" t="str">
        <f>"154.47"</f>
        <v>154.47</v>
      </c>
      <c r="J7051" s="1" t="str">
        <f t="shared" ref="J7051:N7051" si="4687">"0"</f>
        <v>0</v>
      </c>
      <c r="K7051" s="1" t="str">
        <f t="shared" si="4675"/>
        <v>103</v>
      </c>
      <c r="L7051" s="1" t="str">
        <f t="shared" si="4676"/>
        <v>47</v>
      </c>
      <c r="M7051" s="1" t="str">
        <f t="shared" si="4687"/>
        <v>0</v>
      </c>
      <c r="N7051" s="1" t="str">
        <f t="shared" si="4687"/>
        <v>0</v>
      </c>
      <c r="O7051" s="1" t="str">
        <f>"4.47"</f>
        <v>4.47</v>
      </c>
    </row>
    <row r="7052" s="1" customFormat="1" spans="1:15">
      <c r="A7052" s="1" t="str">
        <f t="shared" si="4672"/>
        <v>202406</v>
      </c>
      <c r="B7052" s="1" t="str">
        <f t="shared" si="4673"/>
        <v>150525100</v>
      </c>
      <c r="C7052" s="1" t="str">
        <f>"1015311378"</f>
        <v>1015311378</v>
      </c>
      <c r="D7052" s="1" t="str">
        <f>"152326195204213321"</f>
        <v>152326195204213321</v>
      </c>
      <c r="E7052" s="1" t="s">
        <v>6819</v>
      </c>
      <c r="F7052" s="1" t="s">
        <v>16</v>
      </c>
      <c r="G7052" s="1" t="s">
        <v>17</v>
      </c>
      <c r="H7052" s="1" t="str">
        <f t="shared" si="4683"/>
        <v>72</v>
      </c>
      <c r="I7052" s="1" t="str">
        <f t="shared" si="4684"/>
        <v>161.56</v>
      </c>
      <c r="J7052" s="1" t="str">
        <f t="shared" ref="J7052:N7052" si="4688">"0"</f>
        <v>0</v>
      </c>
      <c r="K7052" s="1" t="str">
        <f t="shared" si="4675"/>
        <v>103</v>
      </c>
      <c r="L7052" s="1" t="str">
        <f t="shared" si="4676"/>
        <v>47</v>
      </c>
      <c r="M7052" s="1" t="str">
        <f t="shared" si="4688"/>
        <v>0</v>
      </c>
      <c r="N7052" s="1" t="str">
        <f t="shared" si="4688"/>
        <v>0</v>
      </c>
      <c r="O7052" s="1" t="str">
        <f t="shared" si="4686"/>
        <v>1.56</v>
      </c>
    </row>
    <row r="7053" s="1" customFormat="1" spans="1:15">
      <c r="A7053" s="1" t="str">
        <f t="shared" si="4672"/>
        <v>202406</v>
      </c>
      <c r="B7053" s="1" t="str">
        <f t="shared" si="4673"/>
        <v>150525100</v>
      </c>
      <c r="C7053" s="1" t="str">
        <f>"1015311525"</f>
        <v>1015311525</v>
      </c>
      <c r="D7053" s="1" t="str">
        <f>"152326195311273071"</f>
        <v>152326195311273071</v>
      </c>
      <c r="E7053" s="1" t="s">
        <v>6820</v>
      </c>
      <c r="F7053" s="1" t="s">
        <v>25</v>
      </c>
      <c r="G7053" s="1" t="s">
        <v>17</v>
      </c>
      <c r="H7053" s="1" t="str">
        <f>"71"</f>
        <v>71</v>
      </c>
      <c r="I7053" s="1" t="str">
        <f>"162.58"</f>
        <v>162.58</v>
      </c>
      <c r="J7053" s="1" t="str">
        <f t="shared" ref="J7053:N7053" si="4689">"0"</f>
        <v>0</v>
      </c>
      <c r="K7053" s="1" t="str">
        <f t="shared" si="4675"/>
        <v>103</v>
      </c>
      <c r="L7053" s="1" t="str">
        <f t="shared" si="4676"/>
        <v>47</v>
      </c>
      <c r="M7053" s="1" t="str">
        <f t="shared" si="4689"/>
        <v>0</v>
      </c>
      <c r="N7053" s="1" t="str">
        <f t="shared" si="4689"/>
        <v>0</v>
      </c>
      <c r="O7053" s="1" t="str">
        <f>"2.58"</f>
        <v>2.58</v>
      </c>
    </row>
    <row r="7054" s="1" customFormat="1" spans="1:15">
      <c r="A7054" s="1" t="str">
        <f t="shared" si="4672"/>
        <v>202406</v>
      </c>
      <c r="B7054" s="1" t="str">
        <f t="shared" si="4673"/>
        <v>150525100</v>
      </c>
      <c r="C7054" s="1" t="str">
        <f>"1015311575"</f>
        <v>1015311575</v>
      </c>
      <c r="D7054" s="1" t="str">
        <f>"152326195211150664"</f>
        <v>152326195211150664</v>
      </c>
      <c r="E7054" s="1" t="s">
        <v>6821</v>
      </c>
      <c r="F7054" s="1" t="s">
        <v>16</v>
      </c>
      <c r="G7054" s="1" t="s">
        <v>19</v>
      </c>
      <c r="H7054" s="1" t="str">
        <f t="shared" si="4683"/>
        <v>72</v>
      </c>
      <c r="I7054" s="1" t="str">
        <f t="shared" si="4684"/>
        <v>161.56</v>
      </c>
      <c r="J7054" s="1" t="str">
        <f t="shared" ref="J7054:N7054" si="4690">"0"</f>
        <v>0</v>
      </c>
      <c r="K7054" s="1" t="str">
        <f t="shared" si="4675"/>
        <v>103</v>
      </c>
      <c r="L7054" s="1" t="str">
        <f t="shared" si="4676"/>
        <v>47</v>
      </c>
      <c r="M7054" s="1" t="str">
        <f t="shared" si="4690"/>
        <v>0</v>
      </c>
      <c r="N7054" s="1" t="str">
        <f t="shared" si="4690"/>
        <v>0</v>
      </c>
      <c r="O7054" s="1" t="str">
        <f t="shared" si="4686"/>
        <v>1.56</v>
      </c>
    </row>
    <row r="7055" s="1" customFormat="1" spans="1:15">
      <c r="A7055" s="1" t="str">
        <f t="shared" si="4672"/>
        <v>202406</v>
      </c>
      <c r="B7055" s="1" t="str">
        <f t="shared" si="4673"/>
        <v>150525100</v>
      </c>
      <c r="C7055" s="1" t="str">
        <f>"1015311576"</f>
        <v>1015311576</v>
      </c>
      <c r="D7055" s="1" t="str">
        <f>"152326195208150663"</f>
        <v>152326195208150663</v>
      </c>
      <c r="E7055" s="1" t="s">
        <v>6822</v>
      </c>
      <c r="F7055" s="1" t="s">
        <v>16</v>
      </c>
      <c r="G7055" s="1" t="s">
        <v>19</v>
      </c>
      <c r="H7055" s="1" t="str">
        <f t="shared" si="4683"/>
        <v>72</v>
      </c>
      <c r="I7055" s="1" t="str">
        <f>"161.54"</f>
        <v>161.54</v>
      </c>
      <c r="J7055" s="1" t="str">
        <f t="shared" ref="J7055:N7055" si="4691">"0"</f>
        <v>0</v>
      </c>
      <c r="K7055" s="1" t="str">
        <f t="shared" si="4675"/>
        <v>103</v>
      </c>
      <c r="L7055" s="1" t="str">
        <f t="shared" si="4676"/>
        <v>47</v>
      </c>
      <c r="M7055" s="1" t="str">
        <f t="shared" si="4691"/>
        <v>0</v>
      </c>
      <c r="N7055" s="1" t="str">
        <f t="shared" si="4691"/>
        <v>0</v>
      </c>
      <c r="O7055" s="1" t="str">
        <f>"1.54"</f>
        <v>1.54</v>
      </c>
    </row>
    <row r="7056" s="1" customFormat="1" spans="1:15">
      <c r="A7056" s="1" t="str">
        <f t="shared" si="4672"/>
        <v>202406</v>
      </c>
      <c r="B7056" s="1" t="str">
        <f t="shared" si="4673"/>
        <v>150525100</v>
      </c>
      <c r="C7056" s="1" t="str">
        <f>"1015311387"</f>
        <v>1015311387</v>
      </c>
      <c r="D7056" s="1" t="str">
        <f>"152326195212293835"</f>
        <v>152326195212293835</v>
      </c>
      <c r="E7056" s="1" t="s">
        <v>6823</v>
      </c>
      <c r="F7056" s="1" t="s">
        <v>25</v>
      </c>
      <c r="G7056" s="1" t="s">
        <v>17</v>
      </c>
      <c r="H7056" s="1" t="str">
        <f t="shared" si="4683"/>
        <v>72</v>
      </c>
      <c r="I7056" s="1" t="str">
        <f t="shared" ref="I7056:I7058" si="4692">"161.56"</f>
        <v>161.56</v>
      </c>
      <c r="J7056" s="1" t="str">
        <f t="shared" ref="J7056:N7056" si="4693">"0"</f>
        <v>0</v>
      </c>
      <c r="K7056" s="1" t="str">
        <f t="shared" si="4675"/>
        <v>103</v>
      </c>
      <c r="L7056" s="1" t="str">
        <f t="shared" si="4676"/>
        <v>47</v>
      </c>
      <c r="M7056" s="1" t="str">
        <f t="shared" si="4693"/>
        <v>0</v>
      </c>
      <c r="N7056" s="1" t="str">
        <f t="shared" si="4693"/>
        <v>0</v>
      </c>
      <c r="O7056" s="1" t="str">
        <f t="shared" ref="O7056:O7058" si="4694">"1.56"</f>
        <v>1.56</v>
      </c>
    </row>
    <row r="7057" s="1" customFormat="1" spans="1:15">
      <c r="A7057" s="1" t="str">
        <f t="shared" si="4672"/>
        <v>202406</v>
      </c>
      <c r="B7057" s="1" t="str">
        <f t="shared" si="4673"/>
        <v>150525100</v>
      </c>
      <c r="C7057" s="1" t="str">
        <f>"1015311397"</f>
        <v>1015311397</v>
      </c>
      <c r="D7057" s="1" t="str">
        <f>"152326195211173073"</f>
        <v>152326195211173073</v>
      </c>
      <c r="E7057" s="1" t="s">
        <v>6824</v>
      </c>
      <c r="F7057" s="1" t="s">
        <v>25</v>
      </c>
      <c r="G7057" s="1" t="s">
        <v>17</v>
      </c>
      <c r="H7057" s="1" t="str">
        <f t="shared" si="4683"/>
        <v>72</v>
      </c>
      <c r="I7057" s="1" t="str">
        <f t="shared" si="4692"/>
        <v>161.56</v>
      </c>
      <c r="J7057" s="1" t="str">
        <f t="shared" ref="J7057:N7057" si="4695">"0"</f>
        <v>0</v>
      </c>
      <c r="K7057" s="1" t="str">
        <f t="shared" si="4675"/>
        <v>103</v>
      </c>
      <c r="L7057" s="1" t="str">
        <f t="shared" si="4676"/>
        <v>47</v>
      </c>
      <c r="M7057" s="1" t="str">
        <f t="shared" si="4695"/>
        <v>0</v>
      </c>
      <c r="N7057" s="1" t="str">
        <f t="shared" si="4695"/>
        <v>0</v>
      </c>
      <c r="O7057" s="1" t="str">
        <f t="shared" si="4694"/>
        <v>1.56</v>
      </c>
    </row>
    <row r="7058" s="1" customFormat="1" spans="1:15">
      <c r="A7058" s="1" t="str">
        <f t="shared" si="4672"/>
        <v>202406</v>
      </c>
      <c r="B7058" s="1" t="str">
        <f t="shared" si="4673"/>
        <v>150525100</v>
      </c>
      <c r="C7058" s="1" t="str">
        <f>"1015311410"</f>
        <v>1015311410</v>
      </c>
      <c r="D7058" s="1" t="str">
        <f>"152326195208030661"</f>
        <v>152326195208030661</v>
      </c>
      <c r="E7058" s="1" t="s">
        <v>2817</v>
      </c>
      <c r="F7058" s="1" t="s">
        <v>16</v>
      </c>
      <c r="G7058" s="1" t="s">
        <v>17</v>
      </c>
      <c r="H7058" s="1" t="str">
        <f t="shared" si="4683"/>
        <v>72</v>
      </c>
      <c r="I7058" s="1" t="str">
        <f t="shared" si="4692"/>
        <v>161.56</v>
      </c>
      <c r="J7058" s="1" t="str">
        <f t="shared" ref="J7058:N7058" si="4696">"0"</f>
        <v>0</v>
      </c>
      <c r="K7058" s="1" t="str">
        <f t="shared" si="4675"/>
        <v>103</v>
      </c>
      <c r="L7058" s="1" t="str">
        <f t="shared" si="4676"/>
        <v>47</v>
      </c>
      <c r="M7058" s="1" t="str">
        <f t="shared" si="4696"/>
        <v>0</v>
      </c>
      <c r="N7058" s="1" t="str">
        <f t="shared" si="4696"/>
        <v>0</v>
      </c>
      <c r="O7058" s="1" t="str">
        <f t="shared" si="4694"/>
        <v>1.56</v>
      </c>
    </row>
    <row r="7059" s="1" customFormat="1" spans="1:15">
      <c r="A7059" s="1" t="str">
        <f t="shared" si="4672"/>
        <v>202406</v>
      </c>
      <c r="B7059" s="1" t="str">
        <f t="shared" si="4673"/>
        <v>150525100</v>
      </c>
      <c r="C7059" s="1" t="str">
        <f>"1015311568"</f>
        <v>1015311568</v>
      </c>
      <c r="D7059" s="1" t="str">
        <f>"152326195201290671"</f>
        <v>152326195201290671</v>
      </c>
      <c r="E7059" s="1" t="s">
        <v>6825</v>
      </c>
      <c r="F7059" s="1" t="s">
        <v>25</v>
      </c>
      <c r="G7059" s="1" t="s">
        <v>19</v>
      </c>
      <c r="H7059" s="1" t="str">
        <f t="shared" si="4683"/>
        <v>72</v>
      </c>
      <c r="I7059" s="1" t="str">
        <f>"161.54"</f>
        <v>161.54</v>
      </c>
      <c r="J7059" s="1" t="str">
        <f t="shared" ref="J7059:N7059" si="4697">"0"</f>
        <v>0</v>
      </c>
      <c r="K7059" s="1" t="str">
        <f t="shared" si="4675"/>
        <v>103</v>
      </c>
      <c r="L7059" s="1" t="str">
        <f t="shared" si="4676"/>
        <v>47</v>
      </c>
      <c r="M7059" s="1" t="str">
        <f t="shared" si="4697"/>
        <v>0</v>
      </c>
      <c r="N7059" s="1" t="str">
        <f t="shared" si="4697"/>
        <v>0</v>
      </c>
      <c r="O7059" s="1" t="str">
        <f>"1.54"</f>
        <v>1.54</v>
      </c>
    </row>
    <row r="7060" s="1" customFormat="1" spans="1:15">
      <c r="A7060" s="1" t="str">
        <f t="shared" si="4672"/>
        <v>202406</v>
      </c>
      <c r="B7060" s="1" t="str">
        <f t="shared" si="4673"/>
        <v>150525100</v>
      </c>
      <c r="C7060" s="1" t="str">
        <f>"1015311612"</f>
        <v>1015311612</v>
      </c>
      <c r="D7060" s="1" t="s">
        <v>6826</v>
      </c>
      <c r="E7060" s="1" t="s">
        <v>6827</v>
      </c>
      <c r="F7060" s="1" t="s">
        <v>25</v>
      </c>
      <c r="G7060" s="1" t="s">
        <v>96</v>
      </c>
      <c r="H7060" s="1" t="str">
        <f t="shared" ref="H7060:H7063" si="4698">"71"</f>
        <v>71</v>
      </c>
      <c r="I7060" s="1" t="str">
        <f t="shared" ref="I7060:I7063" si="4699">"162.57"</f>
        <v>162.57</v>
      </c>
      <c r="J7060" s="1" t="str">
        <f t="shared" ref="J7060:N7060" si="4700">"0"</f>
        <v>0</v>
      </c>
      <c r="K7060" s="1" t="str">
        <f t="shared" si="4675"/>
        <v>103</v>
      </c>
      <c r="L7060" s="1" t="str">
        <f t="shared" si="4676"/>
        <v>47</v>
      </c>
      <c r="M7060" s="1" t="str">
        <f t="shared" si="4700"/>
        <v>0</v>
      </c>
      <c r="N7060" s="1" t="str">
        <f t="shared" si="4700"/>
        <v>0</v>
      </c>
      <c r="O7060" s="1" t="str">
        <f t="shared" ref="O7060:O7063" si="4701">"2.57"</f>
        <v>2.57</v>
      </c>
    </row>
    <row r="7061" s="1" customFormat="1" spans="1:15">
      <c r="A7061" s="1" t="str">
        <f t="shared" si="4672"/>
        <v>202406</v>
      </c>
      <c r="B7061" s="1" t="str">
        <f t="shared" si="4673"/>
        <v>150525100</v>
      </c>
      <c r="C7061" s="1" t="str">
        <f>"1015311632"</f>
        <v>1015311632</v>
      </c>
      <c r="D7061" s="1" t="s">
        <v>6828</v>
      </c>
      <c r="E7061" s="1" t="s">
        <v>6829</v>
      </c>
      <c r="F7061" s="1" t="s">
        <v>25</v>
      </c>
      <c r="G7061" s="1" t="s">
        <v>96</v>
      </c>
      <c r="H7061" s="1" t="str">
        <f t="shared" si="4698"/>
        <v>71</v>
      </c>
      <c r="I7061" s="1" t="str">
        <f>"162.31"</f>
        <v>162.31</v>
      </c>
      <c r="J7061" s="1" t="str">
        <f t="shared" ref="J7061:N7061" si="4702">"0"</f>
        <v>0</v>
      </c>
      <c r="K7061" s="1" t="str">
        <f t="shared" si="4675"/>
        <v>103</v>
      </c>
      <c r="L7061" s="1" t="str">
        <f t="shared" si="4676"/>
        <v>47</v>
      </c>
      <c r="M7061" s="1" t="str">
        <f t="shared" si="4702"/>
        <v>0</v>
      </c>
      <c r="N7061" s="1" t="str">
        <f t="shared" si="4702"/>
        <v>0</v>
      </c>
      <c r="O7061" s="1" t="str">
        <f>"2.31"</f>
        <v>2.31</v>
      </c>
    </row>
    <row r="7062" s="1" customFormat="1" spans="1:15">
      <c r="A7062" s="1" t="str">
        <f t="shared" si="4672"/>
        <v>202406</v>
      </c>
      <c r="B7062" s="1" t="str">
        <f t="shared" si="4673"/>
        <v>150525100</v>
      </c>
      <c r="C7062" s="1" t="str">
        <f>"1015311791"</f>
        <v>1015311791</v>
      </c>
      <c r="D7062" s="1" t="str">
        <f>"152326195311270698"</f>
        <v>152326195311270698</v>
      </c>
      <c r="E7062" s="1" t="s">
        <v>6830</v>
      </c>
      <c r="F7062" s="1" t="s">
        <v>25</v>
      </c>
      <c r="G7062" s="1" t="s">
        <v>17</v>
      </c>
      <c r="H7062" s="1" t="str">
        <f t="shared" si="4698"/>
        <v>71</v>
      </c>
      <c r="I7062" s="1" t="str">
        <f t="shared" si="4699"/>
        <v>162.57</v>
      </c>
      <c r="J7062" s="1" t="str">
        <f t="shared" ref="J7062:N7062" si="4703">"0"</f>
        <v>0</v>
      </c>
      <c r="K7062" s="1" t="str">
        <f t="shared" si="4675"/>
        <v>103</v>
      </c>
      <c r="L7062" s="1" t="str">
        <f t="shared" si="4676"/>
        <v>47</v>
      </c>
      <c r="M7062" s="1" t="str">
        <f t="shared" si="4703"/>
        <v>0</v>
      </c>
      <c r="N7062" s="1" t="str">
        <f t="shared" si="4703"/>
        <v>0</v>
      </c>
      <c r="O7062" s="1" t="str">
        <f t="shared" si="4701"/>
        <v>2.57</v>
      </c>
    </row>
    <row r="7063" s="1" customFormat="1" spans="1:15">
      <c r="A7063" s="1" t="str">
        <f t="shared" si="4672"/>
        <v>202406</v>
      </c>
      <c r="B7063" s="1" t="str">
        <f t="shared" si="4673"/>
        <v>150525100</v>
      </c>
      <c r="C7063" s="1" t="str">
        <f>"1015311795"</f>
        <v>1015311795</v>
      </c>
      <c r="D7063" s="1" t="str">
        <f>"152326195308170661"</f>
        <v>152326195308170661</v>
      </c>
      <c r="E7063" s="1" t="s">
        <v>6831</v>
      </c>
      <c r="F7063" s="1" t="s">
        <v>16</v>
      </c>
      <c r="G7063" s="1" t="s">
        <v>17</v>
      </c>
      <c r="H7063" s="1" t="str">
        <f t="shared" si="4698"/>
        <v>71</v>
      </c>
      <c r="I7063" s="1" t="str">
        <f t="shared" si="4699"/>
        <v>162.57</v>
      </c>
      <c r="J7063" s="1" t="str">
        <f t="shared" ref="J7063:N7063" si="4704">"0"</f>
        <v>0</v>
      </c>
      <c r="K7063" s="1" t="str">
        <f t="shared" si="4675"/>
        <v>103</v>
      </c>
      <c r="L7063" s="1" t="str">
        <f t="shared" si="4676"/>
        <v>47</v>
      </c>
      <c r="M7063" s="1" t="str">
        <f t="shared" si="4704"/>
        <v>0</v>
      </c>
      <c r="N7063" s="1" t="str">
        <f t="shared" si="4704"/>
        <v>0</v>
      </c>
      <c r="O7063" s="1" t="str">
        <f t="shared" si="4701"/>
        <v>2.57</v>
      </c>
    </row>
    <row r="7064" s="1" customFormat="1" spans="1:15">
      <c r="A7064" s="1" t="str">
        <f t="shared" si="4672"/>
        <v>202406</v>
      </c>
      <c r="B7064" s="1" t="str">
        <f t="shared" si="4673"/>
        <v>150525100</v>
      </c>
      <c r="C7064" s="1" t="str">
        <f>"1040675187"</f>
        <v>1040675187</v>
      </c>
      <c r="D7064" s="1" t="str">
        <f>"152326196306293814"</f>
        <v>152326196306293814</v>
      </c>
      <c r="E7064" s="1" t="s">
        <v>6832</v>
      </c>
      <c r="F7064" s="1" t="s">
        <v>25</v>
      </c>
      <c r="G7064" s="1" t="s">
        <v>19</v>
      </c>
      <c r="H7064" s="1" t="str">
        <f>"61"</f>
        <v>61</v>
      </c>
      <c r="I7064" s="1" t="str">
        <f>"163.12"</f>
        <v>163.12</v>
      </c>
      <c r="J7064" s="1" t="str">
        <f t="shared" ref="J7064:N7064" si="4705">"0"</f>
        <v>0</v>
      </c>
      <c r="K7064" s="1" t="str">
        <f t="shared" si="4675"/>
        <v>103</v>
      </c>
      <c r="L7064" s="1" t="str">
        <f t="shared" si="4676"/>
        <v>47</v>
      </c>
      <c r="M7064" s="1" t="str">
        <f t="shared" si="4705"/>
        <v>0</v>
      </c>
      <c r="N7064" s="1" t="str">
        <f t="shared" si="4705"/>
        <v>0</v>
      </c>
      <c r="O7064" s="1" t="str">
        <f>"13.12"</f>
        <v>13.12</v>
      </c>
    </row>
    <row r="7065" s="1" customFormat="1" spans="1:15">
      <c r="A7065" s="1" t="str">
        <f t="shared" si="4672"/>
        <v>202406</v>
      </c>
      <c r="B7065" s="1" t="str">
        <f t="shared" si="4673"/>
        <v>150525100</v>
      </c>
      <c r="C7065" s="1" t="str">
        <f>"1040685995"</f>
        <v>1040685995</v>
      </c>
      <c r="D7065" s="1" t="str">
        <f>"152326195911283070"</f>
        <v>152326195911283070</v>
      </c>
      <c r="E7065" s="1" t="s">
        <v>6833</v>
      </c>
      <c r="F7065" s="1" t="s">
        <v>25</v>
      </c>
      <c r="G7065" s="1" t="s">
        <v>96</v>
      </c>
      <c r="H7065" s="1" t="str">
        <f>"65"</f>
        <v>65</v>
      </c>
      <c r="I7065" s="1" t="str">
        <f>"156.67"</f>
        <v>156.67</v>
      </c>
      <c r="J7065" s="1" t="str">
        <f t="shared" ref="J7065:N7065" si="4706">"0"</f>
        <v>0</v>
      </c>
      <c r="K7065" s="1" t="str">
        <f t="shared" si="4675"/>
        <v>103</v>
      </c>
      <c r="L7065" s="1" t="str">
        <f t="shared" si="4676"/>
        <v>47</v>
      </c>
      <c r="M7065" s="1" t="str">
        <f t="shared" si="4706"/>
        <v>0</v>
      </c>
      <c r="N7065" s="1" t="str">
        <f t="shared" si="4706"/>
        <v>0</v>
      </c>
      <c r="O7065" s="1" t="str">
        <f>"6.67"</f>
        <v>6.67</v>
      </c>
    </row>
    <row r="7066" s="1" customFormat="1" spans="1:15">
      <c r="A7066" s="1" t="str">
        <f t="shared" si="4672"/>
        <v>202406</v>
      </c>
      <c r="B7066" s="1" t="str">
        <f t="shared" si="4673"/>
        <v>150525100</v>
      </c>
      <c r="C7066" s="1" t="str">
        <f>"1040653650"</f>
        <v>1040653650</v>
      </c>
      <c r="D7066" s="1" t="str">
        <f>"152326195508060918"</f>
        <v>152326195508060918</v>
      </c>
      <c r="E7066" s="1" t="s">
        <v>6834</v>
      </c>
      <c r="F7066" s="1" t="s">
        <v>25</v>
      </c>
      <c r="G7066" s="1" t="s">
        <v>19</v>
      </c>
      <c r="H7066" s="1" t="str">
        <f>"69"</f>
        <v>69</v>
      </c>
      <c r="I7066" s="1" t="str">
        <f>"154.51"</f>
        <v>154.51</v>
      </c>
      <c r="J7066" s="1" t="str">
        <f t="shared" ref="J7066:N7066" si="4707">"0"</f>
        <v>0</v>
      </c>
      <c r="K7066" s="1" t="str">
        <f t="shared" si="4675"/>
        <v>103</v>
      </c>
      <c r="L7066" s="1" t="str">
        <f t="shared" si="4676"/>
        <v>47</v>
      </c>
      <c r="M7066" s="1" t="str">
        <f t="shared" si="4707"/>
        <v>0</v>
      </c>
      <c r="N7066" s="1" t="str">
        <f t="shared" si="4707"/>
        <v>0</v>
      </c>
      <c r="O7066" s="1" t="str">
        <f>"4.51"</f>
        <v>4.51</v>
      </c>
    </row>
    <row r="7067" s="1" customFormat="1" spans="1:15">
      <c r="A7067" s="1" t="str">
        <f t="shared" si="4672"/>
        <v>202406</v>
      </c>
      <c r="B7067" s="1" t="str">
        <f t="shared" si="4673"/>
        <v>150525100</v>
      </c>
      <c r="C7067" s="1" t="str">
        <f>"1040647714"</f>
        <v>1040647714</v>
      </c>
      <c r="D7067" s="1" t="str">
        <f>"152326195701160427"</f>
        <v>152326195701160427</v>
      </c>
      <c r="E7067" s="1" t="s">
        <v>6835</v>
      </c>
      <c r="F7067" s="1" t="s">
        <v>16</v>
      </c>
      <c r="G7067" s="1" t="s">
        <v>19</v>
      </c>
      <c r="H7067" s="1" t="str">
        <f>"67"</f>
        <v>67</v>
      </c>
      <c r="I7067" s="1" t="str">
        <f>"156.38"</f>
        <v>156.38</v>
      </c>
      <c r="J7067" s="1" t="str">
        <f t="shared" ref="J7067:N7067" si="4708">"0"</f>
        <v>0</v>
      </c>
      <c r="K7067" s="1" t="str">
        <f t="shared" si="4675"/>
        <v>103</v>
      </c>
      <c r="L7067" s="1" t="str">
        <f t="shared" si="4676"/>
        <v>47</v>
      </c>
      <c r="M7067" s="1" t="str">
        <f t="shared" si="4708"/>
        <v>0</v>
      </c>
      <c r="N7067" s="1" t="str">
        <f t="shared" si="4708"/>
        <v>0</v>
      </c>
      <c r="O7067" s="1" t="str">
        <f>"6.38"</f>
        <v>6.38</v>
      </c>
    </row>
    <row r="7068" s="1" customFormat="1" spans="1:15">
      <c r="A7068" s="1" t="str">
        <f t="shared" si="4672"/>
        <v>202406</v>
      </c>
      <c r="B7068" s="1" t="str">
        <f t="shared" si="4673"/>
        <v>150525100</v>
      </c>
      <c r="C7068" s="1" t="str">
        <f>"1040647718"</f>
        <v>1040647718</v>
      </c>
      <c r="D7068" s="1" t="str">
        <f>"152326195902030418"</f>
        <v>152326195902030418</v>
      </c>
      <c r="E7068" s="1" t="s">
        <v>6836</v>
      </c>
      <c r="F7068" s="1" t="s">
        <v>25</v>
      </c>
      <c r="G7068" s="1" t="s">
        <v>19</v>
      </c>
      <c r="H7068" s="1" t="str">
        <f>"65"</f>
        <v>65</v>
      </c>
      <c r="I7068" s="1" t="str">
        <f>"157.51"</f>
        <v>157.51</v>
      </c>
      <c r="J7068" s="1" t="str">
        <f t="shared" ref="J7068:N7068" si="4709">"0"</f>
        <v>0</v>
      </c>
      <c r="K7068" s="1" t="str">
        <f t="shared" si="4675"/>
        <v>103</v>
      </c>
      <c r="L7068" s="1" t="str">
        <f t="shared" si="4676"/>
        <v>47</v>
      </c>
      <c r="M7068" s="1" t="str">
        <f t="shared" si="4709"/>
        <v>0</v>
      </c>
      <c r="N7068" s="1" t="str">
        <f t="shared" si="4709"/>
        <v>0</v>
      </c>
      <c r="O7068" s="1" t="str">
        <f>"7.51"</f>
        <v>7.51</v>
      </c>
    </row>
    <row r="7069" s="1" customFormat="1" spans="1:15">
      <c r="A7069" s="1" t="str">
        <f t="shared" si="4672"/>
        <v>202406</v>
      </c>
      <c r="B7069" s="1" t="str">
        <f t="shared" si="4673"/>
        <v>150525100</v>
      </c>
      <c r="C7069" s="1" t="str">
        <f>"1040646022"</f>
        <v>1040646022</v>
      </c>
      <c r="D7069" s="1" t="str">
        <f>"152326195603190665"</f>
        <v>152326195603190665</v>
      </c>
      <c r="E7069" s="1" t="s">
        <v>6381</v>
      </c>
      <c r="F7069" s="1" t="s">
        <v>16</v>
      </c>
      <c r="G7069" s="1" t="s">
        <v>19</v>
      </c>
      <c r="H7069" s="1" t="str">
        <f>"68"</f>
        <v>68</v>
      </c>
      <c r="I7069" s="1" t="str">
        <f>"155.43"</f>
        <v>155.43</v>
      </c>
      <c r="J7069" s="1" t="str">
        <f t="shared" ref="J7069:N7069" si="4710">"0"</f>
        <v>0</v>
      </c>
      <c r="K7069" s="1" t="str">
        <f t="shared" si="4675"/>
        <v>103</v>
      </c>
      <c r="L7069" s="1" t="str">
        <f t="shared" si="4676"/>
        <v>47</v>
      </c>
      <c r="M7069" s="1" t="str">
        <f t="shared" si="4710"/>
        <v>0</v>
      </c>
      <c r="N7069" s="1" t="str">
        <f t="shared" si="4710"/>
        <v>0</v>
      </c>
      <c r="O7069" s="1" t="str">
        <f>"5.43"</f>
        <v>5.43</v>
      </c>
    </row>
    <row r="7070" s="1" customFormat="1" spans="1:15">
      <c r="A7070" s="1" t="str">
        <f t="shared" si="4672"/>
        <v>202406</v>
      </c>
      <c r="B7070" s="1" t="str">
        <f t="shared" si="4673"/>
        <v>150525100</v>
      </c>
      <c r="C7070" s="1" t="str">
        <f>"1040646029"</f>
        <v>1040646029</v>
      </c>
      <c r="D7070" s="1" t="str">
        <f>"152326195705170673"</f>
        <v>152326195705170673</v>
      </c>
      <c r="E7070" s="1" t="s">
        <v>6837</v>
      </c>
      <c r="F7070" s="1" t="s">
        <v>25</v>
      </c>
      <c r="G7070" s="1" t="s">
        <v>17</v>
      </c>
      <c r="H7070" s="1" t="str">
        <f>"67"</f>
        <v>67</v>
      </c>
      <c r="I7070" s="1" t="str">
        <f>"155.48"</f>
        <v>155.48</v>
      </c>
      <c r="J7070" s="1" t="str">
        <f t="shared" ref="J7070:N7070" si="4711">"0"</f>
        <v>0</v>
      </c>
      <c r="K7070" s="1" t="str">
        <f t="shared" si="4675"/>
        <v>103</v>
      </c>
      <c r="L7070" s="1" t="str">
        <f t="shared" si="4676"/>
        <v>47</v>
      </c>
      <c r="M7070" s="1" t="str">
        <f t="shared" si="4711"/>
        <v>0</v>
      </c>
      <c r="N7070" s="1" t="str">
        <f t="shared" si="4711"/>
        <v>0</v>
      </c>
      <c r="O7070" s="1" t="str">
        <f>"5.48"</f>
        <v>5.48</v>
      </c>
    </row>
    <row r="7071" s="1" customFormat="1" spans="1:15">
      <c r="A7071" s="1" t="str">
        <f t="shared" si="4672"/>
        <v>202406</v>
      </c>
      <c r="B7071" s="1" t="str">
        <f t="shared" si="4673"/>
        <v>150525100</v>
      </c>
      <c r="C7071" s="1" t="str">
        <f>"1040646041"</f>
        <v>1040646041</v>
      </c>
      <c r="D7071" s="1" t="str">
        <f>"152326196002160676"</f>
        <v>152326196002160676</v>
      </c>
      <c r="E7071" s="1" t="s">
        <v>6838</v>
      </c>
      <c r="F7071" s="1" t="s">
        <v>25</v>
      </c>
      <c r="G7071" s="1" t="s">
        <v>17</v>
      </c>
      <c r="H7071" s="1" t="str">
        <f>"64"</f>
        <v>64</v>
      </c>
      <c r="I7071" s="1" t="str">
        <f>"158.57"</f>
        <v>158.57</v>
      </c>
      <c r="J7071" s="1" t="str">
        <f t="shared" ref="J7071:N7071" si="4712">"0"</f>
        <v>0</v>
      </c>
      <c r="K7071" s="1" t="str">
        <f t="shared" si="4675"/>
        <v>103</v>
      </c>
      <c r="L7071" s="1" t="str">
        <f t="shared" si="4676"/>
        <v>47</v>
      </c>
      <c r="M7071" s="1" t="str">
        <f t="shared" si="4712"/>
        <v>0</v>
      </c>
      <c r="N7071" s="1" t="str">
        <f t="shared" si="4712"/>
        <v>0</v>
      </c>
      <c r="O7071" s="1" t="str">
        <f>"8.57"</f>
        <v>8.57</v>
      </c>
    </row>
    <row r="7072" s="1" customFormat="1" spans="1:15">
      <c r="A7072" s="1" t="str">
        <f t="shared" si="4672"/>
        <v>202406</v>
      </c>
      <c r="B7072" s="1" t="str">
        <f t="shared" si="4673"/>
        <v>150525100</v>
      </c>
      <c r="C7072" s="1" t="str">
        <f>"1040646061"</f>
        <v>1040646061</v>
      </c>
      <c r="D7072" s="1" t="str">
        <f>"152326196402050679"</f>
        <v>152326196402050679</v>
      </c>
      <c r="E7072" s="1" t="s">
        <v>6839</v>
      </c>
      <c r="F7072" s="1" t="s">
        <v>25</v>
      </c>
      <c r="G7072" s="1" t="s">
        <v>17</v>
      </c>
      <c r="H7072" s="1" t="str">
        <f>"60"</f>
        <v>60</v>
      </c>
      <c r="I7072" s="1" t="str">
        <f>"166.29"</f>
        <v>166.29</v>
      </c>
      <c r="J7072" s="1" t="str">
        <f t="shared" ref="J7072:N7072" si="4713">"0"</f>
        <v>0</v>
      </c>
      <c r="K7072" s="1" t="str">
        <f t="shared" si="4675"/>
        <v>103</v>
      </c>
      <c r="L7072" s="1" t="str">
        <f t="shared" si="4676"/>
        <v>47</v>
      </c>
      <c r="M7072" s="1" t="str">
        <f t="shared" si="4713"/>
        <v>0</v>
      </c>
      <c r="N7072" s="1" t="str">
        <f t="shared" si="4713"/>
        <v>0</v>
      </c>
      <c r="O7072" s="1" t="str">
        <f>"16.29"</f>
        <v>16.29</v>
      </c>
    </row>
    <row r="7073" s="1" customFormat="1" spans="1:15">
      <c r="A7073" s="1" t="str">
        <f t="shared" si="4672"/>
        <v>202406</v>
      </c>
      <c r="B7073" s="1" t="str">
        <f t="shared" si="4673"/>
        <v>150525100</v>
      </c>
      <c r="C7073" s="1" t="str">
        <f>"1040686000"</f>
        <v>1040686000</v>
      </c>
      <c r="D7073" s="1" t="str">
        <f>"152326196209193088"</f>
        <v>152326196209193088</v>
      </c>
      <c r="E7073" s="1" t="s">
        <v>6840</v>
      </c>
      <c r="F7073" s="1" t="s">
        <v>16</v>
      </c>
      <c r="G7073" s="1" t="s">
        <v>17</v>
      </c>
      <c r="H7073" s="1" t="str">
        <f>"62"</f>
        <v>62</v>
      </c>
      <c r="I7073" s="1" t="str">
        <f>"161.51"</f>
        <v>161.51</v>
      </c>
      <c r="J7073" s="1" t="str">
        <f t="shared" ref="J7073:N7073" si="4714">"0"</f>
        <v>0</v>
      </c>
      <c r="K7073" s="1" t="str">
        <f t="shared" si="4675"/>
        <v>103</v>
      </c>
      <c r="L7073" s="1" t="str">
        <f t="shared" si="4676"/>
        <v>47</v>
      </c>
      <c r="M7073" s="1" t="str">
        <f t="shared" si="4714"/>
        <v>0</v>
      </c>
      <c r="N7073" s="1" t="str">
        <f t="shared" si="4714"/>
        <v>0</v>
      </c>
      <c r="O7073" s="1" t="str">
        <f>"11.51"</f>
        <v>11.51</v>
      </c>
    </row>
    <row r="7074" s="1" customFormat="1" spans="1:15">
      <c r="A7074" s="1" t="str">
        <f t="shared" si="4672"/>
        <v>202406</v>
      </c>
      <c r="B7074" s="1" t="str">
        <f t="shared" si="4673"/>
        <v>150525100</v>
      </c>
      <c r="C7074" s="1" t="str">
        <f>"1040727957"</f>
        <v>1040727957</v>
      </c>
      <c r="D7074" s="1" t="str">
        <f>"152326195601290670"</f>
        <v>152326195601290670</v>
      </c>
      <c r="E7074" s="1" t="s">
        <v>6841</v>
      </c>
      <c r="F7074" s="1" t="s">
        <v>25</v>
      </c>
      <c r="G7074" s="1" t="s">
        <v>17</v>
      </c>
      <c r="H7074" s="1" t="str">
        <f>"68"</f>
        <v>68</v>
      </c>
      <c r="I7074" s="1" t="str">
        <f>"154.54"</f>
        <v>154.54</v>
      </c>
      <c r="J7074" s="1" t="str">
        <f t="shared" ref="J7074:N7074" si="4715">"0"</f>
        <v>0</v>
      </c>
      <c r="K7074" s="1" t="str">
        <f t="shared" si="4675"/>
        <v>103</v>
      </c>
      <c r="L7074" s="1" t="str">
        <f t="shared" si="4676"/>
        <v>47</v>
      </c>
      <c r="M7074" s="1" t="str">
        <f t="shared" si="4715"/>
        <v>0</v>
      </c>
      <c r="N7074" s="1" t="str">
        <f t="shared" si="4715"/>
        <v>0</v>
      </c>
      <c r="O7074" s="1" t="str">
        <f>"4.54"</f>
        <v>4.54</v>
      </c>
    </row>
    <row r="7075" s="1" customFormat="1" spans="1:15">
      <c r="A7075" s="1" t="str">
        <f t="shared" si="4672"/>
        <v>202406</v>
      </c>
      <c r="B7075" s="1" t="str">
        <f t="shared" si="4673"/>
        <v>150525100</v>
      </c>
      <c r="C7075" s="1" t="str">
        <f>"1040656101"</f>
        <v>1040656101</v>
      </c>
      <c r="D7075" s="1" t="str">
        <f>"152326196310180425"</f>
        <v>152326196310180425</v>
      </c>
      <c r="E7075" s="1" t="s">
        <v>6842</v>
      </c>
      <c r="F7075" s="1" t="s">
        <v>16</v>
      </c>
      <c r="G7075" s="1" t="s">
        <v>19</v>
      </c>
      <c r="H7075" s="1" t="str">
        <f>"61"</f>
        <v>61</v>
      </c>
      <c r="I7075" s="1" t="str">
        <f>"980.58"</f>
        <v>980.58</v>
      </c>
      <c r="J7075" s="1" t="str">
        <f>"817.15"</f>
        <v>817.15</v>
      </c>
      <c r="K7075" s="1" t="str">
        <f>"618"</f>
        <v>618</v>
      </c>
      <c r="L7075" s="1" t="str">
        <f>"282"</f>
        <v>282</v>
      </c>
      <c r="M7075" s="1" t="str">
        <f>"0"</f>
        <v>0</v>
      </c>
      <c r="N7075" s="1" t="str">
        <f>"0"</f>
        <v>0</v>
      </c>
      <c r="O7075" s="1" t="str">
        <f>"80.58"</f>
        <v>80.58</v>
      </c>
    </row>
    <row r="7076" s="1" customFormat="1" spans="1:15">
      <c r="A7076" s="1" t="str">
        <f t="shared" si="4672"/>
        <v>202406</v>
      </c>
      <c r="B7076" s="1" t="str">
        <f t="shared" si="4673"/>
        <v>150525100</v>
      </c>
      <c r="C7076" s="1" t="str">
        <f>"1040647196"</f>
        <v>1040647196</v>
      </c>
      <c r="D7076" s="1" t="str">
        <f>"152326195502100421"</f>
        <v>152326195502100421</v>
      </c>
      <c r="E7076" s="1" t="s">
        <v>6843</v>
      </c>
      <c r="F7076" s="1" t="s">
        <v>16</v>
      </c>
      <c r="G7076" s="1" t="s">
        <v>17</v>
      </c>
      <c r="H7076" s="1" t="str">
        <f>"69"</f>
        <v>69</v>
      </c>
      <c r="I7076" s="1" t="str">
        <f>"154.51"</f>
        <v>154.51</v>
      </c>
      <c r="J7076" s="1" t="str">
        <f t="shared" ref="J7076:N7076" si="4716">"0"</f>
        <v>0</v>
      </c>
      <c r="K7076" s="1" t="str">
        <f t="shared" ref="K7076:K7104" si="4717">"103"</f>
        <v>103</v>
      </c>
      <c r="L7076" s="1" t="str">
        <f t="shared" ref="L7076:L7104" si="4718">"47"</f>
        <v>47</v>
      </c>
      <c r="M7076" s="1" t="str">
        <f t="shared" si="4716"/>
        <v>0</v>
      </c>
      <c r="N7076" s="1" t="str">
        <f t="shared" si="4716"/>
        <v>0</v>
      </c>
      <c r="O7076" s="1" t="str">
        <f>"4.51"</f>
        <v>4.51</v>
      </c>
    </row>
    <row r="7077" s="1" customFormat="1" spans="1:15">
      <c r="A7077" s="1" t="str">
        <f t="shared" si="4672"/>
        <v>202406</v>
      </c>
      <c r="B7077" s="1" t="str">
        <f t="shared" si="4673"/>
        <v>150525100</v>
      </c>
      <c r="C7077" s="1" t="str">
        <f>"1040641868"</f>
        <v>1040641868</v>
      </c>
      <c r="D7077" s="1" t="str">
        <f>"152326195910053345"</f>
        <v>152326195910053345</v>
      </c>
      <c r="E7077" s="1" t="s">
        <v>6844</v>
      </c>
      <c r="F7077" s="1" t="s">
        <v>16</v>
      </c>
      <c r="G7077" s="1" t="s">
        <v>19</v>
      </c>
      <c r="H7077" s="1" t="str">
        <f>"65"</f>
        <v>65</v>
      </c>
      <c r="I7077" s="1" t="str">
        <f>"156.65"</f>
        <v>156.65</v>
      </c>
      <c r="J7077" s="1" t="str">
        <f t="shared" ref="J7077:N7077" si="4719">"0"</f>
        <v>0</v>
      </c>
      <c r="K7077" s="1" t="str">
        <f t="shared" si="4717"/>
        <v>103</v>
      </c>
      <c r="L7077" s="1" t="str">
        <f t="shared" si="4718"/>
        <v>47</v>
      </c>
      <c r="M7077" s="1" t="str">
        <f t="shared" si="4719"/>
        <v>0</v>
      </c>
      <c r="N7077" s="1" t="str">
        <f t="shared" si="4719"/>
        <v>0</v>
      </c>
      <c r="O7077" s="1" t="str">
        <f>"6.65"</f>
        <v>6.65</v>
      </c>
    </row>
    <row r="7078" s="1" customFormat="1" spans="1:15">
      <c r="A7078" s="1" t="str">
        <f t="shared" si="4672"/>
        <v>202406</v>
      </c>
      <c r="B7078" s="1" t="str">
        <f t="shared" si="4673"/>
        <v>150525100</v>
      </c>
      <c r="C7078" s="1" t="str">
        <f>"1040641844"</f>
        <v>1040641844</v>
      </c>
      <c r="D7078" s="1" t="str">
        <f>"152326195502113310"</f>
        <v>152326195502113310</v>
      </c>
      <c r="E7078" s="1" t="s">
        <v>6845</v>
      </c>
      <c r="F7078" s="1" t="s">
        <v>25</v>
      </c>
      <c r="G7078" s="1" t="s">
        <v>19</v>
      </c>
      <c r="H7078" s="1" t="str">
        <f>"69"</f>
        <v>69</v>
      </c>
      <c r="I7078" s="1" t="str">
        <f>"153.6"</f>
        <v>153.6</v>
      </c>
      <c r="J7078" s="1" t="str">
        <f t="shared" ref="J7078:N7078" si="4720">"0"</f>
        <v>0</v>
      </c>
      <c r="K7078" s="1" t="str">
        <f t="shared" si="4717"/>
        <v>103</v>
      </c>
      <c r="L7078" s="1" t="str">
        <f t="shared" si="4718"/>
        <v>47</v>
      </c>
      <c r="M7078" s="1" t="str">
        <f t="shared" si="4720"/>
        <v>0</v>
      </c>
      <c r="N7078" s="1" t="str">
        <f t="shared" si="4720"/>
        <v>0</v>
      </c>
      <c r="O7078" s="1" t="str">
        <f>"3.6"</f>
        <v>3.6</v>
      </c>
    </row>
    <row r="7079" s="1" customFormat="1" spans="1:15">
      <c r="A7079" s="1" t="str">
        <f t="shared" si="4672"/>
        <v>202406</v>
      </c>
      <c r="B7079" s="1" t="str">
        <f t="shared" si="4673"/>
        <v>150525100</v>
      </c>
      <c r="C7079" s="1" t="str">
        <f>"1040760445"</f>
        <v>1040760445</v>
      </c>
      <c r="D7079" s="1" t="str">
        <f>"152326195404240674"</f>
        <v>152326195404240674</v>
      </c>
      <c r="E7079" s="1" t="s">
        <v>6846</v>
      </c>
      <c r="F7079" s="1" t="s">
        <v>25</v>
      </c>
      <c r="G7079" s="1" t="s">
        <v>19</v>
      </c>
      <c r="H7079" s="1" t="str">
        <f>"70"</f>
        <v>70</v>
      </c>
      <c r="I7079" s="1" t="str">
        <f>"162.88"</f>
        <v>162.88</v>
      </c>
      <c r="J7079" s="1" t="str">
        <f t="shared" ref="J7079:N7079" si="4721">"0"</f>
        <v>0</v>
      </c>
      <c r="K7079" s="1" t="str">
        <f t="shared" si="4717"/>
        <v>103</v>
      </c>
      <c r="L7079" s="1" t="str">
        <f t="shared" si="4718"/>
        <v>47</v>
      </c>
      <c r="M7079" s="1" t="str">
        <f t="shared" si="4721"/>
        <v>0</v>
      </c>
      <c r="N7079" s="1" t="str">
        <f t="shared" si="4721"/>
        <v>0</v>
      </c>
      <c r="O7079" s="1" t="str">
        <f>"2.88"</f>
        <v>2.88</v>
      </c>
    </row>
    <row r="7080" s="1" customFormat="1" spans="1:15">
      <c r="A7080" s="1" t="str">
        <f t="shared" si="4672"/>
        <v>202406</v>
      </c>
      <c r="B7080" s="1" t="str">
        <f t="shared" si="4673"/>
        <v>150525100</v>
      </c>
      <c r="C7080" s="1" t="str">
        <f>"1040760929"</f>
        <v>1040760929</v>
      </c>
      <c r="D7080" s="1" t="str">
        <f>"152326196304270440"</f>
        <v>152326196304270440</v>
      </c>
      <c r="E7080" s="1" t="s">
        <v>6847</v>
      </c>
      <c r="F7080" s="1" t="s">
        <v>16</v>
      </c>
      <c r="G7080" s="1" t="s">
        <v>17</v>
      </c>
      <c r="H7080" s="1" t="str">
        <f>"61"</f>
        <v>61</v>
      </c>
      <c r="I7080" s="1" t="str">
        <f>"612.72"</f>
        <v>612.72</v>
      </c>
      <c r="J7080" s="1" t="str">
        <f t="shared" ref="J7080:N7080" si="4722">"0"</f>
        <v>0</v>
      </c>
      <c r="K7080" s="1" t="str">
        <f t="shared" si="4717"/>
        <v>103</v>
      </c>
      <c r="L7080" s="1" t="str">
        <f t="shared" si="4718"/>
        <v>47</v>
      </c>
      <c r="M7080" s="1" t="str">
        <f t="shared" si="4722"/>
        <v>0</v>
      </c>
      <c r="N7080" s="1" t="str">
        <f t="shared" si="4722"/>
        <v>0</v>
      </c>
      <c r="O7080" s="1" t="str">
        <f>"462.72"</f>
        <v>462.72</v>
      </c>
    </row>
    <row r="7081" s="1" customFormat="1" spans="1:15">
      <c r="A7081" s="1" t="str">
        <f t="shared" si="4672"/>
        <v>202406</v>
      </c>
      <c r="B7081" s="1" t="str">
        <f t="shared" si="4673"/>
        <v>150525100</v>
      </c>
      <c r="C7081" s="1" t="str">
        <f>"1040647239"</f>
        <v>1040647239</v>
      </c>
      <c r="D7081" s="1" t="str">
        <f>"152326196212290428"</f>
        <v>152326196212290428</v>
      </c>
      <c r="E7081" s="1" t="s">
        <v>6848</v>
      </c>
      <c r="F7081" s="1" t="s">
        <v>16</v>
      </c>
      <c r="G7081" s="1" t="s">
        <v>19</v>
      </c>
      <c r="H7081" s="1" t="str">
        <f>"62"</f>
        <v>62</v>
      </c>
      <c r="I7081" s="1" t="str">
        <f>"162.54"</f>
        <v>162.54</v>
      </c>
      <c r="J7081" s="1" t="str">
        <f t="shared" ref="J7081:N7081" si="4723">"0"</f>
        <v>0</v>
      </c>
      <c r="K7081" s="1" t="str">
        <f t="shared" si="4717"/>
        <v>103</v>
      </c>
      <c r="L7081" s="1" t="str">
        <f t="shared" si="4718"/>
        <v>47</v>
      </c>
      <c r="M7081" s="1" t="str">
        <f t="shared" si="4723"/>
        <v>0</v>
      </c>
      <c r="N7081" s="1" t="str">
        <f t="shared" si="4723"/>
        <v>0</v>
      </c>
      <c r="O7081" s="1" t="str">
        <f>"12.54"</f>
        <v>12.54</v>
      </c>
    </row>
    <row r="7082" s="1" customFormat="1" spans="1:15">
      <c r="A7082" s="1" t="str">
        <f t="shared" si="4672"/>
        <v>202406</v>
      </c>
      <c r="B7082" s="1" t="str">
        <f t="shared" si="4673"/>
        <v>150525100</v>
      </c>
      <c r="C7082" s="1" t="str">
        <f>"1040647256"</f>
        <v>1040647256</v>
      </c>
      <c r="D7082" s="1" t="str">
        <f>"152326195708260420"</f>
        <v>152326195708260420</v>
      </c>
      <c r="E7082" s="1" t="s">
        <v>6849</v>
      </c>
      <c r="F7082" s="1" t="s">
        <v>16</v>
      </c>
      <c r="G7082" s="1" t="s">
        <v>19</v>
      </c>
      <c r="H7082" s="1" t="str">
        <f>"67"</f>
        <v>67</v>
      </c>
      <c r="I7082" s="1" t="str">
        <f>"155.49"</f>
        <v>155.49</v>
      </c>
      <c r="J7082" s="1" t="str">
        <f t="shared" ref="J7082:N7082" si="4724">"0"</f>
        <v>0</v>
      </c>
      <c r="K7082" s="1" t="str">
        <f t="shared" si="4717"/>
        <v>103</v>
      </c>
      <c r="L7082" s="1" t="str">
        <f t="shared" si="4718"/>
        <v>47</v>
      </c>
      <c r="M7082" s="1" t="str">
        <f t="shared" si="4724"/>
        <v>0</v>
      </c>
      <c r="N7082" s="1" t="str">
        <f t="shared" si="4724"/>
        <v>0</v>
      </c>
      <c r="O7082" s="1" t="str">
        <f>"5.49"</f>
        <v>5.49</v>
      </c>
    </row>
    <row r="7083" s="1" customFormat="1" spans="1:15">
      <c r="A7083" s="1" t="str">
        <f t="shared" si="4672"/>
        <v>202406</v>
      </c>
      <c r="B7083" s="1" t="str">
        <f t="shared" si="4673"/>
        <v>150525100</v>
      </c>
      <c r="C7083" s="1" t="str">
        <f>"1040647318"</f>
        <v>1040647318</v>
      </c>
      <c r="D7083" s="1" t="str">
        <f>"152326195503233824"</f>
        <v>152326195503233824</v>
      </c>
      <c r="E7083" s="1" t="s">
        <v>6850</v>
      </c>
      <c r="F7083" s="1" t="s">
        <v>16</v>
      </c>
      <c r="G7083" s="1" t="s">
        <v>19</v>
      </c>
      <c r="H7083" s="1" t="str">
        <f>"69"</f>
        <v>69</v>
      </c>
      <c r="I7083" s="1" t="str">
        <f>"154.51"</f>
        <v>154.51</v>
      </c>
      <c r="J7083" s="1" t="str">
        <f t="shared" ref="J7083:N7083" si="4725">"0"</f>
        <v>0</v>
      </c>
      <c r="K7083" s="1" t="str">
        <f t="shared" si="4717"/>
        <v>103</v>
      </c>
      <c r="L7083" s="1" t="str">
        <f t="shared" si="4718"/>
        <v>47</v>
      </c>
      <c r="M7083" s="1" t="str">
        <f t="shared" si="4725"/>
        <v>0</v>
      </c>
      <c r="N7083" s="1" t="str">
        <f t="shared" si="4725"/>
        <v>0</v>
      </c>
      <c r="O7083" s="1" t="str">
        <f>"4.51"</f>
        <v>4.51</v>
      </c>
    </row>
    <row r="7084" s="1" customFormat="1" spans="1:15">
      <c r="A7084" s="1" t="str">
        <f t="shared" si="4672"/>
        <v>202406</v>
      </c>
      <c r="B7084" s="1" t="str">
        <f t="shared" si="4673"/>
        <v>150525100</v>
      </c>
      <c r="C7084" s="1" t="str">
        <f>"1040735020"</f>
        <v>1040735020</v>
      </c>
      <c r="D7084" s="1" t="str">
        <f>"152326195612030671"</f>
        <v>152326195612030671</v>
      </c>
      <c r="E7084" s="1" t="s">
        <v>6851</v>
      </c>
      <c r="F7084" s="1" t="s">
        <v>25</v>
      </c>
      <c r="G7084" s="1" t="s">
        <v>17</v>
      </c>
      <c r="H7084" s="1" t="str">
        <f>"68"</f>
        <v>68</v>
      </c>
      <c r="I7084" s="1" t="str">
        <f>"154.54"</f>
        <v>154.54</v>
      </c>
      <c r="J7084" s="1" t="str">
        <f t="shared" ref="J7084:N7084" si="4726">"0"</f>
        <v>0</v>
      </c>
      <c r="K7084" s="1" t="str">
        <f t="shared" si="4717"/>
        <v>103</v>
      </c>
      <c r="L7084" s="1" t="str">
        <f t="shared" si="4718"/>
        <v>47</v>
      </c>
      <c r="M7084" s="1" t="str">
        <f t="shared" si="4726"/>
        <v>0</v>
      </c>
      <c r="N7084" s="1" t="str">
        <f t="shared" si="4726"/>
        <v>0</v>
      </c>
      <c r="O7084" s="1" t="str">
        <f>"4.54"</f>
        <v>4.54</v>
      </c>
    </row>
    <row r="7085" s="1" customFormat="1" spans="1:15">
      <c r="A7085" s="1" t="str">
        <f t="shared" si="4672"/>
        <v>202406</v>
      </c>
      <c r="B7085" s="1" t="str">
        <f t="shared" si="4673"/>
        <v>150525100</v>
      </c>
      <c r="C7085" s="1" t="str">
        <f>"1040675195"</f>
        <v>1040675195</v>
      </c>
      <c r="D7085" s="1" t="str">
        <f>"152326195709123815"</f>
        <v>152326195709123815</v>
      </c>
      <c r="E7085" s="1" t="s">
        <v>6852</v>
      </c>
      <c r="F7085" s="1" t="s">
        <v>25</v>
      </c>
      <c r="G7085" s="1" t="s">
        <v>19</v>
      </c>
      <c r="H7085" s="1" t="str">
        <f>"67"</f>
        <v>67</v>
      </c>
      <c r="I7085" s="1" t="str">
        <f>"154.61"</f>
        <v>154.61</v>
      </c>
      <c r="J7085" s="1" t="str">
        <f t="shared" ref="J7085:N7085" si="4727">"0"</f>
        <v>0</v>
      </c>
      <c r="K7085" s="1" t="str">
        <f t="shared" si="4717"/>
        <v>103</v>
      </c>
      <c r="L7085" s="1" t="str">
        <f t="shared" si="4718"/>
        <v>47</v>
      </c>
      <c r="M7085" s="1" t="str">
        <f t="shared" si="4727"/>
        <v>0</v>
      </c>
      <c r="N7085" s="1" t="str">
        <f t="shared" si="4727"/>
        <v>0</v>
      </c>
      <c r="O7085" s="1" t="str">
        <f>"4.61"</f>
        <v>4.61</v>
      </c>
    </row>
    <row r="7086" s="1" customFormat="1" spans="1:15">
      <c r="A7086" s="1" t="str">
        <f t="shared" si="4672"/>
        <v>202406</v>
      </c>
      <c r="B7086" s="1" t="str">
        <f t="shared" si="4673"/>
        <v>150525100</v>
      </c>
      <c r="C7086" s="1" t="str">
        <f>"1040644372"</f>
        <v>1040644372</v>
      </c>
      <c r="D7086" s="1" t="str">
        <f>"152326196103046389"</f>
        <v>152326196103046389</v>
      </c>
      <c r="E7086" s="1" t="s">
        <v>6853</v>
      </c>
      <c r="F7086" s="1" t="s">
        <v>16</v>
      </c>
      <c r="G7086" s="1" t="s">
        <v>17</v>
      </c>
      <c r="H7086" s="1" t="str">
        <f>"63"</f>
        <v>63</v>
      </c>
      <c r="I7086" s="1" t="str">
        <f>"159.45"</f>
        <v>159.45</v>
      </c>
      <c r="J7086" s="1" t="str">
        <f t="shared" ref="J7086:N7086" si="4728">"0"</f>
        <v>0</v>
      </c>
      <c r="K7086" s="1" t="str">
        <f t="shared" si="4717"/>
        <v>103</v>
      </c>
      <c r="L7086" s="1" t="str">
        <f t="shared" si="4718"/>
        <v>47</v>
      </c>
      <c r="M7086" s="1" t="str">
        <f t="shared" si="4728"/>
        <v>0</v>
      </c>
      <c r="N7086" s="1" t="str">
        <f t="shared" si="4728"/>
        <v>0</v>
      </c>
      <c r="O7086" s="1" t="str">
        <f>"9.45"</f>
        <v>9.45</v>
      </c>
    </row>
    <row r="7087" s="1" customFormat="1" spans="1:15">
      <c r="A7087" s="1" t="str">
        <f t="shared" si="4672"/>
        <v>202406</v>
      </c>
      <c r="B7087" s="1" t="str">
        <f t="shared" si="4673"/>
        <v>150525100</v>
      </c>
      <c r="C7087" s="1" t="str">
        <f>"1040646536"</f>
        <v>1040646536</v>
      </c>
      <c r="D7087" s="1" t="str">
        <f>"152326196201170674"</f>
        <v>152326196201170674</v>
      </c>
      <c r="E7087" s="1" t="s">
        <v>6854</v>
      </c>
      <c r="F7087" s="1" t="s">
        <v>25</v>
      </c>
      <c r="G7087" s="1" t="s">
        <v>17</v>
      </c>
      <c r="H7087" s="1" t="str">
        <f>"62"</f>
        <v>62</v>
      </c>
      <c r="I7087" s="1" t="str">
        <f>"162.25"</f>
        <v>162.25</v>
      </c>
      <c r="J7087" s="1" t="str">
        <f t="shared" ref="J7087:N7087" si="4729">"0"</f>
        <v>0</v>
      </c>
      <c r="K7087" s="1" t="str">
        <f t="shared" si="4717"/>
        <v>103</v>
      </c>
      <c r="L7087" s="1" t="str">
        <f t="shared" si="4718"/>
        <v>47</v>
      </c>
      <c r="M7087" s="1" t="str">
        <f t="shared" si="4729"/>
        <v>0</v>
      </c>
      <c r="N7087" s="1" t="str">
        <f t="shared" si="4729"/>
        <v>0</v>
      </c>
      <c r="O7087" s="1" t="str">
        <f>"12.25"</f>
        <v>12.25</v>
      </c>
    </row>
    <row r="7088" s="1" customFormat="1" spans="1:15">
      <c r="A7088" s="1" t="str">
        <f t="shared" si="4672"/>
        <v>202406</v>
      </c>
      <c r="B7088" s="1" t="str">
        <f t="shared" si="4673"/>
        <v>150525100</v>
      </c>
      <c r="C7088" s="1" t="str">
        <f>"1040646579"</f>
        <v>1040646579</v>
      </c>
      <c r="D7088" s="1" t="str">
        <f>"152326196110110668"</f>
        <v>152326196110110668</v>
      </c>
      <c r="E7088" s="1" t="s">
        <v>6855</v>
      </c>
      <c r="F7088" s="1" t="s">
        <v>16</v>
      </c>
      <c r="G7088" s="1" t="s">
        <v>17</v>
      </c>
      <c r="H7088" s="1" t="str">
        <f>"63"</f>
        <v>63</v>
      </c>
      <c r="I7088" s="1" t="str">
        <f>"160.48"</f>
        <v>160.48</v>
      </c>
      <c r="J7088" s="1" t="str">
        <f t="shared" ref="J7088:N7088" si="4730">"0"</f>
        <v>0</v>
      </c>
      <c r="K7088" s="1" t="str">
        <f t="shared" si="4717"/>
        <v>103</v>
      </c>
      <c r="L7088" s="1" t="str">
        <f t="shared" si="4718"/>
        <v>47</v>
      </c>
      <c r="M7088" s="1" t="str">
        <f t="shared" si="4730"/>
        <v>0</v>
      </c>
      <c r="N7088" s="1" t="str">
        <f t="shared" si="4730"/>
        <v>0</v>
      </c>
      <c r="O7088" s="1" t="str">
        <f>"10.48"</f>
        <v>10.48</v>
      </c>
    </row>
    <row r="7089" s="1" customFormat="1" spans="1:15">
      <c r="A7089" s="1" t="str">
        <f t="shared" si="4672"/>
        <v>202406</v>
      </c>
      <c r="B7089" s="1" t="str">
        <f t="shared" si="4673"/>
        <v>150525100</v>
      </c>
      <c r="C7089" s="1" t="str">
        <f>"1040646582"</f>
        <v>1040646582</v>
      </c>
      <c r="D7089" s="1" t="str">
        <f>"152326195905160664"</f>
        <v>152326195905160664</v>
      </c>
      <c r="E7089" s="1" t="s">
        <v>6856</v>
      </c>
      <c r="F7089" s="1" t="s">
        <v>16</v>
      </c>
      <c r="G7089" s="1" t="s">
        <v>17</v>
      </c>
      <c r="H7089" s="1" t="str">
        <f>"65"</f>
        <v>65</v>
      </c>
      <c r="I7089" s="1" t="str">
        <f>"158.44"</f>
        <v>158.44</v>
      </c>
      <c r="J7089" s="1" t="str">
        <f t="shared" ref="J7089:N7089" si="4731">"0"</f>
        <v>0</v>
      </c>
      <c r="K7089" s="1" t="str">
        <f t="shared" si="4717"/>
        <v>103</v>
      </c>
      <c r="L7089" s="1" t="str">
        <f t="shared" si="4718"/>
        <v>47</v>
      </c>
      <c r="M7089" s="1" t="str">
        <f t="shared" si="4731"/>
        <v>0</v>
      </c>
      <c r="N7089" s="1" t="str">
        <f t="shared" si="4731"/>
        <v>0</v>
      </c>
      <c r="O7089" s="1" t="str">
        <f>"8.44"</f>
        <v>8.44</v>
      </c>
    </row>
    <row r="7090" s="1" customFormat="1" spans="1:15">
      <c r="A7090" s="1" t="str">
        <f t="shared" si="4672"/>
        <v>202406</v>
      </c>
      <c r="B7090" s="1" t="str">
        <f t="shared" si="4673"/>
        <v>150525100</v>
      </c>
      <c r="C7090" s="1" t="str">
        <f>"1040647864"</f>
        <v>1040647864</v>
      </c>
      <c r="D7090" s="1" t="str">
        <f>"152326195805250662"</f>
        <v>152326195805250662</v>
      </c>
      <c r="E7090" s="1" t="s">
        <v>6857</v>
      </c>
      <c r="F7090" s="1" t="s">
        <v>16</v>
      </c>
      <c r="G7090" s="1" t="s">
        <v>19</v>
      </c>
      <c r="H7090" s="1" t="str">
        <f>"66"</f>
        <v>66</v>
      </c>
      <c r="I7090" s="1" t="str">
        <f>"156.5"</f>
        <v>156.5</v>
      </c>
      <c r="J7090" s="1" t="str">
        <f t="shared" ref="J7090:N7090" si="4732">"0"</f>
        <v>0</v>
      </c>
      <c r="K7090" s="1" t="str">
        <f t="shared" si="4717"/>
        <v>103</v>
      </c>
      <c r="L7090" s="1" t="str">
        <f t="shared" si="4718"/>
        <v>47</v>
      </c>
      <c r="M7090" s="1" t="str">
        <f t="shared" si="4732"/>
        <v>0</v>
      </c>
      <c r="N7090" s="1" t="str">
        <f t="shared" si="4732"/>
        <v>0</v>
      </c>
      <c r="O7090" s="1" t="str">
        <f>"6.5"</f>
        <v>6.5</v>
      </c>
    </row>
    <row r="7091" s="1" customFormat="1" spans="1:15">
      <c r="A7091" s="1" t="str">
        <f t="shared" si="4672"/>
        <v>202406</v>
      </c>
      <c r="B7091" s="1" t="str">
        <f t="shared" si="4673"/>
        <v>150525100</v>
      </c>
      <c r="C7091" s="1" t="str">
        <f>"1040647867"</f>
        <v>1040647867</v>
      </c>
      <c r="D7091" s="1" t="str">
        <f>"152326196307150663"</f>
        <v>152326196307150663</v>
      </c>
      <c r="E7091" s="1" t="s">
        <v>329</v>
      </c>
      <c r="F7091" s="1" t="s">
        <v>16</v>
      </c>
      <c r="G7091" s="1" t="s">
        <v>17</v>
      </c>
      <c r="H7091" s="1" t="str">
        <f>"61"</f>
        <v>61</v>
      </c>
      <c r="I7091" s="1" t="str">
        <f>"164.9"</f>
        <v>164.9</v>
      </c>
      <c r="J7091" s="1" t="str">
        <f t="shared" ref="J7091:N7091" si="4733">"0"</f>
        <v>0</v>
      </c>
      <c r="K7091" s="1" t="str">
        <f t="shared" si="4717"/>
        <v>103</v>
      </c>
      <c r="L7091" s="1" t="str">
        <f t="shared" si="4718"/>
        <v>47</v>
      </c>
      <c r="M7091" s="1" t="str">
        <f t="shared" si="4733"/>
        <v>0</v>
      </c>
      <c r="N7091" s="1" t="str">
        <f t="shared" si="4733"/>
        <v>0</v>
      </c>
      <c r="O7091" s="1" t="str">
        <f>"14.9"</f>
        <v>14.9</v>
      </c>
    </row>
    <row r="7092" s="1" customFormat="1" spans="1:15">
      <c r="A7092" s="1" t="str">
        <f t="shared" si="4672"/>
        <v>202406</v>
      </c>
      <c r="B7092" s="1" t="str">
        <f t="shared" si="4673"/>
        <v>150525100</v>
      </c>
      <c r="C7092" s="1" t="str">
        <f>"1040647894"</f>
        <v>1040647894</v>
      </c>
      <c r="D7092" s="1" t="s">
        <v>6858</v>
      </c>
      <c r="E7092" s="1" t="s">
        <v>6859</v>
      </c>
      <c r="F7092" s="1" t="s">
        <v>25</v>
      </c>
      <c r="G7092" s="1" t="s">
        <v>19</v>
      </c>
      <c r="H7092" s="1" t="str">
        <f>"65"</f>
        <v>65</v>
      </c>
      <c r="I7092" s="1" t="str">
        <f>"157.52"</f>
        <v>157.52</v>
      </c>
      <c r="J7092" s="1" t="str">
        <f t="shared" ref="J7092:N7092" si="4734">"0"</f>
        <v>0</v>
      </c>
      <c r="K7092" s="1" t="str">
        <f t="shared" si="4717"/>
        <v>103</v>
      </c>
      <c r="L7092" s="1" t="str">
        <f t="shared" si="4718"/>
        <v>47</v>
      </c>
      <c r="M7092" s="1" t="str">
        <f t="shared" si="4734"/>
        <v>0</v>
      </c>
      <c r="N7092" s="1" t="str">
        <f t="shared" si="4734"/>
        <v>0</v>
      </c>
      <c r="O7092" s="1" t="str">
        <f>"7.52"</f>
        <v>7.52</v>
      </c>
    </row>
    <row r="7093" s="1" customFormat="1" spans="1:15">
      <c r="A7093" s="1" t="str">
        <f t="shared" si="4672"/>
        <v>202406</v>
      </c>
      <c r="B7093" s="1" t="str">
        <f t="shared" si="4673"/>
        <v>150525100</v>
      </c>
      <c r="C7093" s="1" t="str">
        <f>"1040647898"</f>
        <v>1040647898</v>
      </c>
      <c r="D7093" s="1" t="str">
        <f>"152326196303050673"</f>
        <v>152326196303050673</v>
      </c>
      <c r="E7093" s="1" t="s">
        <v>6860</v>
      </c>
      <c r="F7093" s="1" t="s">
        <v>25</v>
      </c>
      <c r="G7093" s="1" t="s">
        <v>17</v>
      </c>
      <c r="H7093" s="1" t="str">
        <f>"61"</f>
        <v>61</v>
      </c>
      <c r="I7093" s="1" t="str">
        <f>"164.33"</f>
        <v>164.33</v>
      </c>
      <c r="J7093" s="1" t="str">
        <f t="shared" ref="J7093:N7093" si="4735">"0"</f>
        <v>0</v>
      </c>
      <c r="K7093" s="1" t="str">
        <f t="shared" si="4717"/>
        <v>103</v>
      </c>
      <c r="L7093" s="1" t="str">
        <f t="shared" si="4718"/>
        <v>47</v>
      </c>
      <c r="M7093" s="1" t="str">
        <f t="shared" si="4735"/>
        <v>0</v>
      </c>
      <c r="N7093" s="1" t="str">
        <f t="shared" si="4735"/>
        <v>0</v>
      </c>
      <c r="O7093" s="1" t="str">
        <f>"14.33"</f>
        <v>14.33</v>
      </c>
    </row>
    <row r="7094" s="1" customFormat="1" spans="1:15">
      <c r="A7094" s="1" t="str">
        <f t="shared" si="4672"/>
        <v>202406</v>
      </c>
      <c r="B7094" s="1" t="str">
        <f t="shared" si="4673"/>
        <v>150525100</v>
      </c>
      <c r="C7094" s="1" t="str">
        <f>"1040695102"</f>
        <v>1040695102</v>
      </c>
      <c r="D7094" s="1" t="s">
        <v>6861</v>
      </c>
      <c r="E7094" s="1" t="s">
        <v>6862</v>
      </c>
      <c r="F7094" s="1" t="s">
        <v>16</v>
      </c>
      <c r="G7094" s="1" t="s">
        <v>19</v>
      </c>
      <c r="H7094" s="1" t="str">
        <f>"62"</f>
        <v>62</v>
      </c>
      <c r="I7094" s="1" t="str">
        <f>"161.46"</f>
        <v>161.46</v>
      </c>
      <c r="J7094" s="1" t="str">
        <f t="shared" ref="J7094:N7094" si="4736">"0"</f>
        <v>0</v>
      </c>
      <c r="K7094" s="1" t="str">
        <f t="shared" si="4717"/>
        <v>103</v>
      </c>
      <c r="L7094" s="1" t="str">
        <f t="shared" si="4718"/>
        <v>47</v>
      </c>
      <c r="M7094" s="1" t="str">
        <f t="shared" si="4736"/>
        <v>0</v>
      </c>
      <c r="N7094" s="1" t="str">
        <f t="shared" si="4736"/>
        <v>0</v>
      </c>
      <c r="O7094" s="1" t="str">
        <f>"11.46"</f>
        <v>11.46</v>
      </c>
    </row>
    <row r="7095" s="1" customFormat="1" spans="1:15">
      <c r="A7095" s="1" t="str">
        <f t="shared" si="4672"/>
        <v>202406</v>
      </c>
      <c r="B7095" s="1" t="str">
        <f t="shared" si="4673"/>
        <v>150525100</v>
      </c>
      <c r="C7095" s="1" t="str">
        <f>"1040739115"</f>
        <v>1040739115</v>
      </c>
      <c r="D7095" s="1" t="str">
        <f>"152326195809280666"</f>
        <v>152326195809280666</v>
      </c>
      <c r="E7095" s="1" t="s">
        <v>6863</v>
      </c>
      <c r="F7095" s="1" t="s">
        <v>16</v>
      </c>
      <c r="G7095" s="1" t="s">
        <v>17</v>
      </c>
      <c r="H7095" s="1" t="str">
        <f>"66"</f>
        <v>66</v>
      </c>
      <c r="I7095" s="1" t="str">
        <f>"155.62"</f>
        <v>155.62</v>
      </c>
      <c r="J7095" s="1" t="str">
        <f t="shared" ref="J7095:N7095" si="4737">"0"</f>
        <v>0</v>
      </c>
      <c r="K7095" s="1" t="str">
        <f t="shared" si="4717"/>
        <v>103</v>
      </c>
      <c r="L7095" s="1" t="str">
        <f t="shared" si="4718"/>
        <v>47</v>
      </c>
      <c r="M7095" s="1" t="str">
        <f t="shared" si="4737"/>
        <v>0</v>
      </c>
      <c r="N7095" s="1" t="str">
        <f t="shared" si="4737"/>
        <v>0</v>
      </c>
      <c r="O7095" s="1" t="str">
        <f>"5.62"</f>
        <v>5.62</v>
      </c>
    </row>
    <row r="7096" s="1" customFormat="1" spans="1:15">
      <c r="A7096" s="1" t="str">
        <f t="shared" si="4672"/>
        <v>202406</v>
      </c>
      <c r="B7096" s="1" t="str">
        <f t="shared" si="4673"/>
        <v>150525100</v>
      </c>
      <c r="C7096" s="1" t="str">
        <f>"1040755769"</f>
        <v>1040755769</v>
      </c>
      <c r="D7096" s="1" t="str">
        <f>"152326196402030416"</f>
        <v>152326196402030416</v>
      </c>
      <c r="E7096" s="1" t="s">
        <v>5415</v>
      </c>
      <c r="F7096" s="1" t="s">
        <v>25</v>
      </c>
      <c r="G7096" s="1" t="s">
        <v>17</v>
      </c>
      <c r="H7096" s="1" t="str">
        <f>"60"</f>
        <v>60</v>
      </c>
      <c r="I7096" s="1" t="str">
        <f>"164.87"</f>
        <v>164.87</v>
      </c>
      <c r="J7096" s="1" t="str">
        <f t="shared" ref="J7096:N7096" si="4738">"0"</f>
        <v>0</v>
      </c>
      <c r="K7096" s="1" t="str">
        <f t="shared" si="4717"/>
        <v>103</v>
      </c>
      <c r="L7096" s="1" t="str">
        <f t="shared" si="4718"/>
        <v>47</v>
      </c>
      <c r="M7096" s="1" t="str">
        <f t="shared" si="4738"/>
        <v>0</v>
      </c>
      <c r="N7096" s="1" t="str">
        <f t="shared" si="4738"/>
        <v>0</v>
      </c>
      <c r="O7096" s="1" t="str">
        <f>"14.87"</f>
        <v>14.87</v>
      </c>
    </row>
    <row r="7097" s="1" customFormat="1" spans="1:15">
      <c r="A7097" s="1" t="str">
        <f t="shared" si="4672"/>
        <v>202406</v>
      </c>
      <c r="B7097" s="1" t="str">
        <f t="shared" si="4673"/>
        <v>150525100</v>
      </c>
      <c r="C7097" s="1" t="str">
        <f>"1040647932"</f>
        <v>1040647932</v>
      </c>
      <c r="D7097" s="1" t="str">
        <f>"152326196204280676"</f>
        <v>152326196204280676</v>
      </c>
      <c r="E7097" s="1" t="s">
        <v>6864</v>
      </c>
      <c r="F7097" s="1" t="s">
        <v>25</v>
      </c>
      <c r="G7097" s="1" t="s">
        <v>19</v>
      </c>
      <c r="H7097" s="1" t="str">
        <f>"62"</f>
        <v>62</v>
      </c>
      <c r="I7097" s="1" t="str">
        <f>"162.35"</f>
        <v>162.35</v>
      </c>
      <c r="J7097" s="1" t="str">
        <f t="shared" ref="J7097:N7097" si="4739">"0"</f>
        <v>0</v>
      </c>
      <c r="K7097" s="1" t="str">
        <f t="shared" si="4717"/>
        <v>103</v>
      </c>
      <c r="L7097" s="1" t="str">
        <f t="shared" si="4718"/>
        <v>47</v>
      </c>
      <c r="M7097" s="1" t="str">
        <f t="shared" si="4739"/>
        <v>0</v>
      </c>
      <c r="N7097" s="1" t="str">
        <f t="shared" si="4739"/>
        <v>0</v>
      </c>
      <c r="O7097" s="1" t="str">
        <f>"12.35"</f>
        <v>12.35</v>
      </c>
    </row>
    <row r="7098" s="1" customFormat="1" spans="1:15">
      <c r="A7098" s="1" t="str">
        <f t="shared" si="4672"/>
        <v>202406</v>
      </c>
      <c r="B7098" s="1" t="str">
        <f t="shared" si="4673"/>
        <v>150525100</v>
      </c>
      <c r="C7098" s="1" t="str">
        <f>"1040647949"</f>
        <v>1040647949</v>
      </c>
      <c r="D7098" s="1" t="str">
        <f>"152326195901130660"</f>
        <v>152326195901130660</v>
      </c>
      <c r="E7098" s="1" t="s">
        <v>6865</v>
      </c>
      <c r="F7098" s="1" t="s">
        <v>16</v>
      </c>
      <c r="G7098" s="1" t="s">
        <v>17</v>
      </c>
      <c r="H7098" s="1" t="str">
        <f>"65"</f>
        <v>65</v>
      </c>
      <c r="I7098" s="1" t="str">
        <f>"157.5"</f>
        <v>157.5</v>
      </c>
      <c r="J7098" s="1" t="str">
        <f t="shared" ref="J7098:N7098" si="4740">"0"</f>
        <v>0</v>
      </c>
      <c r="K7098" s="1" t="str">
        <f t="shared" si="4717"/>
        <v>103</v>
      </c>
      <c r="L7098" s="1" t="str">
        <f t="shared" si="4718"/>
        <v>47</v>
      </c>
      <c r="M7098" s="1" t="str">
        <f t="shared" si="4740"/>
        <v>0</v>
      </c>
      <c r="N7098" s="1" t="str">
        <f t="shared" si="4740"/>
        <v>0</v>
      </c>
      <c r="O7098" s="1" t="str">
        <f>"7.5"</f>
        <v>7.5</v>
      </c>
    </row>
    <row r="7099" s="1" customFormat="1" spans="1:15">
      <c r="A7099" s="1" t="str">
        <f t="shared" si="4672"/>
        <v>202406</v>
      </c>
      <c r="B7099" s="1" t="str">
        <f t="shared" si="4673"/>
        <v>150525100</v>
      </c>
      <c r="C7099" s="1" t="str">
        <f>"1040735653"</f>
        <v>1040735653</v>
      </c>
      <c r="D7099" s="1" t="str">
        <f>"152326196307280679"</f>
        <v>152326196307280679</v>
      </c>
      <c r="E7099" s="1" t="s">
        <v>6866</v>
      </c>
      <c r="F7099" s="1" t="s">
        <v>25</v>
      </c>
      <c r="G7099" s="1" t="s">
        <v>19</v>
      </c>
      <c r="H7099" s="1" t="str">
        <f>"61"</f>
        <v>61</v>
      </c>
      <c r="I7099" s="1" t="str">
        <f>"163.37"</f>
        <v>163.37</v>
      </c>
      <c r="J7099" s="1" t="str">
        <f t="shared" ref="J7099:N7099" si="4741">"0"</f>
        <v>0</v>
      </c>
      <c r="K7099" s="1" t="str">
        <f t="shared" si="4717"/>
        <v>103</v>
      </c>
      <c r="L7099" s="1" t="str">
        <f t="shared" si="4718"/>
        <v>47</v>
      </c>
      <c r="M7099" s="1" t="str">
        <f t="shared" si="4741"/>
        <v>0</v>
      </c>
      <c r="N7099" s="1" t="str">
        <f t="shared" si="4741"/>
        <v>0</v>
      </c>
      <c r="O7099" s="1" t="str">
        <f>"13.37"</f>
        <v>13.37</v>
      </c>
    </row>
    <row r="7100" s="1" customFormat="1" spans="1:15">
      <c r="A7100" s="1" t="str">
        <f t="shared" si="4672"/>
        <v>202406</v>
      </c>
      <c r="B7100" s="1" t="str">
        <f t="shared" si="4673"/>
        <v>150525100</v>
      </c>
      <c r="C7100" s="1" t="str">
        <f>"1040741372"</f>
        <v>1040741372</v>
      </c>
      <c r="D7100" s="1" t="str">
        <f>"152326195512150422"</f>
        <v>152326195512150422</v>
      </c>
      <c r="E7100" s="1" t="s">
        <v>2620</v>
      </c>
      <c r="F7100" s="1" t="s">
        <v>16</v>
      </c>
      <c r="G7100" s="1" t="s">
        <v>17</v>
      </c>
      <c r="H7100" s="1" t="str">
        <f>"69"</f>
        <v>69</v>
      </c>
      <c r="I7100" s="1" t="str">
        <f>"153.6"</f>
        <v>153.6</v>
      </c>
      <c r="J7100" s="1" t="str">
        <f t="shared" ref="J7100:N7100" si="4742">"0"</f>
        <v>0</v>
      </c>
      <c r="K7100" s="1" t="str">
        <f t="shared" si="4717"/>
        <v>103</v>
      </c>
      <c r="L7100" s="1" t="str">
        <f t="shared" si="4718"/>
        <v>47</v>
      </c>
      <c r="M7100" s="1" t="str">
        <f t="shared" si="4742"/>
        <v>0</v>
      </c>
      <c r="N7100" s="1" t="str">
        <f t="shared" si="4742"/>
        <v>0</v>
      </c>
      <c r="O7100" s="1" t="str">
        <f>"3.6"</f>
        <v>3.6</v>
      </c>
    </row>
    <row r="7101" s="1" customFormat="1" spans="1:15">
      <c r="A7101" s="1" t="str">
        <f t="shared" si="4672"/>
        <v>202406</v>
      </c>
      <c r="B7101" s="1" t="str">
        <f t="shared" si="4673"/>
        <v>150525100</v>
      </c>
      <c r="C7101" s="1" t="str">
        <f>"1040767093"</f>
        <v>1040767093</v>
      </c>
      <c r="D7101" s="1" t="str">
        <f>"152326195912210666"</f>
        <v>152326195912210666</v>
      </c>
      <c r="E7101" s="1" t="s">
        <v>6867</v>
      </c>
      <c r="F7101" s="1" t="s">
        <v>16</v>
      </c>
      <c r="G7101" s="1" t="s">
        <v>19</v>
      </c>
      <c r="H7101" s="1" t="str">
        <f>"65"</f>
        <v>65</v>
      </c>
      <c r="I7101" s="1" t="str">
        <f>"156.66"</f>
        <v>156.66</v>
      </c>
      <c r="J7101" s="1" t="str">
        <f t="shared" ref="J7101:N7101" si="4743">"0"</f>
        <v>0</v>
      </c>
      <c r="K7101" s="1" t="str">
        <f t="shared" si="4717"/>
        <v>103</v>
      </c>
      <c r="L7101" s="1" t="str">
        <f t="shared" si="4718"/>
        <v>47</v>
      </c>
      <c r="M7101" s="1" t="str">
        <f t="shared" si="4743"/>
        <v>0</v>
      </c>
      <c r="N7101" s="1" t="str">
        <f t="shared" si="4743"/>
        <v>0</v>
      </c>
      <c r="O7101" s="1" t="str">
        <f>"6.66"</f>
        <v>6.66</v>
      </c>
    </row>
    <row r="7102" s="1" customFormat="1" spans="1:15">
      <c r="A7102" s="1" t="str">
        <f t="shared" si="4672"/>
        <v>202406</v>
      </c>
      <c r="B7102" s="1" t="str">
        <f t="shared" si="4673"/>
        <v>150525100</v>
      </c>
      <c r="C7102" s="1" t="str">
        <f>"1040688295"</f>
        <v>1040688295</v>
      </c>
      <c r="D7102" s="1" t="str">
        <f>"152326195403200662"</f>
        <v>152326195403200662</v>
      </c>
      <c r="E7102" s="1" t="s">
        <v>5146</v>
      </c>
      <c r="F7102" s="1" t="s">
        <v>16</v>
      </c>
      <c r="G7102" s="1" t="s">
        <v>17</v>
      </c>
      <c r="H7102" s="1" t="str">
        <f>"70"</f>
        <v>70</v>
      </c>
      <c r="I7102" s="1" t="str">
        <f>"162.99"</f>
        <v>162.99</v>
      </c>
      <c r="J7102" s="1" t="str">
        <f t="shared" ref="J7102:N7102" si="4744">"0"</f>
        <v>0</v>
      </c>
      <c r="K7102" s="1" t="str">
        <f t="shared" si="4717"/>
        <v>103</v>
      </c>
      <c r="L7102" s="1" t="str">
        <f t="shared" si="4718"/>
        <v>47</v>
      </c>
      <c r="M7102" s="1" t="str">
        <f t="shared" si="4744"/>
        <v>0</v>
      </c>
      <c r="N7102" s="1" t="str">
        <f t="shared" si="4744"/>
        <v>0</v>
      </c>
      <c r="O7102" s="1" t="str">
        <f>"2.99"</f>
        <v>2.99</v>
      </c>
    </row>
    <row r="7103" s="1" customFormat="1" spans="1:15">
      <c r="A7103" s="1" t="str">
        <f t="shared" si="4672"/>
        <v>202406</v>
      </c>
      <c r="B7103" s="1" t="str">
        <f t="shared" si="4673"/>
        <v>150525100</v>
      </c>
      <c r="C7103" s="1" t="str">
        <f>"1040729577"</f>
        <v>1040729577</v>
      </c>
      <c r="D7103" s="1" t="str">
        <f>"152326195804020662"</f>
        <v>152326195804020662</v>
      </c>
      <c r="E7103" s="1" t="s">
        <v>6868</v>
      </c>
      <c r="F7103" s="1" t="s">
        <v>16</v>
      </c>
      <c r="G7103" s="1" t="s">
        <v>17</v>
      </c>
      <c r="H7103" s="1" t="str">
        <f>"66"</f>
        <v>66</v>
      </c>
      <c r="I7103" s="1" t="str">
        <f>"156.35"</f>
        <v>156.35</v>
      </c>
      <c r="J7103" s="1" t="str">
        <f t="shared" ref="J7103:N7103" si="4745">"0"</f>
        <v>0</v>
      </c>
      <c r="K7103" s="1" t="str">
        <f t="shared" si="4717"/>
        <v>103</v>
      </c>
      <c r="L7103" s="1" t="str">
        <f t="shared" si="4718"/>
        <v>47</v>
      </c>
      <c r="M7103" s="1" t="str">
        <f t="shared" si="4745"/>
        <v>0</v>
      </c>
      <c r="N7103" s="1" t="str">
        <f t="shared" si="4745"/>
        <v>0</v>
      </c>
      <c r="O7103" s="1" t="str">
        <f>"6.35"</f>
        <v>6.35</v>
      </c>
    </row>
    <row r="7104" s="1" customFormat="1" spans="1:15">
      <c r="A7104" s="1" t="str">
        <f t="shared" si="4672"/>
        <v>202406</v>
      </c>
      <c r="B7104" s="1" t="str">
        <f t="shared" si="4673"/>
        <v>150525100</v>
      </c>
      <c r="C7104" s="1" t="str">
        <f>"1040675216"</f>
        <v>1040675216</v>
      </c>
      <c r="D7104" s="1" t="s">
        <v>6869</v>
      </c>
      <c r="E7104" s="1" t="s">
        <v>6870</v>
      </c>
      <c r="F7104" s="1" t="s">
        <v>16</v>
      </c>
      <c r="G7104" s="1" t="s">
        <v>19</v>
      </c>
      <c r="H7104" s="1" t="str">
        <f>"64"</f>
        <v>64</v>
      </c>
      <c r="I7104" s="1" t="str">
        <f>"157.66"</f>
        <v>157.66</v>
      </c>
      <c r="J7104" s="1" t="str">
        <f t="shared" ref="J7104:N7104" si="4746">"0"</f>
        <v>0</v>
      </c>
      <c r="K7104" s="1" t="str">
        <f t="shared" si="4717"/>
        <v>103</v>
      </c>
      <c r="L7104" s="1" t="str">
        <f t="shared" si="4718"/>
        <v>47</v>
      </c>
      <c r="M7104" s="1" t="str">
        <f t="shared" si="4746"/>
        <v>0</v>
      </c>
      <c r="N7104" s="1" t="str">
        <f t="shared" si="4746"/>
        <v>0</v>
      </c>
      <c r="O7104" s="1" t="str">
        <f>"7.66"</f>
        <v>7.66</v>
      </c>
    </row>
    <row r="7105" s="1" customFormat="1" spans="1:15">
      <c r="A7105" s="1" t="str">
        <f t="shared" si="4672"/>
        <v>202406</v>
      </c>
      <c r="B7105" s="1" t="str">
        <f t="shared" si="4673"/>
        <v>150525100</v>
      </c>
      <c r="C7105" s="1" t="str">
        <f>"1040653064"</f>
        <v>1040653064</v>
      </c>
      <c r="D7105" s="1" t="s">
        <v>6871</v>
      </c>
      <c r="E7105" s="1" t="s">
        <v>6872</v>
      </c>
      <c r="F7105" s="1" t="s">
        <v>16</v>
      </c>
      <c r="G7105" s="1" t="s">
        <v>19</v>
      </c>
      <c r="H7105" s="1" t="str">
        <f>"60"</f>
        <v>60</v>
      </c>
      <c r="I7105" s="1" t="str">
        <f>"498.39"</f>
        <v>498.39</v>
      </c>
      <c r="J7105" s="1" t="str">
        <f>"332.26"</f>
        <v>332.26</v>
      </c>
      <c r="K7105" s="1" t="str">
        <f>"309"</f>
        <v>309</v>
      </c>
      <c r="L7105" s="1" t="str">
        <f>"141"</f>
        <v>141</v>
      </c>
      <c r="M7105" s="1" t="str">
        <f>"0"</f>
        <v>0</v>
      </c>
      <c r="N7105" s="1" t="str">
        <f>"0"</f>
        <v>0</v>
      </c>
      <c r="O7105" s="1" t="str">
        <f>"48.39"</f>
        <v>48.39</v>
      </c>
    </row>
    <row r="7106" s="1" customFormat="1" spans="1:15">
      <c r="A7106" s="1" t="str">
        <f t="shared" ref="A7106:A7169" si="4747">"202406"</f>
        <v>202406</v>
      </c>
      <c r="B7106" s="1" t="str">
        <f t="shared" ref="B7106:B7169" si="4748">"150525100"</f>
        <v>150525100</v>
      </c>
      <c r="C7106" s="1" t="str">
        <f>"1040688417"</f>
        <v>1040688417</v>
      </c>
      <c r="D7106" s="1" t="str">
        <f>"152326196303090923"</f>
        <v>152326196303090923</v>
      </c>
      <c r="E7106" s="1" t="s">
        <v>6873</v>
      </c>
      <c r="F7106" s="1" t="s">
        <v>16</v>
      </c>
      <c r="G7106" s="1" t="s">
        <v>19</v>
      </c>
      <c r="H7106" s="1" t="str">
        <f>"61"</f>
        <v>61</v>
      </c>
      <c r="I7106" s="1" t="str">
        <f>"163.1"</f>
        <v>163.1</v>
      </c>
      <c r="J7106" s="1" t="str">
        <f t="shared" ref="J7106:N7106" si="4749">"0"</f>
        <v>0</v>
      </c>
      <c r="K7106" s="1" t="str">
        <f t="shared" ref="K7106:K7169" si="4750">"103"</f>
        <v>103</v>
      </c>
      <c r="L7106" s="1" t="str">
        <f t="shared" ref="L7106:L7169" si="4751">"47"</f>
        <v>47</v>
      </c>
      <c r="M7106" s="1" t="str">
        <f t="shared" si="4749"/>
        <v>0</v>
      </c>
      <c r="N7106" s="1" t="str">
        <f t="shared" si="4749"/>
        <v>0</v>
      </c>
      <c r="O7106" s="1" t="str">
        <f>"13.1"</f>
        <v>13.1</v>
      </c>
    </row>
    <row r="7107" s="1" customFormat="1" spans="1:15">
      <c r="A7107" s="1" t="str">
        <f t="shared" si="4747"/>
        <v>202406</v>
      </c>
      <c r="B7107" s="1" t="str">
        <f t="shared" si="4748"/>
        <v>150525100</v>
      </c>
      <c r="C7107" s="1" t="str">
        <f>"1040688443"</f>
        <v>1040688443</v>
      </c>
      <c r="D7107" s="1" t="str">
        <f>"152326196202050420"</f>
        <v>152326196202050420</v>
      </c>
      <c r="E7107" s="1" t="s">
        <v>6874</v>
      </c>
      <c r="F7107" s="1" t="s">
        <v>16</v>
      </c>
      <c r="G7107" s="1" t="s">
        <v>17</v>
      </c>
      <c r="H7107" s="1" t="str">
        <f>"62"</f>
        <v>62</v>
      </c>
      <c r="I7107" s="1" t="str">
        <f>"161.54"</f>
        <v>161.54</v>
      </c>
      <c r="J7107" s="1" t="str">
        <f t="shared" ref="J7107:N7107" si="4752">"0"</f>
        <v>0</v>
      </c>
      <c r="K7107" s="1" t="str">
        <f t="shared" si="4750"/>
        <v>103</v>
      </c>
      <c r="L7107" s="1" t="str">
        <f t="shared" si="4751"/>
        <v>47</v>
      </c>
      <c r="M7107" s="1" t="str">
        <f t="shared" si="4752"/>
        <v>0</v>
      </c>
      <c r="N7107" s="1" t="str">
        <f t="shared" si="4752"/>
        <v>0</v>
      </c>
      <c r="O7107" s="1" t="str">
        <f>"11.54"</f>
        <v>11.54</v>
      </c>
    </row>
    <row r="7108" s="1" customFormat="1" spans="1:15">
      <c r="A7108" s="1" t="str">
        <f t="shared" si="4747"/>
        <v>202406</v>
      </c>
      <c r="B7108" s="1" t="str">
        <f t="shared" si="4748"/>
        <v>150525100</v>
      </c>
      <c r="C7108" s="1" t="str">
        <f>"1040688490"</f>
        <v>1040688490</v>
      </c>
      <c r="D7108" s="1" t="str">
        <f>"152326195611080423"</f>
        <v>152326195611080423</v>
      </c>
      <c r="E7108" s="1" t="s">
        <v>6875</v>
      </c>
      <c r="F7108" s="1" t="s">
        <v>16</v>
      </c>
      <c r="G7108" s="1" t="s">
        <v>17</v>
      </c>
      <c r="H7108" s="1" t="str">
        <f>"68"</f>
        <v>68</v>
      </c>
      <c r="I7108" s="1" t="str">
        <f>"154.88"</f>
        <v>154.88</v>
      </c>
      <c r="J7108" s="1" t="str">
        <f t="shared" ref="J7108:N7108" si="4753">"0"</f>
        <v>0</v>
      </c>
      <c r="K7108" s="1" t="str">
        <f t="shared" si="4750"/>
        <v>103</v>
      </c>
      <c r="L7108" s="1" t="str">
        <f t="shared" si="4751"/>
        <v>47</v>
      </c>
      <c r="M7108" s="1" t="str">
        <f t="shared" si="4753"/>
        <v>0</v>
      </c>
      <c r="N7108" s="1" t="str">
        <f t="shared" si="4753"/>
        <v>0</v>
      </c>
      <c r="O7108" s="1" t="str">
        <f>"4.88"</f>
        <v>4.88</v>
      </c>
    </row>
    <row r="7109" s="1" customFormat="1" spans="1:15">
      <c r="A7109" s="1" t="str">
        <f t="shared" si="4747"/>
        <v>202406</v>
      </c>
      <c r="B7109" s="1" t="str">
        <f t="shared" si="4748"/>
        <v>150525100</v>
      </c>
      <c r="C7109" s="1" t="str">
        <f>"1040646593"</f>
        <v>1040646593</v>
      </c>
      <c r="D7109" s="1" t="str">
        <f>"152326195802140660"</f>
        <v>152326195802140660</v>
      </c>
      <c r="E7109" s="1" t="s">
        <v>2648</v>
      </c>
      <c r="F7109" s="1" t="s">
        <v>16</v>
      </c>
      <c r="G7109" s="1" t="s">
        <v>17</v>
      </c>
      <c r="H7109" s="1" t="str">
        <f>"66"</f>
        <v>66</v>
      </c>
      <c r="I7109" s="1" t="str">
        <f>"154.55"</f>
        <v>154.55</v>
      </c>
      <c r="J7109" s="1" t="str">
        <f t="shared" ref="J7109:N7109" si="4754">"0"</f>
        <v>0</v>
      </c>
      <c r="K7109" s="1" t="str">
        <f t="shared" si="4750"/>
        <v>103</v>
      </c>
      <c r="L7109" s="1" t="str">
        <f t="shared" si="4751"/>
        <v>47</v>
      </c>
      <c r="M7109" s="1" t="str">
        <f t="shared" si="4754"/>
        <v>0</v>
      </c>
      <c r="N7109" s="1" t="str">
        <f t="shared" si="4754"/>
        <v>0</v>
      </c>
      <c r="O7109" s="1" t="str">
        <f>"4.55"</f>
        <v>4.55</v>
      </c>
    </row>
    <row r="7110" s="1" customFormat="1" spans="1:15">
      <c r="A7110" s="1" t="str">
        <f t="shared" si="4747"/>
        <v>202406</v>
      </c>
      <c r="B7110" s="1" t="str">
        <f t="shared" si="4748"/>
        <v>150525100</v>
      </c>
      <c r="C7110" s="1" t="str">
        <f>"1040646815"</f>
        <v>1040646815</v>
      </c>
      <c r="D7110" s="1" t="str">
        <f>"152326196302120422"</f>
        <v>152326196302120422</v>
      </c>
      <c r="E7110" s="1" t="s">
        <v>6876</v>
      </c>
      <c r="F7110" s="1" t="s">
        <v>16</v>
      </c>
      <c r="G7110" s="1" t="s">
        <v>17</v>
      </c>
      <c r="H7110" s="1" t="str">
        <f>"61"</f>
        <v>61</v>
      </c>
      <c r="I7110" s="1" t="str">
        <f>"164.3"</f>
        <v>164.3</v>
      </c>
      <c r="J7110" s="1" t="str">
        <f t="shared" ref="J7110:N7110" si="4755">"0"</f>
        <v>0</v>
      </c>
      <c r="K7110" s="1" t="str">
        <f t="shared" si="4750"/>
        <v>103</v>
      </c>
      <c r="L7110" s="1" t="str">
        <f t="shared" si="4751"/>
        <v>47</v>
      </c>
      <c r="M7110" s="1" t="str">
        <f t="shared" si="4755"/>
        <v>0</v>
      </c>
      <c r="N7110" s="1" t="str">
        <f t="shared" si="4755"/>
        <v>0</v>
      </c>
      <c r="O7110" s="1" t="str">
        <f>"14.3"</f>
        <v>14.3</v>
      </c>
    </row>
    <row r="7111" s="1" customFormat="1" spans="1:15">
      <c r="A7111" s="1" t="str">
        <f t="shared" si="4747"/>
        <v>202406</v>
      </c>
      <c r="B7111" s="1" t="str">
        <f t="shared" si="4748"/>
        <v>150525100</v>
      </c>
      <c r="C7111" s="1" t="str">
        <f>"1040648066"</f>
        <v>1040648066</v>
      </c>
      <c r="D7111" s="1" t="str">
        <f>"152326196206290421"</f>
        <v>152326196206290421</v>
      </c>
      <c r="E7111" s="1" t="s">
        <v>6877</v>
      </c>
      <c r="F7111" s="1" t="s">
        <v>16</v>
      </c>
      <c r="G7111" s="1" t="s">
        <v>19</v>
      </c>
      <c r="H7111" s="1" t="str">
        <f>"62"</f>
        <v>62</v>
      </c>
      <c r="I7111" s="1" t="str">
        <f>"162.4"</f>
        <v>162.4</v>
      </c>
      <c r="J7111" s="1" t="str">
        <f t="shared" ref="J7111:N7111" si="4756">"0"</f>
        <v>0</v>
      </c>
      <c r="K7111" s="1" t="str">
        <f t="shared" si="4750"/>
        <v>103</v>
      </c>
      <c r="L7111" s="1" t="str">
        <f t="shared" si="4751"/>
        <v>47</v>
      </c>
      <c r="M7111" s="1" t="str">
        <f t="shared" si="4756"/>
        <v>0</v>
      </c>
      <c r="N7111" s="1" t="str">
        <f t="shared" si="4756"/>
        <v>0</v>
      </c>
      <c r="O7111" s="1" t="str">
        <f>"12.4"</f>
        <v>12.4</v>
      </c>
    </row>
    <row r="7112" s="1" customFormat="1" spans="1:15">
      <c r="A7112" s="1" t="str">
        <f t="shared" si="4747"/>
        <v>202406</v>
      </c>
      <c r="B7112" s="1" t="str">
        <f t="shared" si="4748"/>
        <v>150525100</v>
      </c>
      <c r="C7112" s="1" t="str">
        <f>"1040733265"</f>
        <v>1040733265</v>
      </c>
      <c r="D7112" s="1" t="str">
        <f>"152326196005120012"</f>
        <v>152326196005120012</v>
      </c>
      <c r="E7112" s="1" t="s">
        <v>6878</v>
      </c>
      <c r="F7112" s="1" t="s">
        <v>25</v>
      </c>
      <c r="G7112" s="1" t="s">
        <v>19</v>
      </c>
      <c r="H7112" s="1" t="str">
        <f>"64"</f>
        <v>64</v>
      </c>
      <c r="I7112" s="1" t="str">
        <f>"157.64"</f>
        <v>157.64</v>
      </c>
      <c r="J7112" s="1" t="str">
        <f t="shared" ref="J7112:N7112" si="4757">"0"</f>
        <v>0</v>
      </c>
      <c r="K7112" s="1" t="str">
        <f t="shared" si="4750"/>
        <v>103</v>
      </c>
      <c r="L7112" s="1" t="str">
        <f t="shared" si="4751"/>
        <v>47</v>
      </c>
      <c r="M7112" s="1" t="str">
        <f t="shared" si="4757"/>
        <v>0</v>
      </c>
      <c r="N7112" s="1" t="str">
        <f t="shared" si="4757"/>
        <v>0</v>
      </c>
      <c r="O7112" s="1" t="str">
        <f>"7.64"</f>
        <v>7.64</v>
      </c>
    </row>
    <row r="7113" s="1" customFormat="1" spans="1:15">
      <c r="A7113" s="1" t="str">
        <f t="shared" si="4747"/>
        <v>202406</v>
      </c>
      <c r="B7113" s="1" t="str">
        <f t="shared" si="4748"/>
        <v>150525100</v>
      </c>
      <c r="C7113" s="1" t="str">
        <f>"1040655174"</f>
        <v>1040655174</v>
      </c>
      <c r="D7113" s="1" t="str">
        <f>"152326195904150413"</f>
        <v>152326195904150413</v>
      </c>
      <c r="E7113" s="1" t="s">
        <v>6879</v>
      </c>
      <c r="F7113" s="1" t="s">
        <v>25</v>
      </c>
      <c r="G7113" s="1" t="s">
        <v>17</v>
      </c>
      <c r="H7113" s="1" t="str">
        <f>"65"</f>
        <v>65</v>
      </c>
      <c r="I7113" s="1" t="str">
        <f>"156.61"</f>
        <v>156.61</v>
      </c>
      <c r="J7113" s="1" t="str">
        <f t="shared" ref="J7113:N7113" si="4758">"0"</f>
        <v>0</v>
      </c>
      <c r="K7113" s="1" t="str">
        <f t="shared" si="4750"/>
        <v>103</v>
      </c>
      <c r="L7113" s="1" t="str">
        <f t="shared" si="4751"/>
        <v>47</v>
      </c>
      <c r="M7113" s="1" t="str">
        <f t="shared" si="4758"/>
        <v>0</v>
      </c>
      <c r="N7113" s="1" t="str">
        <f t="shared" si="4758"/>
        <v>0</v>
      </c>
      <c r="O7113" s="1" t="str">
        <f>"6.61"</f>
        <v>6.61</v>
      </c>
    </row>
    <row r="7114" s="1" customFormat="1" spans="1:15">
      <c r="A7114" s="1" t="str">
        <f t="shared" si="4747"/>
        <v>202406</v>
      </c>
      <c r="B7114" s="1" t="str">
        <f t="shared" si="4748"/>
        <v>150525100</v>
      </c>
      <c r="C7114" s="1" t="str">
        <f>"1040693082"</f>
        <v>1040693082</v>
      </c>
      <c r="D7114" s="1" t="str">
        <f>"152326195910183086"</f>
        <v>152326195910183086</v>
      </c>
      <c r="E7114" s="1" t="s">
        <v>6880</v>
      </c>
      <c r="F7114" s="1" t="s">
        <v>16</v>
      </c>
      <c r="G7114" s="1" t="s">
        <v>96</v>
      </c>
      <c r="H7114" s="1" t="str">
        <f>"65"</f>
        <v>65</v>
      </c>
      <c r="I7114" s="1" t="str">
        <f>"156.65"</f>
        <v>156.65</v>
      </c>
      <c r="J7114" s="1" t="str">
        <f t="shared" ref="J7114:N7114" si="4759">"0"</f>
        <v>0</v>
      </c>
      <c r="K7114" s="1" t="str">
        <f t="shared" si="4750"/>
        <v>103</v>
      </c>
      <c r="L7114" s="1" t="str">
        <f t="shared" si="4751"/>
        <v>47</v>
      </c>
      <c r="M7114" s="1" t="str">
        <f t="shared" si="4759"/>
        <v>0</v>
      </c>
      <c r="N7114" s="1" t="str">
        <f t="shared" si="4759"/>
        <v>0</v>
      </c>
      <c r="O7114" s="1" t="str">
        <f>"6.65"</f>
        <v>6.65</v>
      </c>
    </row>
    <row r="7115" s="1" customFormat="1" spans="1:15">
      <c r="A7115" s="1" t="str">
        <f t="shared" si="4747"/>
        <v>202406</v>
      </c>
      <c r="B7115" s="1" t="str">
        <f t="shared" si="4748"/>
        <v>150525100</v>
      </c>
      <c r="C7115" s="1" t="str">
        <f>"1040688512"</f>
        <v>1040688512</v>
      </c>
      <c r="D7115" s="1" t="str">
        <f>"152326196212080412"</f>
        <v>152326196212080412</v>
      </c>
      <c r="E7115" s="1" t="s">
        <v>6881</v>
      </c>
      <c r="F7115" s="1" t="s">
        <v>25</v>
      </c>
      <c r="G7115" s="1" t="s">
        <v>17</v>
      </c>
      <c r="H7115" s="1" t="str">
        <f>"62"</f>
        <v>62</v>
      </c>
      <c r="I7115" s="1" t="str">
        <f>"161.95"</f>
        <v>161.95</v>
      </c>
      <c r="J7115" s="1" t="str">
        <f t="shared" ref="J7115:N7115" si="4760">"0"</f>
        <v>0</v>
      </c>
      <c r="K7115" s="1" t="str">
        <f t="shared" si="4750"/>
        <v>103</v>
      </c>
      <c r="L7115" s="1" t="str">
        <f t="shared" si="4751"/>
        <v>47</v>
      </c>
      <c r="M7115" s="1" t="str">
        <f t="shared" si="4760"/>
        <v>0</v>
      </c>
      <c r="N7115" s="1" t="str">
        <f t="shared" si="4760"/>
        <v>0</v>
      </c>
      <c r="O7115" s="1" t="str">
        <f>"11.95"</f>
        <v>11.95</v>
      </c>
    </row>
    <row r="7116" s="1" customFormat="1" spans="1:15">
      <c r="A7116" s="1" t="str">
        <f t="shared" si="4747"/>
        <v>202406</v>
      </c>
      <c r="B7116" s="1" t="str">
        <f t="shared" si="4748"/>
        <v>150525100</v>
      </c>
      <c r="C7116" s="1" t="str">
        <f>"1040688519"</f>
        <v>1040688519</v>
      </c>
      <c r="D7116" s="1" t="str">
        <f>"152326195410113081"</f>
        <v>152326195410113081</v>
      </c>
      <c r="E7116" s="1" t="s">
        <v>6882</v>
      </c>
      <c r="F7116" s="1" t="s">
        <v>16</v>
      </c>
      <c r="G7116" s="1" t="s">
        <v>17</v>
      </c>
      <c r="H7116" s="1" t="str">
        <f t="shared" ref="H7116:H7121" si="4761">"70"</f>
        <v>70</v>
      </c>
      <c r="I7116" s="1" t="str">
        <f>"153"</f>
        <v>153</v>
      </c>
      <c r="J7116" s="1" t="str">
        <f t="shared" ref="J7116:N7116" si="4762">"0"</f>
        <v>0</v>
      </c>
      <c r="K7116" s="1" t="str">
        <f t="shared" si="4750"/>
        <v>103</v>
      </c>
      <c r="L7116" s="1" t="str">
        <f t="shared" si="4751"/>
        <v>47</v>
      </c>
      <c r="M7116" s="1" t="str">
        <f t="shared" si="4762"/>
        <v>0</v>
      </c>
      <c r="N7116" s="1" t="str">
        <f t="shared" si="4762"/>
        <v>0</v>
      </c>
      <c r="O7116" s="1" t="str">
        <f>"3"</f>
        <v>3</v>
      </c>
    </row>
    <row r="7117" s="1" customFormat="1" spans="1:15">
      <c r="A7117" s="1" t="str">
        <f t="shared" si="4747"/>
        <v>202406</v>
      </c>
      <c r="B7117" s="1" t="str">
        <f t="shared" si="4748"/>
        <v>150525100</v>
      </c>
      <c r="C7117" s="1" t="str">
        <f>"1040687583"</f>
        <v>1040687583</v>
      </c>
      <c r="D7117" s="1" t="str">
        <f>"152326195710020020"</f>
        <v>152326195710020020</v>
      </c>
      <c r="E7117" s="1" t="s">
        <v>6883</v>
      </c>
      <c r="F7117" s="1" t="s">
        <v>16</v>
      </c>
      <c r="G7117" s="1" t="s">
        <v>96</v>
      </c>
      <c r="H7117" s="1" t="str">
        <f>"67"</f>
        <v>67</v>
      </c>
      <c r="I7117" s="1" t="str">
        <f>"155.21"</f>
        <v>155.21</v>
      </c>
      <c r="J7117" s="1" t="str">
        <f t="shared" ref="J7117:N7117" si="4763">"0"</f>
        <v>0</v>
      </c>
      <c r="K7117" s="1" t="str">
        <f t="shared" si="4750"/>
        <v>103</v>
      </c>
      <c r="L7117" s="1" t="str">
        <f t="shared" si="4751"/>
        <v>47</v>
      </c>
      <c r="M7117" s="1" t="str">
        <f t="shared" si="4763"/>
        <v>0</v>
      </c>
      <c r="N7117" s="1" t="str">
        <f t="shared" si="4763"/>
        <v>0</v>
      </c>
      <c r="O7117" s="1" t="str">
        <f>"5.21"</f>
        <v>5.21</v>
      </c>
    </row>
    <row r="7118" s="1" customFormat="1" spans="1:15">
      <c r="A7118" s="1" t="str">
        <f t="shared" si="4747"/>
        <v>202406</v>
      </c>
      <c r="B7118" s="1" t="str">
        <f t="shared" si="4748"/>
        <v>150525100</v>
      </c>
      <c r="C7118" s="1" t="str">
        <f>"1040646832"</f>
        <v>1040646832</v>
      </c>
      <c r="D7118" s="1" t="str">
        <f>"152326195606140444"</f>
        <v>152326195606140444</v>
      </c>
      <c r="E7118" s="1" t="s">
        <v>6884</v>
      </c>
      <c r="F7118" s="1" t="s">
        <v>16</v>
      </c>
      <c r="G7118" s="1" t="s">
        <v>17</v>
      </c>
      <c r="H7118" s="1" t="str">
        <f>"68"</f>
        <v>68</v>
      </c>
      <c r="I7118" s="1" t="str">
        <f>"155.42"</f>
        <v>155.42</v>
      </c>
      <c r="J7118" s="1" t="str">
        <f t="shared" ref="J7118:N7118" si="4764">"0"</f>
        <v>0</v>
      </c>
      <c r="K7118" s="1" t="str">
        <f t="shared" si="4750"/>
        <v>103</v>
      </c>
      <c r="L7118" s="1" t="str">
        <f t="shared" si="4751"/>
        <v>47</v>
      </c>
      <c r="M7118" s="1" t="str">
        <f t="shared" si="4764"/>
        <v>0</v>
      </c>
      <c r="N7118" s="1" t="str">
        <f t="shared" si="4764"/>
        <v>0</v>
      </c>
      <c r="O7118" s="1" t="str">
        <f>"5.42"</f>
        <v>5.42</v>
      </c>
    </row>
    <row r="7119" s="1" customFormat="1" spans="1:15">
      <c r="A7119" s="1" t="str">
        <f t="shared" si="4747"/>
        <v>202406</v>
      </c>
      <c r="B7119" s="1" t="str">
        <f t="shared" si="4748"/>
        <v>150525100</v>
      </c>
      <c r="C7119" s="1" t="str">
        <f>"1040653149"</f>
        <v>1040653149</v>
      </c>
      <c r="D7119" s="1" t="str">
        <f>"152326196001163816"</f>
        <v>152326196001163816</v>
      </c>
      <c r="E7119" s="1" t="s">
        <v>6885</v>
      </c>
      <c r="F7119" s="1" t="s">
        <v>25</v>
      </c>
      <c r="G7119" s="1" t="s">
        <v>17</v>
      </c>
      <c r="H7119" s="1" t="str">
        <f>"64"</f>
        <v>64</v>
      </c>
      <c r="I7119" s="1" t="str">
        <f>"158.54"</f>
        <v>158.54</v>
      </c>
      <c r="J7119" s="1" t="str">
        <f t="shared" ref="J7119:N7119" si="4765">"0"</f>
        <v>0</v>
      </c>
      <c r="K7119" s="1" t="str">
        <f t="shared" si="4750"/>
        <v>103</v>
      </c>
      <c r="L7119" s="1" t="str">
        <f t="shared" si="4751"/>
        <v>47</v>
      </c>
      <c r="M7119" s="1" t="str">
        <f t="shared" si="4765"/>
        <v>0</v>
      </c>
      <c r="N7119" s="1" t="str">
        <f t="shared" si="4765"/>
        <v>0</v>
      </c>
      <c r="O7119" s="1" t="str">
        <f>"8.54"</f>
        <v>8.54</v>
      </c>
    </row>
    <row r="7120" s="1" customFormat="1" spans="1:15">
      <c r="A7120" s="1" t="str">
        <f t="shared" si="4747"/>
        <v>202406</v>
      </c>
      <c r="B7120" s="1" t="str">
        <f t="shared" si="4748"/>
        <v>150525100</v>
      </c>
      <c r="C7120" s="1" t="str">
        <f>"1040653231"</f>
        <v>1040653231</v>
      </c>
      <c r="D7120" s="1" t="str">
        <f>"152326195401223326"</f>
        <v>152326195401223326</v>
      </c>
      <c r="E7120" s="1" t="s">
        <v>2079</v>
      </c>
      <c r="F7120" s="1" t="s">
        <v>16</v>
      </c>
      <c r="G7120" s="1" t="s">
        <v>17</v>
      </c>
      <c r="H7120" s="1" t="str">
        <f t="shared" si="4761"/>
        <v>70</v>
      </c>
      <c r="I7120" s="1" t="str">
        <f>"163.53"</f>
        <v>163.53</v>
      </c>
      <c r="J7120" s="1" t="str">
        <f t="shared" ref="J7120:N7120" si="4766">"0"</f>
        <v>0</v>
      </c>
      <c r="K7120" s="1" t="str">
        <f t="shared" si="4750"/>
        <v>103</v>
      </c>
      <c r="L7120" s="1" t="str">
        <f t="shared" si="4751"/>
        <v>47</v>
      </c>
      <c r="M7120" s="1" t="str">
        <f t="shared" si="4766"/>
        <v>0</v>
      </c>
      <c r="N7120" s="1" t="str">
        <f t="shared" si="4766"/>
        <v>0</v>
      </c>
      <c r="O7120" s="1" t="str">
        <f>"3.53"</f>
        <v>3.53</v>
      </c>
    </row>
    <row r="7121" s="1" customFormat="1" spans="1:15">
      <c r="A7121" s="1" t="str">
        <f t="shared" si="4747"/>
        <v>202406</v>
      </c>
      <c r="B7121" s="1" t="str">
        <f t="shared" si="4748"/>
        <v>150525100</v>
      </c>
      <c r="C7121" s="1" t="str">
        <f>"1040653341"</f>
        <v>1040653341</v>
      </c>
      <c r="D7121" s="1" t="str">
        <f>"152326195410103342"</f>
        <v>152326195410103342</v>
      </c>
      <c r="E7121" s="1" t="s">
        <v>409</v>
      </c>
      <c r="F7121" s="1" t="s">
        <v>16</v>
      </c>
      <c r="G7121" s="1" t="s">
        <v>17</v>
      </c>
      <c r="H7121" s="1" t="str">
        <f t="shared" si="4761"/>
        <v>70</v>
      </c>
      <c r="I7121" s="1" t="str">
        <f>"153.56"</f>
        <v>153.56</v>
      </c>
      <c r="J7121" s="1" t="str">
        <f t="shared" ref="J7121:N7121" si="4767">"0"</f>
        <v>0</v>
      </c>
      <c r="K7121" s="1" t="str">
        <f t="shared" si="4750"/>
        <v>103</v>
      </c>
      <c r="L7121" s="1" t="str">
        <f t="shared" si="4751"/>
        <v>47</v>
      </c>
      <c r="M7121" s="1" t="str">
        <f t="shared" si="4767"/>
        <v>0</v>
      </c>
      <c r="N7121" s="1" t="str">
        <f t="shared" si="4767"/>
        <v>0</v>
      </c>
      <c r="O7121" s="1" t="str">
        <f>"3.56"</f>
        <v>3.56</v>
      </c>
    </row>
    <row r="7122" s="1" customFormat="1" spans="1:15">
      <c r="A7122" s="1" t="str">
        <f t="shared" si="4747"/>
        <v>202406</v>
      </c>
      <c r="B7122" s="1" t="str">
        <f t="shared" si="4748"/>
        <v>150525100</v>
      </c>
      <c r="C7122" s="1" t="str">
        <f>"1040752561"</f>
        <v>1040752561</v>
      </c>
      <c r="D7122" s="1" t="str">
        <f>"152326195508103826"</f>
        <v>152326195508103826</v>
      </c>
      <c r="E7122" s="1" t="s">
        <v>6886</v>
      </c>
      <c r="F7122" s="1" t="s">
        <v>16</v>
      </c>
      <c r="G7122" s="1" t="s">
        <v>19</v>
      </c>
      <c r="H7122" s="1" t="str">
        <f>"69"</f>
        <v>69</v>
      </c>
      <c r="I7122" s="1" t="str">
        <f>"153.6"</f>
        <v>153.6</v>
      </c>
      <c r="J7122" s="1" t="str">
        <f t="shared" ref="J7122:N7122" si="4768">"0"</f>
        <v>0</v>
      </c>
      <c r="K7122" s="1" t="str">
        <f t="shared" si="4750"/>
        <v>103</v>
      </c>
      <c r="L7122" s="1" t="str">
        <f t="shared" si="4751"/>
        <v>47</v>
      </c>
      <c r="M7122" s="1" t="str">
        <f t="shared" si="4768"/>
        <v>0</v>
      </c>
      <c r="N7122" s="1" t="str">
        <f t="shared" si="4768"/>
        <v>0</v>
      </c>
      <c r="O7122" s="1" t="str">
        <f>"3.6"</f>
        <v>3.6</v>
      </c>
    </row>
    <row r="7123" s="1" customFormat="1" spans="1:15">
      <c r="A7123" s="1" t="str">
        <f t="shared" si="4747"/>
        <v>202406</v>
      </c>
      <c r="B7123" s="1" t="str">
        <f t="shared" si="4748"/>
        <v>150525100</v>
      </c>
      <c r="C7123" s="1" t="str">
        <f>"1040760934"</f>
        <v>1040760934</v>
      </c>
      <c r="D7123" s="1" t="str">
        <f>"152326196308220424"</f>
        <v>152326196308220424</v>
      </c>
      <c r="E7123" s="1" t="s">
        <v>6887</v>
      </c>
      <c r="F7123" s="1" t="s">
        <v>16</v>
      </c>
      <c r="G7123" s="1" t="s">
        <v>17</v>
      </c>
      <c r="H7123" s="1" t="str">
        <f>"61"</f>
        <v>61</v>
      </c>
      <c r="I7123" s="1" t="str">
        <f>"163.39"</f>
        <v>163.39</v>
      </c>
      <c r="J7123" s="1" t="str">
        <f t="shared" ref="J7123:N7123" si="4769">"0"</f>
        <v>0</v>
      </c>
      <c r="K7123" s="1" t="str">
        <f t="shared" si="4750"/>
        <v>103</v>
      </c>
      <c r="L7123" s="1" t="str">
        <f t="shared" si="4751"/>
        <v>47</v>
      </c>
      <c r="M7123" s="1" t="str">
        <f t="shared" si="4769"/>
        <v>0</v>
      </c>
      <c r="N7123" s="1" t="str">
        <f t="shared" si="4769"/>
        <v>0</v>
      </c>
      <c r="O7123" s="1" t="str">
        <f>"13.39"</f>
        <v>13.39</v>
      </c>
    </row>
    <row r="7124" s="1" customFormat="1" spans="1:15">
      <c r="A7124" s="1" t="str">
        <f t="shared" si="4747"/>
        <v>202406</v>
      </c>
      <c r="B7124" s="1" t="str">
        <f t="shared" si="4748"/>
        <v>150525100</v>
      </c>
      <c r="C7124" s="1" t="str">
        <f>"1040755719"</f>
        <v>1040755719</v>
      </c>
      <c r="D7124" s="1" t="str">
        <f>"152326195605010429"</f>
        <v>152326195605010429</v>
      </c>
      <c r="E7124" s="1" t="s">
        <v>5259</v>
      </c>
      <c r="F7124" s="1" t="s">
        <v>16</v>
      </c>
      <c r="G7124" s="1" t="s">
        <v>17</v>
      </c>
      <c r="H7124" s="1" t="str">
        <f>"68"</f>
        <v>68</v>
      </c>
      <c r="I7124" s="1" t="str">
        <f>"154.54"</f>
        <v>154.54</v>
      </c>
      <c r="J7124" s="1" t="str">
        <f t="shared" ref="J7124:N7124" si="4770">"0"</f>
        <v>0</v>
      </c>
      <c r="K7124" s="1" t="str">
        <f t="shared" si="4750"/>
        <v>103</v>
      </c>
      <c r="L7124" s="1" t="str">
        <f t="shared" si="4751"/>
        <v>47</v>
      </c>
      <c r="M7124" s="1" t="str">
        <f t="shared" si="4770"/>
        <v>0</v>
      </c>
      <c r="N7124" s="1" t="str">
        <f t="shared" si="4770"/>
        <v>0</v>
      </c>
      <c r="O7124" s="1" t="str">
        <f>"4.54"</f>
        <v>4.54</v>
      </c>
    </row>
    <row r="7125" s="1" customFormat="1" spans="1:15">
      <c r="A7125" s="1" t="str">
        <f t="shared" si="4747"/>
        <v>202406</v>
      </c>
      <c r="B7125" s="1" t="str">
        <f t="shared" si="4748"/>
        <v>150525100</v>
      </c>
      <c r="C7125" s="1" t="str">
        <f>"1040653439"</f>
        <v>1040653439</v>
      </c>
      <c r="D7125" s="1" t="str">
        <f>"152326195707033322"</f>
        <v>152326195707033322</v>
      </c>
      <c r="E7125" s="1" t="s">
        <v>6888</v>
      </c>
      <c r="F7125" s="1" t="s">
        <v>16</v>
      </c>
      <c r="G7125" s="1" t="s">
        <v>17</v>
      </c>
      <c r="H7125" s="1" t="str">
        <f>"67"</f>
        <v>67</v>
      </c>
      <c r="I7125" s="1" t="str">
        <f>"155.5"</f>
        <v>155.5</v>
      </c>
      <c r="J7125" s="1" t="str">
        <f t="shared" ref="J7125:N7125" si="4771">"0"</f>
        <v>0</v>
      </c>
      <c r="K7125" s="1" t="str">
        <f t="shared" si="4750"/>
        <v>103</v>
      </c>
      <c r="L7125" s="1" t="str">
        <f t="shared" si="4751"/>
        <v>47</v>
      </c>
      <c r="M7125" s="1" t="str">
        <f t="shared" si="4771"/>
        <v>0</v>
      </c>
      <c r="N7125" s="1" t="str">
        <f t="shared" si="4771"/>
        <v>0</v>
      </c>
      <c r="O7125" s="1" t="str">
        <f>"5.5"</f>
        <v>5.5</v>
      </c>
    </row>
    <row r="7126" s="1" customFormat="1" spans="1:15">
      <c r="A7126" s="1" t="str">
        <f t="shared" si="4747"/>
        <v>202406</v>
      </c>
      <c r="B7126" s="1" t="str">
        <f t="shared" si="4748"/>
        <v>150525100</v>
      </c>
      <c r="C7126" s="1" t="str">
        <f>"1040653498"</f>
        <v>1040653498</v>
      </c>
      <c r="D7126" s="1" t="str">
        <f>"152326195609252599"</f>
        <v>152326195609252599</v>
      </c>
      <c r="E7126" s="1" t="s">
        <v>6889</v>
      </c>
      <c r="F7126" s="1" t="s">
        <v>25</v>
      </c>
      <c r="G7126" s="1" t="s">
        <v>17</v>
      </c>
      <c r="H7126" s="1" t="str">
        <f>"68"</f>
        <v>68</v>
      </c>
      <c r="I7126" s="1" t="str">
        <f>"155.43"</f>
        <v>155.43</v>
      </c>
      <c r="J7126" s="1" t="str">
        <f t="shared" ref="J7126:N7126" si="4772">"0"</f>
        <v>0</v>
      </c>
      <c r="K7126" s="1" t="str">
        <f t="shared" si="4750"/>
        <v>103</v>
      </c>
      <c r="L7126" s="1" t="str">
        <f t="shared" si="4751"/>
        <v>47</v>
      </c>
      <c r="M7126" s="1" t="str">
        <f t="shared" si="4772"/>
        <v>0</v>
      </c>
      <c r="N7126" s="1" t="str">
        <f t="shared" si="4772"/>
        <v>0</v>
      </c>
      <c r="O7126" s="1" t="str">
        <f>"5.43"</f>
        <v>5.43</v>
      </c>
    </row>
    <row r="7127" s="1" customFormat="1" spans="1:15">
      <c r="A7127" s="1" t="str">
        <f t="shared" si="4747"/>
        <v>202406</v>
      </c>
      <c r="B7127" s="1" t="str">
        <f t="shared" si="4748"/>
        <v>150525100</v>
      </c>
      <c r="C7127" s="1" t="str">
        <f>"1040752605"</f>
        <v>1040752605</v>
      </c>
      <c r="D7127" s="1" t="str">
        <f>"152326195810130446"</f>
        <v>152326195810130446</v>
      </c>
      <c r="E7127" s="1" t="s">
        <v>6890</v>
      </c>
      <c r="F7127" s="1" t="s">
        <v>16</v>
      </c>
      <c r="G7127" s="1" t="s">
        <v>17</v>
      </c>
      <c r="H7127" s="1" t="str">
        <f>"66"</f>
        <v>66</v>
      </c>
      <c r="I7127" s="1" t="str">
        <f>"156.58"</f>
        <v>156.58</v>
      </c>
      <c r="J7127" s="1" t="str">
        <f t="shared" ref="J7127:N7127" si="4773">"0"</f>
        <v>0</v>
      </c>
      <c r="K7127" s="1" t="str">
        <f t="shared" si="4750"/>
        <v>103</v>
      </c>
      <c r="L7127" s="1" t="str">
        <f t="shared" si="4751"/>
        <v>47</v>
      </c>
      <c r="M7127" s="1" t="str">
        <f t="shared" si="4773"/>
        <v>0</v>
      </c>
      <c r="N7127" s="1" t="str">
        <f t="shared" si="4773"/>
        <v>0</v>
      </c>
      <c r="O7127" s="1" t="str">
        <f>"6.58"</f>
        <v>6.58</v>
      </c>
    </row>
    <row r="7128" s="1" customFormat="1" spans="1:15">
      <c r="A7128" s="1" t="str">
        <f t="shared" si="4747"/>
        <v>202406</v>
      </c>
      <c r="B7128" s="1" t="str">
        <f t="shared" si="4748"/>
        <v>150525100</v>
      </c>
      <c r="C7128" s="1" t="str">
        <f>"1040760941"</f>
        <v>1040760941</v>
      </c>
      <c r="D7128" s="1" t="str">
        <f>"152326196310040449"</f>
        <v>152326196310040449</v>
      </c>
      <c r="E7128" s="1" t="s">
        <v>6891</v>
      </c>
      <c r="F7128" s="1" t="s">
        <v>16</v>
      </c>
      <c r="G7128" s="1" t="s">
        <v>19</v>
      </c>
      <c r="H7128" s="1" t="str">
        <f>"61"</f>
        <v>61</v>
      </c>
      <c r="I7128" s="1" t="str">
        <f>"163.43"</f>
        <v>163.43</v>
      </c>
      <c r="J7128" s="1" t="str">
        <f t="shared" ref="J7128:N7128" si="4774">"0"</f>
        <v>0</v>
      </c>
      <c r="K7128" s="1" t="str">
        <f t="shared" si="4750"/>
        <v>103</v>
      </c>
      <c r="L7128" s="1" t="str">
        <f t="shared" si="4751"/>
        <v>47</v>
      </c>
      <c r="M7128" s="1" t="str">
        <f t="shared" si="4774"/>
        <v>0</v>
      </c>
      <c r="N7128" s="1" t="str">
        <f t="shared" si="4774"/>
        <v>0</v>
      </c>
      <c r="O7128" s="1" t="str">
        <f>"13.43"</f>
        <v>13.43</v>
      </c>
    </row>
    <row r="7129" s="1" customFormat="1" spans="1:15">
      <c r="A7129" s="1" t="str">
        <f t="shared" si="4747"/>
        <v>202406</v>
      </c>
      <c r="B7129" s="1" t="str">
        <f t="shared" si="4748"/>
        <v>150525100</v>
      </c>
      <c r="C7129" s="1" t="str">
        <f>"1040653528"</f>
        <v>1040653528</v>
      </c>
      <c r="D7129" s="1" t="str">
        <f>"152326196009083319"</f>
        <v>152326196009083319</v>
      </c>
      <c r="E7129" s="1" t="s">
        <v>6892</v>
      </c>
      <c r="F7129" s="1" t="s">
        <v>25</v>
      </c>
      <c r="G7129" s="1" t="s">
        <v>19</v>
      </c>
      <c r="H7129" s="1" t="str">
        <f t="shared" ref="H7129:H7133" si="4775">"64"</f>
        <v>64</v>
      </c>
      <c r="I7129" s="1" t="str">
        <f>"158.65"</f>
        <v>158.65</v>
      </c>
      <c r="J7129" s="1" t="str">
        <f t="shared" ref="J7129:N7129" si="4776">"0"</f>
        <v>0</v>
      </c>
      <c r="K7129" s="1" t="str">
        <f t="shared" si="4750"/>
        <v>103</v>
      </c>
      <c r="L7129" s="1" t="str">
        <f t="shared" si="4751"/>
        <v>47</v>
      </c>
      <c r="M7129" s="1" t="str">
        <f t="shared" si="4776"/>
        <v>0</v>
      </c>
      <c r="N7129" s="1" t="str">
        <f t="shared" si="4776"/>
        <v>0</v>
      </c>
      <c r="O7129" s="1" t="str">
        <f>"8.65"</f>
        <v>8.65</v>
      </c>
    </row>
    <row r="7130" s="1" customFormat="1" spans="1:15">
      <c r="A7130" s="1" t="str">
        <f t="shared" si="4747"/>
        <v>202406</v>
      </c>
      <c r="B7130" s="1" t="str">
        <f t="shared" si="4748"/>
        <v>150525100</v>
      </c>
      <c r="C7130" s="1" t="str">
        <f>"1040767073"</f>
        <v>1040767073</v>
      </c>
      <c r="D7130" s="1" t="s">
        <v>6893</v>
      </c>
      <c r="E7130" s="1" t="s">
        <v>6894</v>
      </c>
      <c r="F7130" s="1" t="s">
        <v>16</v>
      </c>
      <c r="G7130" s="1" t="s">
        <v>17</v>
      </c>
      <c r="H7130" s="1" t="str">
        <f>"70"</f>
        <v>70</v>
      </c>
      <c r="I7130" s="1" t="str">
        <f>"152.88"</f>
        <v>152.88</v>
      </c>
      <c r="J7130" s="1" t="str">
        <f t="shared" ref="J7130:N7130" si="4777">"0"</f>
        <v>0</v>
      </c>
      <c r="K7130" s="1" t="str">
        <f t="shared" si="4750"/>
        <v>103</v>
      </c>
      <c r="L7130" s="1" t="str">
        <f t="shared" si="4751"/>
        <v>47</v>
      </c>
      <c r="M7130" s="1" t="str">
        <f t="shared" si="4777"/>
        <v>0</v>
      </c>
      <c r="N7130" s="1" t="str">
        <f t="shared" si="4777"/>
        <v>0</v>
      </c>
      <c r="O7130" s="1" t="str">
        <f>"2.88"</f>
        <v>2.88</v>
      </c>
    </row>
    <row r="7131" s="1" customFormat="1" spans="1:15">
      <c r="A7131" s="1" t="str">
        <f t="shared" si="4747"/>
        <v>202406</v>
      </c>
      <c r="B7131" s="1" t="str">
        <f t="shared" si="4748"/>
        <v>150525100</v>
      </c>
      <c r="C7131" s="1" t="str">
        <f>"1040742989"</f>
        <v>1040742989</v>
      </c>
      <c r="D7131" s="1" t="str">
        <f>"152326196304133833"</f>
        <v>152326196304133833</v>
      </c>
      <c r="E7131" s="1" t="s">
        <v>1267</v>
      </c>
      <c r="F7131" s="1" t="s">
        <v>25</v>
      </c>
      <c r="G7131" s="1" t="s">
        <v>19</v>
      </c>
      <c r="H7131" s="1" t="str">
        <f>"61"</f>
        <v>61</v>
      </c>
      <c r="I7131" s="1" t="str">
        <f>"162.56"</f>
        <v>162.56</v>
      </c>
      <c r="J7131" s="1" t="str">
        <f t="shared" ref="J7131:N7131" si="4778">"0"</f>
        <v>0</v>
      </c>
      <c r="K7131" s="1" t="str">
        <f t="shared" si="4750"/>
        <v>103</v>
      </c>
      <c r="L7131" s="1" t="str">
        <f t="shared" si="4751"/>
        <v>47</v>
      </c>
      <c r="M7131" s="1" t="str">
        <f t="shared" si="4778"/>
        <v>0</v>
      </c>
      <c r="N7131" s="1" t="str">
        <f t="shared" si="4778"/>
        <v>0</v>
      </c>
      <c r="O7131" s="1" t="str">
        <f>"12.56"</f>
        <v>12.56</v>
      </c>
    </row>
    <row r="7132" s="1" customFormat="1" spans="1:15">
      <c r="A7132" s="1" t="str">
        <f t="shared" si="4747"/>
        <v>202406</v>
      </c>
      <c r="B7132" s="1" t="str">
        <f t="shared" si="4748"/>
        <v>150525100</v>
      </c>
      <c r="C7132" s="1" t="str">
        <f>"1040735373"</f>
        <v>1040735373</v>
      </c>
      <c r="D7132" s="1" t="s">
        <v>6895</v>
      </c>
      <c r="E7132" s="1" t="s">
        <v>6896</v>
      </c>
      <c r="F7132" s="1" t="s">
        <v>16</v>
      </c>
      <c r="G7132" s="1" t="s">
        <v>17</v>
      </c>
      <c r="H7132" s="1" t="str">
        <f t="shared" si="4775"/>
        <v>64</v>
      </c>
      <c r="I7132" s="1" t="str">
        <f>"219.81"</f>
        <v>219.81</v>
      </c>
      <c r="J7132" s="1" t="str">
        <f t="shared" ref="J7132:N7132" si="4779">"0"</f>
        <v>0</v>
      </c>
      <c r="K7132" s="1" t="str">
        <f t="shared" si="4750"/>
        <v>103</v>
      </c>
      <c r="L7132" s="1" t="str">
        <f t="shared" si="4751"/>
        <v>47</v>
      </c>
      <c r="M7132" s="1" t="str">
        <f t="shared" si="4779"/>
        <v>0</v>
      </c>
      <c r="N7132" s="1" t="str">
        <f t="shared" si="4779"/>
        <v>0</v>
      </c>
      <c r="O7132" s="1" t="str">
        <f>"69.81"</f>
        <v>69.81</v>
      </c>
    </row>
    <row r="7133" s="1" customFormat="1" spans="1:15">
      <c r="A7133" s="1" t="str">
        <f t="shared" si="4747"/>
        <v>202406</v>
      </c>
      <c r="B7133" s="1" t="str">
        <f t="shared" si="4748"/>
        <v>150525100</v>
      </c>
      <c r="C7133" s="1" t="str">
        <f>"1040645541"</f>
        <v>1040645541</v>
      </c>
      <c r="D7133" s="1" t="str">
        <f>"152326196004150412"</f>
        <v>152326196004150412</v>
      </c>
      <c r="E7133" s="1" t="s">
        <v>6897</v>
      </c>
      <c r="F7133" s="1" t="s">
        <v>25</v>
      </c>
      <c r="G7133" s="1" t="s">
        <v>17</v>
      </c>
      <c r="H7133" s="1" t="str">
        <f t="shared" si="4775"/>
        <v>64</v>
      </c>
      <c r="I7133" s="1" t="str">
        <f>"157.66"</f>
        <v>157.66</v>
      </c>
      <c r="J7133" s="1" t="str">
        <f t="shared" ref="J7133:N7133" si="4780">"0"</f>
        <v>0</v>
      </c>
      <c r="K7133" s="1" t="str">
        <f t="shared" si="4750"/>
        <v>103</v>
      </c>
      <c r="L7133" s="1" t="str">
        <f t="shared" si="4751"/>
        <v>47</v>
      </c>
      <c r="M7133" s="1" t="str">
        <f t="shared" si="4780"/>
        <v>0</v>
      </c>
      <c r="N7133" s="1" t="str">
        <f t="shared" si="4780"/>
        <v>0</v>
      </c>
      <c r="O7133" s="1" t="str">
        <f>"7.66"</f>
        <v>7.66</v>
      </c>
    </row>
    <row r="7134" s="1" customFormat="1" spans="1:15">
      <c r="A7134" s="1" t="str">
        <f t="shared" si="4747"/>
        <v>202406</v>
      </c>
      <c r="B7134" s="1" t="str">
        <f t="shared" si="4748"/>
        <v>150525100</v>
      </c>
      <c r="C7134" s="1" t="str">
        <f>"1040647075"</f>
        <v>1040647075</v>
      </c>
      <c r="D7134" s="1" t="str">
        <f>"152326195811103888"</f>
        <v>152326195811103888</v>
      </c>
      <c r="E7134" s="1" t="s">
        <v>402</v>
      </c>
      <c r="F7134" s="1" t="s">
        <v>16</v>
      </c>
      <c r="G7134" s="1" t="s">
        <v>17</v>
      </c>
      <c r="H7134" s="1" t="str">
        <f>"66"</f>
        <v>66</v>
      </c>
      <c r="I7134" s="1" t="str">
        <f>"156.55"</f>
        <v>156.55</v>
      </c>
      <c r="J7134" s="1" t="str">
        <f t="shared" ref="J7134:N7134" si="4781">"0"</f>
        <v>0</v>
      </c>
      <c r="K7134" s="1" t="str">
        <f t="shared" si="4750"/>
        <v>103</v>
      </c>
      <c r="L7134" s="1" t="str">
        <f t="shared" si="4751"/>
        <v>47</v>
      </c>
      <c r="M7134" s="1" t="str">
        <f t="shared" si="4781"/>
        <v>0</v>
      </c>
      <c r="N7134" s="1" t="str">
        <f t="shared" si="4781"/>
        <v>0</v>
      </c>
      <c r="O7134" s="1" t="str">
        <f>"6.55"</f>
        <v>6.55</v>
      </c>
    </row>
    <row r="7135" s="1" customFormat="1" spans="1:15">
      <c r="A7135" s="1" t="str">
        <f t="shared" si="4747"/>
        <v>202406</v>
      </c>
      <c r="B7135" s="1" t="str">
        <f t="shared" si="4748"/>
        <v>150525100</v>
      </c>
      <c r="C7135" s="1" t="str">
        <f>"1040646395"</f>
        <v>1040646395</v>
      </c>
      <c r="D7135" s="1" t="str">
        <f>"152326195403210422"</f>
        <v>152326195403210422</v>
      </c>
      <c r="E7135" s="1" t="s">
        <v>1939</v>
      </c>
      <c r="F7135" s="1" t="s">
        <v>16</v>
      </c>
      <c r="G7135" s="1" t="s">
        <v>17</v>
      </c>
      <c r="H7135" s="1" t="str">
        <f>"70"</f>
        <v>70</v>
      </c>
      <c r="I7135" s="1" t="str">
        <f>"163.56"</f>
        <v>163.56</v>
      </c>
      <c r="J7135" s="1" t="str">
        <f t="shared" ref="J7135:N7135" si="4782">"0"</f>
        <v>0</v>
      </c>
      <c r="K7135" s="1" t="str">
        <f t="shared" si="4750"/>
        <v>103</v>
      </c>
      <c r="L7135" s="1" t="str">
        <f t="shared" si="4751"/>
        <v>47</v>
      </c>
      <c r="M7135" s="1" t="str">
        <f t="shared" si="4782"/>
        <v>0</v>
      </c>
      <c r="N7135" s="1" t="str">
        <f t="shared" si="4782"/>
        <v>0</v>
      </c>
      <c r="O7135" s="1" t="str">
        <f>"3.56"</f>
        <v>3.56</v>
      </c>
    </row>
    <row r="7136" s="1" customFormat="1" spans="1:15">
      <c r="A7136" s="1" t="str">
        <f t="shared" si="4747"/>
        <v>202406</v>
      </c>
      <c r="B7136" s="1" t="str">
        <f t="shared" si="4748"/>
        <v>150525100</v>
      </c>
      <c r="C7136" s="1" t="str">
        <f>"1040646397"</f>
        <v>1040646397</v>
      </c>
      <c r="D7136" s="1" t="str">
        <f>"152326195909060425"</f>
        <v>152326195909060425</v>
      </c>
      <c r="E7136" s="1" t="s">
        <v>6898</v>
      </c>
      <c r="F7136" s="1" t="s">
        <v>16</v>
      </c>
      <c r="G7136" s="1" t="s">
        <v>17</v>
      </c>
      <c r="H7136" s="1" t="str">
        <f>"65"</f>
        <v>65</v>
      </c>
      <c r="I7136" s="1" t="str">
        <f>"183.7"</f>
        <v>183.7</v>
      </c>
      <c r="J7136" s="1" t="str">
        <f t="shared" ref="J7136:N7136" si="4783">"0"</f>
        <v>0</v>
      </c>
      <c r="K7136" s="1" t="str">
        <f t="shared" si="4750"/>
        <v>103</v>
      </c>
      <c r="L7136" s="1" t="str">
        <f t="shared" si="4751"/>
        <v>47</v>
      </c>
      <c r="M7136" s="1" t="str">
        <f t="shared" si="4783"/>
        <v>0</v>
      </c>
      <c r="N7136" s="1" t="str">
        <f t="shared" si="4783"/>
        <v>0</v>
      </c>
      <c r="O7136" s="1" t="str">
        <f>"33.7"</f>
        <v>33.7</v>
      </c>
    </row>
    <row r="7137" s="1" customFormat="1" spans="1:15">
      <c r="A7137" s="1" t="str">
        <f t="shared" si="4747"/>
        <v>202406</v>
      </c>
      <c r="B7137" s="1" t="str">
        <f t="shared" si="4748"/>
        <v>150525100</v>
      </c>
      <c r="C7137" s="1" t="str">
        <f>"1040646422"</f>
        <v>1040646422</v>
      </c>
      <c r="D7137" s="1" t="str">
        <f>"152326195808180428"</f>
        <v>152326195808180428</v>
      </c>
      <c r="E7137" s="1" t="s">
        <v>6899</v>
      </c>
      <c r="F7137" s="1" t="s">
        <v>16</v>
      </c>
      <c r="G7137" s="1" t="s">
        <v>17</v>
      </c>
      <c r="H7137" s="1" t="str">
        <f>"66"</f>
        <v>66</v>
      </c>
      <c r="I7137" s="1" t="str">
        <f>"157.26"</f>
        <v>157.26</v>
      </c>
      <c r="J7137" s="1" t="str">
        <f t="shared" ref="J7137:N7137" si="4784">"0"</f>
        <v>0</v>
      </c>
      <c r="K7137" s="1" t="str">
        <f t="shared" si="4750"/>
        <v>103</v>
      </c>
      <c r="L7137" s="1" t="str">
        <f t="shared" si="4751"/>
        <v>47</v>
      </c>
      <c r="M7137" s="1" t="str">
        <f t="shared" si="4784"/>
        <v>0</v>
      </c>
      <c r="N7137" s="1" t="str">
        <f t="shared" si="4784"/>
        <v>0</v>
      </c>
      <c r="O7137" s="1" t="str">
        <f>"7.26"</f>
        <v>7.26</v>
      </c>
    </row>
    <row r="7138" s="1" customFormat="1" spans="1:15">
      <c r="A7138" s="1" t="str">
        <f t="shared" si="4747"/>
        <v>202406</v>
      </c>
      <c r="B7138" s="1" t="str">
        <f t="shared" si="4748"/>
        <v>150525100</v>
      </c>
      <c r="C7138" s="1" t="str">
        <f>"1040647122"</f>
        <v>1040647122</v>
      </c>
      <c r="D7138" s="1" t="str">
        <f>"152326195702053818"</f>
        <v>152326195702053818</v>
      </c>
      <c r="E7138" s="1" t="s">
        <v>6900</v>
      </c>
      <c r="F7138" s="1" t="s">
        <v>25</v>
      </c>
      <c r="G7138" s="1" t="s">
        <v>17</v>
      </c>
      <c r="H7138" s="1" t="str">
        <f>"67"</f>
        <v>67</v>
      </c>
      <c r="I7138" s="1" t="str">
        <f>"169.02"</f>
        <v>169.02</v>
      </c>
      <c r="J7138" s="1" t="str">
        <f t="shared" ref="J7138:N7138" si="4785">"0"</f>
        <v>0</v>
      </c>
      <c r="K7138" s="1" t="str">
        <f t="shared" si="4750"/>
        <v>103</v>
      </c>
      <c r="L7138" s="1" t="str">
        <f t="shared" si="4751"/>
        <v>47</v>
      </c>
      <c r="M7138" s="1" t="str">
        <f t="shared" si="4785"/>
        <v>0</v>
      </c>
      <c r="N7138" s="1" t="str">
        <f t="shared" si="4785"/>
        <v>0</v>
      </c>
      <c r="O7138" s="1" t="str">
        <f>"19.02"</f>
        <v>19.02</v>
      </c>
    </row>
    <row r="7139" s="1" customFormat="1" spans="1:15">
      <c r="A7139" s="1" t="str">
        <f t="shared" si="4747"/>
        <v>202406</v>
      </c>
      <c r="B7139" s="1" t="str">
        <f t="shared" si="4748"/>
        <v>150525100</v>
      </c>
      <c r="C7139" s="1" t="str">
        <f>"1040647123"</f>
        <v>1040647123</v>
      </c>
      <c r="D7139" s="1" t="str">
        <f>"152326195512023829"</f>
        <v>152326195512023829</v>
      </c>
      <c r="E7139" s="1" t="s">
        <v>4234</v>
      </c>
      <c r="F7139" s="1" t="s">
        <v>16</v>
      </c>
      <c r="G7139" s="1" t="s">
        <v>17</v>
      </c>
      <c r="H7139" s="1" t="str">
        <f t="shared" ref="H7139:H7144" si="4786">"69"</f>
        <v>69</v>
      </c>
      <c r="I7139" s="1" t="str">
        <f>"165.8"</f>
        <v>165.8</v>
      </c>
      <c r="J7139" s="1" t="str">
        <f t="shared" ref="J7139:N7139" si="4787">"0"</f>
        <v>0</v>
      </c>
      <c r="K7139" s="1" t="str">
        <f t="shared" si="4750"/>
        <v>103</v>
      </c>
      <c r="L7139" s="1" t="str">
        <f t="shared" si="4751"/>
        <v>47</v>
      </c>
      <c r="M7139" s="1" t="str">
        <f t="shared" si="4787"/>
        <v>0</v>
      </c>
      <c r="N7139" s="1" t="str">
        <f t="shared" si="4787"/>
        <v>0</v>
      </c>
      <c r="O7139" s="1" t="str">
        <f>"15.8"</f>
        <v>15.8</v>
      </c>
    </row>
    <row r="7140" s="1" customFormat="1" spans="1:15">
      <c r="A7140" s="1" t="str">
        <f t="shared" si="4747"/>
        <v>202406</v>
      </c>
      <c r="B7140" s="1" t="str">
        <f t="shared" si="4748"/>
        <v>150525100</v>
      </c>
      <c r="C7140" s="1" t="str">
        <f>"1040646436"</f>
        <v>1040646436</v>
      </c>
      <c r="D7140" s="1" t="str">
        <f>"152326195403240429"</f>
        <v>152326195403240429</v>
      </c>
      <c r="E7140" s="1" t="s">
        <v>6901</v>
      </c>
      <c r="F7140" s="1" t="s">
        <v>16</v>
      </c>
      <c r="G7140" s="1" t="s">
        <v>17</v>
      </c>
      <c r="H7140" s="1" t="str">
        <f>"70"</f>
        <v>70</v>
      </c>
      <c r="I7140" s="1" t="str">
        <f>"163.56"</f>
        <v>163.56</v>
      </c>
      <c r="J7140" s="1" t="str">
        <f t="shared" ref="J7140:N7140" si="4788">"0"</f>
        <v>0</v>
      </c>
      <c r="K7140" s="1" t="str">
        <f t="shared" si="4750"/>
        <v>103</v>
      </c>
      <c r="L7140" s="1" t="str">
        <f t="shared" si="4751"/>
        <v>47</v>
      </c>
      <c r="M7140" s="1" t="str">
        <f t="shared" si="4788"/>
        <v>0</v>
      </c>
      <c r="N7140" s="1" t="str">
        <f t="shared" si="4788"/>
        <v>0</v>
      </c>
      <c r="O7140" s="1" t="str">
        <f>"3.56"</f>
        <v>3.56</v>
      </c>
    </row>
    <row r="7141" s="1" customFormat="1" spans="1:15">
      <c r="A7141" s="1" t="str">
        <f t="shared" si="4747"/>
        <v>202406</v>
      </c>
      <c r="B7141" s="1" t="str">
        <f t="shared" si="4748"/>
        <v>150525100</v>
      </c>
      <c r="C7141" s="1" t="str">
        <f>"1040646439"</f>
        <v>1040646439</v>
      </c>
      <c r="D7141" s="1" t="str">
        <f>"152326195501150427"</f>
        <v>152326195501150427</v>
      </c>
      <c r="E7141" s="1" t="s">
        <v>6902</v>
      </c>
      <c r="F7141" s="1" t="s">
        <v>16</v>
      </c>
      <c r="G7141" s="1" t="s">
        <v>17</v>
      </c>
      <c r="H7141" s="1" t="str">
        <f t="shared" si="4786"/>
        <v>69</v>
      </c>
      <c r="I7141" s="1" t="str">
        <f>"154.51"</f>
        <v>154.51</v>
      </c>
      <c r="J7141" s="1" t="str">
        <f t="shared" ref="J7141:N7141" si="4789">"0"</f>
        <v>0</v>
      </c>
      <c r="K7141" s="1" t="str">
        <f t="shared" si="4750"/>
        <v>103</v>
      </c>
      <c r="L7141" s="1" t="str">
        <f t="shared" si="4751"/>
        <v>47</v>
      </c>
      <c r="M7141" s="1" t="str">
        <f t="shared" si="4789"/>
        <v>0</v>
      </c>
      <c r="N7141" s="1" t="str">
        <f t="shared" si="4789"/>
        <v>0</v>
      </c>
      <c r="O7141" s="1" t="str">
        <f>"4.51"</f>
        <v>4.51</v>
      </c>
    </row>
    <row r="7142" s="1" customFormat="1" spans="1:15">
      <c r="A7142" s="1" t="str">
        <f t="shared" si="4747"/>
        <v>202406</v>
      </c>
      <c r="B7142" s="1" t="str">
        <f t="shared" si="4748"/>
        <v>150525100</v>
      </c>
      <c r="C7142" s="1" t="str">
        <f>"1040646442"</f>
        <v>1040646442</v>
      </c>
      <c r="D7142" s="1" t="str">
        <f>"152326195909250448"</f>
        <v>152326195909250448</v>
      </c>
      <c r="E7142" s="1" t="s">
        <v>6435</v>
      </c>
      <c r="F7142" s="1" t="s">
        <v>16</v>
      </c>
      <c r="G7142" s="1" t="s">
        <v>17</v>
      </c>
      <c r="H7142" s="1" t="str">
        <f t="shared" ref="H7142:H7145" si="4790">"65"</f>
        <v>65</v>
      </c>
      <c r="I7142" s="1" t="str">
        <f>"157.58"</f>
        <v>157.58</v>
      </c>
      <c r="J7142" s="1" t="str">
        <f t="shared" ref="J7142:N7142" si="4791">"0"</f>
        <v>0</v>
      </c>
      <c r="K7142" s="1" t="str">
        <f t="shared" si="4750"/>
        <v>103</v>
      </c>
      <c r="L7142" s="1" t="str">
        <f t="shared" si="4751"/>
        <v>47</v>
      </c>
      <c r="M7142" s="1" t="str">
        <f t="shared" si="4791"/>
        <v>0</v>
      </c>
      <c r="N7142" s="1" t="str">
        <f t="shared" si="4791"/>
        <v>0</v>
      </c>
      <c r="O7142" s="1" t="str">
        <f>"7.58"</f>
        <v>7.58</v>
      </c>
    </row>
    <row r="7143" s="1" customFormat="1" spans="1:15">
      <c r="A7143" s="1" t="str">
        <f t="shared" si="4747"/>
        <v>202406</v>
      </c>
      <c r="B7143" s="1" t="str">
        <f t="shared" si="4748"/>
        <v>150525100</v>
      </c>
      <c r="C7143" s="1" t="str">
        <f>"1040646443"</f>
        <v>1040646443</v>
      </c>
      <c r="D7143" s="1" t="str">
        <f>"152326195908220415"</f>
        <v>152326195908220415</v>
      </c>
      <c r="E7143" s="1" t="s">
        <v>4435</v>
      </c>
      <c r="F7143" s="1" t="s">
        <v>25</v>
      </c>
      <c r="G7143" s="1" t="s">
        <v>17</v>
      </c>
      <c r="H7143" s="1" t="str">
        <f t="shared" si="4790"/>
        <v>65</v>
      </c>
      <c r="I7143" s="1" t="str">
        <f>"157.57"</f>
        <v>157.57</v>
      </c>
      <c r="J7143" s="1" t="str">
        <f t="shared" ref="J7143:N7143" si="4792">"0"</f>
        <v>0</v>
      </c>
      <c r="K7143" s="1" t="str">
        <f t="shared" si="4750"/>
        <v>103</v>
      </c>
      <c r="L7143" s="1" t="str">
        <f t="shared" si="4751"/>
        <v>47</v>
      </c>
      <c r="M7143" s="1" t="str">
        <f t="shared" si="4792"/>
        <v>0</v>
      </c>
      <c r="N7143" s="1" t="str">
        <f t="shared" si="4792"/>
        <v>0</v>
      </c>
      <c r="O7143" s="1" t="str">
        <f>"7.57"</f>
        <v>7.57</v>
      </c>
    </row>
    <row r="7144" s="1" customFormat="1" spans="1:15">
      <c r="A7144" s="1" t="str">
        <f t="shared" si="4747"/>
        <v>202406</v>
      </c>
      <c r="B7144" s="1" t="str">
        <f t="shared" si="4748"/>
        <v>150525100</v>
      </c>
      <c r="C7144" s="1" t="str">
        <f>"1040647303"</f>
        <v>1040647303</v>
      </c>
      <c r="D7144" s="1" t="str">
        <f>"152326195503190924"</f>
        <v>152326195503190924</v>
      </c>
      <c r="E7144" s="1" t="s">
        <v>6903</v>
      </c>
      <c r="F7144" s="1" t="s">
        <v>16</v>
      </c>
      <c r="G7144" s="1" t="s">
        <v>19</v>
      </c>
      <c r="H7144" s="1" t="str">
        <f t="shared" si="4786"/>
        <v>69</v>
      </c>
      <c r="I7144" s="1" t="str">
        <f>"154.48"</f>
        <v>154.48</v>
      </c>
      <c r="J7144" s="1" t="str">
        <f t="shared" ref="J7144:N7144" si="4793">"0"</f>
        <v>0</v>
      </c>
      <c r="K7144" s="1" t="str">
        <f t="shared" si="4750"/>
        <v>103</v>
      </c>
      <c r="L7144" s="1" t="str">
        <f t="shared" si="4751"/>
        <v>47</v>
      </c>
      <c r="M7144" s="1" t="str">
        <f t="shared" si="4793"/>
        <v>0</v>
      </c>
      <c r="N7144" s="1" t="str">
        <f t="shared" si="4793"/>
        <v>0</v>
      </c>
      <c r="O7144" s="1" t="str">
        <f>"4.48"</f>
        <v>4.48</v>
      </c>
    </row>
    <row r="7145" s="1" customFormat="1" spans="1:15">
      <c r="A7145" s="1" t="str">
        <f t="shared" si="4747"/>
        <v>202406</v>
      </c>
      <c r="B7145" s="1" t="str">
        <f t="shared" si="4748"/>
        <v>150525100</v>
      </c>
      <c r="C7145" s="1" t="str">
        <f>"1040647373"</f>
        <v>1040647373</v>
      </c>
      <c r="D7145" s="1" t="str">
        <f>"152326195910193815"</f>
        <v>152326195910193815</v>
      </c>
      <c r="E7145" s="1" t="s">
        <v>6904</v>
      </c>
      <c r="F7145" s="1" t="s">
        <v>25</v>
      </c>
      <c r="G7145" s="1" t="s">
        <v>19</v>
      </c>
      <c r="H7145" s="1" t="str">
        <f t="shared" si="4790"/>
        <v>65</v>
      </c>
      <c r="I7145" s="1" t="str">
        <f>"157.58"</f>
        <v>157.58</v>
      </c>
      <c r="J7145" s="1" t="str">
        <f t="shared" ref="J7145:N7145" si="4794">"0"</f>
        <v>0</v>
      </c>
      <c r="K7145" s="1" t="str">
        <f t="shared" si="4750"/>
        <v>103</v>
      </c>
      <c r="L7145" s="1" t="str">
        <f t="shared" si="4751"/>
        <v>47</v>
      </c>
      <c r="M7145" s="1" t="str">
        <f t="shared" si="4794"/>
        <v>0</v>
      </c>
      <c r="N7145" s="1" t="str">
        <f t="shared" si="4794"/>
        <v>0</v>
      </c>
      <c r="O7145" s="1" t="str">
        <f>"7.58"</f>
        <v>7.58</v>
      </c>
    </row>
    <row r="7146" s="1" customFormat="1" spans="1:15">
      <c r="A7146" s="1" t="str">
        <f t="shared" si="4747"/>
        <v>202406</v>
      </c>
      <c r="B7146" s="1" t="str">
        <f t="shared" si="4748"/>
        <v>150525100</v>
      </c>
      <c r="C7146" s="1" t="str">
        <f>"1040648215"</f>
        <v>1040648215</v>
      </c>
      <c r="D7146" s="1" t="str">
        <f>"152326195801153080"</f>
        <v>152326195801153080</v>
      </c>
      <c r="E7146" s="1" t="s">
        <v>5853</v>
      </c>
      <c r="F7146" s="1" t="s">
        <v>16</v>
      </c>
      <c r="G7146" s="1" t="s">
        <v>17</v>
      </c>
      <c r="H7146" s="1" t="str">
        <f>"66"</f>
        <v>66</v>
      </c>
      <c r="I7146" s="1" t="str">
        <f>"156.46"</f>
        <v>156.46</v>
      </c>
      <c r="J7146" s="1" t="str">
        <f t="shared" ref="J7146:N7146" si="4795">"0"</f>
        <v>0</v>
      </c>
      <c r="K7146" s="1" t="str">
        <f t="shared" si="4750"/>
        <v>103</v>
      </c>
      <c r="L7146" s="1" t="str">
        <f t="shared" si="4751"/>
        <v>47</v>
      </c>
      <c r="M7146" s="1" t="str">
        <f t="shared" si="4795"/>
        <v>0</v>
      </c>
      <c r="N7146" s="1" t="str">
        <f t="shared" si="4795"/>
        <v>0</v>
      </c>
      <c r="O7146" s="1" t="str">
        <f>"6.46"</f>
        <v>6.46</v>
      </c>
    </row>
    <row r="7147" s="1" customFormat="1" spans="1:15">
      <c r="A7147" s="1" t="str">
        <f t="shared" si="4747"/>
        <v>202406</v>
      </c>
      <c r="B7147" s="1" t="str">
        <f t="shared" si="4748"/>
        <v>150525100</v>
      </c>
      <c r="C7147" s="1" t="str">
        <f>"1040647407"</f>
        <v>1040647407</v>
      </c>
      <c r="D7147" s="1" t="str">
        <f>"152326195608270664"</f>
        <v>152326195608270664</v>
      </c>
      <c r="E7147" s="1" t="s">
        <v>126</v>
      </c>
      <c r="F7147" s="1" t="s">
        <v>16</v>
      </c>
      <c r="G7147" s="1" t="s">
        <v>19</v>
      </c>
      <c r="H7147" s="1" t="str">
        <f>"68"</f>
        <v>68</v>
      </c>
      <c r="I7147" s="1" t="str">
        <f>"155.41"</f>
        <v>155.41</v>
      </c>
      <c r="J7147" s="1" t="str">
        <f t="shared" ref="J7147:N7147" si="4796">"0"</f>
        <v>0</v>
      </c>
      <c r="K7147" s="1" t="str">
        <f t="shared" si="4750"/>
        <v>103</v>
      </c>
      <c r="L7147" s="1" t="str">
        <f t="shared" si="4751"/>
        <v>47</v>
      </c>
      <c r="M7147" s="1" t="str">
        <f t="shared" si="4796"/>
        <v>0</v>
      </c>
      <c r="N7147" s="1" t="str">
        <f t="shared" si="4796"/>
        <v>0</v>
      </c>
      <c r="O7147" s="1" t="str">
        <f>"5.41"</f>
        <v>5.41</v>
      </c>
    </row>
    <row r="7148" s="1" customFormat="1" spans="1:15">
      <c r="A7148" s="1" t="str">
        <f t="shared" si="4747"/>
        <v>202406</v>
      </c>
      <c r="B7148" s="1" t="str">
        <f t="shared" si="4748"/>
        <v>150525100</v>
      </c>
      <c r="C7148" s="1" t="str">
        <f>"1040647543"</f>
        <v>1040647543</v>
      </c>
      <c r="D7148" s="1" t="str">
        <f>"152326196309200660"</f>
        <v>152326196309200660</v>
      </c>
      <c r="E7148" s="1" t="s">
        <v>6905</v>
      </c>
      <c r="F7148" s="1" t="s">
        <v>16</v>
      </c>
      <c r="G7148" s="1" t="s">
        <v>17</v>
      </c>
      <c r="H7148" s="1" t="str">
        <f>"61"</f>
        <v>61</v>
      </c>
      <c r="I7148" s="1" t="str">
        <f>"164.45"</f>
        <v>164.45</v>
      </c>
      <c r="J7148" s="1" t="str">
        <f t="shared" ref="J7148:N7148" si="4797">"0"</f>
        <v>0</v>
      </c>
      <c r="K7148" s="1" t="str">
        <f t="shared" si="4750"/>
        <v>103</v>
      </c>
      <c r="L7148" s="1" t="str">
        <f t="shared" si="4751"/>
        <v>47</v>
      </c>
      <c r="M7148" s="1" t="str">
        <f t="shared" si="4797"/>
        <v>0</v>
      </c>
      <c r="N7148" s="1" t="str">
        <f t="shared" si="4797"/>
        <v>0</v>
      </c>
      <c r="O7148" s="1" t="str">
        <f>"14.45"</f>
        <v>14.45</v>
      </c>
    </row>
    <row r="7149" s="1" customFormat="1" spans="1:15">
      <c r="A7149" s="1" t="str">
        <f t="shared" si="4747"/>
        <v>202406</v>
      </c>
      <c r="B7149" s="1" t="str">
        <f t="shared" si="4748"/>
        <v>150525100</v>
      </c>
      <c r="C7149" s="1" t="str">
        <f>"1040647560"</f>
        <v>1040647560</v>
      </c>
      <c r="D7149" s="1" t="str">
        <f>"152326196008136140"</f>
        <v>152326196008136140</v>
      </c>
      <c r="E7149" s="1" t="s">
        <v>6906</v>
      </c>
      <c r="F7149" s="1" t="s">
        <v>16</v>
      </c>
      <c r="G7149" s="1" t="s">
        <v>17</v>
      </c>
      <c r="H7149" s="1" t="str">
        <f>"64"</f>
        <v>64</v>
      </c>
      <c r="I7149" s="1" t="str">
        <f>"158.62"</f>
        <v>158.62</v>
      </c>
      <c r="J7149" s="1" t="str">
        <f t="shared" ref="J7149:N7149" si="4798">"0"</f>
        <v>0</v>
      </c>
      <c r="K7149" s="1" t="str">
        <f t="shared" si="4750"/>
        <v>103</v>
      </c>
      <c r="L7149" s="1" t="str">
        <f t="shared" si="4751"/>
        <v>47</v>
      </c>
      <c r="M7149" s="1" t="str">
        <f t="shared" si="4798"/>
        <v>0</v>
      </c>
      <c r="N7149" s="1" t="str">
        <f t="shared" si="4798"/>
        <v>0</v>
      </c>
      <c r="O7149" s="1" t="str">
        <f>"8.62"</f>
        <v>8.62</v>
      </c>
    </row>
    <row r="7150" s="1" customFormat="1" spans="1:15">
      <c r="A7150" s="1" t="str">
        <f t="shared" si="4747"/>
        <v>202406</v>
      </c>
      <c r="B7150" s="1" t="str">
        <f t="shared" si="4748"/>
        <v>150525100</v>
      </c>
      <c r="C7150" s="1" t="str">
        <f>"1040647571"</f>
        <v>1040647571</v>
      </c>
      <c r="D7150" s="1" t="str">
        <f>"152326195809256375"</f>
        <v>152326195809256375</v>
      </c>
      <c r="E7150" s="1" t="s">
        <v>6907</v>
      </c>
      <c r="F7150" s="1" t="s">
        <v>25</v>
      </c>
      <c r="G7150" s="1" t="s">
        <v>17</v>
      </c>
      <c r="H7150" s="1" t="str">
        <f>"66"</f>
        <v>66</v>
      </c>
      <c r="I7150" s="1" t="str">
        <f>"156.53"</f>
        <v>156.53</v>
      </c>
      <c r="J7150" s="1" t="str">
        <f t="shared" ref="J7150:N7150" si="4799">"0"</f>
        <v>0</v>
      </c>
      <c r="K7150" s="1" t="str">
        <f t="shared" si="4750"/>
        <v>103</v>
      </c>
      <c r="L7150" s="1" t="str">
        <f t="shared" si="4751"/>
        <v>47</v>
      </c>
      <c r="M7150" s="1" t="str">
        <f t="shared" si="4799"/>
        <v>0</v>
      </c>
      <c r="N7150" s="1" t="str">
        <f t="shared" si="4799"/>
        <v>0</v>
      </c>
      <c r="O7150" s="1" t="str">
        <f>"6.53"</f>
        <v>6.53</v>
      </c>
    </row>
    <row r="7151" s="1" customFormat="1" spans="1:15">
      <c r="A7151" s="1" t="str">
        <f t="shared" si="4747"/>
        <v>202406</v>
      </c>
      <c r="B7151" s="1" t="str">
        <f t="shared" si="4748"/>
        <v>150525100</v>
      </c>
      <c r="C7151" s="1" t="str">
        <f>"1040647581"</f>
        <v>1040647581</v>
      </c>
      <c r="D7151" s="1" t="str">
        <f>"152326195409116381"</f>
        <v>152326195409116381</v>
      </c>
      <c r="E7151" s="1" t="s">
        <v>374</v>
      </c>
      <c r="F7151" s="1" t="s">
        <v>16</v>
      </c>
      <c r="G7151" s="1" t="s">
        <v>19</v>
      </c>
      <c r="H7151" s="1" t="str">
        <f t="shared" ref="H7151:H7156" si="4800">"70"</f>
        <v>70</v>
      </c>
      <c r="I7151" s="1" t="str">
        <f>"153.32"</f>
        <v>153.32</v>
      </c>
      <c r="J7151" s="1" t="str">
        <f t="shared" ref="J7151:N7151" si="4801">"0"</f>
        <v>0</v>
      </c>
      <c r="K7151" s="1" t="str">
        <f t="shared" si="4750"/>
        <v>103</v>
      </c>
      <c r="L7151" s="1" t="str">
        <f t="shared" si="4751"/>
        <v>47</v>
      </c>
      <c r="M7151" s="1" t="str">
        <f t="shared" si="4801"/>
        <v>0</v>
      </c>
      <c r="N7151" s="1" t="str">
        <f t="shared" si="4801"/>
        <v>0</v>
      </c>
      <c r="O7151" s="1" t="str">
        <f>"3.32"</f>
        <v>3.32</v>
      </c>
    </row>
    <row r="7152" s="1" customFormat="1" spans="1:15">
      <c r="A7152" s="1" t="str">
        <f t="shared" si="4747"/>
        <v>202406</v>
      </c>
      <c r="B7152" s="1" t="str">
        <f t="shared" si="4748"/>
        <v>150525100</v>
      </c>
      <c r="C7152" s="1" t="str">
        <f>"1040647584"</f>
        <v>1040647584</v>
      </c>
      <c r="D7152" s="1" t="str">
        <f>"152326195710116380"</f>
        <v>152326195710116380</v>
      </c>
      <c r="E7152" s="1" t="s">
        <v>1731</v>
      </c>
      <c r="F7152" s="1" t="s">
        <v>16</v>
      </c>
      <c r="G7152" s="1" t="s">
        <v>17</v>
      </c>
      <c r="H7152" s="1" t="str">
        <f>"67"</f>
        <v>67</v>
      </c>
      <c r="I7152" s="1" t="str">
        <f>"174.66"</f>
        <v>174.66</v>
      </c>
      <c r="J7152" s="1" t="str">
        <f t="shared" ref="J7152:N7152" si="4802">"0"</f>
        <v>0</v>
      </c>
      <c r="K7152" s="1" t="str">
        <f t="shared" si="4750"/>
        <v>103</v>
      </c>
      <c r="L7152" s="1" t="str">
        <f t="shared" si="4751"/>
        <v>47</v>
      </c>
      <c r="M7152" s="1" t="str">
        <f t="shared" si="4802"/>
        <v>0</v>
      </c>
      <c r="N7152" s="1" t="str">
        <f t="shared" si="4802"/>
        <v>0</v>
      </c>
      <c r="O7152" s="1" t="str">
        <f>"24.66"</f>
        <v>24.66</v>
      </c>
    </row>
    <row r="7153" s="1" customFormat="1" spans="1:15">
      <c r="A7153" s="1" t="str">
        <f t="shared" si="4747"/>
        <v>202406</v>
      </c>
      <c r="B7153" s="1" t="str">
        <f t="shared" si="4748"/>
        <v>150525100</v>
      </c>
      <c r="C7153" s="1" t="str">
        <f>"1040647588"</f>
        <v>1040647588</v>
      </c>
      <c r="D7153" s="1" t="str">
        <f>"152326196003306382"</f>
        <v>152326196003306382</v>
      </c>
      <c r="E7153" s="1" t="s">
        <v>6908</v>
      </c>
      <c r="F7153" s="1" t="s">
        <v>16</v>
      </c>
      <c r="G7153" s="1" t="s">
        <v>19</v>
      </c>
      <c r="H7153" s="1" t="str">
        <f>"64"</f>
        <v>64</v>
      </c>
      <c r="I7153" s="1" t="str">
        <f>"158.57"</f>
        <v>158.57</v>
      </c>
      <c r="J7153" s="1" t="str">
        <f t="shared" ref="J7153:N7153" si="4803">"0"</f>
        <v>0</v>
      </c>
      <c r="K7153" s="1" t="str">
        <f t="shared" si="4750"/>
        <v>103</v>
      </c>
      <c r="L7153" s="1" t="str">
        <f t="shared" si="4751"/>
        <v>47</v>
      </c>
      <c r="M7153" s="1" t="str">
        <f t="shared" si="4803"/>
        <v>0</v>
      </c>
      <c r="N7153" s="1" t="str">
        <f t="shared" si="4803"/>
        <v>0</v>
      </c>
      <c r="O7153" s="1" t="str">
        <f>"8.57"</f>
        <v>8.57</v>
      </c>
    </row>
    <row r="7154" s="1" customFormat="1" spans="1:15">
      <c r="A7154" s="1" t="str">
        <f t="shared" si="4747"/>
        <v>202406</v>
      </c>
      <c r="B7154" s="1" t="str">
        <f t="shared" si="4748"/>
        <v>150525100</v>
      </c>
      <c r="C7154" s="1" t="str">
        <f>"1040647603"</f>
        <v>1040647603</v>
      </c>
      <c r="D7154" s="1" t="str">
        <f>"152326195503016387"</f>
        <v>152326195503016387</v>
      </c>
      <c r="E7154" s="1" t="s">
        <v>6909</v>
      </c>
      <c r="F7154" s="1" t="s">
        <v>16</v>
      </c>
      <c r="G7154" s="1" t="s">
        <v>17</v>
      </c>
      <c r="H7154" s="1" t="str">
        <f>"69"</f>
        <v>69</v>
      </c>
      <c r="I7154" s="1" t="str">
        <f>"154.51"</f>
        <v>154.51</v>
      </c>
      <c r="J7154" s="1" t="str">
        <f t="shared" ref="J7154:N7154" si="4804">"0"</f>
        <v>0</v>
      </c>
      <c r="K7154" s="1" t="str">
        <f t="shared" si="4750"/>
        <v>103</v>
      </c>
      <c r="L7154" s="1" t="str">
        <f t="shared" si="4751"/>
        <v>47</v>
      </c>
      <c r="M7154" s="1" t="str">
        <f t="shared" si="4804"/>
        <v>0</v>
      </c>
      <c r="N7154" s="1" t="str">
        <f t="shared" si="4804"/>
        <v>0</v>
      </c>
      <c r="O7154" s="1" t="str">
        <f>"4.51"</f>
        <v>4.51</v>
      </c>
    </row>
    <row r="7155" s="1" customFormat="1" spans="1:15">
      <c r="A7155" s="1" t="str">
        <f t="shared" si="4747"/>
        <v>202406</v>
      </c>
      <c r="B7155" s="1" t="str">
        <f t="shared" si="4748"/>
        <v>150525100</v>
      </c>
      <c r="C7155" s="1" t="str">
        <f>"1040647610"</f>
        <v>1040647610</v>
      </c>
      <c r="D7155" s="1" t="str">
        <f>"152326195411246388"</f>
        <v>152326195411246388</v>
      </c>
      <c r="E7155" s="1" t="s">
        <v>1575</v>
      </c>
      <c r="F7155" s="1" t="s">
        <v>16</v>
      </c>
      <c r="G7155" s="1" t="s">
        <v>17</v>
      </c>
      <c r="H7155" s="1" t="str">
        <f t="shared" si="4800"/>
        <v>70</v>
      </c>
      <c r="I7155" s="1" t="str">
        <f>"153.55"</f>
        <v>153.55</v>
      </c>
      <c r="J7155" s="1" t="str">
        <f t="shared" ref="J7155:N7155" si="4805">"0"</f>
        <v>0</v>
      </c>
      <c r="K7155" s="1" t="str">
        <f t="shared" si="4750"/>
        <v>103</v>
      </c>
      <c r="L7155" s="1" t="str">
        <f t="shared" si="4751"/>
        <v>47</v>
      </c>
      <c r="M7155" s="1" t="str">
        <f t="shared" si="4805"/>
        <v>0</v>
      </c>
      <c r="N7155" s="1" t="str">
        <f t="shared" si="4805"/>
        <v>0</v>
      </c>
      <c r="O7155" s="1" t="str">
        <f>"3.55"</f>
        <v>3.55</v>
      </c>
    </row>
    <row r="7156" s="1" customFormat="1" spans="1:15">
      <c r="A7156" s="1" t="str">
        <f t="shared" si="4747"/>
        <v>202406</v>
      </c>
      <c r="B7156" s="1" t="str">
        <f t="shared" si="4748"/>
        <v>150525100</v>
      </c>
      <c r="C7156" s="1" t="str">
        <f>"1040647611"</f>
        <v>1040647611</v>
      </c>
      <c r="D7156" s="1" t="str">
        <f>"152326195406176143"</f>
        <v>152326195406176143</v>
      </c>
      <c r="E7156" s="1" t="s">
        <v>6910</v>
      </c>
      <c r="F7156" s="1" t="s">
        <v>16</v>
      </c>
      <c r="G7156" s="1" t="s">
        <v>19</v>
      </c>
      <c r="H7156" s="1" t="str">
        <f t="shared" si="4800"/>
        <v>70</v>
      </c>
      <c r="I7156" s="1" t="str">
        <f>"153.03"</f>
        <v>153.03</v>
      </c>
      <c r="J7156" s="1" t="str">
        <f t="shared" ref="J7156:N7156" si="4806">"0"</f>
        <v>0</v>
      </c>
      <c r="K7156" s="1" t="str">
        <f t="shared" si="4750"/>
        <v>103</v>
      </c>
      <c r="L7156" s="1" t="str">
        <f t="shared" si="4751"/>
        <v>47</v>
      </c>
      <c r="M7156" s="1" t="str">
        <f t="shared" si="4806"/>
        <v>0</v>
      </c>
      <c r="N7156" s="1" t="str">
        <f t="shared" si="4806"/>
        <v>0</v>
      </c>
      <c r="O7156" s="1" t="str">
        <f>"3.03"</f>
        <v>3.03</v>
      </c>
    </row>
    <row r="7157" s="1" customFormat="1" spans="1:15">
      <c r="A7157" s="1" t="str">
        <f t="shared" si="4747"/>
        <v>202406</v>
      </c>
      <c r="B7157" s="1" t="str">
        <f t="shared" si="4748"/>
        <v>150525100</v>
      </c>
      <c r="C7157" s="1" t="str">
        <f>"1040687595"</f>
        <v>1040687595</v>
      </c>
      <c r="D7157" s="1" t="str">
        <f>"152326196006180666"</f>
        <v>152326196006180666</v>
      </c>
      <c r="E7157" s="1" t="s">
        <v>6911</v>
      </c>
      <c r="F7157" s="1" t="s">
        <v>16</v>
      </c>
      <c r="G7157" s="1" t="s">
        <v>19</v>
      </c>
      <c r="H7157" s="1" t="str">
        <f>"64"</f>
        <v>64</v>
      </c>
      <c r="I7157" s="1" t="str">
        <f>"158.3"</f>
        <v>158.3</v>
      </c>
      <c r="J7157" s="1" t="str">
        <f t="shared" ref="J7157:N7157" si="4807">"0"</f>
        <v>0</v>
      </c>
      <c r="K7157" s="1" t="str">
        <f t="shared" si="4750"/>
        <v>103</v>
      </c>
      <c r="L7157" s="1" t="str">
        <f t="shared" si="4751"/>
        <v>47</v>
      </c>
      <c r="M7157" s="1" t="str">
        <f t="shared" si="4807"/>
        <v>0</v>
      </c>
      <c r="N7157" s="1" t="str">
        <f t="shared" si="4807"/>
        <v>0</v>
      </c>
      <c r="O7157" s="1" t="str">
        <f>"8.3"</f>
        <v>8.3</v>
      </c>
    </row>
    <row r="7158" s="1" customFormat="1" spans="1:15">
      <c r="A7158" s="1" t="str">
        <f t="shared" si="4747"/>
        <v>202406</v>
      </c>
      <c r="B7158" s="1" t="str">
        <f t="shared" si="4748"/>
        <v>150525100</v>
      </c>
      <c r="C7158" s="1" t="str">
        <f>"1040687604"</f>
        <v>1040687604</v>
      </c>
      <c r="D7158" s="1" t="str">
        <f>"152326196102200698"</f>
        <v>152326196102200698</v>
      </c>
      <c r="E7158" s="1" t="s">
        <v>6912</v>
      </c>
      <c r="F7158" s="1" t="s">
        <v>25</v>
      </c>
      <c r="G7158" s="1" t="s">
        <v>17</v>
      </c>
      <c r="H7158" s="1" t="str">
        <f>"63"</f>
        <v>63</v>
      </c>
      <c r="I7158" s="1" t="str">
        <f>"160.92"</f>
        <v>160.92</v>
      </c>
      <c r="J7158" s="1" t="str">
        <f t="shared" ref="J7158:N7158" si="4808">"0"</f>
        <v>0</v>
      </c>
      <c r="K7158" s="1" t="str">
        <f t="shared" si="4750"/>
        <v>103</v>
      </c>
      <c r="L7158" s="1" t="str">
        <f t="shared" si="4751"/>
        <v>47</v>
      </c>
      <c r="M7158" s="1" t="str">
        <f t="shared" si="4808"/>
        <v>0</v>
      </c>
      <c r="N7158" s="1" t="str">
        <f t="shared" si="4808"/>
        <v>0</v>
      </c>
      <c r="O7158" s="1" t="str">
        <f>"10.92"</f>
        <v>10.92</v>
      </c>
    </row>
    <row r="7159" s="1" customFormat="1" spans="1:15">
      <c r="A7159" s="1" t="str">
        <f t="shared" si="4747"/>
        <v>202406</v>
      </c>
      <c r="B7159" s="1" t="str">
        <f t="shared" si="4748"/>
        <v>150525100</v>
      </c>
      <c r="C7159" s="1" t="str">
        <f>"1040687614"</f>
        <v>1040687614</v>
      </c>
      <c r="D7159" s="1" t="str">
        <f>"152326196404010662"</f>
        <v>152326196404010662</v>
      </c>
      <c r="E7159" s="1" t="s">
        <v>6913</v>
      </c>
      <c r="F7159" s="1" t="s">
        <v>16</v>
      </c>
      <c r="G7159" s="1" t="s">
        <v>17</v>
      </c>
      <c r="H7159" s="1" t="str">
        <f>"60"</f>
        <v>60</v>
      </c>
      <c r="I7159" s="1" t="str">
        <f>"165.89"</f>
        <v>165.89</v>
      </c>
      <c r="J7159" s="1" t="str">
        <f t="shared" ref="J7159:N7159" si="4809">"0"</f>
        <v>0</v>
      </c>
      <c r="K7159" s="1" t="str">
        <f t="shared" si="4750"/>
        <v>103</v>
      </c>
      <c r="L7159" s="1" t="str">
        <f t="shared" si="4751"/>
        <v>47</v>
      </c>
      <c r="M7159" s="1" t="str">
        <f t="shared" si="4809"/>
        <v>0</v>
      </c>
      <c r="N7159" s="1" t="str">
        <f t="shared" si="4809"/>
        <v>0</v>
      </c>
      <c r="O7159" s="1" t="str">
        <f>"15.89"</f>
        <v>15.89</v>
      </c>
    </row>
    <row r="7160" s="1" customFormat="1" spans="1:15">
      <c r="A7160" s="1" t="str">
        <f t="shared" si="4747"/>
        <v>202406</v>
      </c>
      <c r="B7160" s="1" t="str">
        <f t="shared" si="4748"/>
        <v>150525100</v>
      </c>
      <c r="C7160" s="1" t="str">
        <f>"1040687658"</f>
        <v>1040687658</v>
      </c>
      <c r="D7160" s="1" t="str">
        <f>"152326196210080662"</f>
        <v>152326196210080662</v>
      </c>
      <c r="E7160" s="1" t="s">
        <v>6914</v>
      </c>
      <c r="F7160" s="1" t="s">
        <v>16</v>
      </c>
      <c r="G7160" s="1" t="s">
        <v>19</v>
      </c>
      <c r="H7160" s="1" t="str">
        <f>"62"</f>
        <v>62</v>
      </c>
      <c r="I7160" s="1" t="str">
        <f>"162.18"</f>
        <v>162.18</v>
      </c>
      <c r="J7160" s="1" t="str">
        <f t="shared" ref="J7160:N7160" si="4810">"0"</f>
        <v>0</v>
      </c>
      <c r="K7160" s="1" t="str">
        <f t="shared" si="4750"/>
        <v>103</v>
      </c>
      <c r="L7160" s="1" t="str">
        <f t="shared" si="4751"/>
        <v>47</v>
      </c>
      <c r="M7160" s="1" t="str">
        <f t="shared" si="4810"/>
        <v>0</v>
      </c>
      <c r="N7160" s="1" t="str">
        <f t="shared" si="4810"/>
        <v>0</v>
      </c>
      <c r="O7160" s="1" t="str">
        <f>"12.18"</f>
        <v>12.18</v>
      </c>
    </row>
    <row r="7161" s="1" customFormat="1" spans="1:15">
      <c r="A7161" s="1" t="str">
        <f t="shared" si="4747"/>
        <v>202406</v>
      </c>
      <c r="B7161" s="1" t="str">
        <f t="shared" si="4748"/>
        <v>150525100</v>
      </c>
      <c r="C7161" s="1" t="str">
        <f>"1040647639"</f>
        <v>1040647639</v>
      </c>
      <c r="D7161" s="1" t="str">
        <f>"152326195708296140"</f>
        <v>152326195708296140</v>
      </c>
      <c r="E7161" s="1" t="s">
        <v>36</v>
      </c>
      <c r="F7161" s="1" t="s">
        <v>16</v>
      </c>
      <c r="G7161" s="1" t="s">
        <v>19</v>
      </c>
      <c r="H7161" s="1" t="str">
        <f>"67"</f>
        <v>67</v>
      </c>
      <c r="I7161" s="1" t="str">
        <f>"155.49"</f>
        <v>155.49</v>
      </c>
      <c r="J7161" s="1" t="str">
        <f t="shared" ref="J7161:N7161" si="4811">"0"</f>
        <v>0</v>
      </c>
      <c r="K7161" s="1" t="str">
        <f t="shared" si="4750"/>
        <v>103</v>
      </c>
      <c r="L7161" s="1" t="str">
        <f t="shared" si="4751"/>
        <v>47</v>
      </c>
      <c r="M7161" s="1" t="str">
        <f t="shared" si="4811"/>
        <v>0</v>
      </c>
      <c r="N7161" s="1" t="str">
        <f t="shared" si="4811"/>
        <v>0</v>
      </c>
      <c r="O7161" s="1" t="str">
        <f>"5.49"</f>
        <v>5.49</v>
      </c>
    </row>
    <row r="7162" s="1" customFormat="1" spans="1:15">
      <c r="A7162" s="1" t="str">
        <f t="shared" si="4747"/>
        <v>202406</v>
      </c>
      <c r="B7162" s="1" t="str">
        <f t="shared" si="4748"/>
        <v>150525100</v>
      </c>
      <c r="C7162" s="1" t="str">
        <f>"1040647643"</f>
        <v>1040647643</v>
      </c>
      <c r="D7162" s="1" t="str">
        <f>"152326195902096126"</f>
        <v>152326195902096126</v>
      </c>
      <c r="E7162" s="1" t="s">
        <v>6915</v>
      </c>
      <c r="F7162" s="1" t="s">
        <v>16</v>
      </c>
      <c r="G7162" s="1" t="s">
        <v>17</v>
      </c>
      <c r="H7162" s="1" t="str">
        <f>"65"</f>
        <v>65</v>
      </c>
      <c r="I7162" s="1" t="str">
        <f>"157.5"</f>
        <v>157.5</v>
      </c>
      <c r="J7162" s="1" t="str">
        <f t="shared" ref="J7162:N7162" si="4812">"0"</f>
        <v>0</v>
      </c>
      <c r="K7162" s="1" t="str">
        <f t="shared" si="4750"/>
        <v>103</v>
      </c>
      <c r="L7162" s="1" t="str">
        <f t="shared" si="4751"/>
        <v>47</v>
      </c>
      <c r="M7162" s="1" t="str">
        <f t="shared" si="4812"/>
        <v>0</v>
      </c>
      <c r="N7162" s="1" t="str">
        <f t="shared" si="4812"/>
        <v>0</v>
      </c>
      <c r="O7162" s="1" t="str">
        <f>"7.5"</f>
        <v>7.5</v>
      </c>
    </row>
    <row r="7163" s="1" customFormat="1" spans="1:15">
      <c r="A7163" s="1" t="str">
        <f t="shared" si="4747"/>
        <v>202406</v>
      </c>
      <c r="B7163" s="1" t="str">
        <f t="shared" si="4748"/>
        <v>150525100</v>
      </c>
      <c r="C7163" s="1" t="str">
        <f>"1040647771"</f>
        <v>1040647771</v>
      </c>
      <c r="D7163" s="1" t="str">
        <f>"152326196312273342"</f>
        <v>152326196312273342</v>
      </c>
      <c r="E7163" s="1" t="s">
        <v>1763</v>
      </c>
      <c r="F7163" s="1" t="s">
        <v>16</v>
      </c>
      <c r="G7163" s="1" t="s">
        <v>17</v>
      </c>
      <c r="H7163" s="1" t="str">
        <f>"61"</f>
        <v>61</v>
      </c>
      <c r="I7163" s="1" t="str">
        <f>"164.46"</f>
        <v>164.46</v>
      </c>
      <c r="J7163" s="1" t="str">
        <f t="shared" ref="J7163:N7163" si="4813">"0"</f>
        <v>0</v>
      </c>
      <c r="K7163" s="1" t="str">
        <f t="shared" si="4750"/>
        <v>103</v>
      </c>
      <c r="L7163" s="1" t="str">
        <f t="shared" si="4751"/>
        <v>47</v>
      </c>
      <c r="M7163" s="1" t="str">
        <f t="shared" si="4813"/>
        <v>0</v>
      </c>
      <c r="N7163" s="1" t="str">
        <f t="shared" si="4813"/>
        <v>0</v>
      </c>
      <c r="O7163" s="1" t="str">
        <f>"14.46"</f>
        <v>14.46</v>
      </c>
    </row>
    <row r="7164" s="1" customFormat="1" spans="1:15">
      <c r="A7164" s="1" t="str">
        <f t="shared" si="4747"/>
        <v>202406</v>
      </c>
      <c r="B7164" s="1" t="str">
        <f t="shared" si="4748"/>
        <v>150525100</v>
      </c>
      <c r="C7164" s="1" t="str">
        <f>"1040687707"</f>
        <v>1040687707</v>
      </c>
      <c r="D7164" s="1" t="s">
        <v>6916</v>
      </c>
      <c r="E7164" s="1" t="s">
        <v>6917</v>
      </c>
      <c r="F7164" s="1" t="s">
        <v>25</v>
      </c>
      <c r="G7164" s="1" t="s">
        <v>17</v>
      </c>
      <c r="H7164" s="1" t="str">
        <f>"68"</f>
        <v>68</v>
      </c>
      <c r="I7164" s="1" t="str">
        <f>"155.12"</f>
        <v>155.12</v>
      </c>
      <c r="J7164" s="1" t="str">
        <f t="shared" ref="J7164:N7164" si="4814">"0"</f>
        <v>0</v>
      </c>
      <c r="K7164" s="1" t="str">
        <f t="shared" si="4750"/>
        <v>103</v>
      </c>
      <c r="L7164" s="1" t="str">
        <f t="shared" si="4751"/>
        <v>47</v>
      </c>
      <c r="M7164" s="1" t="str">
        <f t="shared" si="4814"/>
        <v>0</v>
      </c>
      <c r="N7164" s="1" t="str">
        <f t="shared" si="4814"/>
        <v>0</v>
      </c>
      <c r="O7164" s="1" t="str">
        <f>"5.12"</f>
        <v>5.12</v>
      </c>
    </row>
    <row r="7165" s="1" customFormat="1" spans="1:15">
      <c r="A7165" s="1" t="str">
        <f t="shared" si="4747"/>
        <v>202406</v>
      </c>
      <c r="B7165" s="1" t="str">
        <f t="shared" si="4748"/>
        <v>150525100</v>
      </c>
      <c r="C7165" s="1" t="str">
        <f>"1040687737"</f>
        <v>1040687737</v>
      </c>
      <c r="D7165" s="1" t="str">
        <f>"152326195611293322"</f>
        <v>152326195611293322</v>
      </c>
      <c r="E7165" s="1" t="s">
        <v>6918</v>
      </c>
      <c r="F7165" s="1" t="s">
        <v>16</v>
      </c>
      <c r="G7165" s="1" t="s">
        <v>19</v>
      </c>
      <c r="H7165" s="1" t="str">
        <f>"68"</f>
        <v>68</v>
      </c>
      <c r="I7165" s="1" t="str">
        <f>"155.12"</f>
        <v>155.12</v>
      </c>
      <c r="J7165" s="1" t="str">
        <f t="shared" ref="J7165:N7165" si="4815">"0"</f>
        <v>0</v>
      </c>
      <c r="K7165" s="1" t="str">
        <f t="shared" si="4750"/>
        <v>103</v>
      </c>
      <c r="L7165" s="1" t="str">
        <f t="shared" si="4751"/>
        <v>47</v>
      </c>
      <c r="M7165" s="1" t="str">
        <f t="shared" si="4815"/>
        <v>0</v>
      </c>
      <c r="N7165" s="1" t="str">
        <f t="shared" si="4815"/>
        <v>0</v>
      </c>
      <c r="O7165" s="1" t="str">
        <f>"5.12"</f>
        <v>5.12</v>
      </c>
    </row>
    <row r="7166" s="1" customFormat="1" spans="1:15">
      <c r="A7166" s="1" t="str">
        <f t="shared" si="4747"/>
        <v>202406</v>
      </c>
      <c r="B7166" s="1" t="str">
        <f t="shared" si="4748"/>
        <v>150525100</v>
      </c>
      <c r="C7166" s="1" t="str">
        <f>"1040648133"</f>
        <v>1040648133</v>
      </c>
      <c r="D7166" s="1" t="str">
        <f>"152326195511230420"</f>
        <v>152326195511230420</v>
      </c>
      <c r="E7166" s="1" t="s">
        <v>718</v>
      </c>
      <c r="F7166" s="1" t="s">
        <v>16</v>
      </c>
      <c r="G7166" s="1" t="s">
        <v>17</v>
      </c>
      <c r="H7166" s="1" t="str">
        <f>"69"</f>
        <v>69</v>
      </c>
      <c r="I7166" s="1" t="str">
        <f>"154.26"</f>
        <v>154.26</v>
      </c>
      <c r="J7166" s="1" t="str">
        <f t="shared" ref="J7166:N7166" si="4816">"0"</f>
        <v>0</v>
      </c>
      <c r="K7166" s="1" t="str">
        <f t="shared" si="4750"/>
        <v>103</v>
      </c>
      <c r="L7166" s="1" t="str">
        <f t="shared" si="4751"/>
        <v>47</v>
      </c>
      <c r="M7166" s="1" t="str">
        <f t="shared" si="4816"/>
        <v>0</v>
      </c>
      <c r="N7166" s="1" t="str">
        <f t="shared" si="4816"/>
        <v>0</v>
      </c>
      <c r="O7166" s="1" t="str">
        <f>"4.26"</f>
        <v>4.26</v>
      </c>
    </row>
    <row r="7167" s="1" customFormat="1" spans="1:15">
      <c r="A7167" s="1" t="str">
        <f t="shared" si="4747"/>
        <v>202406</v>
      </c>
      <c r="B7167" s="1" t="str">
        <f t="shared" si="4748"/>
        <v>150525100</v>
      </c>
      <c r="C7167" s="1" t="str">
        <f>"1040687754"</f>
        <v>1040687754</v>
      </c>
      <c r="D7167" s="1" t="str">
        <f>"152326196312053315"</f>
        <v>152326196312053315</v>
      </c>
      <c r="E7167" s="1" t="s">
        <v>6919</v>
      </c>
      <c r="F7167" s="1" t="s">
        <v>25</v>
      </c>
      <c r="G7167" s="1" t="s">
        <v>19</v>
      </c>
      <c r="H7167" s="1" t="str">
        <f>"61"</f>
        <v>61</v>
      </c>
      <c r="I7167" s="1" t="str">
        <f>"164.13"</f>
        <v>164.13</v>
      </c>
      <c r="J7167" s="1" t="str">
        <f t="shared" ref="J7167:N7167" si="4817">"0"</f>
        <v>0</v>
      </c>
      <c r="K7167" s="1" t="str">
        <f t="shared" si="4750"/>
        <v>103</v>
      </c>
      <c r="L7167" s="1" t="str">
        <f t="shared" si="4751"/>
        <v>47</v>
      </c>
      <c r="M7167" s="1" t="str">
        <f t="shared" si="4817"/>
        <v>0</v>
      </c>
      <c r="N7167" s="1" t="str">
        <f t="shared" si="4817"/>
        <v>0</v>
      </c>
      <c r="O7167" s="1" t="str">
        <f>"14.13"</f>
        <v>14.13</v>
      </c>
    </row>
    <row r="7168" s="1" customFormat="1" spans="1:15">
      <c r="A7168" s="1" t="str">
        <f t="shared" si="4747"/>
        <v>202406</v>
      </c>
      <c r="B7168" s="1" t="str">
        <f t="shared" si="4748"/>
        <v>150525100</v>
      </c>
      <c r="C7168" s="1" t="str">
        <f>"1040687791"</f>
        <v>1040687791</v>
      </c>
      <c r="D7168" s="1" t="str">
        <f>"152326195904120660"</f>
        <v>152326195904120660</v>
      </c>
      <c r="E7168" s="1" t="s">
        <v>6920</v>
      </c>
      <c r="F7168" s="1" t="s">
        <v>16</v>
      </c>
      <c r="G7168" s="1" t="s">
        <v>17</v>
      </c>
      <c r="H7168" s="1" t="str">
        <f>"65"</f>
        <v>65</v>
      </c>
      <c r="I7168" s="1" t="str">
        <f>"157.2"</f>
        <v>157.2</v>
      </c>
      <c r="J7168" s="1" t="str">
        <f t="shared" ref="J7168:N7168" si="4818">"0"</f>
        <v>0</v>
      </c>
      <c r="K7168" s="1" t="str">
        <f t="shared" si="4750"/>
        <v>103</v>
      </c>
      <c r="L7168" s="1" t="str">
        <f t="shared" si="4751"/>
        <v>47</v>
      </c>
      <c r="M7168" s="1" t="str">
        <f t="shared" si="4818"/>
        <v>0</v>
      </c>
      <c r="N7168" s="1" t="str">
        <f t="shared" si="4818"/>
        <v>0</v>
      </c>
      <c r="O7168" s="1" t="str">
        <f>"7.2"</f>
        <v>7.2</v>
      </c>
    </row>
    <row r="7169" s="1" customFormat="1" spans="1:15">
      <c r="A7169" s="1" t="str">
        <f t="shared" si="4747"/>
        <v>202406</v>
      </c>
      <c r="B7169" s="1" t="str">
        <f t="shared" si="4748"/>
        <v>150525100</v>
      </c>
      <c r="C7169" s="1" t="str">
        <f>"1040687807"</f>
        <v>1040687807</v>
      </c>
      <c r="D7169" s="1" t="s">
        <v>6921</v>
      </c>
      <c r="E7169" s="1" t="s">
        <v>6922</v>
      </c>
      <c r="F7169" s="1" t="s">
        <v>16</v>
      </c>
      <c r="G7169" s="1" t="s">
        <v>17</v>
      </c>
      <c r="H7169" s="1" t="str">
        <f>"66"</f>
        <v>66</v>
      </c>
      <c r="I7169" s="1" t="str">
        <f>"156.92"</f>
        <v>156.92</v>
      </c>
      <c r="J7169" s="1" t="str">
        <f t="shared" ref="J7169:N7169" si="4819">"0"</f>
        <v>0</v>
      </c>
      <c r="K7169" s="1" t="str">
        <f t="shared" si="4750"/>
        <v>103</v>
      </c>
      <c r="L7169" s="1" t="str">
        <f t="shared" si="4751"/>
        <v>47</v>
      </c>
      <c r="M7169" s="1" t="str">
        <f t="shared" si="4819"/>
        <v>0</v>
      </c>
      <c r="N7169" s="1" t="str">
        <f t="shared" si="4819"/>
        <v>0</v>
      </c>
      <c r="O7169" s="1" t="str">
        <f>"6.92"</f>
        <v>6.92</v>
      </c>
    </row>
    <row r="7170" s="1" customFormat="1" spans="1:15">
      <c r="A7170" s="1" t="str">
        <f t="shared" ref="A7170:A7233" si="4820">"202406"</f>
        <v>202406</v>
      </c>
      <c r="B7170" s="1" t="str">
        <f t="shared" ref="B7170:B7233" si="4821">"150525100"</f>
        <v>150525100</v>
      </c>
      <c r="C7170" s="1" t="str">
        <f>"1040648180"</f>
        <v>1040648180</v>
      </c>
      <c r="D7170" s="1" t="str">
        <f>"152326195809290418"</f>
        <v>152326195809290418</v>
      </c>
      <c r="E7170" s="1" t="s">
        <v>6923</v>
      </c>
      <c r="F7170" s="1" t="s">
        <v>25</v>
      </c>
      <c r="G7170" s="1" t="s">
        <v>17</v>
      </c>
      <c r="H7170" s="1" t="str">
        <f>"66"</f>
        <v>66</v>
      </c>
      <c r="I7170" s="1" t="str">
        <f>"156.52"</f>
        <v>156.52</v>
      </c>
      <c r="J7170" s="1" t="str">
        <f t="shared" ref="J7170:N7170" si="4822">"0"</f>
        <v>0</v>
      </c>
      <c r="K7170" s="1" t="str">
        <f t="shared" ref="K7170:K7211" si="4823">"103"</f>
        <v>103</v>
      </c>
      <c r="L7170" s="1" t="str">
        <f t="shared" ref="L7170:L7211" si="4824">"47"</f>
        <v>47</v>
      </c>
      <c r="M7170" s="1" t="str">
        <f t="shared" si="4822"/>
        <v>0</v>
      </c>
      <c r="N7170" s="1" t="str">
        <f t="shared" si="4822"/>
        <v>0</v>
      </c>
      <c r="O7170" s="1" t="str">
        <f>"6.52"</f>
        <v>6.52</v>
      </c>
    </row>
    <row r="7171" s="1" customFormat="1" spans="1:15">
      <c r="A7171" s="1" t="str">
        <f t="shared" si="4820"/>
        <v>202406</v>
      </c>
      <c r="B7171" s="1" t="str">
        <f t="shared" si="4821"/>
        <v>150525100</v>
      </c>
      <c r="C7171" s="1" t="str">
        <f>"1040653675"</f>
        <v>1040653675</v>
      </c>
      <c r="D7171" s="1" t="s">
        <v>6924</v>
      </c>
      <c r="E7171" s="1" t="s">
        <v>6925</v>
      </c>
      <c r="F7171" s="1" t="s">
        <v>16</v>
      </c>
      <c r="G7171" s="1" t="s">
        <v>19</v>
      </c>
      <c r="H7171" s="1" t="str">
        <f>"68"</f>
        <v>68</v>
      </c>
      <c r="I7171" s="1" t="str">
        <f>"155.43"</f>
        <v>155.43</v>
      </c>
      <c r="J7171" s="1" t="str">
        <f t="shared" ref="J7171:N7171" si="4825">"0"</f>
        <v>0</v>
      </c>
      <c r="K7171" s="1" t="str">
        <f t="shared" si="4823"/>
        <v>103</v>
      </c>
      <c r="L7171" s="1" t="str">
        <f t="shared" si="4824"/>
        <v>47</v>
      </c>
      <c r="M7171" s="1" t="str">
        <f t="shared" si="4825"/>
        <v>0</v>
      </c>
      <c r="N7171" s="1" t="str">
        <f t="shared" si="4825"/>
        <v>0</v>
      </c>
      <c r="O7171" s="1" t="str">
        <f>"5.43"</f>
        <v>5.43</v>
      </c>
    </row>
    <row r="7172" s="1" customFormat="1" spans="1:15">
      <c r="A7172" s="1" t="str">
        <f t="shared" si="4820"/>
        <v>202406</v>
      </c>
      <c r="B7172" s="1" t="str">
        <f t="shared" si="4821"/>
        <v>150525100</v>
      </c>
      <c r="C7172" s="1" t="str">
        <f>"1040687894"</f>
        <v>1040687894</v>
      </c>
      <c r="D7172" s="1" t="str">
        <f>"152326195703020428"</f>
        <v>152326195703020428</v>
      </c>
      <c r="E7172" s="1" t="s">
        <v>6926</v>
      </c>
      <c r="F7172" s="1" t="s">
        <v>16</v>
      </c>
      <c r="G7172" s="1" t="s">
        <v>17</v>
      </c>
      <c r="H7172" s="1" t="str">
        <f>"67"</f>
        <v>67</v>
      </c>
      <c r="I7172" s="1" t="str">
        <f>"154.72"</f>
        <v>154.72</v>
      </c>
      <c r="J7172" s="1" t="str">
        <f t="shared" ref="J7172:N7172" si="4826">"0"</f>
        <v>0</v>
      </c>
      <c r="K7172" s="1" t="str">
        <f t="shared" si="4823"/>
        <v>103</v>
      </c>
      <c r="L7172" s="1" t="str">
        <f t="shared" si="4824"/>
        <v>47</v>
      </c>
      <c r="M7172" s="1" t="str">
        <f t="shared" si="4826"/>
        <v>0</v>
      </c>
      <c r="N7172" s="1" t="str">
        <f t="shared" si="4826"/>
        <v>0</v>
      </c>
      <c r="O7172" s="1" t="str">
        <f>"4.72"</f>
        <v>4.72</v>
      </c>
    </row>
    <row r="7173" s="1" customFormat="1" spans="1:15">
      <c r="A7173" s="1" t="str">
        <f t="shared" si="4820"/>
        <v>202406</v>
      </c>
      <c r="B7173" s="1" t="str">
        <f t="shared" si="4821"/>
        <v>150525100</v>
      </c>
      <c r="C7173" s="1" t="str">
        <f>"1040687910"</f>
        <v>1040687910</v>
      </c>
      <c r="D7173" s="1" t="str">
        <f>"152326195401090412"</f>
        <v>152326195401090412</v>
      </c>
      <c r="E7173" s="1" t="s">
        <v>6927</v>
      </c>
      <c r="F7173" s="1" t="s">
        <v>25</v>
      </c>
      <c r="G7173" s="1" t="s">
        <v>17</v>
      </c>
      <c r="H7173" s="1" t="str">
        <f t="shared" ref="H7173:H7176" si="4827">"70"</f>
        <v>70</v>
      </c>
      <c r="I7173" s="1" t="str">
        <f>"163.25"</f>
        <v>163.25</v>
      </c>
      <c r="J7173" s="1" t="str">
        <f t="shared" ref="J7173:N7173" si="4828">"0"</f>
        <v>0</v>
      </c>
      <c r="K7173" s="1" t="str">
        <f t="shared" si="4823"/>
        <v>103</v>
      </c>
      <c r="L7173" s="1" t="str">
        <f t="shared" si="4824"/>
        <v>47</v>
      </c>
      <c r="M7173" s="1" t="str">
        <f t="shared" si="4828"/>
        <v>0</v>
      </c>
      <c r="N7173" s="1" t="str">
        <f t="shared" si="4828"/>
        <v>0</v>
      </c>
      <c r="O7173" s="1" t="str">
        <f t="shared" ref="O7173:O7176" si="4829">"3.25"</f>
        <v>3.25</v>
      </c>
    </row>
    <row r="7174" s="1" customFormat="1" spans="1:15">
      <c r="A7174" s="1" t="str">
        <f t="shared" si="4820"/>
        <v>202406</v>
      </c>
      <c r="B7174" s="1" t="str">
        <f t="shared" si="4821"/>
        <v>150525100</v>
      </c>
      <c r="C7174" s="1" t="str">
        <f>"1040687919"</f>
        <v>1040687919</v>
      </c>
      <c r="D7174" s="1" t="str">
        <f>"152326195406063325"</f>
        <v>152326195406063325</v>
      </c>
      <c r="E7174" s="1" t="s">
        <v>3838</v>
      </c>
      <c r="F7174" s="1" t="s">
        <v>16</v>
      </c>
      <c r="G7174" s="1" t="s">
        <v>19</v>
      </c>
      <c r="H7174" s="1" t="str">
        <f t="shared" si="4827"/>
        <v>70</v>
      </c>
      <c r="I7174" s="1" t="str">
        <f>"153.25"</f>
        <v>153.25</v>
      </c>
      <c r="J7174" s="1" t="str">
        <f t="shared" ref="J7174:N7174" si="4830">"0"</f>
        <v>0</v>
      </c>
      <c r="K7174" s="1" t="str">
        <f t="shared" si="4823"/>
        <v>103</v>
      </c>
      <c r="L7174" s="1" t="str">
        <f t="shared" si="4824"/>
        <v>47</v>
      </c>
      <c r="M7174" s="1" t="str">
        <f t="shared" si="4830"/>
        <v>0</v>
      </c>
      <c r="N7174" s="1" t="str">
        <f t="shared" si="4830"/>
        <v>0</v>
      </c>
      <c r="O7174" s="1" t="str">
        <f t="shared" si="4829"/>
        <v>3.25</v>
      </c>
    </row>
    <row r="7175" s="1" customFormat="1" spans="1:15">
      <c r="A7175" s="1" t="str">
        <f t="shared" si="4820"/>
        <v>202406</v>
      </c>
      <c r="B7175" s="1" t="str">
        <f t="shared" si="4821"/>
        <v>150525100</v>
      </c>
      <c r="C7175" s="1" t="str">
        <f>"1040687931"</f>
        <v>1040687931</v>
      </c>
      <c r="D7175" s="1" t="str">
        <f>"152326195911293324"</f>
        <v>152326195911293324</v>
      </c>
      <c r="E7175" s="1" t="s">
        <v>6928</v>
      </c>
      <c r="F7175" s="1" t="s">
        <v>16</v>
      </c>
      <c r="G7175" s="1" t="s">
        <v>17</v>
      </c>
      <c r="H7175" s="1" t="str">
        <f>"65"</f>
        <v>65</v>
      </c>
      <c r="I7175" s="1" t="str">
        <f>"158.21"</f>
        <v>158.21</v>
      </c>
      <c r="J7175" s="1" t="str">
        <f t="shared" ref="J7175:N7175" si="4831">"0"</f>
        <v>0</v>
      </c>
      <c r="K7175" s="1" t="str">
        <f t="shared" si="4823"/>
        <v>103</v>
      </c>
      <c r="L7175" s="1" t="str">
        <f t="shared" si="4824"/>
        <v>47</v>
      </c>
      <c r="M7175" s="1" t="str">
        <f t="shared" si="4831"/>
        <v>0</v>
      </c>
      <c r="N7175" s="1" t="str">
        <f t="shared" si="4831"/>
        <v>0</v>
      </c>
      <c r="O7175" s="1" t="str">
        <f>"8.21"</f>
        <v>8.21</v>
      </c>
    </row>
    <row r="7176" s="1" customFormat="1" spans="1:15">
      <c r="A7176" s="1" t="str">
        <f t="shared" si="4820"/>
        <v>202406</v>
      </c>
      <c r="B7176" s="1" t="str">
        <f t="shared" si="4821"/>
        <v>150525100</v>
      </c>
      <c r="C7176" s="1" t="str">
        <f>"1040687934"</f>
        <v>1040687934</v>
      </c>
      <c r="D7176" s="1" t="str">
        <f>"152326195410143336"</f>
        <v>152326195410143336</v>
      </c>
      <c r="E7176" s="1" t="s">
        <v>6929</v>
      </c>
      <c r="F7176" s="1" t="s">
        <v>25</v>
      </c>
      <c r="G7176" s="1" t="s">
        <v>19</v>
      </c>
      <c r="H7176" s="1" t="str">
        <f t="shared" si="4827"/>
        <v>70</v>
      </c>
      <c r="I7176" s="1" t="str">
        <f>"153.25"</f>
        <v>153.25</v>
      </c>
      <c r="J7176" s="1" t="str">
        <f t="shared" ref="J7176:N7176" si="4832">"0"</f>
        <v>0</v>
      </c>
      <c r="K7176" s="1" t="str">
        <f t="shared" si="4823"/>
        <v>103</v>
      </c>
      <c r="L7176" s="1" t="str">
        <f t="shared" si="4824"/>
        <v>47</v>
      </c>
      <c r="M7176" s="1" t="str">
        <f t="shared" si="4832"/>
        <v>0</v>
      </c>
      <c r="N7176" s="1" t="str">
        <f t="shared" si="4832"/>
        <v>0</v>
      </c>
      <c r="O7176" s="1" t="str">
        <f t="shared" si="4829"/>
        <v>3.25</v>
      </c>
    </row>
    <row r="7177" s="1" customFormat="1" spans="1:15">
      <c r="A7177" s="1" t="str">
        <f t="shared" si="4820"/>
        <v>202406</v>
      </c>
      <c r="B7177" s="1" t="str">
        <f t="shared" si="4821"/>
        <v>150525100</v>
      </c>
      <c r="C7177" s="1" t="str">
        <f>"1040729130"</f>
        <v>1040729130</v>
      </c>
      <c r="D7177" s="1" t="str">
        <f>"152326196305103812"</f>
        <v>152326196305103812</v>
      </c>
      <c r="E7177" s="1" t="s">
        <v>6930</v>
      </c>
      <c r="F7177" s="1" t="s">
        <v>25</v>
      </c>
      <c r="G7177" s="1" t="s">
        <v>17</v>
      </c>
      <c r="H7177" s="1" t="str">
        <f t="shared" ref="H7177:H7183" si="4833">"61"</f>
        <v>61</v>
      </c>
      <c r="I7177" s="1" t="str">
        <f>"164.35"</f>
        <v>164.35</v>
      </c>
      <c r="J7177" s="1" t="str">
        <f t="shared" ref="J7177:N7177" si="4834">"0"</f>
        <v>0</v>
      </c>
      <c r="K7177" s="1" t="str">
        <f t="shared" si="4823"/>
        <v>103</v>
      </c>
      <c r="L7177" s="1" t="str">
        <f t="shared" si="4824"/>
        <v>47</v>
      </c>
      <c r="M7177" s="1" t="str">
        <f t="shared" si="4834"/>
        <v>0</v>
      </c>
      <c r="N7177" s="1" t="str">
        <f t="shared" si="4834"/>
        <v>0</v>
      </c>
      <c r="O7177" s="1" t="str">
        <f>"14.35"</f>
        <v>14.35</v>
      </c>
    </row>
    <row r="7178" s="1" customFormat="1" spans="1:15">
      <c r="A7178" s="1" t="str">
        <f t="shared" si="4820"/>
        <v>202406</v>
      </c>
      <c r="B7178" s="1" t="str">
        <f t="shared" si="4821"/>
        <v>150525100</v>
      </c>
      <c r="C7178" s="1" t="str">
        <f>"1040688084"</f>
        <v>1040688084</v>
      </c>
      <c r="D7178" s="1" t="str">
        <f>"152326196311060679"</f>
        <v>152326196311060679</v>
      </c>
      <c r="E7178" s="1" t="s">
        <v>1136</v>
      </c>
      <c r="F7178" s="1" t="s">
        <v>25</v>
      </c>
      <c r="G7178" s="1" t="s">
        <v>17</v>
      </c>
      <c r="H7178" s="1" t="str">
        <f t="shared" si="4833"/>
        <v>61</v>
      </c>
      <c r="I7178" s="1" t="str">
        <f>"176.7"</f>
        <v>176.7</v>
      </c>
      <c r="J7178" s="1" t="str">
        <f t="shared" ref="J7178:N7178" si="4835">"0"</f>
        <v>0</v>
      </c>
      <c r="K7178" s="1" t="str">
        <f t="shared" si="4823"/>
        <v>103</v>
      </c>
      <c r="L7178" s="1" t="str">
        <f t="shared" si="4824"/>
        <v>47</v>
      </c>
      <c r="M7178" s="1" t="str">
        <f t="shared" si="4835"/>
        <v>0</v>
      </c>
      <c r="N7178" s="1" t="str">
        <f t="shared" si="4835"/>
        <v>0</v>
      </c>
      <c r="O7178" s="1" t="str">
        <f>"26.7"</f>
        <v>26.7</v>
      </c>
    </row>
    <row r="7179" s="1" customFormat="1" spans="1:15">
      <c r="A7179" s="1" t="str">
        <f t="shared" si="4820"/>
        <v>202406</v>
      </c>
      <c r="B7179" s="1" t="str">
        <f t="shared" si="4821"/>
        <v>150525100</v>
      </c>
      <c r="C7179" s="1" t="str">
        <f>"1040688119"</f>
        <v>1040688119</v>
      </c>
      <c r="D7179" s="1" t="str">
        <f>"152326195902080423"</f>
        <v>152326195902080423</v>
      </c>
      <c r="E7179" s="1" t="s">
        <v>6931</v>
      </c>
      <c r="F7179" s="1" t="s">
        <v>16</v>
      </c>
      <c r="G7179" s="1" t="s">
        <v>17</v>
      </c>
      <c r="H7179" s="1" t="str">
        <f>"65"</f>
        <v>65</v>
      </c>
      <c r="I7179" s="1" t="str">
        <f>"165.1"</f>
        <v>165.1</v>
      </c>
      <c r="J7179" s="1" t="str">
        <f t="shared" ref="J7179:N7179" si="4836">"0"</f>
        <v>0</v>
      </c>
      <c r="K7179" s="1" t="str">
        <f t="shared" si="4823"/>
        <v>103</v>
      </c>
      <c r="L7179" s="1" t="str">
        <f t="shared" si="4824"/>
        <v>47</v>
      </c>
      <c r="M7179" s="1" t="str">
        <f t="shared" si="4836"/>
        <v>0</v>
      </c>
      <c r="N7179" s="1" t="str">
        <f t="shared" si="4836"/>
        <v>0</v>
      </c>
      <c r="O7179" s="1" t="str">
        <f>"15.1"</f>
        <v>15.1</v>
      </c>
    </row>
    <row r="7180" s="1" customFormat="1" spans="1:15">
      <c r="A7180" s="1" t="str">
        <f t="shared" si="4820"/>
        <v>202406</v>
      </c>
      <c r="B7180" s="1" t="str">
        <f t="shared" si="4821"/>
        <v>150525100</v>
      </c>
      <c r="C7180" s="1" t="str">
        <f>"1040688132"</f>
        <v>1040688132</v>
      </c>
      <c r="D7180" s="1" t="str">
        <f>"152326196110180412"</f>
        <v>152326196110180412</v>
      </c>
      <c r="E7180" s="1" t="s">
        <v>6932</v>
      </c>
      <c r="F7180" s="1" t="s">
        <v>25</v>
      </c>
      <c r="G7180" s="1" t="s">
        <v>17</v>
      </c>
      <c r="H7180" s="1" t="str">
        <f>"63"</f>
        <v>63</v>
      </c>
      <c r="I7180" s="1" t="str">
        <f>"160.16"</f>
        <v>160.16</v>
      </c>
      <c r="J7180" s="1" t="str">
        <f t="shared" ref="J7180:N7180" si="4837">"0"</f>
        <v>0</v>
      </c>
      <c r="K7180" s="1" t="str">
        <f t="shared" si="4823"/>
        <v>103</v>
      </c>
      <c r="L7180" s="1" t="str">
        <f t="shared" si="4824"/>
        <v>47</v>
      </c>
      <c r="M7180" s="1" t="str">
        <f t="shared" si="4837"/>
        <v>0</v>
      </c>
      <c r="N7180" s="1" t="str">
        <f t="shared" si="4837"/>
        <v>0</v>
      </c>
      <c r="O7180" s="1" t="str">
        <f>"10.16"</f>
        <v>10.16</v>
      </c>
    </row>
    <row r="7181" s="1" customFormat="1" spans="1:15">
      <c r="A7181" s="1" t="str">
        <f t="shared" si="4820"/>
        <v>202406</v>
      </c>
      <c r="B7181" s="1" t="str">
        <f t="shared" si="4821"/>
        <v>150525100</v>
      </c>
      <c r="C7181" s="1" t="str">
        <f>"1040729145"</f>
        <v>1040729145</v>
      </c>
      <c r="D7181" s="1" t="str">
        <f>"152326195901163825"</f>
        <v>152326195901163825</v>
      </c>
      <c r="E7181" s="1" t="s">
        <v>6933</v>
      </c>
      <c r="F7181" s="1" t="s">
        <v>16</v>
      </c>
      <c r="G7181" s="1" t="s">
        <v>17</v>
      </c>
      <c r="H7181" s="1" t="str">
        <f>"65"</f>
        <v>65</v>
      </c>
      <c r="I7181" s="1" t="str">
        <f>"157.51"</f>
        <v>157.51</v>
      </c>
      <c r="J7181" s="1" t="str">
        <f t="shared" ref="J7181:N7181" si="4838">"0"</f>
        <v>0</v>
      </c>
      <c r="K7181" s="1" t="str">
        <f t="shared" si="4823"/>
        <v>103</v>
      </c>
      <c r="L7181" s="1" t="str">
        <f t="shared" si="4824"/>
        <v>47</v>
      </c>
      <c r="M7181" s="1" t="str">
        <f t="shared" si="4838"/>
        <v>0</v>
      </c>
      <c r="N7181" s="1" t="str">
        <f t="shared" si="4838"/>
        <v>0</v>
      </c>
      <c r="O7181" s="1" t="str">
        <f>"7.51"</f>
        <v>7.51</v>
      </c>
    </row>
    <row r="7182" s="1" customFormat="1" spans="1:15">
      <c r="A7182" s="1" t="str">
        <f t="shared" si="4820"/>
        <v>202406</v>
      </c>
      <c r="B7182" s="1" t="str">
        <f t="shared" si="4821"/>
        <v>150525100</v>
      </c>
      <c r="C7182" s="1" t="str">
        <f>"1040924339"</f>
        <v>1040924339</v>
      </c>
      <c r="D7182" s="1" t="str">
        <f>"152326196311303327"</f>
        <v>152326196311303327</v>
      </c>
      <c r="E7182" s="1" t="s">
        <v>6934</v>
      </c>
      <c r="F7182" s="1" t="s">
        <v>16</v>
      </c>
      <c r="G7182" s="1" t="s">
        <v>17</v>
      </c>
      <c r="H7182" s="1" t="str">
        <f t="shared" si="4833"/>
        <v>61</v>
      </c>
      <c r="I7182" s="1" t="str">
        <f>"164.57"</f>
        <v>164.57</v>
      </c>
      <c r="J7182" s="1" t="str">
        <f t="shared" ref="J7182:N7182" si="4839">"0"</f>
        <v>0</v>
      </c>
      <c r="K7182" s="1" t="str">
        <f t="shared" si="4823"/>
        <v>103</v>
      </c>
      <c r="L7182" s="1" t="str">
        <f t="shared" si="4824"/>
        <v>47</v>
      </c>
      <c r="M7182" s="1" t="str">
        <f t="shared" si="4839"/>
        <v>0</v>
      </c>
      <c r="N7182" s="1" t="str">
        <f t="shared" si="4839"/>
        <v>0</v>
      </c>
      <c r="O7182" s="1" t="str">
        <f>"14.57"</f>
        <v>14.57</v>
      </c>
    </row>
    <row r="7183" s="1" customFormat="1" spans="1:15">
      <c r="A7183" s="1" t="str">
        <f t="shared" si="4820"/>
        <v>202406</v>
      </c>
      <c r="B7183" s="1" t="str">
        <f t="shared" si="4821"/>
        <v>150525100</v>
      </c>
      <c r="C7183" s="1" t="str">
        <f>"1040941620"</f>
        <v>1040941620</v>
      </c>
      <c r="D7183" s="1" t="str">
        <f>"152326196311133313"</f>
        <v>152326196311133313</v>
      </c>
      <c r="E7183" s="1" t="s">
        <v>6935</v>
      </c>
      <c r="F7183" s="1" t="s">
        <v>25</v>
      </c>
      <c r="G7183" s="1" t="s">
        <v>17</v>
      </c>
      <c r="H7183" s="1" t="str">
        <f t="shared" si="4833"/>
        <v>61</v>
      </c>
      <c r="I7183" s="1" t="str">
        <f>"172.09"</f>
        <v>172.09</v>
      </c>
      <c r="J7183" s="1" t="str">
        <f t="shared" ref="J7183:N7183" si="4840">"0"</f>
        <v>0</v>
      </c>
      <c r="K7183" s="1" t="str">
        <f t="shared" si="4823"/>
        <v>103</v>
      </c>
      <c r="L7183" s="1" t="str">
        <f t="shared" si="4824"/>
        <v>47</v>
      </c>
      <c r="M7183" s="1" t="str">
        <f t="shared" si="4840"/>
        <v>0</v>
      </c>
      <c r="N7183" s="1" t="str">
        <f t="shared" si="4840"/>
        <v>0</v>
      </c>
      <c r="O7183" s="1" t="str">
        <f>"22.09"</f>
        <v>22.09</v>
      </c>
    </row>
    <row r="7184" s="1" customFormat="1" spans="1:15">
      <c r="A7184" s="1" t="str">
        <f t="shared" si="4820"/>
        <v>202406</v>
      </c>
      <c r="B7184" s="1" t="str">
        <f t="shared" si="4821"/>
        <v>150525100</v>
      </c>
      <c r="C7184" s="1" t="str">
        <f>"1040935324"</f>
        <v>1040935324</v>
      </c>
      <c r="D7184" s="1" t="str">
        <f>"152326195603250023"</f>
        <v>152326195603250023</v>
      </c>
      <c r="E7184" s="1" t="s">
        <v>6936</v>
      </c>
      <c r="F7184" s="1" t="s">
        <v>16</v>
      </c>
      <c r="G7184" s="1" t="s">
        <v>17</v>
      </c>
      <c r="H7184" s="1" t="str">
        <f>"68"</f>
        <v>68</v>
      </c>
      <c r="I7184" s="1" t="str">
        <f>"187.27"</f>
        <v>187.27</v>
      </c>
      <c r="J7184" s="1" t="str">
        <f t="shared" ref="J7184:N7184" si="4841">"0"</f>
        <v>0</v>
      </c>
      <c r="K7184" s="1" t="str">
        <f t="shared" si="4823"/>
        <v>103</v>
      </c>
      <c r="L7184" s="1" t="str">
        <f t="shared" si="4824"/>
        <v>47</v>
      </c>
      <c r="M7184" s="1" t="str">
        <f t="shared" si="4841"/>
        <v>0</v>
      </c>
      <c r="N7184" s="1" t="str">
        <f t="shared" si="4841"/>
        <v>0</v>
      </c>
      <c r="O7184" s="1" t="str">
        <f>"37.27"</f>
        <v>37.27</v>
      </c>
    </row>
    <row r="7185" s="1" customFormat="1" spans="1:15">
      <c r="A7185" s="1" t="str">
        <f t="shared" si="4820"/>
        <v>202406</v>
      </c>
      <c r="B7185" s="1" t="str">
        <f t="shared" si="4821"/>
        <v>150525100</v>
      </c>
      <c r="C7185" s="1" t="str">
        <f>"1040935387"</f>
        <v>1040935387</v>
      </c>
      <c r="D7185" s="1" t="str">
        <f>"152326195801020106"</f>
        <v>152326195801020106</v>
      </c>
      <c r="E7185" s="1" t="s">
        <v>6937</v>
      </c>
      <c r="F7185" s="1" t="s">
        <v>16</v>
      </c>
      <c r="G7185" s="1" t="s">
        <v>17</v>
      </c>
      <c r="H7185" s="1" t="str">
        <f>"67"</f>
        <v>67</v>
      </c>
      <c r="I7185" s="1" t="str">
        <f>"156.46"</f>
        <v>156.46</v>
      </c>
      <c r="J7185" s="1" t="str">
        <f t="shared" ref="J7185:N7185" si="4842">"0"</f>
        <v>0</v>
      </c>
      <c r="K7185" s="1" t="str">
        <f t="shared" si="4823"/>
        <v>103</v>
      </c>
      <c r="L7185" s="1" t="str">
        <f t="shared" si="4824"/>
        <v>47</v>
      </c>
      <c r="M7185" s="1" t="str">
        <f t="shared" si="4842"/>
        <v>0</v>
      </c>
      <c r="N7185" s="1" t="str">
        <f t="shared" si="4842"/>
        <v>0</v>
      </c>
      <c r="O7185" s="1" t="str">
        <f>"6.46"</f>
        <v>6.46</v>
      </c>
    </row>
    <row r="7186" s="1" customFormat="1" spans="1:15">
      <c r="A7186" s="1" t="str">
        <f t="shared" si="4820"/>
        <v>202406</v>
      </c>
      <c r="B7186" s="1" t="str">
        <f t="shared" si="4821"/>
        <v>150525100</v>
      </c>
      <c r="C7186" s="1" t="str">
        <f>"1040935399"</f>
        <v>1040935399</v>
      </c>
      <c r="D7186" s="1" t="str">
        <f>"152326195912120054"</f>
        <v>152326195912120054</v>
      </c>
      <c r="E7186" s="1" t="s">
        <v>6938</v>
      </c>
      <c r="F7186" s="1" t="s">
        <v>25</v>
      </c>
      <c r="G7186" s="1" t="s">
        <v>17</v>
      </c>
      <c r="H7186" s="1" t="str">
        <f>"65"</f>
        <v>65</v>
      </c>
      <c r="I7186" s="1" t="str">
        <f>"157.36"</f>
        <v>157.36</v>
      </c>
      <c r="J7186" s="1" t="str">
        <f t="shared" ref="J7186:N7186" si="4843">"0"</f>
        <v>0</v>
      </c>
      <c r="K7186" s="1" t="str">
        <f t="shared" si="4823"/>
        <v>103</v>
      </c>
      <c r="L7186" s="1" t="str">
        <f t="shared" si="4824"/>
        <v>47</v>
      </c>
      <c r="M7186" s="1" t="str">
        <f t="shared" si="4843"/>
        <v>0</v>
      </c>
      <c r="N7186" s="1" t="str">
        <f t="shared" si="4843"/>
        <v>0</v>
      </c>
      <c r="O7186" s="1" t="str">
        <f>"7.36"</f>
        <v>7.36</v>
      </c>
    </row>
    <row r="7187" s="1" customFormat="1" spans="1:15">
      <c r="A7187" s="1" t="str">
        <f t="shared" si="4820"/>
        <v>202406</v>
      </c>
      <c r="B7187" s="1" t="str">
        <f t="shared" si="4821"/>
        <v>150525100</v>
      </c>
      <c r="C7187" s="1" t="str">
        <f>"1040906007"</f>
        <v>1040906007</v>
      </c>
      <c r="D7187" s="1" t="str">
        <f>"152326195906190662"</f>
        <v>152326195906190662</v>
      </c>
      <c r="E7187" s="1" t="s">
        <v>2378</v>
      </c>
      <c r="F7187" s="1" t="s">
        <v>16</v>
      </c>
      <c r="G7187" s="1" t="s">
        <v>17</v>
      </c>
      <c r="H7187" s="1" t="str">
        <f>"65"</f>
        <v>65</v>
      </c>
      <c r="I7187" s="1" t="str">
        <f>"156.33"</f>
        <v>156.33</v>
      </c>
      <c r="J7187" s="1" t="str">
        <f t="shared" ref="J7187:N7187" si="4844">"0"</f>
        <v>0</v>
      </c>
      <c r="K7187" s="1" t="str">
        <f t="shared" si="4823"/>
        <v>103</v>
      </c>
      <c r="L7187" s="1" t="str">
        <f t="shared" si="4824"/>
        <v>47</v>
      </c>
      <c r="M7187" s="1" t="str">
        <f t="shared" si="4844"/>
        <v>0</v>
      </c>
      <c r="N7187" s="1" t="str">
        <f t="shared" si="4844"/>
        <v>0</v>
      </c>
      <c r="O7187" s="1" t="str">
        <f>"6.33"</f>
        <v>6.33</v>
      </c>
    </row>
    <row r="7188" s="1" customFormat="1" spans="1:15">
      <c r="A7188" s="1" t="str">
        <f t="shared" si="4820"/>
        <v>202406</v>
      </c>
      <c r="B7188" s="1" t="str">
        <f t="shared" si="4821"/>
        <v>150525100</v>
      </c>
      <c r="C7188" s="1" t="str">
        <f>"1040910910"</f>
        <v>1040910910</v>
      </c>
      <c r="D7188" s="1" t="s">
        <v>6939</v>
      </c>
      <c r="E7188" s="1" t="s">
        <v>6940</v>
      </c>
      <c r="F7188" s="1" t="s">
        <v>25</v>
      </c>
      <c r="G7188" s="1" t="s">
        <v>17</v>
      </c>
      <c r="H7188" s="1" t="str">
        <f>"63"</f>
        <v>63</v>
      </c>
      <c r="I7188" s="1" t="str">
        <f>"159.25"</f>
        <v>159.25</v>
      </c>
      <c r="J7188" s="1" t="str">
        <f t="shared" ref="J7188:N7188" si="4845">"0"</f>
        <v>0</v>
      </c>
      <c r="K7188" s="1" t="str">
        <f t="shared" si="4823"/>
        <v>103</v>
      </c>
      <c r="L7188" s="1" t="str">
        <f t="shared" si="4824"/>
        <v>47</v>
      </c>
      <c r="M7188" s="1" t="str">
        <f t="shared" si="4845"/>
        <v>0</v>
      </c>
      <c r="N7188" s="1" t="str">
        <f t="shared" si="4845"/>
        <v>0</v>
      </c>
      <c r="O7188" s="1" t="str">
        <f>"9.25"</f>
        <v>9.25</v>
      </c>
    </row>
    <row r="7189" s="1" customFormat="1" spans="1:15">
      <c r="A7189" s="1" t="str">
        <f t="shared" si="4820"/>
        <v>202406</v>
      </c>
      <c r="B7189" s="1" t="str">
        <f t="shared" si="4821"/>
        <v>150525100</v>
      </c>
      <c r="C7189" s="1" t="str">
        <f>"1040929628"</f>
        <v>1040929628</v>
      </c>
      <c r="D7189" s="1" t="str">
        <f>"152326196311223319"</f>
        <v>152326196311223319</v>
      </c>
      <c r="E7189" s="1" t="s">
        <v>6941</v>
      </c>
      <c r="F7189" s="1" t="s">
        <v>25</v>
      </c>
      <c r="G7189" s="1" t="s">
        <v>17</v>
      </c>
      <c r="H7189" s="1" t="str">
        <f>"61"</f>
        <v>61</v>
      </c>
      <c r="I7189" s="1" t="str">
        <f>"163.14"</f>
        <v>163.14</v>
      </c>
      <c r="J7189" s="1" t="str">
        <f t="shared" ref="J7189:N7189" si="4846">"0"</f>
        <v>0</v>
      </c>
      <c r="K7189" s="1" t="str">
        <f t="shared" si="4823"/>
        <v>103</v>
      </c>
      <c r="L7189" s="1" t="str">
        <f t="shared" si="4824"/>
        <v>47</v>
      </c>
      <c r="M7189" s="1" t="str">
        <f t="shared" si="4846"/>
        <v>0</v>
      </c>
      <c r="N7189" s="1" t="str">
        <f t="shared" si="4846"/>
        <v>0</v>
      </c>
      <c r="O7189" s="1" t="str">
        <f>"13.14"</f>
        <v>13.14</v>
      </c>
    </row>
    <row r="7190" s="1" customFormat="1" spans="1:15">
      <c r="A7190" s="1" t="str">
        <f t="shared" si="4820"/>
        <v>202406</v>
      </c>
      <c r="B7190" s="1" t="str">
        <f t="shared" si="4821"/>
        <v>150525100</v>
      </c>
      <c r="C7190" s="1" t="str">
        <f>"1040906642"</f>
        <v>1040906642</v>
      </c>
      <c r="D7190" s="1" t="str">
        <f>"152326196209183322"</f>
        <v>152326196209183322</v>
      </c>
      <c r="E7190" s="1" t="s">
        <v>6942</v>
      </c>
      <c r="F7190" s="1" t="s">
        <v>16</v>
      </c>
      <c r="G7190" s="1" t="s">
        <v>96</v>
      </c>
      <c r="H7190" s="1" t="str">
        <f>"62"</f>
        <v>62</v>
      </c>
      <c r="I7190" s="1" t="str">
        <f>"161.2"</f>
        <v>161.2</v>
      </c>
      <c r="J7190" s="1" t="str">
        <f t="shared" ref="J7190:N7190" si="4847">"0"</f>
        <v>0</v>
      </c>
      <c r="K7190" s="1" t="str">
        <f t="shared" si="4823"/>
        <v>103</v>
      </c>
      <c r="L7190" s="1" t="str">
        <f t="shared" si="4824"/>
        <v>47</v>
      </c>
      <c r="M7190" s="1" t="str">
        <f t="shared" si="4847"/>
        <v>0</v>
      </c>
      <c r="N7190" s="1" t="str">
        <f t="shared" si="4847"/>
        <v>0</v>
      </c>
      <c r="O7190" s="1" t="str">
        <f>"11.2"</f>
        <v>11.2</v>
      </c>
    </row>
    <row r="7191" s="1" customFormat="1" spans="1:15">
      <c r="A7191" s="1" t="str">
        <f t="shared" si="4820"/>
        <v>202406</v>
      </c>
      <c r="B7191" s="1" t="str">
        <f t="shared" si="4821"/>
        <v>150525100</v>
      </c>
      <c r="C7191" s="1" t="str">
        <f>"1040940154"</f>
        <v>1040940154</v>
      </c>
      <c r="D7191" s="1" t="str">
        <f>"152326195710203345"</f>
        <v>152326195710203345</v>
      </c>
      <c r="E7191" s="1" t="s">
        <v>6943</v>
      </c>
      <c r="F7191" s="1" t="s">
        <v>16</v>
      </c>
      <c r="G7191" s="1" t="s">
        <v>19</v>
      </c>
      <c r="H7191" s="1" t="str">
        <f>"67"</f>
        <v>67</v>
      </c>
      <c r="I7191" s="1" t="str">
        <f>"154.32"</f>
        <v>154.32</v>
      </c>
      <c r="J7191" s="1" t="str">
        <f t="shared" ref="J7191:N7191" si="4848">"0"</f>
        <v>0</v>
      </c>
      <c r="K7191" s="1" t="str">
        <f t="shared" si="4823"/>
        <v>103</v>
      </c>
      <c r="L7191" s="1" t="str">
        <f t="shared" si="4824"/>
        <v>47</v>
      </c>
      <c r="M7191" s="1" t="str">
        <f t="shared" si="4848"/>
        <v>0</v>
      </c>
      <c r="N7191" s="1" t="str">
        <f t="shared" si="4848"/>
        <v>0</v>
      </c>
      <c r="O7191" s="1" t="str">
        <f>"4.32"</f>
        <v>4.32</v>
      </c>
    </row>
    <row r="7192" s="1" customFormat="1" spans="1:15">
      <c r="A7192" s="1" t="str">
        <f t="shared" si="4820"/>
        <v>202406</v>
      </c>
      <c r="B7192" s="1" t="str">
        <f t="shared" si="4821"/>
        <v>150525100</v>
      </c>
      <c r="C7192" s="1" t="str">
        <f>"1040924272"</f>
        <v>1040924272</v>
      </c>
      <c r="D7192" s="1" t="str">
        <f>"152326196206163334"</f>
        <v>152326196206163334</v>
      </c>
      <c r="E7192" s="1" t="s">
        <v>6944</v>
      </c>
      <c r="F7192" s="1" t="s">
        <v>25</v>
      </c>
      <c r="G7192" s="1" t="s">
        <v>19</v>
      </c>
      <c r="H7192" s="1" t="str">
        <f>"62"</f>
        <v>62</v>
      </c>
      <c r="I7192" s="1" t="str">
        <f>"161.11"</f>
        <v>161.11</v>
      </c>
      <c r="J7192" s="1" t="str">
        <f t="shared" ref="J7192:N7192" si="4849">"0"</f>
        <v>0</v>
      </c>
      <c r="K7192" s="1" t="str">
        <f t="shared" si="4823"/>
        <v>103</v>
      </c>
      <c r="L7192" s="1" t="str">
        <f t="shared" si="4824"/>
        <v>47</v>
      </c>
      <c r="M7192" s="1" t="str">
        <f t="shared" si="4849"/>
        <v>0</v>
      </c>
      <c r="N7192" s="1" t="str">
        <f t="shared" si="4849"/>
        <v>0</v>
      </c>
      <c r="O7192" s="1" t="str">
        <f>"11.11"</f>
        <v>11.11</v>
      </c>
    </row>
    <row r="7193" s="1" customFormat="1" spans="1:15">
      <c r="A7193" s="1" t="str">
        <f t="shared" si="4820"/>
        <v>202406</v>
      </c>
      <c r="B7193" s="1" t="str">
        <f t="shared" si="4821"/>
        <v>150525100</v>
      </c>
      <c r="C7193" s="1" t="str">
        <f>"1040934381"</f>
        <v>1040934381</v>
      </c>
      <c r="D7193" s="1" t="str">
        <f>"152326195808043810"</f>
        <v>152326195808043810</v>
      </c>
      <c r="E7193" s="1" t="s">
        <v>6945</v>
      </c>
      <c r="F7193" s="1" t="s">
        <v>25</v>
      </c>
      <c r="G7193" s="1" t="s">
        <v>17</v>
      </c>
      <c r="H7193" s="1" t="str">
        <f t="shared" ref="H7193:H7195" si="4850">"66"</f>
        <v>66</v>
      </c>
      <c r="I7193" s="1" t="str">
        <f>"155.32"</f>
        <v>155.32</v>
      </c>
      <c r="J7193" s="1" t="str">
        <f t="shared" ref="J7193:N7193" si="4851">"0"</f>
        <v>0</v>
      </c>
      <c r="K7193" s="1" t="str">
        <f t="shared" si="4823"/>
        <v>103</v>
      </c>
      <c r="L7193" s="1" t="str">
        <f t="shared" si="4824"/>
        <v>47</v>
      </c>
      <c r="M7193" s="1" t="str">
        <f t="shared" si="4851"/>
        <v>0</v>
      </c>
      <c r="N7193" s="1" t="str">
        <f t="shared" si="4851"/>
        <v>0</v>
      </c>
      <c r="O7193" s="1" t="str">
        <f>"5.32"</f>
        <v>5.32</v>
      </c>
    </row>
    <row r="7194" s="1" customFormat="1" spans="1:15">
      <c r="A7194" s="1" t="str">
        <f t="shared" si="4820"/>
        <v>202406</v>
      </c>
      <c r="B7194" s="1" t="str">
        <f t="shared" si="4821"/>
        <v>150525100</v>
      </c>
      <c r="C7194" s="1" t="str">
        <f>"1040914926"</f>
        <v>1040914926</v>
      </c>
      <c r="D7194" s="1" t="str">
        <f>"152326195806160423"</f>
        <v>152326195806160423</v>
      </c>
      <c r="E7194" s="1" t="s">
        <v>6946</v>
      </c>
      <c r="F7194" s="1" t="s">
        <v>16</v>
      </c>
      <c r="G7194" s="1" t="s">
        <v>19</v>
      </c>
      <c r="H7194" s="1" t="str">
        <f t="shared" si="4850"/>
        <v>66</v>
      </c>
      <c r="I7194" s="1" t="str">
        <f>"170.7"</f>
        <v>170.7</v>
      </c>
      <c r="J7194" s="1" t="str">
        <f t="shared" ref="J7194:N7194" si="4852">"0"</f>
        <v>0</v>
      </c>
      <c r="K7194" s="1" t="str">
        <f t="shared" si="4823"/>
        <v>103</v>
      </c>
      <c r="L7194" s="1" t="str">
        <f t="shared" si="4824"/>
        <v>47</v>
      </c>
      <c r="M7194" s="1" t="str">
        <f t="shared" si="4852"/>
        <v>0</v>
      </c>
      <c r="N7194" s="1" t="str">
        <f t="shared" si="4852"/>
        <v>0</v>
      </c>
      <c r="O7194" s="1" t="str">
        <f>"20.7"</f>
        <v>20.7</v>
      </c>
    </row>
    <row r="7195" s="1" customFormat="1" spans="1:15">
      <c r="A7195" s="1" t="str">
        <f t="shared" si="4820"/>
        <v>202406</v>
      </c>
      <c r="B7195" s="1" t="str">
        <f t="shared" si="4821"/>
        <v>150525100</v>
      </c>
      <c r="C7195" s="1" t="str">
        <f>"1040938664"</f>
        <v>1040938664</v>
      </c>
      <c r="D7195" s="1" t="str">
        <f>"152326195810303829"</f>
        <v>152326195810303829</v>
      </c>
      <c r="E7195" s="1" t="s">
        <v>3857</v>
      </c>
      <c r="F7195" s="1" t="s">
        <v>16</v>
      </c>
      <c r="G7195" s="1" t="s">
        <v>17</v>
      </c>
      <c r="H7195" s="1" t="str">
        <f t="shared" si="4850"/>
        <v>66</v>
      </c>
      <c r="I7195" s="1" t="str">
        <f>"156.28"</f>
        <v>156.28</v>
      </c>
      <c r="J7195" s="1" t="str">
        <f t="shared" ref="J7195:N7195" si="4853">"0"</f>
        <v>0</v>
      </c>
      <c r="K7195" s="1" t="str">
        <f t="shared" si="4823"/>
        <v>103</v>
      </c>
      <c r="L7195" s="1" t="str">
        <f t="shared" si="4824"/>
        <v>47</v>
      </c>
      <c r="M7195" s="1" t="str">
        <f t="shared" si="4853"/>
        <v>0</v>
      </c>
      <c r="N7195" s="1" t="str">
        <f t="shared" si="4853"/>
        <v>0</v>
      </c>
      <c r="O7195" s="1" t="str">
        <f>"6.28"</f>
        <v>6.28</v>
      </c>
    </row>
    <row r="7196" s="1" customFormat="1" spans="1:15">
      <c r="A7196" s="1" t="str">
        <f t="shared" si="4820"/>
        <v>202406</v>
      </c>
      <c r="B7196" s="1" t="str">
        <f t="shared" si="4821"/>
        <v>150525100</v>
      </c>
      <c r="C7196" s="1" t="str">
        <f>"1040813243"</f>
        <v>1040813243</v>
      </c>
      <c r="D7196" s="1" t="str">
        <f>"152326195708080032"</f>
        <v>152326195708080032</v>
      </c>
      <c r="E7196" s="1" t="s">
        <v>6947</v>
      </c>
      <c r="F7196" s="1" t="s">
        <v>25</v>
      </c>
      <c r="G7196" s="1" t="s">
        <v>17</v>
      </c>
      <c r="H7196" s="1" t="str">
        <f>"67"</f>
        <v>67</v>
      </c>
      <c r="I7196" s="1" t="str">
        <f>"155.29"</f>
        <v>155.29</v>
      </c>
      <c r="J7196" s="1" t="str">
        <f t="shared" ref="J7196:N7196" si="4854">"0"</f>
        <v>0</v>
      </c>
      <c r="K7196" s="1" t="str">
        <f t="shared" si="4823"/>
        <v>103</v>
      </c>
      <c r="L7196" s="1" t="str">
        <f t="shared" si="4824"/>
        <v>47</v>
      </c>
      <c r="M7196" s="1" t="str">
        <f t="shared" si="4854"/>
        <v>0</v>
      </c>
      <c r="N7196" s="1" t="str">
        <f t="shared" si="4854"/>
        <v>0</v>
      </c>
      <c r="O7196" s="1" t="str">
        <f>"5.29"</f>
        <v>5.29</v>
      </c>
    </row>
    <row r="7197" s="1" customFormat="1" spans="1:15">
      <c r="A7197" s="1" t="str">
        <f t="shared" si="4820"/>
        <v>202406</v>
      </c>
      <c r="B7197" s="1" t="str">
        <f t="shared" si="4821"/>
        <v>150525100</v>
      </c>
      <c r="C7197" s="1" t="str">
        <f>"1041077752"</f>
        <v>1041077752</v>
      </c>
      <c r="D7197" s="1" t="s">
        <v>6948</v>
      </c>
      <c r="E7197" s="1" t="s">
        <v>6949</v>
      </c>
      <c r="F7197" s="1" t="s">
        <v>16</v>
      </c>
      <c r="G7197" s="1" t="s">
        <v>17</v>
      </c>
      <c r="H7197" s="1" t="str">
        <f>"63"</f>
        <v>63</v>
      </c>
      <c r="I7197" s="1" t="str">
        <f>"162.59"</f>
        <v>162.59</v>
      </c>
      <c r="J7197" s="1" t="str">
        <f t="shared" ref="J7197:N7197" si="4855">"0"</f>
        <v>0</v>
      </c>
      <c r="K7197" s="1" t="str">
        <f t="shared" si="4823"/>
        <v>103</v>
      </c>
      <c r="L7197" s="1" t="str">
        <f t="shared" si="4824"/>
        <v>47</v>
      </c>
      <c r="M7197" s="1" t="str">
        <f t="shared" si="4855"/>
        <v>0</v>
      </c>
      <c r="N7197" s="1" t="str">
        <f t="shared" si="4855"/>
        <v>0</v>
      </c>
      <c r="O7197" s="1" t="str">
        <f>"12.59"</f>
        <v>12.59</v>
      </c>
    </row>
    <row r="7198" s="1" customFormat="1" spans="1:15">
      <c r="A7198" s="1" t="str">
        <f t="shared" si="4820"/>
        <v>202406</v>
      </c>
      <c r="B7198" s="1" t="str">
        <f t="shared" si="4821"/>
        <v>150525100</v>
      </c>
      <c r="C7198" s="1" t="str">
        <f>"1040989864"</f>
        <v>1040989864</v>
      </c>
      <c r="D7198" s="1" t="s">
        <v>6950</v>
      </c>
      <c r="E7198" s="1" t="s">
        <v>6402</v>
      </c>
      <c r="F7198" s="1" t="s">
        <v>25</v>
      </c>
      <c r="G7198" s="1" t="s">
        <v>17</v>
      </c>
      <c r="H7198" s="1" t="str">
        <f>"65"</f>
        <v>65</v>
      </c>
      <c r="I7198" s="1" t="str">
        <f>"156.37"</f>
        <v>156.37</v>
      </c>
      <c r="J7198" s="1" t="str">
        <f t="shared" ref="J7198:N7198" si="4856">"0"</f>
        <v>0</v>
      </c>
      <c r="K7198" s="1" t="str">
        <f t="shared" si="4823"/>
        <v>103</v>
      </c>
      <c r="L7198" s="1" t="str">
        <f t="shared" si="4824"/>
        <v>47</v>
      </c>
      <c r="M7198" s="1" t="str">
        <f t="shared" si="4856"/>
        <v>0</v>
      </c>
      <c r="N7198" s="1" t="str">
        <f t="shared" si="4856"/>
        <v>0</v>
      </c>
      <c r="O7198" s="1" t="str">
        <f>"6.37"</f>
        <v>6.37</v>
      </c>
    </row>
    <row r="7199" s="1" customFormat="1" spans="1:15">
      <c r="A7199" s="1" t="str">
        <f t="shared" si="4820"/>
        <v>202406</v>
      </c>
      <c r="B7199" s="1" t="str">
        <f t="shared" si="4821"/>
        <v>150525100</v>
      </c>
      <c r="C7199" s="1" t="str">
        <f>"1040937020"</f>
        <v>1040937020</v>
      </c>
      <c r="D7199" s="1" t="s">
        <v>6951</v>
      </c>
      <c r="E7199" s="1" t="s">
        <v>6952</v>
      </c>
      <c r="F7199" s="1" t="s">
        <v>25</v>
      </c>
      <c r="G7199" s="1" t="s">
        <v>19</v>
      </c>
      <c r="H7199" s="1" t="str">
        <f>"68"</f>
        <v>68</v>
      </c>
      <c r="I7199" s="1" t="str">
        <f>"155.43"</f>
        <v>155.43</v>
      </c>
      <c r="J7199" s="1" t="str">
        <f t="shared" ref="J7199:N7199" si="4857">"0"</f>
        <v>0</v>
      </c>
      <c r="K7199" s="1" t="str">
        <f t="shared" si="4823"/>
        <v>103</v>
      </c>
      <c r="L7199" s="1" t="str">
        <f t="shared" si="4824"/>
        <v>47</v>
      </c>
      <c r="M7199" s="1" t="str">
        <f t="shared" si="4857"/>
        <v>0</v>
      </c>
      <c r="N7199" s="1" t="str">
        <f t="shared" si="4857"/>
        <v>0</v>
      </c>
      <c r="O7199" s="1" t="str">
        <f>"5.43"</f>
        <v>5.43</v>
      </c>
    </row>
    <row r="7200" s="1" customFormat="1" spans="1:15">
      <c r="A7200" s="1" t="str">
        <f t="shared" si="4820"/>
        <v>202406</v>
      </c>
      <c r="B7200" s="1" t="str">
        <f t="shared" si="4821"/>
        <v>150525100</v>
      </c>
      <c r="C7200" s="1" t="str">
        <f>"1040988284"</f>
        <v>1040988284</v>
      </c>
      <c r="D7200" s="1" t="str">
        <f>"152326195803300443"</f>
        <v>152326195803300443</v>
      </c>
      <c r="E7200" s="1" t="s">
        <v>1999</v>
      </c>
      <c r="F7200" s="1" t="s">
        <v>16</v>
      </c>
      <c r="G7200" s="1" t="s">
        <v>17</v>
      </c>
      <c r="H7200" s="1" t="str">
        <f>"66"</f>
        <v>66</v>
      </c>
      <c r="I7200" s="1" t="str">
        <f>"155.29"</f>
        <v>155.29</v>
      </c>
      <c r="J7200" s="1" t="str">
        <f t="shared" ref="J7200:N7200" si="4858">"0"</f>
        <v>0</v>
      </c>
      <c r="K7200" s="1" t="str">
        <f t="shared" si="4823"/>
        <v>103</v>
      </c>
      <c r="L7200" s="1" t="str">
        <f t="shared" si="4824"/>
        <v>47</v>
      </c>
      <c r="M7200" s="1" t="str">
        <f t="shared" si="4858"/>
        <v>0</v>
      </c>
      <c r="N7200" s="1" t="str">
        <f t="shared" si="4858"/>
        <v>0</v>
      </c>
      <c r="O7200" s="1" t="str">
        <f>"5.29"</f>
        <v>5.29</v>
      </c>
    </row>
    <row r="7201" s="1" customFormat="1" spans="1:15">
      <c r="A7201" s="1" t="str">
        <f t="shared" si="4820"/>
        <v>202406</v>
      </c>
      <c r="B7201" s="1" t="str">
        <f t="shared" si="4821"/>
        <v>150525100</v>
      </c>
      <c r="C7201" s="1" t="str">
        <f>"1040832518"</f>
        <v>1040832518</v>
      </c>
      <c r="D7201" s="1" t="str">
        <f>"152326194305220024"</f>
        <v>152326194305220024</v>
      </c>
      <c r="E7201" s="1" t="s">
        <v>6953</v>
      </c>
      <c r="F7201" s="1" t="s">
        <v>16</v>
      </c>
      <c r="G7201" s="1" t="s">
        <v>19</v>
      </c>
      <c r="H7201" s="1" t="str">
        <f>"81"</f>
        <v>81</v>
      </c>
      <c r="I7201" s="1" t="str">
        <f t="shared" ref="I7201:I7206" si="4859">"170"</f>
        <v>170</v>
      </c>
      <c r="J7201" s="1" t="str">
        <f t="shared" ref="J7201:O7201" si="4860">"0"</f>
        <v>0</v>
      </c>
      <c r="K7201" s="1" t="str">
        <f t="shared" si="4823"/>
        <v>103</v>
      </c>
      <c r="L7201" s="1" t="str">
        <f t="shared" si="4824"/>
        <v>47</v>
      </c>
      <c r="M7201" s="1" t="str">
        <f t="shared" si="4860"/>
        <v>0</v>
      </c>
      <c r="N7201" s="1" t="str">
        <f t="shared" si="4860"/>
        <v>0</v>
      </c>
      <c r="O7201" s="1" t="str">
        <f t="shared" si="4860"/>
        <v>0</v>
      </c>
    </row>
    <row r="7202" s="1" customFormat="1" spans="1:15">
      <c r="A7202" s="1" t="str">
        <f t="shared" si="4820"/>
        <v>202406</v>
      </c>
      <c r="B7202" s="1" t="str">
        <f t="shared" si="4821"/>
        <v>150525100</v>
      </c>
      <c r="C7202" s="1" t="str">
        <f>"1040832520"</f>
        <v>1040832520</v>
      </c>
      <c r="D7202" s="1" t="str">
        <f>"152326194611095903"</f>
        <v>152326194611095903</v>
      </c>
      <c r="E7202" s="1" t="s">
        <v>3270</v>
      </c>
      <c r="F7202" s="1" t="s">
        <v>16</v>
      </c>
      <c r="G7202" s="1" t="s">
        <v>17</v>
      </c>
      <c r="H7202" s="1" t="str">
        <f>"78"</f>
        <v>78</v>
      </c>
      <c r="I7202" s="1" t="str">
        <f>"160"</f>
        <v>160</v>
      </c>
      <c r="J7202" s="1" t="str">
        <f t="shared" ref="J7202:O7202" si="4861">"0"</f>
        <v>0</v>
      </c>
      <c r="K7202" s="1" t="str">
        <f t="shared" si="4823"/>
        <v>103</v>
      </c>
      <c r="L7202" s="1" t="str">
        <f t="shared" si="4824"/>
        <v>47</v>
      </c>
      <c r="M7202" s="1" t="str">
        <f t="shared" si="4861"/>
        <v>0</v>
      </c>
      <c r="N7202" s="1" t="str">
        <f t="shared" si="4861"/>
        <v>0</v>
      </c>
      <c r="O7202" s="1" t="str">
        <f t="shared" si="4861"/>
        <v>0</v>
      </c>
    </row>
    <row r="7203" s="1" customFormat="1" spans="1:15">
      <c r="A7203" s="1" t="str">
        <f t="shared" si="4820"/>
        <v>202406</v>
      </c>
      <c r="B7203" s="1" t="str">
        <f t="shared" si="4821"/>
        <v>150525100</v>
      </c>
      <c r="C7203" s="1" t="str">
        <f>"1040832544"</f>
        <v>1040832544</v>
      </c>
      <c r="D7203" s="1" t="str">
        <f>"152326194304165625"</f>
        <v>152326194304165625</v>
      </c>
      <c r="E7203" s="1" t="s">
        <v>940</v>
      </c>
      <c r="F7203" s="1" t="s">
        <v>16</v>
      </c>
      <c r="G7203" s="1" t="s">
        <v>17</v>
      </c>
      <c r="H7203" s="1" t="str">
        <f>"81"</f>
        <v>81</v>
      </c>
      <c r="I7203" s="1" t="str">
        <f t="shared" si="4859"/>
        <v>170</v>
      </c>
      <c r="J7203" s="1" t="str">
        <f t="shared" ref="J7203:O7203" si="4862">"0"</f>
        <v>0</v>
      </c>
      <c r="K7203" s="1" t="str">
        <f t="shared" si="4823"/>
        <v>103</v>
      </c>
      <c r="L7203" s="1" t="str">
        <f t="shared" si="4824"/>
        <v>47</v>
      </c>
      <c r="M7203" s="1" t="str">
        <f t="shared" si="4862"/>
        <v>0</v>
      </c>
      <c r="N7203" s="1" t="str">
        <f t="shared" si="4862"/>
        <v>0</v>
      </c>
      <c r="O7203" s="1" t="str">
        <f t="shared" si="4862"/>
        <v>0</v>
      </c>
    </row>
    <row r="7204" s="1" customFormat="1" spans="1:15">
      <c r="A7204" s="1" t="str">
        <f t="shared" si="4820"/>
        <v>202406</v>
      </c>
      <c r="B7204" s="1" t="str">
        <f t="shared" si="4821"/>
        <v>150525100</v>
      </c>
      <c r="C7204" s="1" t="str">
        <f>"1040948659"</f>
        <v>1040948659</v>
      </c>
      <c r="D7204" s="1" t="str">
        <f>"152326196002243324"</f>
        <v>152326196002243324</v>
      </c>
      <c r="E7204" s="1" t="s">
        <v>6954</v>
      </c>
      <c r="F7204" s="1" t="s">
        <v>16</v>
      </c>
      <c r="G7204" s="1" t="s">
        <v>19</v>
      </c>
      <c r="H7204" s="1" t="str">
        <f>"64"</f>
        <v>64</v>
      </c>
      <c r="I7204" s="1" t="str">
        <f>"157.34"</f>
        <v>157.34</v>
      </c>
      <c r="J7204" s="1" t="str">
        <f t="shared" ref="J7204:N7204" si="4863">"0"</f>
        <v>0</v>
      </c>
      <c r="K7204" s="1" t="str">
        <f t="shared" si="4823"/>
        <v>103</v>
      </c>
      <c r="L7204" s="1" t="str">
        <f t="shared" si="4824"/>
        <v>47</v>
      </c>
      <c r="M7204" s="1" t="str">
        <f t="shared" si="4863"/>
        <v>0</v>
      </c>
      <c r="N7204" s="1" t="str">
        <f t="shared" si="4863"/>
        <v>0</v>
      </c>
      <c r="O7204" s="1" t="str">
        <f>"7.34"</f>
        <v>7.34</v>
      </c>
    </row>
    <row r="7205" s="1" customFormat="1" spans="1:15">
      <c r="A7205" s="1" t="str">
        <f t="shared" si="4820"/>
        <v>202406</v>
      </c>
      <c r="B7205" s="1" t="str">
        <f t="shared" si="4821"/>
        <v>150525100</v>
      </c>
      <c r="C7205" s="1" t="str">
        <f>"1040832581"</f>
        <v>1040832581</v>
      </c>
      <c r="D7205" s="1" t="s">
        <v>6955</v>
      </c>
      <c r="E7205" s="1" t="s">
        <v>6956</v>
      </c>
      <c r="F7205" s="1" t="s">
        <v>16</v>
      </c>
      <c r="G7205" s="1" t="s">
        <v>17</v>
      </c>
      <c r="H7205" s="1" t="str">
        <f>"92"</f>
        <v>92</v>
      </c>
      <c r="I7205" s="1" t="str">
        <f t="shared" si="4859"/>
        <v>170</v>
      </c>
      <c r="J7205" s="1" t="str">
        <f t="shared" ref="J7205:O7205" si="4864">"0"</f>
        <v>0</v>
      </c>
      <c r="K7205" s="1" t="str">
        <f t="shared" si="4823"/>
        <v>103</v>
      </c>
      <c r="L7205" s="1" t="str">
        <f t="shared" si="4824"/>
        <v>47</v>
      </c>
      <c r="M7205" s="1" t="str">
        <f t="shared" si="4864"/>
        <v>0</v>
      </c>
      <c r="N7205" s="1" t="str">
        <f t="shared" si="4864"/>
        <v>0</v>
      </c>
      <c r="O7205" s="1" t="str">
        <f t="shared" si="4864"/>
        <v>0</v>
      </c>
    </row>
    <row r="7206" s="1" customFormat="1" spans="1:15">
      <c r="A7206" s="1" t="str">
        <f t="shared" si="4820"/>
        <v>202406</v>
      </c>
      <c r="B7206" s="1" t="str">
        <f t="shared" si="4821"/>
        <v>150525100</v>
      </c>
      <c r="C7206" s="1" t="str">
        <f>"1040832588"</f>
        <v>1040832588</v>
      </c>
      <c r="D7206" s="1" t="str">
        <f>"152326193312080029"</f>
        <v>152326193312080029</v>
      </c>
      <c r="E7206" s="1" t="s">
        <v>6957</v>
      </c>
      <c r="F7206" s="1" t="s">
        <v>16</v>
      </c>
      <c r="G7206" s="1" t="s">
        <v>17</v>
      </c>
      <c r="H7206" s="1" t="str">
        <f>"91"</f>
        <v>91</v>
      </c>
      <c r="I7206" s="1" t="str">
        <f t="shared" si="4859"/>
        <v>170</v>
      </c>
      <c r="J7206" s="1" t="str">
        <f t="shared" ref="J7206:O7206" si="4865">"0"</f>
        <v>0</v>
      </c>
      <c r="K7206" s="1" t="str">
        <f t="shared" si="4823"/>
        <v>103</v>
      </c>
      <c r="L7206" s="1" t="str">
        <f t="shared" si="4824"/>
        <v>47</v>
      </c>
      <c r="M7206" s="1" t="str">
        <f t="shared" si="4865"/>
        <v>0</v>
      </c>
      <c r="N7206" s="1" t="str">
        <f t="shared" si="4865"/>
        <v>0</v>
      </c>
      <c r="O7206" s="1" t="str">
        <f t="shared" si="4865"/>
        <v>0</v>
      </c>
    </row>
    <row r="7207" s="1" customFormat="1" spans="1:15">
      <c r="A7207" s="1" t="str">
        <f t="shared" si="4820"/>
        <v>202406</v>
      </c>
      <c r="B7207" s="1" t="str">
        <f t="shared" si="4821"/>
        <v>150525100</v>
      </c>
      <c r="C7207" s="1" t="str">
        <f>"1040832679"</f>
        <v>1040832679</v>
      </c>
      <c r="D7207" s="1" t="str">
        <f>"152326194507290020"</f>
        <v>152326194507290020</v>
      </c>
      <c r="E7207" s="1" t="s">
        <v>6958</v>
      </c>
      <c r="F7207" s="1" t="s">
        <v>16</v>
      </c>
      <c r="G7207" s="1" t="s">
        <v>19</v>
      </c>
      <c r="H7207" s="1" t="str">
        <f>"79"</f>
        <v>79</v>
      </c>
      <c r="I7207" s="1" t="str">
        <f t="shared" ref="I7207:I7211" si="4866">"160"</f>
        <v>160</v>
      </c>
      <c r="J7207" s="1" t="str">
        <f t="shared" ref="J7207:O7207" si="4867">"0"</f>
        <v>0</v>
      </c>
      <c r="K7207" s="1" t="str">
        <f t="shared" si="4823"/>
        <v>103</v>
      </c>
      <c r="L7207" s="1" t="str">
        <f t="shared" si="4824"/>
        <v>47</v>
      </c>
      <c r="M7207" s="1" t="str">
        <f t="shared" si="4867"/>
        <v>0</v>
      </c>
      <c r="N7207" s="1" t="str">
        <f t="shared" si="4867"/>
        <v>0</v>
      </c>
      <c r="O7207" s="1" t="str">
        <f t="shared" si="4867"/>
        <v>0</v>
      </c>
    </row>
    <row r="7208" s="1" customFormat="1" spans="1:15">
      <c r="A7208" s="1" t="str">
        <f t="shared" si="4820"/>
        <v>202406</v>
      </c>
      <c r="B7208" s="1" t="str">
        <f t="shared" si="4821"/>
        <v>150525100</v>
      </c>
      <c r="C7208" s="1" t="str">
        <f>"1040832680"</f>
        <v>1040832680</v>
      </c>
      <c r="D7208" s="1" t="str">
        <f>"152326194509150021"</f>
        <v>152326194509150021</v>
      </c>
      <c r="E7208" s="1" t="s">
        <v>6959</v>
      </c>
      <c r="F7208" s="1" t="s">
        <v>16</v>
      </c>
      <c r="G7208" s="1" t="s">
        <v>19</v>
      </c>
      <c r="H7208" s="1" t="str">
        <f>"79"</f>
        <v>79</v>
      </c>
      <c r="I7208" s="1" t="str">
        <f t="shared" si="4866"/>
        <v>160</v>
      </c>
      <c r="J7208" s="1" t="str">
        <f t="shared" ref="J7208:O7208" si="4868">"0"</f>
        <v>0</v>
      </c>
      <c r="K7208" s="1" t="str">
        <f t="shared" si="4823"/>
        <v>103</v>
      </c>
      <c r="L7208" s="1" t="str">
        <f t="shared" si="4824"/>
        <v>47</v>
      </c>
      <c r="M7208" s="1" t="str">
        <f t="shared" si="4868"/>
        <v>0</v>
      </c>
      <c r="N7208" s="1" t="str">
        <f t="shared" si="4868"/>
        <v>0</v>
      </c>
      <c r="O7208" s="1" t="str">
        <f t="shared" si="4868"/>
        <v>0</v>
      </c>
    </row>
    <row r="7209" s="1" customFormat="1" spans="1:15">
      <c r="A7209" s="1" t="str">
        <f t="shared" si="4820"/>
        <v>202406</v>
      </c>
      <c r="B7209" s="1" t="str">
        <f t="shared" si="4821"/>
        <v>150525100</v>
      </c>
      <c r="C7209" s="1" t="str">
        <f>"1040832689"</f>
        <v>1040832689</v>
      </c>
      <c r="D7209" s="1" t="str">
        <f>"150525194704060024"</f>
        <v>150525194704060024</v>
      </c>
      <c r="E7209" s="1" t="s">
        <v>2335</v>
      </c>
      <c r="F7209" s="1" t="s">
        <v>16</v>
      </c>
      <c r="G7209" s="1" t="s">
        <v>17</v>
      </c>
      <c r="H7209" s="1" t="str">
        <f>"77"</f>
        <v>77</v>
      </c>
      <c r="I7209" s="1" t="str">
        <f t="shared" si="4866"/>
        <v>160</v>
      </c>
      <c r="J7209" s="1" t="str">
        <f t="shared" ref="J7209:O7209" si="4869">"0"</f>
        <v>0</v>
      </c>
      <c r="K7209" s="1" t="str">
        <f t="shared" si="4823"/>
        <v>103</v>
      </c>
      <c r="L7209" s="1" t="str">
        <f t="shared" si="4824"/>
        <v>47</v>
      </c>
      <c r="M7209" s="1" t="str">
        <f t="shared" si="4869"/>
        <v>0</v>
      </c>
      <c r="N7209" s="1" t="str">
        <f t="shared" si="4869"/>
        <v>0</v>
      </c>
      <c r="O7209" s="1" t="str">
        <f t="shared" si="4869"/>
        <v>0</v>
      </c>
    </row>
    <row r="7210" s="1" customFormat="1" spans="1:15">
      <c r="A7210" s="1" t="str">
        <f t="shared" si="4820"/>
        <v>202406</v>
      </c>
      <c r="B7210" s="1" t="str">
        <f t="shared" si="4821"/>
        <v>150525100</v>
      </c>
      <c r="C7210" s="1" t="str">
        <f>"1040832691"</f>
        <v>1040832691</v>
      </c>
      <c r="D7210" s="1" t="s">
        <v>6960</v>
      </c>
      <c r="E7210" s="1" t="s">
        <v>6961</v>
      </c>
      <c r="F7210" s="1" t="s">
        <v>16</v>
      </c>
      <c r="G7210" s="1" t="s">
        <v>17</v>
      </c>
      <c r="H7210" s="1" t="str">
        <f>"77"</f>
        <v>77</v>
      </c>
      <c r="I7210" s="1" t="str">
        <f t="shared" si="4866"/>
        <v>160</v>
      </c>
      <c r="J7210" s="1" t="str">
        <f t="shared" ref="J7210:O7210" si="4870">"0"</f>
        <v>0</v>
      </c>
      <c r="K7210" s="1" t="str">
        <f t="shared" si="4823"/>
        <v>103</v>
      </c>
      <c r="L7210" s="1" t="str">
        <f t="shared" si="4824"/>
        <v>47</v>
      </c>
      <c r="M7210" s="1" t="str">
        <f t="shared" si="4870"/>
        <v>0</v>
      </c>
      <c r="N7210" s="1" t="str">
        <f t="shared" si="4870"/>
        <v>0</v>
      </c>
      <c r="O7210" s="1" t="str">
        <f t="shared" si="4870"/>
        <v>0</v>
      </c>
    </row>
    <row r="7211" s="1" customFormat="1" spans="1:15">
      <c r="A7211" s="1" t="str">
        <f t="shared" si="4820"/>
        <v>202406</v>
      </c>
      <c r="B7211" s="1" t="str">
        <f t="shared" si="4821"/>
        <v>150525100</v>
      </c>
      <c r="C7211" s="1" t="str">
        <f>"1040832698"</f>
        <v>1040832698</v>
      </c>
      <c r="D7211" s="1" t="str">
        <f>"152326194801090046"</f>
        <v>152326194801090046</v>
      </c>
      <c r="E7211" s="1" t="s">
        <v>4398</v>
      </c>
      <c r="F7211" s="1" t="s">
        <v>16</v>
      </c>
      <c r="G7211" s="1" t="s">
        <v>17</v>
      </c>
      <c r="H7211" s="1" t="str">
        <f>"76"</f>
        <v>76</v>
      </c>
      <c r="I7211" s="1" t="str">
        <f t="shared" si="4866"/>
        <v>160</v>
      </c>
      <c r="J7211" s="1" t="str">
        <f t="shared" ref="J7211:O7211" si="4871">"0"</f>
        <v>0</v>
      </c>
      <c r="K7211" s="1" t="str">
        <f t="shared" si="4823"/>
        <v>103</v>
      </c>
      <c r="L7211" s="1" t="str">
        <f t="shared" si="4824"/>
        <v>47</v>
      </c>
      <c r="M7211" s="1" t="str">
        <f t="shared" si="4871"/>
        <v>0</v>
      </c>
      <c r="N7211" s="1" t="str">
        <f t="shared" si="4871"/>
        <v>0</v>
      </c>
      <c r="O7211" s="1" t="str">
        <f t="shared" si="4871"/>
        <v>0</v>
      </c>
    </row>
    <row r="7212" s="1" customFormat="1" spans="1:15">
      <c r="A7212" s="1" t="str">
        <f t="shared" si="4820"/>
        <v>202406</v>
      </c>
      <c r="B7212" s="1" t="str">
        <f t="shared" si="4821"/>
        <v>150525100</v>
      </c>
      <c r="C7212" s="1" t="str">
        <f>"1040832700"</f>
        <v>1040832700</v>
      </c>
      <c r="D7212" s="1" t="str">
        <f>"152326194802030029"</f>
        <v>152326194802030029</v>
      </c>
      <c r="E7212" s="1" t="s">
        <v>6962</v>
      </c>
      <c r="F7212" s="1" t="s">
        <v>16</v>
      </c>
      <c r="G7212" s="1" t="s">
        <v>17</v>
      </c>
      <c r="H7212" s="1" t="str">
        <f>"76"</f>
        <v>76</v>
      </c>
      <c r="I7212" s="1" t="str">
        <f>"960"</f>
        <v>960</v>
      </c>
      <c r="J7212" s="1" t="str">
        <f>"800"</f>
        <v>800</v>
      </c>
      <c r="K7212" s="1" t="str">
        <f>"618"</f>
        <v>618</v>
      </c>
      <c r="L7212" s="1" t="str">
        <f>"282"</f>
        <v>282</v>
      </c>
      <c r="M7212" s="1" t="str">
        <f t="shared" ref="M7212:O7212" si="4872">"0"</f>
        <v>0</v>
      </c>
      <c r="N7212" s="1" t="str">
        <f t="shared" si="4872"/>
        <v>0</v>
      </c>
      <c r="O7212" s="1" t="str">
        <f t="shared" si="4872"/>
        <v>0</v>
      </c>
    </row>
    <row r="7213" s="1" customFormat="1" spans="1:15">
      <c r="A7213" s="1" t="str">
        <f t="shared" si="4820"/>
        <v>202406</v>
      </c>
      <c r="B7213" s="1" t="str">
        <f t="shared" si="4821"/>
        <v>150525100</v>
      </c>
      <c r="C7213" s="1" t="str">
        <f>"1041005927"</f>
        <v>1041005927</v>
      </c>
      <c r="D7213" s="1" t="s">
        <v>6963</v>
      </c>
      <c r="E7213" s="1" t="s">
        <v>6964</v>
      </c>
      <c r="F7213" s="1" t="s">
        <v>25</v>
      </c>
      <c r="G7213" s="1" t="s">
        <v>19</v>
      </c>
      <c r="H7213" s="1" t="str">
        <f>"68"</f>
        <v>68</v>
      </c>
      <c r="I7213" s="1" t="str">
        <f>"154.32"</f>
        <v>154.32</v>
      </c>
      <c r="J7213" s="1" t="str">
        <f t="shared" ref="J7213:N7213" si="4873">"0"</f>
        <v>0</v>
      </c>
      <c r="K7213" s="1" t="str">
        <f t="shared" ref="K7213:K7246" si="4874">"103"</f>
        <v>103</v>
      </c>
      <c r="L7213" s="1" t="str">
        <f t="shared" ref="L7213:L7246" si="4875">"47"</f>
        <v>47</v>
      </c>
      <c r="M7213" s="1" t="str">
        <f t="shared" si="4873"/>
        <v>0</v>
      </c>
      <c r="N7213" s="1" t="str">
        <f t="shared" si="4873"/>
        <v>0</v>
      </c>
      <c r="O7213" s="1" t="str">
        <f>"4.32"</f>
        <v>4.32</v>
      </c>
    </row>
    <row r="7214" s="1" customFormat="1" spans="1:15">
      <c r="A7214" s="1" t="str">
        <f t="shared" si="4820"/>
        <v>202406</v>
      </c>
      <c r="B7214" s="1" t="str">
        <f t="shared" si="4821"/>
        <v>150525100</v>
      </c>
      <c r="C7214" s="1" t="str">
        <f>"1040832741"</f>
        <v>1040832741</v>
      </c>
      <c r="D7214" s="1" t="str">
        <f>"152326195012046864"</f>
        <v>152326195012046864</v>
      </c>
      <c r="E7214" s="1" t="s">
        <v>6965</v>
      </c>
      <c r="F7214" s="1" t="s">
        <v>16</v>
      </c>
      <c r="G7214" s="1" t="s">
        <v>19</v>
      </c>
      <c r="H7214" s="1" t="str">
        <f>"74"</f>
        <v>74</v>
      </c>
      <c r="I7214" s="1" t="str">
        <f t="shared" ref="I7214:I7217" si="4876">"160"</f>
        <v>160</v>
      </c>
      <c r="J7214" s="1" t="str">
        <f t="shared" ref="J7214:O7214" si="4877">"0"</f>
        <v>0</v>
      </c>
      <c r="K7214" s="1" t="str">
        <f t="shared" si="4874"/>
        <v>103</v>
      </c>
      <c r="L7214" s="1" t="str">
        <f t="shared" si="4875"/>
        <v>47</v>
      </c>
      <c r="M7214" s="1" t="str">
        <f t="shared" si="4877"/>
        <v>0</v>
      </c>
      <c r="N7214" s="1" t="str">
        <f t="shared" si="4877"/>
        <v>0</v>
      </c>
      <c r="O7214" s="1" t="str">
        <f t="shared" si="4877"/>
        <v>0</v>
      </c>
    </row>
    <row r="7215" s="1" customFormat="1" spans="1:15">
      <c r="A7215" s="1" t="str">
        <f t="shared" si="4820"/>
        <v>202406</v>
      </c>
      <c r="B7215" s="1" t="str">
        <f t="shared" si="4821"/>
        <v>150525100</v>
      </c>
      <c r="C7215" s="1" t="str">
        <f>"1040832742"</f>
        <v>1040832742</v>
      </c>
      <c r="D7215" s="1" t="str">
        <f>"152326195012152042"</f>
        <v>152326195012152042</v>
      </c>
      <c r="E7215" s="1" t="s">
        <v>1266</v>
      </c>
      <c r="F7215" s="1" t="s">
        <v>16</v>
      </c>
      <c r="G7215" s="1" t="s">
        <v>17</v>
      </c>
      <c r="H7215" s="1" t="str">
        <f>"74"</f>
        <v>74</v>
      </c>
      <c r="I7215" s="1" t="str">
        <f t="shared" si="4876"/>
        <v>160</v>
      </c>
      <c r="J7215" s="1" t="str">
        <f t="shared" ref="J7215:O7215" si="4878">"0"</f>
        <v>0</v>
      </c>
      <c r="K7215" s="1" t="str">
        <f t="shared" si="4874"/>
        <v>103</v>
      </c>
      <c r="L7215" s="1" t="str">
        <f t="shared" si="4875"/>
        <v>47</v>
      </c>
      <c r="M7215" s="1" t="str">
        <f t="shared" si="4878"/>
        <v>0</v>
      </c>
      <c r="N7215" s="1" t="str">
        <f t="shared" si="4878"/>
        <v>0</v>
      </c>
      <c r="O7215" s="1" t="str">
        <f t="shared" si="4878"/>
        <v>0</v>
      </c>
    </row>
    <row r="7216" s="1" customFormat="1" spans="1:15">
      <c r="A7216" s="1" t="str">
        <f t="shared" si="4820"/>
        <v>202406</v>
      </c>
      <c r="B7216" s="1" t="str">
        <f t="shared" si="4821"/>
        <v>150525100</v>
      </c>
      <c r="C7216" s="1" t="str">
        <f>"1040832748"</f>
        <v>1040832748</v>
      </c>
      <c r="D7216" s="1" t="str">
        <f>"152326195104050027"</f>
        <v>152326195104050027</v>
      </c>
      <c r="E7216" s="1" t="s">
        <v>6343</v>
      </c>
      <c r="F7216" s="1" t="s">
        <v>16</v>
      </c>
      <c r="G7216" s="1" t="s">
        <v>17</v>
      </c>
      <c r="H7216" s="1" t="str">
        <f>"73"</f>
        <v>73</v>
      </c>
      <c r="I7216" s="1" t="str">
        <f t="shared" si="4876"/>
        <v>160</v>
      </c>
      <c r="J7216" s="1" t="str">
        <f t="shared" ref="J7216:O7216" si="4879">"0"</f>
        <v>0</v>
      </c>
      <c r="K7216" s="1" t="str">
        <f t="shared" si="4874"/>
        <v>103</v>
      </c>
      <c r="L7216" s="1" t="str">
        <f t="shared" si="4875"/>
        <v>47</v>
      </c>
      <c r="M7216" s="1" t="str">
        <f t="shared" si="4879"/>
        <v>0</v>
      </c>
      <c r="N7216" s="1" t="str">
        <f t="shared" si="4879"/>
        <v>0</v>
      </c>
      <c r="O7216" s="1" t="str">
        <f t="shared" si="4879"/>
        <v>0</v>
      </c>
    </row>
    <row r="7217" s="1" customFormat="1" spans="1:15">
      <c r="A7217" s="1" t="str">
        <f t="shared" si="4820"/>
        <v>202406</v>
      </c>
      <c r="B7217" s="1" t="str">
        <f t="shared" si="4821"/>
        <v>150525100</v>
      </c>
      <c r="C7217" s="1" t="str">
        <f>"1040832755"</f>
        <v>1040832755</v>
      </c>
      <c r="D7217" s="1" t="str">
        <f>"152326195109100660"</f>
        <v>152326195109100660</v>
      </c>
      <c r="E7217" s="1" t="s">
        <v>6966</v>
      </c>
      <c r="F7217" s="1" t="s">
        <v>16</v>
      </c>
      <c r="G7217" s="1" t="s">
        <v>17</v>
      </c>
      <c r="H7217" s="1" t="str">
        <f>"73"</f>
        <v>73</v>
      </c>
      <c r="I7217" s="1" t="str">
        <f t="shared" si="4876"/>
        <v>160</v>
      </c>
      <c r="J7217" s="1" t="str">
        <f t="shared" ref="J7217:O7217" si="4880">"0"</f>
        <v>0</v>
      </c>
      <c r="K7217" s="1" t="str">
        <f t="shared" si="4874"/>
        <v>103</v>
      </c>
      <c r="L7217" s="1" t="str">
        <f t="shared" si="4875"/>
        <v>47</v>
      </c>
      <c r="M7217" s="1" t="str">
        <f t="shared" si="4880"/>
        <v>0</v>
      </c>
      <c r="N7217" s="1" t="str">
        <f t="shared" si="4880"/>
        <v>0</v>
      </c>
      <c r="O7217" s="1" t="str">
        <f t="shared" si="4880"/>
        <v>0</v>
      </c>
    </row>
    <row r="7218" s="1" customFormat="1" spans="1:15">
      <c r="A7218" s="1" t="str">
        <f t="shared" si="4820"/>
        <v>202406</v>
      </c>
      <c r="B7218" s="1" t="str">
        <f t="shared" si="4821"/>
        <v>150525100</v>
      </c>
      <c r="C7218" s="1" t="str">
        <f>"1040965951"</f>
        <v>1040965951</v>
      </c>
      <c r="D7218" s="1" t="str">
        <f>"152326195704167616"</f>
        <v>152326195704167616</v>
      </c>
      <c r="E7218" s="1" t="s">
        <v>6967</v>
      </c>
      <c r="F7218" s="1" t="s">
        <v>25</v>
      </c>
      <c r="G7218" s="1" t="s">
        <v>19</v>
      </c>
      <c r="H7218" s="1" t="str">
        <f>"67"</f>
        <v>67</v>
      </c>
      <c r="I7218" s="1" t="str">
        <f>"155.26"</f>
        <v>155.26</v>
      </c>
      <c r="J7218" s="1" t="str">
        <f t="shared" ref="J7218:N7218" si="4881">"0"</f>
        <v>0</v>
      </c>
      <c r="K7218" s="1" t="str">
        <f t="shared" si="4874"/>
        <v>103</v>
      </c>
      <c r="L7218" s="1" t="str">
        <f t="shared" si="4875"/>
        <v>47</v>
      </c>
      <c r="M7218" s="1" t="str">
        <f t="shared" si="4881"/>
        <v>0</v>
      </c>
      <c r="N7218" s="1" t="str">
        <f t="shared" si="4881"/>
        <v>0</v>
      </c>
      <c r="O7218" s="1" t="str">
        <f>"5.26"</f>
        <v>5.26</v>
      </c>
    </row>
    <row r="7219" s="1" customFormat="1" spans="1:15">
      <c r="A7219" s="1" t="str">
        <f t="shared" si="4820"/>
        <v>202406</v>
      </c>
      <c r="B7219" s="1" t="str">
        <f t="shared" si="4821"/>
        <v>150525100</v>
      </c>
      <c r="C7219" s="1" t="str">
        <f>"1041153418"</f>
        <v>1041153418</v>
      </c>
      <c r="D7219" s="1" t="str">
        <f>"152326196304120020"</f>
        <v>152326196304120020</v>
      </c>
      <c r="E7219" s="1" t="s">
        <v>6968</v>
      </c>
      <c r="F7219" s="1" t="s">
        <v>16</v>
      </c>
      <c r="G7219" s="1" t="s">
        <v>17</v>
      </c>
      <c r="H7219" s="1" t="str">
        <f t="shared" ref="H7219:H7224" si="4882">"61"</f>
        <v>61</v>
      </c>
      <c r="I7219" s="1" t="str">
        <f>"164.72"</f>
        <v>164.72</v>
      </c>
      <c r="J7219" s="1" t="str">
        <f t="shared" ref="J7219:N7219" si="4883">"0"</f>
        <v>0</v>
      </c>
      <c r="K7219" s="1" t="str">
        <f t="shared" si="4874"/>
        <v>103</v>
      </c>
      <c r="L7219" s="1" t="str">
        <f t="shared" si="4875"/>
        <v>47</v>
      </c>
      <c r="M7219" s="1" t="str">
        <f t="shared" si="4883"/>
        <v>0</v>
      </c>
      <c r="N7219" s="1" t="str">
        <f t="shared" si="4883"/>
        <v>0</v>
      </c>
      <c r="O7219" s="1" t="str">
        <f>"14.72"</f>
        <v>14.72</v>
      </c>
    </row>
    <row r="7220" s="1" customFormat="1" spans="1:15">
      <c r="A7220" s="1" t="str">
        <f t="shared" si="4820"/>
        <v>202406</v>
      </c>
      <c r="B7220" s="1" t="str">
        <f t="shared" si="4821"/>
        <v>150525100</v>
      </c>
      <c r="C7220" s="1" t="str">
        <f>"1041153476"</f>
        <v>1041153476</v>
      </c>
      <c r="D7220" s="1" t="str">
        <f>"152326196305140015"</f>
        <v>152326196305140015</v>
      </c>
      <c r="E7220" s="1" t="s">
        <v>6969</v>
      </c>
      <c r="F7220" s="1" t="s">
        <v>25</v>
      </c>
      <c r="G7220" s="1" t="s">
        <v>17</v>
      </c>
      <c r="H7220" s="1" t="str">
        <f t="shared" si="4882"/>
        <v>61</v>
      </c>
      <c r="I7220" s="1" t="str">
        <f>"255.28"</f>
        <v>255.28</v>
      </c>
      <c r="J7220" s="1" t="str">
        <f t="shared" ref="J7220:N7220" si="4884">"0"</f>
        <v>0</v>
      </c>
      <c r="K7220" s="1" t="str">
        <f t="shared" si="4874"/>
        <v>103</v>
      </c>
      <c r="L7220" s="1" t="str">
        <f t="shared" si="4875"/>
        <v>47</v>
      </c>
      <c r="M7220" s="1" t="str">
        <f t="shared" si="4884"/>
        <v>0</v>
      </c>
      <c r="N7220" s="1" t="str">
        <f t="shared" si="4884"/>
        <v>0</v>
      </c>
      <c r="O7220" s="1" t="str">
        <f>"105.28"</f>
        <v>105.28</v>
      </c>
    </row>
    <row r="7221" s="1" customFormat="1" spans="1:15">
      <c r="A7221" s="1" t="str">
        <f t="shared" si="4820"/>
        <v>202406</v>
      </c>
      <c r="B7221" s="1" t="str">
        <f t="shared" si="4821"/>
        <v>150525100</v>
      </c>
      <c r="C7221" s="1" t="str">
        <f>"1041153493"</f>
        <v>1041153493</v>
      </c>
      <c r="D7221" s="1" t="str">
        <f>"152326195707010024"</f>
        <v>152326195707010024</v>
      </c>
      <c r="E7221" s="1" t="s">
        <v>6970</v>
      </c>
      <c r="F7221" s="1" t="s">
        <v>16</v>
      </c>
      <c r="G7221" s="1" t="s">
        <v>17</v>
      </c>
      <c r="H7221" s="1" t="str">
        <f>"67"</f>
        <v>67</v>
      </c>
      <c r="I7221" s="1" t="str">
        <f>"156.24"</f>
        <v>156.24</v>
      </c>
      <c r="J7221" s="1" t="str">
        <f t="shared" ref="J7221:N7221" si="4885">"0"</f>
        <v>0</v>
      </c>
      <c r="K7221" s="1" t="str">
        <f t="shared" si="4874"/>
        <v>103</v>
      </c>
      <c r="L7221" s="1" t="str">
        <f t="shared" si="4875"/>
        <v>47</v>
      </c>
      <c r="M7221" s="1" t="str">
        <f t="shared" si="4885"/>
        <v>0</v>
      </c>
      <c r="N7221" s="1" t="str">
        <f t="shared" si="4885"/>
        <v>0</v>
      </c>
      <c r="O7221" s="1" t="str">
        <f>"6.24"</f>
        <v>6.24</v>
      </c>
    </row>
    <row r="7222" s="1" customFormat="1" spans="1:15">
      <c r="A7222" s="1" t="str">
        <f t="shared" si="4820"/>
        <v>202406</v>
      </c>
      <c r="B7222" s="1" t="str">
        <f t="shared" si="4821"/>
        <v>150525100</v>
      </c>
      <c r="C7222" s="1" t="str">
        <f>"1041153500"</f>
        <v>1041153500</v>
      </c>
      <c r="D7222" s="1" t="s">
        <v>6971</v>
      </c>
      <c r="E7222" s="1" t="s">
        <v>2810</v>
      </c>
      <c r="F7222" s="1" t="s">
        <v>16</v>
      </c>
      <c r="G7222" s="1" t="s">
        <v>17</v>
      </c>
      <c r="H7222" s="1" t="str">
        <f>"62"</f>
        <v>62</v>
      </c>
      <c r="I7222" s="1" t="str">
        <f>"162.54"</f>
        <v>162.54</v>
      </c>
      <c r="J7222" s="1" t="str">
        <f t="shared" ref="J7222:N7222" si="4886">"0"</f>
        <v>0</v>
      </c>
      <c r="K7222" s="1" t="str">
        <f t="shared" si="4874"/>
        <v>103</v>
      </c>
      <c r="L7222" s="1" t="str">
        <f t="shared" si="4875"/>
        <v>47</v>
      </c>
      <c r="M7222" s="1" t="str">
        <f t="shared" si="4886"/>
        <v>0</v>
      </c>
      <c r="N7222" s="1" t="str">
        <f t="shared" si="4886"/>
        <v>0</v>
      </c>
      <c r="O7222" s="1" t="str">
        <f>"12.54"</f>
        <v>12.54</v>
      </c>
    </row>
    <row r="7223" s="1" customFormat="1" spans="1:15">
      <c r="A7223" s="1" t="str">
        <f t="shared" si="4820"/>
        <v>202406</v>
      </c>
      <c r="B7223" s="1" t="str">
        <f t="shared" si="4821"/>
        <v>150525100</v>
      </c>
      <c r="C7223" s="1" t="str">
        <f>"1040988814"</f>
        <v>1040988814</v>
      </c>
      <c r="D7223" s="1" t="str">
        <f>"152326195810280671"</f>
        <v>152326195810280671</v>
      </c>
      <c r="E7223" s="1" t="s">
        <v>3466</v>
      </c>
      <c r="F7223" s="1" t="s">
        <v>25</v>
      </c>
      <c r="G7223" s="1" t="s">
        <v>17</v>
      </c>
      <c r="H7223" s="1" t="str">
        <f>"66"</f>
        <v>66</v>
      </c>
      <c r="I7223" s="1" t="str">
        <f>"156.26"</f>
        <v>156.26</v>
      </c>
      <c r="J7223" s="1" t="str">
        <f t="shared" ref="J7223:N7223" si="4887">"0"</f>
        <v>0</v>
      </c>
      <c r="K7223" s="1" t="str">
        <f t="shared" si="4874"/>
        <v>103</v>
      </c>
      <c r="L7223" s="1" t="str">
        <f t="shared" si="4875"/>
        <v>47</v>
      </c>
      <c r="M7223" s="1" t="str">
        <f t="shared" si="4887"/>
        <v>0</v>
      </c>
      <c r="N7223" s="1" t="str">
        <f t="shared" si="4887"/>
        <v>0</v>
      </c>
      <c r="O7223" s="1" t="str">
        <f>"6.26"</f>
        <v>6.26</v>
      </c>
    </row>
    <row r="7224" s="1" customFormat="1" spans="1:15">
      <c r="A7224" s="1" t="str">
        <f t="shared" si="4820"/>
        <v>202406</v>
      </c>
      <c r="B7224" s="1" t="str">
        <f t="shared" si="4821"/>
        <v>150525100</v>
      </c>
      <c r="C7224" s="1" t="str">
        <f>"1040989079"</f>
        <v>1040989079</v>
      </c>
      <c r="D7224" s="1" t="str">
        <f>"152326196304170669"</f>
        <v>152326196304170669</v>
      </c>
      <c r="E7224" s="1" t="s">
        <v>6972</v>
      </c>
      <c r="F7224" s="1" t="s">
        <v>16</v>
      </c>
      <c r="G7224" s="1" t="s">
        <v>19</v>
      </c>
      <c r="H7224" s="1" t="str">
        <f t="shared" si="4882"/>
        <v>61</v>
      </c>
      <c r="I7224" s="1" t="str">
        <f>"163.01"</f>
        <v>163.01</v>
      </c>
      <c r="J7224" s="1" t="str">
        <f t="shared" ref="J7224:N7224" si="4888">"0"</f>
        <v>0</v>
      </c>
      <c r="K7224" s="1" t="str">
        <f t="shared" si="4874"/>
        <v>103</v>
      </c>
      <c r="L7224" s="1" t="str">
        <f t="shared" si="4875"/>
        <v>47</v>
      </c>
      <c r="M7224" s="1" t="str">
        <f t="shared" si="4888"/>
        <v>0</v>
      </c>
      <c r="N7224" s="1" t="str">
        <f t="shared" si="4888"/>
        <v>0</v>
      </c>
      <c r="O7224" s="1" t="str">
        <f>"13.01"</f>
        <v>13.01</v>
      </c>
    </row>
    <row r="7225" s="1" customFormat="1" spans="1:15">
      <c r="A7225" s="1" t="str">
        <f t="shared" si="4820"/>
        <v>202406</v>
      </c>
      <c r="B7225" s="1" t="str">
        <f t="shared" si="4821"/>
        <v>150525100</v>
      </c>
      <c r="C7225" s="1" t="str">
        <f>"1040948619"</f>
        <v>1040948619</v>
      </c>
      <c r="D7225" s="1" t="str">
        <f>"152326195808123319"</f>
        <v>152326195808123319</v>
      </c>
      <c r="E7225" s="1" t="s">
        <v>6973</v>
      </c>
      <c r="F7225" s="1" t="s">
        <v>25</v>
      </c>
      <c r="G7225" s="1" t="s">
        <v>19</v>
      </c>
      <c r="H7225" s="1" t="str">
        <f>"66"</f>
        <v>66</v>
      </c>
      <c r="I7225" s="1" t="str">
        <f>"155.32"</f>
        <v>155.32</v>
      </c>
      <c r="J7225" s="1" t="str">
        <f t="shared" ref="J7225:N7225" si="4889">"0"</f>
        <v>0</v>
      </c>
      <c r="K7225" s="1" t="str">
        <f t="shared" si="4874"/>
        <v>103</v>
      </c>
      <c r="L7225" s="1" t="str">
        <f t="shared" si="4875"/>
        <v>47</v>
      </c>
      <c r="M7225" s="1" t="str">
        <f t="shared" si="4889"/>
        <v>0</v>
      </c>
      <c r="N7225" s="1" t="str">
        <f t="shared" si="4889"/>
        <v>0</v>
      </c>
      <c r="O7225" s="1" t="str">
        <f>"5.32"</f>
        <v>5.32</v>
      </c>
    </row>
    <row r="7226" s="1" customFormat="1" spans="1:15">
      <c r="A7226" s="1" t="str">
        <f t="shared" si="4820"/>
        <v>202406</v>
      </c>
      <c r="B7226" s="1" t="str">
        <f t="shared" si="4821"/>
        <v>150525100</v>
      </c>
      <c r="C7226" s="1" t="str">
        <f>"1041168947"</f>
        <v>1041168947</v>
      </c>
      <c r="D7226" s="1" t="str">
        <f>"152326195601020697"</f>
        <v>152326195601020697</v>
      </c>
      <c r="E7226" s="1" t="s">
        <v>6974</v>
      </c>
      <c r="F7226" s="1" t="s">
        <v>16</v>
      </c>
      <c r="G7226" s="1" t="s">
        <v>19</v>
      </c>
      <c r="H7226" s="1" t="str">
        <f>"69"</f>
        <v>69</v>
      </c>
      <c r="I7226" s="1" t="str">
        <f>"154.32"</f>
        <v>154.32</v>
      </c>
      <c r="J7226" s="1" t="str">
        <f t="shared" ref="J7226:N7226" si="4890">"0"</f>
        <v>0</v>
      </c>
      <c r="K7226" s="1" t="str">
        <f t="shared" si="4874"/>
        <v>103</v>
      </c>
      <c r="L7226" s="1" t="str">
        <f t="shared" si="4875"/>
        <v>47</v>
      </c>
      <c r="M7226" s="1" t="str">
        <f t="shared" si="4890"/>
        <v>0</v>
      </c>
      <c r="N7226" s="1" t="str">
        <f t="shared" si="4890"/>
        <v>0</v>
      </c>
      <c r="O7226" s="1" t="str">
        <f>"4.32"</f>
        <v>4.32</v>
      </c>
    </row>
    <row r="7227" s="1" customFormat="1" spans="1:15">
      <c r="A7227" s="1" t="str">
        <f t="shared" si="4820"/>
        <v>202406</v>
      </c>
      <c r="B7227" s="1" t="str">
        <f t="shared" si="4821"/>
        <v>150525100</v>
      </c>
      <c r="C7227" s="1" t="str">
        <f>"1041168953"</f>
        <v>1041168953</v>
      </c>
      <c r="D7227" s="1" t="str">
        <f>"152326195707020660"</f>
        <v>152326195707020660</v>
      </c>
      <c r="E7227" s="1" t="s">
        <v>6975</v>
      </c>
      <c r="F7227" s="1" t="s">
        <v>25</v>
      </c>
      <c r="G7227" s="1" t="s">
        <v>19</v>
      </c>
      <c r="H7227" s="1" t="str">
        <f t="shared" ref="H7227:H7231" si="4891">"67"</f>
        <v>67</v>
      </c>
      <c r="I7227" s="1" t="str">
        <f>"154.32"</f>
        <v>154.32</v>
      </c>
      <c r="J7227" s="1" t="str">
        <f t="shared" ref="J7227:N7227" si="4892">"0"</f>
        <v>0</v>
      </c>
      <c r="K7227" s="1" t="str">
        <f t="shared" si="4874"/>
        <v>103</v>
      </c>
      <c r="L7227" s="1" t="str">
        <f t="shared" si="4875"/>
        <v>47</v>
      </c>
      <c r="M7227" s="1" t="str">
        <f t="shared" si="4892"/>
        <v>0</v>
      </c>
      <c r="N7227" s="1" t="str">
        <f t="shared" si="4892"/>
        <v>0</v>
      </c>
      <c r="O7227" s="1" t="str">
        <f>"4.32"</f>
        <v>4.32</v>
      </c>
    </row>
    <row r="7228" s="1" customFormat="1" spans="1:15">
      <c r="A7228" s="1" t="str">
        <f t="shared" si="4820"/>
        <v>202406</v>
      </c>
      <c r="B7228" s="1" t="str">
        <f t="shared" si="4821"/>
        <v>150525100</v>
      </c>
      <c r="C7228" s="1" t="str">
        <f>"1040965551"</f>
        <v>1040965551</v>
      </c>
      <c r="D7228" s="1" t="s">
        <v>6976</v>
      </c>
      <c r="E7228" s="1" t="s">
        <v>3211</v>
      </c>
      <c r="F7228" s="1" t="s">
        <v>16</v>
      </c>
      <c r="G7228" s="1" t="s">
        <v>96</v>
      </c>
      <c r="H7228" s="1" t="str">
        <f>"62"</f>
        <v>62</v>
      </c>
      <c r="I7228" s="1" t="str">
        <f>"161"</f>
        <v>161</v>
      </c>
      <c r="J7228" s="1" t="str">
        <f t="shared" ref="J7228:N7228" si="4893">"0"</f>
        <v>0</v>
      </c>
      <c r="K7228" s="1" t="str">
        <f t="shared" si="4874"/>
        <v>103</v>
      </c>
      <c r="L7228" s="1" t="str">
        <f t="shared" si="4875"/>
        <v>47</v>
      </c>
      <c r="M7228" s="1" t="str">
        <f t="shared" si="4893"/>
        <v>0</v>
      </c>
      <c r="N7228" s="1" t="str">
        <f t="shared" si="4893"/>
        <v>0</v>
      </c>
      <c r="O7228" s="1" t="str">
        <f>"11"</f>
        <v>11</v>
      </c>
    </row>
    <row r="7229" s="1" customFormat="1" spans="1:15">
      <c r="A7229" s="1" t="str">
        <f t="shared" si="4820"/>
        <v>202406</v>
      </c>
      <c r="B7229" s="1" t="str">
        <f t="shared" si="4821"/>
        <v>150525100</v>
      </c>
      <c r="C7229" s="1" t="str">
        <f>"1040937606"</f>
        <v>1040937606</v>
      </c>
      <c r="D7229" s="1" t="str">
        <f>"152326195801183829"</f>
        <v>152326195801183829</v>
      </c>
      <c r="E7229" s="1" t="s">
        <v>6977</v>
      </c>
      <c r="F7229" s="1" t="s">
        <v>16</v>
      </c>
      <c r="G7229" s="1" t="s">
        <v>17</v>
      </c>
      <c r="H7229" s="1" t="str">
        <f>"66"</f>
        <v>66</v>
      </c>
      <c r="I7229" s="1" t="str">
        <f>"170.22"</f>
        <v>170.22</v>
      </c>
      <c r="J7229" s="1" t="str">
        <f t="shared" ref="J7229:N7229" si="4894">"0"</f>
        <v>0</v>
      </c>
      <c r="K7229" s="1" t="str">
        <f t="shared" si="4874"/>
        <v>103</v>
      </c>
      <c r="L7229" s="1" t="str">
        <f t="shared" si="4875"/>
        <v>47</v>
      </c>
      <c r="M7229" s="1" t="str">
        <f t="shared" si="4894"/>
        <v>0</v>
      </c>
      <c r="N7229" s="1" t="str">
        <f t="shared" si="4894"/>
        <v>0</v>
      </c>
      <c r="O7229" s="1" t="str">
        <f>"20.22"</f>
        <v>20.22</v>
      </c>
    </row>
    <row r="7230" s="1" customFormat="1" spans="1:15">
      <c r="A7230" s="1" t="str">
        <f t="shared" si="4820"/>
        <v>202406</v>
      </c>
      <c r="B7230" s="1" t="str">
        <f t="shared" si="4821"/>
        <v>150525100</v>
      </c>
      <c r="C7230" s="1" t="str">
        <f>"1040937638"</f>
        <v>1040937638</v>
      </c>
      <c r="D7230" s="1" t="str">
        <f>"152326195703120429"</f>
        <v>152326195703120429</v>
      </c>
      <c r="E7230" s="1" t="s">
        <v>6978</v>
      </c>
      <c r="F7230" s="1" t="s">
        <v>16</v>
      </c>
      <c r="G7230" s="1" t="s">
        <v>17</v>
      </c>
      <c r="H7230" s="1" t="str">
        <f t="shared" si="4891"/>
        <v>67</v>
      </c>
      <c r="I7230" s="1" t="str">
        <f>"155.23"</f>
        <v>155.23</v>
      </c>
      <c r="J7230" s="1" t="str">
        <f t="shared" ref="J7230:N7230" si="4895">"0"</f>
        <v>0</v>
      </c>
      <c r="K7230" s="1" t="str">
        <f t="shared" si="4874"/>
        <v>103</v>
      </c>
      <c r="L7230" s="1" t="str">
        <f t="shared" si="4875"/>
        <v>47</v>
      </c>
      <c r="M7230" s="1" t="str">
        <f t="shared" si="4895"/>
        <v>0</v>
      </c>
      <c r="N7230" s="1" t="str">
        <f t="shared" si="4895"/>
        <v>0</v>
      </c>
      <c r="O7230" s="1" t="str">
        <f>"5.23"</f>
        <v>5.23</v>
      </c>
    </row>
    <row r="7231" s="1" customFormat="1" spans="1:15">
      <c r="A7231" s="1" t="str">
        <f t="shared" si="4820"/>
        <v>202406</v>
      </c>
      <c r="B7231" s="1" t="str">
        <f t="shared" si="4821"/>
        <v>150525100</v>
      </c>
      <c r="C7231" s="1" t="str">
        <f>"1040937644"</f>
        <v>1040937644</v>
      </c>
      <c r="D7231" s="1" t="str">
        <f>"152326195711020428"</f>
        <v>152326195711020428</v>
      </c>
      <c r="E7231" s="1" t="s">
        <v>6979</v>
      </c>
      <c r="F7231" s="1" t="s">
        <v>16</v>
      </c>
      <c r="G7231" s="1" t="s">
        <v>17</v>
      </c>
      <c r="H7231" s="1" t="str">
        <f t="shared" si="4891"/>
        <v>67</v>
      </c>
      <c r="I7231" s="1" t="str">
        <f>"155.28"</f>
        <v>155.28</v>
      </c>
      <c r="J7231" s="1" t="str">
        <f t="shared" ref="J7231:N7231" si="4896">"0"</f>
        <v>0</v>
      </c>
      <c r="K7231" s="1" t="str">
        <f t="shared" si="4874"/>
        <v>103</v>
      </c>
      <c r="L7231" s="1" t="str">
        <f t="shared" si="4875"/>
        <v>47</v>
      </c>
      <c r="M7231" s="1" t="str">
        <f t="shared" si="4896"/>
        <v>0</v>
      </c>
      <c r="N7231" s="1" t="str">
        <f t="shared" si="4896"/>
        <v>0</v>
      </c>
      <c r="O7231" s="1" t="str">
        <f>"5.28"</f>
        <v>5.28</v>
      </c>
    </row>
    <row r="7232" s="1" customFormat="1" spans="1:15">
      <c r="A7232" s="1" t="str">
        <f t="shared" si="4820"/>
        <v>202406</v>
      </c>
      <c r="B7232" s="1" t="str">
        <f t="shared" si="4821"/>
        <v>150525100</v>
      </c>
      <c r="C7232" s="1" t="str">
        <f>"1040965552"</f>
        <v>1040965552</v>
      </c>
      <c r="D7232" s="1" t="s">
        <v>6980</v>
      </c>
      <c r="E7232" s="1" t="s">
        <v>6981</v>
      </c>
      <c r="F7232" s="1" t="s">
        <v>16</v>
      </c>
      <c r="G7232" s="1" t="s">
        <v>17</v>
      </c>
      <c r="H7232" s="1" t="str">
        <f>"65"</f>
        <v>65</v>
      </c>
      <c r="I7232" s="1" t="str">
        <f>"156.31"</f>
        <v>156.31</v>
      </c>
      <c r="J7232" s="1" t="str">
        <f t="shared" ref="J7232:N7232" si="4897">"0"</f>
        <v>0</v>
      </c>
      <c r="K7232" s="1" t="str">
        <f t="shared" si="4874"/>
        <v>103</v>
      </c>
      <c r="L7232" s="1" t="str">
        <f t="shared" si="4875"/>
        <v>47</v>
      </c>
      <c r="M7232" s="1" t="str">
        <f t="shared" si="4897"/>
        <v>0</v>
      </c>
      <c r="N7232" s="1" t="str">
        <f t="shared" si="4897"/>
        <v>0</v>
      </c>
      <c r="O7232" s="1" t="str">
        <f>"6.31"</f>
        <v>6.31</v>
      </c>
    </row>
    <row r="7233" s="1" customFormat="1" spans="1:15">
      <c r="A7233" s="1" t="str">
        <f t="shared" si="4820"/>
        <v>202406</v>
      </c>
      <c r="B7233" s="1" t="str">
        <f t="shared" si="4821"/>
        <v>150525100</v>
      </c>
      <c r="C7233" s="1" t="str">
        <f>"1040991412"</f>
        <v>1040991412</v>
      </c>
      <c r="D7233" s="1" t="str">
        <f>"152326195710103862"</f>
        <v>152326195710103862</v>
      </c>
      <c r="E7233" s="1" t="s">
        <v>5026</v>
      </c>
      <c r="F7233" s="1" t="s">
        <v>16</v>
      </c>
      <c r="G7233" s="1" t="s">
        <v>19</v>
      </c>
      <c r="H7233" s="1" t="str">
        <f>"67"</f>
        <v>67</v>
      </c>
      <c r="I7233" s="1" t="str">
        <f>"154.32"</f>
        <v>154.32</v>
      </c>
      <c r="J7233" s="1" t="str">
        <f t="shared" ref="J7233:N7233" si="4898">"0"</f>
        <v>0</v>
      </c>
      <c r="K7233" s="1" t="str">
        <f t="shared" si="4874"/>
        <v>103</v>
      </c>
      <c r="L7233" s="1" t="str">
        <f t="shared" si="4875"/>
        <v>47</v>
      </c>
      <c r="M7233" s="1" t="str">
        <f t="shared" si="4898"/>
        <v>0</v>
      </c>
      <c r="N7233" s="1" t="str">
        <f t="shared" si="4898"/>
        <v>0</v>
      </c>
      <c r="O7233" s="1" t="str">
        <f>"4.32"</f>
        <v>4.32</v>
      </c>
    </row>
    <row r="7234" s="1" customFormat="1" spans="1:15">
      <c r="A7234" s="1" t="str">
        <f t="shared" ref="A7234:A7297" si="4899">"202406"</f>
        <v>202406</v>
      </c>
      <c r="B7234" s="1" t="str">
        <f t="shared" ref="B7234:B7297" si="4900">"150525100"</f>
        <v>150525100</v>
      </c>
      <c r="C7234" s="1" t="str">
        <f>"1040937048"</f>
        <v>1040937048</v>
      </c>
      <c r="D7234" s="1" t="str">
        <f>"152326195712070910"</f>
        <v>152326195712070910</v>
      </c>
      <c r="E7234" s="1" t="s">
        <v>6982</v>
      </c>
      <c r="F7234" s="1" t="s">
        <v>25</v>
      </c>
      <c r="G7234" s="1" t="s">
        <v>19</v>
      </c>
      <c r="H7234" s="1" t="str">
        <f>"67"</f>
        <v>67</v>
      </c>
      <c r="I7234" s="1" t="str">
        <f>"155.24"</f>
        <v>155.24</v>
      </c>
      <c r="J7234" s="1" t="str">
        <f t="shared" ref="J7234:N7234" si="4901">"0"</f>
        <v>0</v>
      </c>
      <c r="K7234" s="1" t="str">
        <f t="shared" si="4874"/>
        <v>103</v>
      </c>
      <c r="L7234" s="1" t="str">
        <f t="shared" si="4875"/>
        <v>47</v>
      </c>
      <c r="M7234" s="1" t="str">
        <f t="shared" si="4901"/>
        <v>0</v>
      </c>
      <c r="N7234" s="1" t="str">
        <f t="shared" si="4901"/>
        <v>0</v>
      </c>
      <c r="O7234" s="1" t="str">
        <f>"5.24"</f>
        <v>5.24</v>
      </c>
    </row>
    <row r="7235" s="1" customFormat="1" spans="1:15">
      <c r="A7235" s="1" t="str">
        <f t="shared" si="4899"/>
        <v>202406</v>
      </c>
      <c r="B7235" s="1" t="str">
        <f t="shared" si="4900"/>
        <v>150525100</v>
      </c>
      <c r="C7235" s="1" t="str">
        <f>"1040937054"</f>
        <v>1040937054</v>
      </c>
      <c r="D7235" s="1" t="str">
        <f>"152326196105020924"</f>
        <v>152326196105020924</v>
      </c>
      <c r="E7235" s="1" t="s">
        <v>6983</v>
      </c>
      <c r="F7235" s="1" t="s">
        <v>16</v>
      </c>
      <c r="G7235" s="1" t="s">
        <v>19</v>
      </c>
      <c r="H7235" s="1" t="str">
        <f>"63"</f>
        <v>63</v>
      </c>
      <c r="I7235" s="1" t="str">
        <f>"161.62"</f>
        <v>161.62</v>
      </c>
      <c r="J7235" s="1" t="str">
        <f t="shared" ref="J7235:N7235" si="4902">"0"</f>
        <v>0</v>
      </c>
      <c r="K7235" s="1" t="str">
        <f t="shared" si="4874"/>
        <v>103</v>
      </c>
      <c r="L7235" s="1" t="str">
        <f t="shared" si="4875"/>
        <v>47</v>
      </c>
      <c r="M7235" s="1" t="str">
        <f t="shared" si="4902"/>
        <v>0</v>
      </c>
      <c r="N7235" s="1" t="str">
        <f t="shared" si="4902"/>
        <v>0</v>
      </c>
      <c r="O7235" s="1" t="str">
        <f>"11.62"</f>
        <v>11.62</v>
      </c>
    </row>
    <row r="7236" s="1" customFormat="1" spans="1:15">
      <c r="A7236" s="1" t="str">
        <f t="shared" si="4899"/>
        <v>202406</v>
      </c>
      <c r="B7236" s="1" t="str">
        <f t="shared" si="4900"/>
        <v>150525100</v>
      </c>
      <c r="C7236" s="1" t="str">
        <f>"1040937078"</f>
        <v>1040937078</v>
      </c>
      <c r="D7236" s="1" t="str">
        <f>"152326196102250660"</f>
        <v>152326196102250660</v>
      </c>
      <c r="E7236" s="1" t="s">
        <v>6984</v>
      </c>
      <c r="F7236" s="1" t="s">
        <v>16</v>
      </c>
      <c r="G7236" s="1" t="s">
        <v>17</v>
      </c>
      <c r="H7236" s="1" t="str">
        <f>"63"</f>
        <v>63</v>
      </c>
      <c r="I7236" s="1" t="str">
        <f>"160.39"</f>
        <v>160.39</v>
      </c>
      <c r="J7236" s="1" t="str">
        <f t="shared" ref="J7236:N7236" si="4903">"0"</f>
        <v>0</v>
      </c>
      <c r="K7236" s="1" t="str">
        <f t="shared" si="4874"/>
        <v>103</v>
      </c>
      <c r="L7236" s="1" t="str">
        <f t="shared" si="4875"/>
        <v>47</v>
      </c>
      <c r="M7236" s="1" t="str">
        <f t="shared" si="4903"/>
        <v>0</v>
      </c>
      <c r="N7236" s="1" t="str">
        <f t="shared" si="4903"/>
        <v>0</v>
      </c>
      <c r="O7236" s="1" t="str">
        <f>"10.39"</f>
        <v>10.39</v>
      </c>
    </row>
    <row r="7237" s="1" customFormat="1" spans="1:15">
      <c r="A7237" s="1" t="str">
        <f t="shared" si="4899"/>
        <v>202406</v>
      </c>
      <c r="B7237" s="1" t="str">
        <f t="shared" si="4900"/>
        <v>150525100</v>
      </c>
      <c r="C7237" s="1" t="str">
        <f>"1040937079"</f>
        <v>1040937079</v>
      </c>
      <c r="D7237" s="1" t="str">
        <f>"152326196204140665"</f>
        <v>152326196204140665</v>
      </c>
      <c r="E7237" s="1" t="s">
        <v>6985</v>
      </c>
      <c r="F7237" s="1" t="s">
        <v>16</v>
      </c>
      <c r="G7237" s="1" t="s">
        <v>17</v>
      </c>
      <c r="H7237" s="1" t="str">
        <f>"62"</f>
        <v>62</v>
      </c>
      <c r="I7237" s="1" t="str">
        <f>"162.35"</f>
        <v>162.35</v>
      </c>
      <c r="J7237" s="1" t="str">
        <f t="shared" ref="J7237:N7237" si="4904">"0"</f>
        <v>0</v>
      </c>
      <c r="K7237" s="1" t="str">
        <f t="shared" si="4874"/>
        <v>103</v>
      </c>
      <c r="L7237" s="1" t="str">
        <f t="shared" si="4875"/>
        <v>47</v>
      </c>
      <c r="M7237" s="1" t="str">
        <f t="shared" si="4904"/>
        <v>0</v>
      </c>
      <c r="N7237" s="1" t="str">
        <f t="shared" si="4904"/>
        <v>0</v>
      </c>
      <c r="O7237" s="1" t="str">
        <f>"12.35"</f>
        <v>12.35</v>
      </c>
    </row>
    <row r="7238" s="1" customFormat="1" spans="1:15">
      <c r="A7238" s="1" t="str">
        <f t="shared" si="4899"/>
        <v>202406</v>
      </c>
      <c r="B7238" s="1" t="str">
        <f t="shared" si="4900"/>
        <v>150525100</v>
      </c>
      <c r="C7238" s="1" t="str">
        <f>"1040937081"</f>
        <v>1040937081</v>
      </c>
      <c r="D7238" s="1" t="str">
        <f>"152326196212100671"</f>
        <v>152326196212100671</v>
      </c>
      <c r="E7238" s="1" t="s">
        <v>6986</v>
      </c>
      <c r="F7238" s="1" t="s">
        <v>25</v>
      </c>
      <c r="G7238" s="1" t="s">
        <v>17</v>
      </c>
      <c r="H7238" s="1" t="str">
        <f>"62"</f>
        <v>62</v>
      </c>
      <c r="I7238" s="1" t="str">
        <f>"162.56"</f>
        <v>162.56</v>
      </c>
      <c r="J7238" s="1" t="str">
        <f t="shared" ref="J7238:N7238" si="4905">"0"</f>
        <v>0</v>
      </c>
      <c r="K7238" s="1" t="str">
        <f t="shared" si="4874"/>
        <v>103</v>
      </c>
      <c r="L7238" s="1" t="str">
        <f t="shared" si="4875"/>
        <v>47</v>
      </c>
      <c r="M7238" s="1" t="str">
        <f t="shared" si="4905"/>
        <v>0</v>
      </c>
      <c r="N7238" s="1" t="str">
        <f t="shared" si="4905"/>
        <v>0</v>
      </c>
      <c r="O7238" s="1" t="str">
        <f>"12.56"</f>
        <v>12.56</v>
      </c>
    </row>
    <row r="7239" s="1" customFormat="1" spans="1:15">
      <c r="A7239" s="1" t="str">
        <f t="shared" si="4899"/>
        <v>202406</v>
      </c>
      <c r="B7239" s="1" t="str">
        <f t="shared" si="4900"/>
        <v>150525100</v>
      </c>
      <c r="C7239" s="1" t="str">
        <f>"1040937091"</f>
        <v>1040937091</v>
      </c>
      <c r="D7239" s="1" t="str">
        <f>"152326195906160674"</f>
        <v>152326195906160674</v>
      </c>
      <c r="E7239" s="1" t="s">
        <v>6987</v>
      </c>
      <c r="F7239" s="1" t="s">
        <v>25</v>
      </c>
      <c r="G7239" s="1" t="s">
        <v>17</v>
      </c>
      <c r="H7239" s="1" t="str">
        <f>"65"</f>
        <v>65</v>
      </c>
      <c r="I7239" s="1" t="str">
        <f>"158.5"</f>
        <v>158.5</v>
      </c>
      <c r="J7239" s="1" t="str">
        <f t="shared" ref="J7239:N7239" si="4906">"0"</f>
        <v>0</v>
      </c>
      <c r="K7239" s="1" t="str">
        <f t="shared" si="4874"/>
        <v>103</v>
      </c>
      <c r="L7239" s="1" t="str">
        <f t="shared" si="4875"/>
        <v>47</v>
      </c>
      <c r="M7239" s="1" t="str">
        <f t="shared" si="4906"/>
        <v>0</v>
      </c>
      <c r="N7239" s="1" t="str">
        <f t="shared" si="4906"/>
        <v>0</v>
      </c>
      <c r="O7239" s="1" t="str">
        <f>"8.5"</f>
        <v>8.5</v>
      </c>
    </row>
    <row r="7240" s="1" customFormat="1" spans="1:15">
      <c r="A7240" s="1" t="str">
        <f t="shared" si="4899"/>
        <v>202406</v>
      </c>
      <c r="B7240" s="1" t="str">
        <f t="shared" si="4900"/>
        <v>150525100</v>
      </c>
      <c r="C7240" s="1" t="str">
        <f>"1040937107"</f>
        <v>1040937107</v>
      </c>
      <c r="D7240" s="1" t="str">
        <f>"152326195708140744"</f>
        <v>152326195708140744</v>
      </c>
      <c r="E7240" s="1" t="s">
        <v>6988</v>
      </c>
      <c r="F7240" s="1" t="s">
        <v>16</v>
      </c>
      <c r="G7240" s="1" t="s">
        <v>19</v>
      </c>
      <c r="H7240" s="1" t="str">
        <f>"67"</f>
        <v>67</v>
      </c>
      <c r="I7240" s="1" t="str">
        <f>"155.5"</f>
        <v>155.5</v>
      </c>
      <c r="J7240" s="1" t="str">
        <f t="shared" ref="J7240:N7240" si="4907">"0"</f>
        <v>0</v>
      </c>
      <c r="K7240" s="1" t="str">
        <f t="shared" si="4874"/>
        <v>103</v>
      </c>
      <c r="L7240" s="1" t="str">
        <f t="shared" si="4875"/>
        <v>47</v>
      </c>
      <c r="M7240" s="1" t="str">
        <f t="shared" si="4907"/>
        <v>0</v>
      </c>
      <c r="N7240" s="1" t="str">
        <f t="shared" si="4907"/>
        <v>0</v>
      </c>
      <c r="O7240" s="1" t="str">
        <f>"5.5"</f>
        <v>5.5</v>
      </c>
    </row>
    <row r="7241" s="1" customFormat="1" spans="1:15">
      <c r="A7241" s="1" t="str">
        <f t="shared" si="4899"/>
        <v>202406</v>
      </c>
      <c r="B7241" s="1" t="str">
        <f t="shared" si="4900"/>
        <v>150525100</v>
      </c>
      <c r="C7241" s="1" t="str">
        <f>"1040937109"</f>
        <v>1040937109</v>
      </c>
      <c r="D7241" s="1" t="str">
        <f>"152326196006290662"</f>
        <v>152326196006290662</v>
      </c>
      <c r="E7241" s="1" t="s">
        <v>2452</v>
      </c>
      <c r="F7241" s="1" t="s">
        <v>16</v>
      </c>
      <c r="G7241" s="1" t="s">
        <v>17</v>
      </c>
      <c r="H7241" s="1" t="str">
        <f>"64"</f>
        <v>64</v>
      </c>
      <c r="I7241" s="1" t="str">
        <f>"158.61"</f>
        <v>158.61</v>
      </c>
      <c r="J7241" s="1" t="str">
        <f t="shared" ref="J7241:N7241" si="4908">"0"</f>
        <v>0</v>
      </c>
      <c r="K7241" s="1" t="str">
        <f t="shared" si="4874"/>
        <v>103</v>
      </c>
      <c r="L7241" s="1" t="str">
        <f t="shared" si="4875"/>
        <v>47</v>
      </c>
      <c r="M7241" s="1" t="str">
        <f t="shared" si="4908"/>
        <v>0</v>
      </c>
      <c r="N7241" s="1" t="str">
        <f t="shared" si="4908"/>
        <v>0</v>
      </c>
      <c r="O7241" s="1" t="str">
        <f>"8.61"</f>
        <v>8.61</v>
      </c>
    </row>
    <row r="7242" s="1" customFormat="1" spans="1:15">
      <c r="A7242" s="1" t="str">
        <f t="shared" si="4899"/>
        <v>202406</v>
      </c>
      <c r="B7242" s="1" t="str">
        <f t="shared" si="4900"/>
        <v>150525100</v>
      </c>
      <c r="C7242" s="1" t="str">
        <f>"1040998937"</f>
        <v>1040998937</v>
      </c>
      <c r="D7242" s="1" t="str">
        <f>"152326195610103822"</f>
        <v>152326195610103822</v>
      </c>
      <c r="E7242" s="1" t="s">
        <v>6989</v>
      </c>
      <c r="F7242" s="1" t="s">
        <v>16</v>
      </c>
      <c r="G7242" s="1" t="s">
        <v>19</v>
      </c>
      <c r="H7242" s="1" t="str">
        <f>"68"</f>
        <v>68</v>
      </c>
      <c r="I7242" s="1" t="str">
        <f>"154.32"</f>
        <v>154.32</v>
      </c>
      <c r="J7242" s="1" t="str">
        <f t="shared" ref="J7242:N7242" si="4909">"0"</f>
        <v>0</v>
      </c>
      <c r="K7242" s="1" t="str">
        <f t="shared" si="4874"/>
        <v>103</v>
      </c>
      <c r="L7242" s="1" t="str">
        <f t="shared" si="4875"/>
        <v>47</v>
      </c>
      <c r="M7242" s="1" t="str">
        <f t="shared" si="4909"/>
        <v>0</v>
      </c>
      <c r="N7242" s="1" t="str">
        <f t="shared" si="4909"/>
        <v>0</v>
      </c>
      <c r="O7242" s="1" t="str">
        <f>"4.32"</f>
        <v>4.32</v>
      </c>
    </row>
    <row r="7243" s="1" customFormat="1" spans="1:15">
      <c r="A7243" s="1" t="str">
        <f t="shared" si="4899"/>
        <v>202406</v>
      </c>
      <c r="B7243" s="1" t="str">
        <f t="shared" si="4900"/>
        <v>150525100</v>
      </c>
      <c r="C7243" s="1" t="str">
        <f>"1040937115"</f>
        <v>1040937115</v>
      </c>
      <c r="D7243" s="1" t="str">
        <f>"152326196105130664"</f>
        <v>152326196105130664</v>
      </c>
      <c r="E7243" s="1" t="s">
        <v>805</v>
      </c>
      <c r="F7243" s="1" t="s">
        <v>16</v>
      </c>
      <c r="G7243" s="1" t="s">
        <v>19</v>
      </c>
      <c r="H7243" s="1" t="str">
        <f>"63"</f>
        <v>63</v>
      </c>
      <c r="I7243" s="1" t="str">
        <f>"160.43"</f>
        <v>160.43</v>
      </c>
      <c r="J7243" s="1" t="str">
        <f t="shared" ref="J7243:N7243" si="4910">"0"</f>
        <v>0</v>
      </c>
      <c r="K7243" s="1" t="str">
        <f t="shared" si="4874"/>
        <v>103</v>
      </c>
      <c r="L7243" s="1" t="str">
        <f t="shared" si="4875"/>
        <v>47</v>
      </c>
      <c r="M7243" s="1" t="str">
        <f t="shared" si="4910"/>
        <v>0</v>
      </c>
      <c r="N7243" s="1" t="str">
        <f t="shared" si="4910"/>
        <v>0</v>
      </c>
      <c r="O7243" s="1" t="str">
        <f>"10.43"</f>
        <v>10.43</v>
      </c>
    </row>
    <row r="7244" s="1" customFormat="1" spans="1:15">
      <c r="A7244" s="1" t="str">
        <f t="shared" si="4899"/>
        <v>202406</v>
      </c>
      <c r="B7244" s="1" t="str">
        <f t="shared" si="4900"/>
        <v>150525100</v>
      </c>
      <c r="C7244" s="1" t="str">
        <f>"1040937129"</f>
        <v>1040937129</v>
      </c>
      <c r="D7244" s="1" t="str">
        <f>"150525196005100014"</f>
        <v>150525196005100014</v>
      </c>
      <c r="E7244" s="1" t="s">
        <v>4734</v>
      </c>
      <c r="F7244" s="1" t="s">
        <v>25</v>
      </c>
      <c r="G7244" s="1" t="s">
        <v>17</v>
      </c>
      <c r="H7244" s="1" t="str">
        <f>"64"</f>
        <v>64</v>
      </c>
      <c r="I7244" s="1" t="str">
        <f>"174.71"</f>
        <v>174.71</v>
      </c>
      <c r="J7244" s="1" t="str">
        <f t="shared" ref="J7244:N7244" si="4911">"0"</f>
        <v>0</v>
      </c>
      <c r="K7244" s="1" t="str">
        <f t="shared" si="4874"/>
        <v>103</v>
      </c>
      <c r="L7244" s="1" t="str">
        <f t="shared" si="4875"/>
        <v>47</v>
      </c>
      <c r="M7244" s="1" t="str">
        <f t="shared" si="4911"/>
        <v>0</v>
      </c>
      <c r="N7244" s="1" t="str">
        <f t="shared" si="4911"/>
        <v>0</v>
      </c>
      <c r="O7244" s="1" t="str">
        <f>"24.71"</f>
        <v>24.71</v>
      </c>
    </row>
    <row r="7245" s="1" customFormat="1" spans="1:15">
      <c r="A7245" s="1" t="str">
        <f t="shared" si="4899"/>
        <v>202406</v>
      </c>
      <c r="B7245" s="1" t="str">
        <f t="shared" si="4900"/>
        <v>150525100</v>
      </c>
      <c r="C7245" s="1" t="str">
        <f>"1040937204"</f>
        <v>1040937204</v>
      </c>
      <c r="D7245" s="1" t="str">
        <f>"152326196311020669"</f>
        <v>152326196311020669</v>
      </c>
      <c r="E7245" s="1" t="s">
        <v>6990</v>
      </c>
      <c r="F7245" s="1" t="s">
        <v>16</v>
      </c>
      <c r="G7245" s="1" t="s">
        <v>17</v>
      </c>
      <c r="H7245" s="1" t="str">
        <f>"61"</f>
        <v>61</v>
      </c>
      <c r="I7245" s="1" t="str">
        <f>"164.49"</f>
        <v>164.49</v>
      </c>
      <c r="J7245" s="1" t="str">
        <f t="shared" ref="J7245:N7245" si="4912">"0"</f>
        <v>0</v>
      </c>
      <c r="K7245" s="1" t="str">
        <f t="shared" si="4874"/>
        <v>103</v>
      </c>
      <c r="L7245" s="1" t="str">
        <f t="shared" si="4875"/>
        <v>47</v>
      </c>
      <c r="M7245" s="1" t="str">
        <f t="shared" si="4912"/>
        <v>0</v>
      </c>
      <c r="N7245" s="1" t="str">
        <f t="shared" si="4912"/>
        <v>0</v>
      </c>
      <c r="O7245" s="1" t="str">
        <f>"14.49"</f>
        <v>14.49</v>
      </c>
    </row>
    <row r="7246" s="1" customFormat="1" spans="1:15">
      <c r="A7246" s="1" t="str">
        <f t="shared" si="4899"/>
        <v>202406</v>
      </c>
      <c r="B7246" s="1" t="str">
        <f t="shared" si="4900"/>
        <v>150525100</v>
      </c>
      <c r="C7246" s="1" t="str">
        <f>"1040937205"</f>
        <v>1040937205</v>
      </c>
      <c r="D7246" s="1" t="str">
        <f>"152326195912030673"</f>
        <v>152326195912030673</v>
      </c>
      <c r="E7246" s="1" t="s">
        <v>6991</v>
      </c>
      <c r="F7246" s="1" t="s">
        <v>25</v>
      </c>
      <c r="G7246" s="1" t="s">
        <v>19</v>
      </c>
      <c r="H7246" s="1" t="str">
        <f>"65"</f>
        <v>65</v>
      </c>
      <c r="I7246" s="1" t="str">
        <f>"157.61"</f>
        <v>157.61</v>
      </c>
      <c r="J7246" s="1" t="str">
        <f t="shared" ref="J7246:N7246" si="4913">"0"</f>
        <v>0</v>
      </c>
      <c r="K7246" s="1" t="str">
        <f t="shared" si="4874"/>
        <v>103</v>
      </c>
      <c r="L7246" s="1" t="str">
        <f t="shared" si="4875"/>
        <v>47</v>
      </c>
      <c r="M7246" s="1" t="str">
        <f t="shared" si="4913"/>
        <v>0</v>
      </c>
      <c r="N7246" s="1" t="str">
        <f t="shared" si="4913"/>
        <v>0</v>
      </c>
      <c r="O7246" s="1" t="str">
        <f>"7.61"</f>
        <v>7.61</v>
      </c>
    </row>
    <row r="7247" s="1" customFormat="1" spans="1:15">
      <c r="A7247" s="1" t="str">
        <f t="shared" si="4899"/>
        <v>202406</v>
      </c>
      <c r="B7247" s="1" t="str">
        <f t="shared" si="4900"/>
        <v>150525100</v>
      </c>
      <c r="C7247" s="1" t="str">
        <f>"1040937697"</f>
        <v>1040937697</v>
      </c>
      <c r="D7247" s="1" t="str">
        <f>"152326195803180429"</f>
        <v>152326195803180429</v>
      </c>
      <c r="E7247" s="1" t="s">
        <v>6992</v>
      </c>
      <c r="F7247" s="1" t="s">
        <v>16</v>
      </c>
      <c r="G7247" s="1" t="s">
        <v>19</v>
      </c>
      <c r="H7247" s="1" t="str">
        <f>"66"</f>
        <v>66</v>
      </c>
      <c r="I7247" s="1" t="str">
        <f>"1555.8"</f>
        <v>1555.8</v>
      </c>
      <c r="J7247" s="1" t="str">
        <f>"1400.22"</f>
        <v>1400.22</v>
      </c>
      <c r="K7247" s="1" t="str">
        <f>"1030"</f>
        <v>1030</v>
      </c>
      <c r="L7247" s="1" t="str">
        <f>"470"</f>
        <v>470</v>
      </c>
      <c r="M7247" s="1" t="str">
        <f>"0"</f>
        <v>0</v>
      </c>
      <c r="N7247" s="1" t="str">
        <f>"0"</f>
        <v>0</v>
      </c>
      <c r="O7247" s="1" t="str">
        <f>"55.8"</f>
        <v>55.8</v>
      </c>
    </row>
    <row r="7248" s="1" customFormat="1" spans="1:15">
      <c r="A7248" s="1" t="str">
        <f t="shared" si="4899"/>
        <v>202406</v>
      </c>
      <c r="B7248" s="1" t="str">
        <f t="shared" si="4900"/>
        <v>150525100</v>
      </c>
      <c r="C7248" s="1" t="str">
        <f>"1040937301"</f>
        <v>1040937301</v>
      </c>
      <c r="D7248" s="1" t="s">
        <v>6993</v>
      </c>
      <c r="E7248" s="1" t="s">
        <v>6994</v>
      </c>
      <c r="F7248" s="1" t="s">
        <v>25</v>
      </c>
      <c r="G7248" s="1" t="s">
        <v>17</v>
      </c>
      <c r="H7248" s="1" t="str">
        <f>"65"</f>
        <v>65</v>
      </c>
      <c r="I7248" s="1" t="str">
        <f>"156.6"</f>
        <v>156.6</v>
      </c>
      <c r="J7248" s="1" t="str">
        <f t="shared" ref="J7248:N7248" si="4914">"0"</f>
        <v>0</v>
      </c>
      <c r="K7248" s="1" t="str">
        <f t="shared" ref="K7248:K7253" si="4915">"103"</f>
        <v>103</v>
      </c>
      <c r="L7248" s="1" t="str">
        <f t="shared" ref="L7248:L7253" si="4916">"47"</f>
        <v>47</v>
      </c>
      <c r="M7248" s="1" t="str">
        <f t="shared" si="4914"/>
        <v>0</v>
      </c>
      <c r="N7248" s="1" t="str">
        <f t="shared" si="4914"/>
        <v>0</v>
      </c>
      <c r="O7248" s="1" t="str">
        <f>"6.6"</f>
        <v>6.6</v>
      </c>
    </row>
    <row r="7249" s="1" customFormat="1" spans="1:15">
      <c r="A7249" s="1" t="str">
        <f t="shared" si="4899"/>
        <v>202406</v>
      </c>
      <c r="B7249" s="1" t="str">
        <f t="shared" si="4900"/>
        <v>150525100</v>
      </c>
      <c r="C7249" s="1" t="str">
        <f>"1040937654"</f>
        <v>1040937654</v>
      </c>
      <c r="D7249" s="1" t="str">
        <f>"152326195712100665"</f>
        <v>152326195712100665</v>
      </c>
      <c r="E7249" s="1" t="s">
        <v>1514</v>
      </c>
      <c r="F7249" s="1" t="s">
        <v>16</v>
      </c>
      <c r="G7249" s="1" t="s">
        <v>17</v>
      </c>
      <c r="H7249" s="1" t="str">
        <f>"67"</f>
        <v>67</v>
      </c>
      <c r="I7249" s="1" t="str">
        <f>"169.82"</f>
        <v>169.82</v>
      </c>
      <c r="J7249" s="1" t="str">
        <f t="shared" ref="J7249:N7249" si="4917">"0"</f>
        <v>0</v>
      </c>
      <c r="K7249" s="1" t="str">
        <f t="shared" si="4915"/>
        <v>103</v>
      </c>
      <c r="L7249" s="1" t="str">
        <f t="shared" si="4916"/>
        <v>47</v>
      </c>
      <c r="M7249" s="1" t="str">
        <f t="shared" si="4917"/>
        <v>0</v>
      </c>
      <c r="N7249" s="1" t="str">
        <f t="shared" si="4917"/>
        <v>0</v>
      </c>
      <c r="O7249" s="1" t="str">
        <f>"19.82"</f>
        <v>19.82</v>
      </c>
    </row>
    <row r="7250" s="1" customFormat="1" spans="1:15">
      <c r="A7250" s="1" t="str">
        <f t="shared" si="4899"/>
        <v>202406</v>
      </c>
      <c r="B7250" s="1" t="str">
        <f t="shared" si="4900"/>
        <v>150525100</v>
      </c>
      <c r="C7250" s="1" t="str">
        <f>"1041151945"</f>
        <v>1041151945</v>
      </c>
      <c r="D7250" s="1" t="str">
        <f>"152326195607230425"</f>
        <v>152326195607230425</v>
      </c>
      <c r="E7250" s="1" t="s">
        <v>6995</v>
      </c>
      <c r="F7250" s="1" t="s">
        <v>16</v>
      </c>
      <c r="G7250" s="1" t="s">
        <v>17</v>
      </c>
      <c r="H7250" s="1" t="str">
        <f>"68"</f>
        <v>68</v>
      </c>
      <c r="I7250" s="1" t="str">
        <f>"155.97"</f>
        <v>155.97</v>
      </c>
      <c r="J7250" s="1" t="str">
        <f t="shared" ref="J7250:N7250" si="4918">"0"</f>
        <v>0</v>
      </c>
      <c r="K7250" s="1" t="str">
        <f t="shared" si="4915"/>
        <v>103</v>
      </c>
      <c r="L7250" s="1" t="str">
        <f t="shared" si="4916"/>
        <v>47</v>
      </c>
      <c r="M7250" s="1" t="str">
        <f t="shared" si="4918"/>
        <v>0</v>
      </c>
      <c r="N7250" s="1" t="str">
        <f t="shared" si="4918"/>
        <v>0</v>
      </c>
      <c r="O7250" s="1" t="str">
        <f>"5.97"</f>
        <v>5.97</v>
      </c>
    </row>
    <row r="7251" s="1" customFormat="1" spans="1:15">
      <c r="A7251" s="1" t="str">
        <f t="shared" si="4899"/>
        <v>202406</v>
      </c>
      <c r="B7251" s="1" t="str">
        <f t="shared" si="4900"/>
        <v>150525100</v>
      </c>
      <c r="C7251" s="1" t="str">
        <f>"1041327041"</f>
        <v>1041327041</v>
      </c>
      <c r="D7251" s="1" t="str">
        <f>"152326196003240045"</f>
        <v>152326196003240045</v>
      </c>
      <c r="E7251" s="1" t="s">
        <v>6996</v>
      </c>
      <c r="F7251" s="1" t="s">
        <v>16</v>
      </c>
      <c r="G7251" s="1" t="s">
        <v>17</v>
      </c>
      <c r="H7251" s="1" t="str">
        <f>"64"</f>
        <v>64</v>
      </c>
      <c r="I7251" s="1" t="str">
        <f>"156.95"</f>
        <v>156.95</v>
      </c>
      <c r="J7251" s="1" t="str">
        <f t="shared" ref="J7251:N7251" si="4919">"0"</f>
        <v>0</v>
      </c>
      <c r="K7251" s="1" t="str">
        <f t="shared" si="4915"/>
        <v>103</v>
      </c>
      <c r="L7251" s="1" t="str">
        <f t="shared" si="4916"/>
        <v>47</v>
      </c>
      <c r="M7251" s="1" t="str">
        <f t="shared" si="4919"/>
        <v>0</v>
      </c>
      <c r="N7251" s="1" t="str">
        <f t="shared" si="4919"/>
        <v>0</v>
      </c>
      <c r="O7251" s="1" t="str">
        <f>"6.95"</f>
        <v>6.95</v>
      </c>
    </row>
    <row r="7252" s="1" customFormat="1" spans="1:15">
      <c r="A7252" s="1" t="str">
        <f t="shared" si="4899"/>
        <v>202406</v>
      </c>
      <c r="B7252" s="1" t="str">
        <f t="shared" si="4900"/>
        <v>150525100</v>
      </c>
      <c r="C7252" s="1" t="str">
        <f>"1041397251"</f>
        <v>1041397251</v>
      </c>
      <c r="D7252" s="1" t="str">
        <f>"152326196207103827"</f>
        <v>152326196207103827</v>
      </c>
      <c r="E7252" s="1" t="s">
        <v>6997</v>
      </c>
      <c r="F7252" s="1" t="s">
        <v>16</v>
      </c>
      <c r="G7252" s="1" t="s">
        <v>17</v>
      </c>
      <c r="H7252" s="1" t="str">
        <f>"62"</f>
        <v>62</v>
      </c>
      <c r="I7252" s="1" t="str">
        <f>"159.96"</f>
        <v>159.96</v>
      </c>
      <c r="J7252" s="1" t="str">
        <f t="shared" ref="J7252:N7252" si="4920">"0"</f>
        <v>0</v>
      </c>
      <c r="K7252" s="1" t="str">
        <f t="shared" si="4915"/>
        <v>103</v>
      </c>
      <c r="L7252" s="1" t="str">
        <f t="shared" si="4916"/>
        <v>47</v>
      </c>
      <c r="M7252" s="1" t="str">
        <f t="shared" si="4920"/>
        <v>0</v>
      </c>
      <c r="N7252" s="1" t="str">
        <f t="shared" si="4920"/>
        <v>0</v>
      </c>
      <c r="O7252" s="1" t="str">
        <f>"9.96"</f>
        <v>9.96</v>
      </c>
    </row>
    <row r="7253" s="1" customFormat="1" spans="1:15">
      <c r="A7253" s="1" t="str">
        <f t="shared" si="4899"/>
        <v>202406</v>
      </c>
      <c r="B7253" s="1" t="str">
        <f t="shared" si="4900"/>
        <v>150525100</v>
      </c>
      <c r="C7253" s="1" t="str">
        <f>"1041352041"</f>
        <v>1041352041</v>
      </c>
      <c r="D7253" s="1" t="str">
        <f>"152326196210150448"</f>
        <v>152326196210150448</v>
      </c>
      <c r="E7253" s="1" t="s">
        <v>1252</v>
      </c>
      <c r="F7253" s="1" t="s">
        <v>16</v>
      </c>
      <c r="G7253" s="1" t="s">
        <v>19</v>
      </c>
      <c r="H7253" s="1" t="str">
        <f>"62"</f>
        <v>62</v>
      </c>
      <c r="I7253" s="1" t="str">
        <f>"160.89"</f>
        <v>160.89</v>
      </c>
      <c r="J7253" s="1" t="str">
        <f t="shared" ref="J7253:N7253" si="4921">"0"</f>
        <v>0</v>
      </c>
      <c r="K7253" s="1" t="str">
        <f t="shared" si="4915"/>
        <v>103</v>
      </c>
      <c r="L7253" s="1" t="str">
        <f t="shared" si="4916"/>
        <v>47</v>
      </c>
      <c r="M7253" s="1" t="str">
        <f t="shared" si="4921"/>
        <v>0</v>
      </c>
      <c r="N7253" s="1" t="str">
        <f t="shared" si="4921"/>
        <v>0</v>
      </c>
      <c r="O7253" s="1" t="str">
        <f>"10.89"</f>
        <v>10.89</v>
      </c>
    </row>
    <row r="7254" s="1" customFormat="1" spans="1:15">
      <c r="A7254" s="1" t="str">
        <f t="shared" si="4899"/>
        <v>202406</v>
      </c>
      <c r="B7254" s="1" t="str">
        <f t="shared" si="4900"/>
        <v>150525100</v>
      </c>
      <c r="C7254" s="1" t="str">
        <f>"1041317069"</f>
        <v>1041317069</v>
      </c>
      <c r="D7254" s="1" t="str">
        <f>"152326196302183829"</f>
        <v>152326196302183829</v>
      </c>
      <c r="E7254" s="1" t="s">
        <v>1252</v>
      </c>
      <c r="F7254" s="1" t="s">
        <v>16</v>
      </c>
      <c r="G7254" s="1" t="s">
        <v>17</v>
      </c>
      <c r="H7254" s="1" t="str">
        <f>"61"</f>
        <v>61</v>
      </c>
      <c r="I7254" s="1" t="str">
        <f>"1190.35"</f>
        <v>1190.35</v>
      </c>
      <c r="J7254" s="1" t="str">
        <f>"1020.3"</f>
        <v>1020.3</v>
      </c>
      <c r="K7254" s="1" t="str">
        <f>"721"</f>
        <v>721</v>
      </c>
      <c r="L7254" s="1" t="str">
        <f>"329"</f>
        <v>329</v>
      </c>
      <c r="M7254" s="1" t="str">
        <f>"0"</f>
        <v>0</v>
      </c>
      <c r="N7254" s="1" t="str">
        <f>"0"</f>
        <v>0</v>
      </c>
      <c r="O7254" s="1" t="str">
        <f>"140.35"</f>
        <v>140.35</v>
      </c>
    </row>
    <row r="7255" s="1" customFormat="1" spans="1:15">
      <c r="A7255" s="1" t="str">
        <f t="shared" si="4899"/>
        <v>202406</v>
      </c>
      <c r="B7255" s="1" t="str">
        <f t="shared" si="4900"/>
        <v>150525100</v>
      </c>
      <c r="C7255" s="1" t="str">
        <f>"1041327554"</f>
        <v>1041327554</v>
      </c>
      <c r="D7255" s="1" t="str">
        <f>"152326195802223079"</f>
        <v>152326195802223079</v>
      </c>
      <c r="E7255" s="1" t="s">
        <v>6998</v>
      </c>
      <c r="F7255" s="1" t="s">
        <v>25</v>
      </c>
      <c r="G7255" s="1" t="s">
        <v>19</v>
      </c>
      <c r="H7255" s="1" t="str">
        <f t="shared" ref="H7255:H7258" si="4922">"66"</f>
        <v>66</v>
      </c>
      <c r="I7255" s="1" t="str">
        <f>"155.98"</f>
        <v>155.98</v>
      </c>
      <c r="J7255" s="1" t="str">
        <f t="shared" ref="J7255:N7255" si="4923">"0"</f>
        <v>0</v>
      </c>
      <c r="K7255" s="1" t="str">
        <f t="shared" ref="K7255:K7285" si="4924">"103"</f>
        <v>103</v>
      </c>
      <c r="L7255" s="1" t="str">
        <f t="shared" ref="L7255:L7285" si="4925">"47"</f>
        <v>47</v>
      </c>
      <c r="M7255" s="1" t="str">
        <f t="shared" si="4923"/>
        <v>0</v>
      </c>
      <c r="N7255" s="1" t="str">
        <f t="shared" si="4923"/>
        <v>0</v>
      </c>
      <c r="O7255" s="1" t="str">
        <f>"5.98"</f>
        <v>5.98</v>
      </c>
    </row>
    <row r="7256" s="1" customFormat="1" spans="1:15">
      <c r="A7256" s="1" t="str">
        <f t="shared" si="4899"/>
        <v>202406</v>
      </c>
      <c r="B7256" s="1" t="str">
        <f t="shared" si="4900"/>
        <v>150525100</v>
      </c>
      <c r="C7256" s="1" t="str">
        <f>"1041329132"</f>
        <v>1041329132</v>
      </c>
      <c r="D7256" s="1" t="str">
        <f>"152326195901203073"</f>
        <v>152326195901203073</v>
      </c>
      <c r="E7256" s="1" t="s">
        <v>6999</v>
      </c>
      <c r="F7256" s="1" t="s">
        <v>25</v>
      </c>
      <c r="G7256" s="1" t="s">
        <v>19</v>
      </c>
      <c r="H7256" s="1" t="str">
        <f>"65"</f>
        <v>65</v>
      </c>
      <c r="I7256" s="1" t="str">
        <f>"155.99"</f>
        <v>155.99</v>
      </c>
      <c r="J7256" s="1" t="str">
        <f t="shared" ref="J7256:N7256" si="4926">"0"</f>
        <v>0</v>
      </c>
      <c r="K7256" s="1" t="str">
        <f t="shared" si="4924"/>
        <v>103</v>
      </c>
      <c r="L7256" s="1" t="str">
        <f t="shared" si="4925"/>
        <v>47</v>
      </c>
      <c r="M7256" s="1" t="str">
        <f t="shared" si="4926"/>
        <v>0</v>
      </c>
      <c r="N7256" s="1" t="str">
        <f t="shared" si="4926"/>
        <v>0</v>
      </c>
      <c r="O7256" s="1" t="str">
        <f>"5.99"</f>
        <v>5.99</v>
      </c>
    </row>
    <row r="7257" s="1" customFormat="1" spans="1:15">
      <c r="A7257" s="1" t="str">
        <f t="shared" si="4899"/>
        <v>202406</v>
      </c>
      <c r="B7257" s="1" t="str">
        <f t="shared" si="4900"/>
        <v>150525100</v>
      </c>
      <c r="C7257" s="1" t="str">
        <f>"1041290226"</f>
        <v>1041290226</v>
      </c>
      <c r="D7257" s="1" t="s">
        <v>7000</v>
      </c>
      <c r="E7257" s="1" t="s">
        <v>7001</v>
      </c>
      <c r="F7257" s="1" t="s">
        <v>16</v>
      </c>
      <c r="G7257" s="1" t="s">
        <v>17</v>
      </c>
      <c r="H7257" s="1" t="str">
        <f t="shared" si="4922"/>
        <v>66</v>
      </c>
      <c r="I7257" s="1" t="str">
        <f>"157.34"</f>
        <v>157.34</v>
      </c>
      <c r="J7257" s="1" t="str">
        <f t="shared" ref="J7257:N7257" si="4927">"0"</f>
        <v>0</v>
      </c>
      <c r="K7257" s="1" t="str">
        <f t="shared" si="4924"/>
        <v>103</v>
      </c>
      <c r="L7257" s="1" t="str">
        <f t="shared" si="4925"/>
        <v>47</v>
      </c>
      <c r="M7257" s="1" t="str">
        <f t="shared" si="4927"/>
        <v>0</v>
      </c>
      <c r="N7257" s="1" t="str">
        <f t="shared" si="4927"/>
        <v>0</v>
      </c>
      <c r="O7257" s="1" t="str">
        <f>"7.34"</f>
        <v>7.34</v>
      </c>
    </row>
    <row r="7258" s="1" customFormat="1" spans="1:15">
      <c r="A7258" s="1" t="str">
        <f t="shared" si="4899"/>
        <v>202406</v>
      </c>
      <c r="B7258" s="1" t="str">
        <f t="shared" si="4900"/>
        <v>150525100</v>
      </c>
      <c r="C7258" s="1" t="str">
        <f>"1041401472"</f>
        <v>1041401472</v>
      </c>
      <c r="D7258" s="1" t="str">
        <f>"152326195811093819"</f>
        <v>152326195811093819</v>
      </c>
      <c r="E7258" s="1" t="s">
        <v>7002</v>
      </c>
      <c r="F7258" s="1" t="s">
        <v>25</v>
      </c>
      <c r="G7258" s="1" t="s">
        <v>17</v>
      </c>
      <c r="H7258" s="1" t="str">
        <f t="shared" si="4922"/>
        <v>66</v>
      </c>
      <c r="I7258" s="1" t="str">
        <f>"155.99"</f>
        <v>155.99</v>
      </c>
      <c r="J7258" s="1" t="str">
        <f t="shared" ref="J7258:N7258" si="4928">"0"</f>
        <v>0</v>
      </c>
      <c r="K7258" s="1" t="str">
        <f t="shared" si="4924"/>
        <v>103</v>
      </c>
      <c r="L7258" s="1" t="str">
        <f t="shared" si="4925"/>
        <v>47</v>
      </c>
      <c r="M7258" s="1" t="str">
        <f t="shared" si="4928"/>
        <v>0</v>
      </c>
      <c r="N7258" s="1" t="str">
        <f t="shared" si="4928"/>
        <v>0</v>
      </c>
      <c r="O7258" s="1" t="str">
        <f>"5.99"</f>
        <v>5.99</v>
      </c>
    </row>
    <row r="7259" s="1" customFormat="1" spans="1:15">
      <c r="A7259" s="1" t="str">
        <f t="shared" si="4899"/>
        <v>202406</v>
      </c>
      <c r="B7259" s="1" t="str">
        <f t="shared" si="4900"/>
        <v>150525100</v>
      </c>
      <c r="C7259" s="1" t="str">
        <f>"1041286405"</f>
        <v>1041286405</v>
      </c>
      <c r="D7259" s="1" t="str">
        <f>"152326196210240427"</f>
        <v>152326196210240427</v>
      </c>
      <c r="E7259" s="1" t="s">
        <v>2807</v>
      </c>
      <c r="F7259" s="1" t="s">
        <v>16</v>
      </c>
      <c r="G7259" s="1" t="s">
        <v>19</v>
      </c>
      <c r="H7259" s="1" t="str">
        <f>"62"</f>
        <v>62</v>
      </c>
      <c r="I7259" s="1" t="str">
        <f>"160.91"</f>
        <v>160.91</v>
      </c>
      <c r="J7259" s="1" t="str">
        <f t="shared" ref="J7259:N7259" si="4929">"0"</f>
        <v>0</v>
      </c>
      <c r="K7259" s="1" t="str">
        <f t="shared" si="4924"/>
        <v>103</v>
      </c>
      <c r="L7259" s="1" t="str">
        <f t="shared" si="4925"/>
        <v>47</v>
      </c>
      <c r="M7259" s="1" t="str">
        <f t="shared" si="4929"/>
        <v>0</v>
      </c>
      <c r="N7259" s="1" t="str">
        <f t="shared" si="4929"/>
        <v>0</v>
      </c>
      <c r="O7259" s="1" t="str">
        <f>"10.91"</f>
        <v>10.91</v>
      </c>
    </row>
    <row r="7260" s="1" customFormat="1" spans="1:15">
      <c r="A7260" s="1" t="str">
        <f t="shared" si="4899"/>
        <v>202406</v>
      </c>
      <c r="B7260" s="1" t="str">
        <f t="shared" si="4900"/>
        <v>150525100</v>
      </c>
      <c r="C7260" s="1" t="str">
        <f>"1041287172"</f>
        <v>1041287172</v>
      </c>
      <c r="D7260" s="1" t="str">
        <f>"152326195807110428"</f>
        <v>152326195807110428</v>
      </c>
      <c r="E7260" s="1" t="s">
        <v>7003</v>
      </c>
      <c r="F7260" s="1" t="s">
        <v>16</v>
      </c>
      <c r="G7260" s="1" t="s">
        <v>17</v>
      </c>
      <c r="H7260" s="1" t="str">
        <f>"66"</f>
        <v>66</v>
      </c>
      <c r="I7260" s="1" t="str">
        <f>"155.98"</f>
        <v>155.98</v>
      </c>
      <c r="J7260" s="1" t="str">
        <f t="shared" ref="J7260:N7260" si="4930">"0"</f>
        <v>0</v>
      </c>
      <c r="K7260" s="1" t="str">
        <f t="shared" si="4924"/>
        <v>103</v>
      </c>
      <c r="L7260" s="1" t="str">
        <f t="shared" si="4925"/>
        <v>47</v>
      </c>
      <c r="M7260" s="1" t="str">
        <f t="shared" si="4930"/>
        <v>0</v>
      </c>
      <c r="N7260" s="1" t="str">
        <f t="shared" si="4930"/>
        <v>0</v>
      </c>
      <c r="O7260" s="1" t="str">
        <f>"5.98"</f>
        <v>5.98</v>
      </c>
    </row>
    <row r="7261" s="1" customFormat="1" spans="1:15">
      <c r="A7261" s="1" t="str">
        <f t="shared" si="4899"/>
        <v>202406</v>
      </c>
      <c r="B7261" s="1" t="str">
        <f t="shared" si="4900"/>
        <v>150525100</v>
      </c>
      <c r="C7261" s="1" t="str">
        <f>"1041403100"</f>
        <v>1041403100</v>
      </c>
      <c r="D7261" s="1" t="str">
        <f>"152326195807200685"</f>
        <v>152326195807200685</v>
      </c>
      <c r="E7261" s="1" t="s">
        <v>7004</v>
      </c>
      <c r="F7261" s="1" t="s">
        <v>16</v>
      </c>
      <c r="G7261" s="1" t="s">
        <v>17</v>
      </c>
      <c r="H7261" s="1" t="str">
        <f>"66"</f>
        <v>66</v>
      </c>
      <c r="I7261" s="1" t="str">
        <f>"150.94"</f>
        <v>150.94</v>
      </c>
      <c r="J7261" s="1" t="str">
        <f t="shared" ref="J7261:N7261" si="4931">"0"</f>
        <v>0</v>
      </c>
      <c r="K7261" s="1" t="str">
        <f t="shared" si="4924"/>
        <v>103</v>
      </c>
      <c r="L7261" s="1" t="str">
        <f t="shared" si="4925"/>
        <v>47</v>
      </c>
      <c r="M7261" s="1" t="str">
        <f t="shared" si="4931"/>
        <v>0</v>
      </c>
      <c r="N7261" s="1" t="str">
        <f t="shared" si="4931"/>
        <v>0</v>
      </c>
      <c r="O7261" s="1" t="str">
        <f>"0.94"</f>
        <v>0.94</v>
      </c>
    </row>
    <row r="7262" s="1" customFormat="1" spans="1:15">
      <c r="A7262" s="1" t="str">
        <f t="shared" si="4899"/>
        <v>202406</v>
      </c>
      <c r="B7262" s="1" t="str">
        <f t="shared" si="4900"/>
        <v>150525100</v>
      </c>
      <c r="C7262" s="1" t="str">
        <f>"1041290322"</f>
        <v>1041290322</v>
      </c>
      <c r="D7262" s="1" t="str">
        <f>"152326196006130060"</f>
        <v>152326196006130060</v>
      </c>
      <c r="E7262" s="1" t="s">
        <v>2831</v>
      </c>
      <c r="F7262" s="1" t="s">
        <v>16</v>
      </c>
      <c r="G7262" s="1" t="s">
        <v>17</v>
      </c>
      <c r="H7262" s="1" t="str">
        <f>"64"</f>
        <v>64</v>
      </c>
      <c r="I7262" s="1" t="str">
        <f>"170.49"</f>
        <v>170.49</v>
      </c>
      <c r="J7262" s="1" t="str">
        <f t="shared" ref="J7262:N7262" si="4932">"0"</f>
        <v>0</v>
      </c>
      <c r="K7262" s="1" t="str">
        <f t="shared" si="4924"/>
        <v>103</v>
      </c>
      <c r="L7262" s="1" t="str">
        <f t="shared" si="4925"/>
        <v>47</v>
      </c>
      <c r="M7262" s="1" t="str">
        <f t="shared" si="4932"/>
        <v>0</v>
      </c>
      <c r="N7262" s="1" t="str">
        <f t="shared" si="4932"/>
        <v>0</v>
      </c>
      <c r="O7262" s="1" t="str">
        <f>"20.49"</f>
        <v>20.49</v>
      </c>
    </row>
    <row r="7263" s="1" customFormat="1" spans="1:15">
      <c r="A7263" s="1" t="str">
        <f t="shared" si="4899"/>
        <v>202406</v>
      </c>
      <c r="B7263" s="1" t="str">
        <f t="shared" si="4900"/>
        <v>150525100</v>
      </c>
      <c r="C7263" s="1" t="str">
        <f>"1041403189"</f>
        <v>1041403189</v>
      </c>
      <c r="D7263" s="1" t="str">
        <f>"152326196204106387"</f>
        <v>152326196204106387</v>
      </c>
      <c r="E7263" s="1" t="s">
        <v>6398</v>
      </c>
      <c r="F7263" s="1" t="s">
        <v>16</v>
      </c>
      <c r="G7263" s="1" t="s">
        <v>17</v>
      </c>
      <c r="H7263" s="1" t="str">
        <f>"62"</f>
        <v>62</v>
      </c>
      <c r="I7263" s="1" t="str">
        <f>"161.4"</f>
        <v>161.4</v>
      </c>
      <c r="J7263" s="1" t="str">
        <f t="shared" ref="J7263:N7263" si="4933">"0"</f>
        <v>0</v>
      </c>
      <c r="K7263" s="1" t="str">
        <f t="shared" si="4924"/>
        <v>103</v>
      </c>
      <c r="L7263" s="1" t="str">
        <f t="shared" si="4925"/>
        <v>47</v>
      </c>
      <c r="M7263" s="1" t="str">
        <f t="shared" si="4933"/>
        <v>0</v>
      </c>
      <c r="N7263" s="1" t="str">
        <f t="shared" si="4933"/>
        <v>0</v>
      </c>
      <c r="O7263" s="1" t="str">
        <f>"11.4"</f>
        <v>11.4</v>
      </c>
    </row>
    <row r="7264" s="1" customFormat="1" spans="1:15">
      <c r="A7264" s="1" t="str">
        <f t="shared" si="4899"/>
        <v>202406</v>
      </c>
      <c r="B7264" s="1" t="str">
        <f t="shared" si="4900"/>
        <v>150525100</v>
      </c>
      <c r="C7264" s="1" t="str">
        <f>"1041453206"</f>
        <v>1041453206</v>
      </c>
      <c r="D7264" s="1" t="str">
        <f>"152326195704050426"</f>
        <v>152326195704050426</v>
      </c>
      <c r="E7264" s="1" t="s">
        <v>4426</v>
      </c>
      <c r="F7264" s="1" t="s">
        <v>16</v>
      </c>
      <c r="G7264" s="1" t="s">
        <v>17</v>
      </c>
      <c r="H7264" s="1" t="str">
        <f>"67"</f>
        <v>67</v>
      </c>
      <c r="I7264" s="1" t="str">
        <f>"154.32"</f>
        <v>154.32</v>
      </c>
      <c r="J7264" s="1" t="str">
        <f t="shared" ref="J7264:N7264" si="4934">"0"</f>
        <v>0</v>
      </c>
      <c r="K7264" s="1" t="str">
        <f t="shared" si="4924"/>
        <v>103</v>
      </c>
      <c r="L7264" s="1" t="str">
        <f t="shared" si="4925"/>
        <v>47</v>
      </c>
      <c r="M7264" s="1" t="str">
        <f t="shared" si="4934"/>
        <v>0</v>
      </c>
      <c r="N7264" s="1" t="str">
        <f t="shared" si="4934"/>
        <v>0</v>
      </c>
      <c r="O7264" s="1" t="str">
        <f>"4.32"</f>
        <v>4.32</v>
      </c>
    </row>
    <row r="7265" s="1" customFormat="1" spans="1:15">
      <c r="A7265" s="1" t="str">
        <f t="shared" si="4899"/>
        <v>202406</v>
      </c>
      <c r="B7265" s="1" t="str">
        <f t="shared" si="4900"/>
        <v>150525100</v>
      </c>
      <c r="C7265" s="1" t="str">
        <f>"1041403417"</f>
        <v>1041403417</v>
      </c>
      <c r="D7265" s="1" t="str">
        <f>"152326195911093816"</f>
        <v>152326195911093816</v>
      </c>
      <c r="E7265" s="1" t="s">
        <v>2576</v>
      </c>
      <c r="F7265" s="1" t="s">
        <v>25</v>
      </c>
      <c r="G7265" s="1" t="s">
        <v>17</v>
      </c>
      <c r="H7265" s="1" t="str">
        <f>"65"</f>
        <v>65</v>
      </c>
      <c r="I7265" s="1" t="str">
        <f>"151.9"</f>
        <v>151.9</v>
      </c>
      <c r="J7265" s="1" t="str">
        <f t="shared" ref="J7265:N7265" si="4935">"0"</f>
        <v>0</v>
      </c>
      <c r="K7265" s="1" t="str">
        <f t="shared" si="4924"/>
        <v>103</v>
      </c>
      <c r="L7265" s="1" t="str">
        <f t="shared" si="4925"/>
        <v>47</v>
      </c>
      <c r="M7265" s="1" t="str">
        <f t="shared" si="4935"/>
        <v>0</v>
      </c>
      <c r="N7265" s="1" t="str">
        <f t="shared" si="4935"/>
        <v>0</v>
      </c>
      <c r="O7265" s="1" t="str">
        <f>"1.9"</f>
        <v>1.9</v>
      </c>
    </row>
    <row r="7266" s="1" customFormat="1" spans="1:15">
      <c r="A7266" s="1" t="str">
        <f t="shared" si="4899"/>
        <v>202406</v>
      </c>
      <c r="B7266" s="1" t="str">
        <f t="shared" si="4900"/>
        <v>150525100</v>
      </c>
      <c r="C7266" s="1" t="str">
        <f>"1041403505"</f>
        <v>1041403505</v>
      </c>
      <c r="D7266" s="1" t="str">
        <f>"152326195902080677"</f>
        <v>152326195902080677</v>
      </c>
      <c r="E7266" s="1" t="s">
        <v>7005</v>
      </c>
      <c r="F7266" s="1" t="s">
        <v>25</v>
      </c>
      <c r="G7266" s="1" t="s">
        <v>17</v>
      </c>
      <c r="H7266" s="1" t="str">
        <f>"65"</f>
        <v>65</v>
      </c>
      <c r="I7266" s="1" t="str">
        <f>"156.94"</f>
        <v>156.94</v>
      </c>
      <c r="J7266" s="1" t="str">
        <f t="shared" ref="J7266:N7266" si="4936">"0"</f>
        <v>0</v>
      </c>
      <c r="K7266" s="1" t="str">
        <f t="shared" si="4924"/>
        <v>103</v>
      </c>
      <c r="L7266" s="1" t="str">
        <f t="shared" si="4925"/>
        <v>47</v>
      </c>
      <c r="M7266" s="1" t="str">
        <f t="shared" si="4936"/>
        <v>0</v>
      </c>
      <c r="N7266" s="1" t="str">
        <f t="shared" si="4936"/>
        <v>0</v>
      </c>
      <c r="O7266" s="1" t="str">
        <f>"6.94"</f>
        <v>6.94</v>
      </c>
    </row>
    <row r="7267" s="1" customFormat="1" spans="1:15">
      <c r="A7267" s="1" t="str">
        <f t="shared" si="4899"/>
        <v>202406</v>
      </c>
      <c r="B7267" s="1" t="str">
        <f t="shared" si="4900"/>
        <v>150525100</v>
      </c>
      <c r="C7267" s="1" t="str">
        <f>"1041305337"</f>
        <v>1041305337</v>
      </c>
      <c r="D7267" s="1" t="str">
        <f>"152326196009083095"</f>
        <v>152326196009083095</v>
      </c>
      <c r="E7267" s="1" t="s">
        <v>7006</v>
      </c>
      <c r="F7267" s="1" t="s">
        <v>25</v>
      </c>
      <c r="G7267" s="1" t="s">
        <v>17</v>
      </c>
      <c r="H7267" s="1" t="str">
        <f>"64"</f>
        <v>64</v>
      </c>
      <c r="I7267" s="1" t="str">
        <f>"157.18"</f>
        <v>157.18</v>
      </c>
      <c r="J7267" s="1" t="str">
        <f t="shared" ref="J7267:N7267" si="4937">"0"</f>
        <v>0</v>
      </c>
      <c r="K7267" s="1" t="str">
        <f t="shared" si="4924"/>
        <v>103</v>
      </c>
      <c r="L7267" s="1" t="str">
        <f t="shared" si="4925"/>
        <v>47</v>
      </c>
      <c r="M7267" s="1" t="str">
        <f t="shared" si="4937"/>
        <v>0</v>
      </c>
      <c r="N7267" s="1" t="str">
        <f t="shared" si="4937"/>
        <v>0</v>
      </c>
      <c r="O7267" s="1" t="str">
        <f>"7.18"</f>
        <v>7.18</v>
      </c>
    </row>
    <row r="7268" s="1" customFormat="1" spans="1:15">
      <c r="A7268" s="1" t="str">
        <f t="shared" si="4899"/>
        <v>202406</v>
      </c>
      <c r="B7268" s="1" t="str">
        <f t="shared" si="4900"/>
        <v>150525100</v>
      </c>
      <c r="C7268" s="1" t="str">
        <f>"1041305342"</f>
        <v>1041305342</v>
      </c>
      <c r="D7268" s="1" t="str">
        <f>"152326196202100678"</f>
        <v>152326196202100678</v>
      </c>
      <c r="E7268" s="1" t="s">
        <v>6591</v>
      </c>
      <c r="F7268" s="1" t="s">
        <v>25</v>
      </c>
      <c r="G7268" s="1" t="s">
        <v>17</v>
      </c>
      <c r="H7268" s="1" t="str">
        <f>"62"</f>
        <v>62</v>
      </c>
      <c r="I7268" s="1" t="str">
        <f>"160.26"</f>
        <v>160.26</v>
      </c>
      <c r="J7268" s="1" t="str">
        <f t="shared" ref="J7268:N7268" si="4938">"0"</f>
        <v>0</v>
      </c>
      <c r="K7268" s="1" t="str">
        <f t="shared" si="4924"/>
        <v>103</v>
      </c>
      <c r="L7268" s="1" t="str">
        <f t="shared" si="4925"/>
        <v>47</v>
      </c>
      <c r="M7268" s="1" t="str">
        <f t="shared" si="4938"/>
        <v>0</v>
      </c>
      <c r="N7268" s="1" t="str">
        <f t="shared" si="4938"/>
        <v>0</v>
      </c>
      <c r="O7268" s="1" t="str">
        <f>"10.26"</f>
        <v>10.26</v>
      </c>
    </row>
    <row r="7269" s="1" customFormat="1" spans="1:15">
      <c r="A7269" s="1" t="str">
        <f t="shared" si="4899"/>
        <v>202406</v>
      </c>
      <c r="B7269" s="1" t="str">
        <f t="shared" si="4900"/>
        <v>150525100</v>
      </c>
      <c r="C7269" s="1" t="str">
        <f>"1041287120"</f>
        <v>1041287120</v>
      </c>
      <c r="D7269" s="1" t="str">
        <f>"152326196007083817"</f>
        <v>152326196007083817</v>
      </c>
      <c r="E7269" s="1" t="s">
        <v>7007</v>
      </c>
      <c r="F7269" s="1" t="s">
        <v>25</v>
      </c>
      <c r="G7269" s="1" t="s">
        <v>17</v>
      </c>
      <c r="H7269" s="1" t="str">
        <f>"64"</f>
        <v>64</v>
      </c>
      <c r="I7269" s="1" t="str">
        <f>"157.7"</f>
        <v>157.7</v>
      </c>
      <c r="J7269" s="1" t="str">
        <f t="shared" ref="J7269:N7269" si="4939">"0"</f>
        <v>0</v>
      </c>
      <c r="K7269" s="1" t="str">
        <f t="shared" si="4924"/>
        <v>103</v>
      </c>
      <c r="L7269" s="1" t="str">
        <f t="shared" si="4925"/>
        <v>47</v>
      </c>
      <c r="M7269" s="1" t="str">
        <f t="shared" si="4939"/>
        <v>0</v>
      </c>
      <c r="N7269" s="1" t="str">
        <f t="shared" si="4939"/>
        <v>0</v>
      </c>
      <c r="O7269" s="1" t="str">
        <f>"7.7"</f>
        <v>7.7</v>
      </c>
    </row>
    <row r="7270" s="1" customFormat="1" spans="1:15">
      <c r="A7270" s="1" t="str">
        <f t="shared" si="4899"/>
        <v>202406</v>
      </c>
      <c r="B7270" s="1" t="str">
        <f t="shared" si="4900"/>
        <v>150525100</v>
      </c>
      <c r="C7270" s="1" t="str">
        <f>"1041307790"</f>
        <v>1041307790</v>
      </c>
      <c r="D7270" s="1" t="str">
        <f>"152326195803150668"</f>
        <v>152326195803150668</v>
      </c>
      <c r="E7270" s="1" t="s">
        <v>688</v>
      </c>
      <c r="F7270" s="1" t="s">
        <v>16</v>
      </c>
      <c r="G7270" s="1" t="s">
        <v>17</v>
      </c>
      <c r="H7270" s="1" t="str">
        <f>"66"</f>
        <v>66</v>
      </c>
      <c r="I7270" s="1" t="str">
        <f>"155.3"</f>
        <v>155.3</v>
      </c>
      <c r="J7270" s="1" t="str">
        <f t="shared" ref="J7270:N7270" si="4940">"0"</f>
        <v>0</v>
      </c>
      <c r="K7270" s="1" t="str">
        <f t="shared" si="4924"/>
        <v>103</v>
      </c>
      <c r="L7270" s="1" t="str">
        <f t="shared" si="4925"/>
        <v>47</v>
      </c>
      <c r="M7270" s="1" t="str">
        <f t="shared" si="4940"/>
        <v>0</v>
      </c>
      <c r="N7270" s="1" t="str">
        <f t="shared" si="4940"/>
        <v>0</v>
      </c>
      <c r="O7270" s="1" t="str">
        <f>"5.3"</f>
        <v>5.3</v>
      </c>
    </row>
    <row r="7271" s="1" customFormat="1" spans="1:15">
      <c r="A7271" s="1" t="str">
        <f t="shared" si="4899"/>
        <v>202406</v>
      </c>
      <c r="B7271" s="1" t="str">
        <f t="shared" si="4900"/>
        <v>150525100</v>
      </c>
      <c r="C7271" s="1" t="str">
        <f>"1041307797"</f>
        <v>1041307797</v>
      </c>
      <c r="D7271" s="1" t="s">
        <v>7008</v>
      </c>
      <c r="E7271" s="1" t="s">
        <v>7009</v>
      </c>
      <c r="F7271" s="1" t="s">
        <v>16</v>
      </c>
      <c r="G7271" s="1" t="s">
        <v>17</v>
      </c>
      <c r="H7271" s="1" t="str">
        <f>"66"</f>
        <v>66</v>
      </c>
      <c r="I7271" s="1" t="str">
        <f>"155.31"</f>
        <v>155.31</v>
      </c>
      <c r="J7271" s="1" t="str">
        <f t="shared" ref="J7271:N7271" si="4941">"0"</f>
        <v>0</v>
      </c>
      <c r="K7271" s="1" t="str">
        <f t="shared" si="4924"/>
        <v>103</v>
      </c>
      <c r="L7271" s="1" t="str">
        <f t="shared" si="4925"/>
        <v>47</v>
      </c>
      <c r="M7271" s="1" t="str">
        <f t="shared" si="4941"/>
        <v>0</v>
      </c>
      <c r="N7271" s="1" t="str">
        <f t="shared" si="4941"/>
        <v>0</v>
      </c>
      <c r="O7271" s="1" t="str">
        <f>"5.31"</f>
        <v>5.31</v>
      </c>
    </row>
    <row r="7272" s="1" customFormat="1" spans="1:15">
      <c r="A7272" s="1" t="str">
        <f t="shared" si="4899"/>
        <v>202406</v>
      </c>
      <c r="B7272" s="1" t="str">
        <f t="shared" si="4900"/>
        <v>150525100</v>
      </c>
      <c r="C7272" s="1" t="str">
        <f>"1041306649"</f>
        <v>1041306649</v>
      </c>
      <c r="D7272" s="1" t="str">
        <f>"152326195703110917"</f>
        <v>152326195703110917</v>
      </c>
      <c r="E7272" s="1" t="s">
        <v>7010</v>
      </c>
      <c r="F7272" s="1" t="s">
        <v>25</v>
      </c>
      <c r="G7272" s="1" t="s">
        <v>17</v>
      </c>
      <c r="H7272" s="1" t="str">
        <f>"67"</f>
        <v>67</v>
      </c>
      <c r="I7272" s="1" t="str">
        <f>"155.26"</f>
        <v>155.26</v>
      </c>
      <c r="J7272" s="1" t="str">
        <f t="shared" ref="J7272:N7272" si="4942">"0"</f>
        <v>0</v>
      </c>
      <c r="K7272" s="1" t="str">
        <f t="shared" si="4924"/>
        <v>103</v>
      </c>
      <c r="L7272" s="1" t="str">
        <f t="shared" si="4925"/>
        <v>47</v>
      </c>
      <c r="M7272" s="1" t="str">
        <f t="shared" si="4942"/>
        <v>0</v>
      </c>
      <c r="N7272" s="1" t="str">
        <f t="shared" si="4942"/>
        <v>0</v>
      </c>
      <c r="O7272" s="1" t="str">
        <f>"5.26"</f>
        <v>5.26</v>
      </c>
    </row>
    <row r="7273" s="1" customFormat="1" spans="1:15">
      <c r="A7273" s="1" t="str">
        <f t="shared" si="4899"/>
        <v>202406</v>
      </c>
      <c r="B7273" s="1" t="str">
        <f t="shared" si="4900"/>
        <v>150525100</v>
      </c>
      <c r="C7273" s="1" t="str">
        <f>"1041306677"</f>
        <v>1041306677</v>
      </c>
      <c r="D7273" s="1" t="str">
        <f>"152326196101030666"</f>
        <v>152326196101030666</v>
      </c>
      <c r="E7273" s="1" t="s">
        <v>1726</v>
      </c>
      <c r="F7273" s="1" t="s">
        <v>16</v>
      </c>
      <c r="G7273" s="1" t="s">
        <v>17</v>
      </c>
      <c r="H7273" s="1" t="str">
        <f>"64"</f>
        <v>64</v>
      </c>
      <c r="I7273" s="1" t="str">
        <f>"159.25"</f>
        <v>159.25</v>
      </c>
      <c r="J7273" s="1" t="str">
        <f t="shared" ref="J7273:N7273" si="4943">"0"</f>
        <v>0</v>
      </c>
      <c r="K7273" s="1" t="str">
        <f t="shared" si="4924"/>
        <v>103</v>
      </c>
      <c r="L7273" s="1" t="str">
        <f t="shared" si="4925"/>
        <v>47</v>
      </c>
      <c r="M7273" s="1" t="str">
        <f t="shared" si="4943"/>
        <v>0</v>
      </c>
      <c r="N7273" s="1" t="str">
        <f t="shared" si="4943"/>
        <v>0</v>
      </c>
      <c r="O7273" s="1" t="str">
        <f>"9.25"</f>
        <v>9.25</v>
      </c>
    </row>
    <row r="7274" s="1" customFormat="1" spans="1:15">
      <c r="A7274" s="1" t="str">
        <f t="shared" si="4899"/>
        <v>202406</v>
      </c>
      <c r="B7274" s="1" t="str">
        <f t="shared" si="4900"/>
        <v>150525100</v>
      </c>
      <c r="C7274" s="1" t="str">
        <f>"1041307825"</f>
        <v>1041307825</v>
      </c>
      <c r="D7274" s="1" t="str">
        <f>"152326195904130682"</f>
        <v>152326195904130682</v>
      </c>
      <c r="E7274" s="1" t="s">
        <v>7011</v>
      </c>
      <c r="F7274" s="1" t="s">
        <v>16</v>
      </c>
      <c r="G7274" s="1" t="s">
        <v>17</v>
      </c>
      <c r="H7274" s="1" t="str">
        <f>"65"</f>
        <v>65</v>
      </c>
      <c r="I7274" s="1" t="str">
        <f>"156.31"</f>
        <v>156.31</v>
      </c>
      <c r="J7274" s="1" t="str">
        <f t="shared" ref="J7274:N7274" si="4944">"0"</f>
        <v>0</v>
      </c>
      <c r="K7274" s="1" t="str">
        <f t="shared" si="4924"/>
        <v>103</v>
      </c>
      <c r="L7274" s="1" t="str">
        <f t="shared" si="4925"/>
        <v>47</v>
      </c>
      <c r="M7274" s="1" t="str">
        <f t="shared" si="4944"/>
        <v>0</v>
      </c>
      <c r="N7274" s="1" t="str">
        <f t="shared" si="4944"/>
        <v>0</v>
      </c>
      <c r="O7274" s="1" t="str">
        <f>"6.31"</f>
        <v>6.31</v>
      </c>
    </row>
    <row r="7275" s="1" customFormat="1" spans="1:15">
      <c r="A7275" s="1" t="str">
        <f t="shared" si="4899"/>
        <v>202406</v>
      </c>
      <c r="B7275" s="1" t="str">
        <f t="shared" si="4900"/>
        <v>150525100</v>
      </c>
      <c r="C7275" s="1" t="str">
        <f>"1041307847"</f>
        <v>1041307847</v>
      </c>
      <c r="D7275" s="1" t="str">
        <f>"152326196001100436"</f>
        <v>152326196001100436</v>
      </c>
      <c r="E7275" s="1" t="s">
        <v>3682</v>
      </c>
      <c r="F7275" s="1" t="s">
        <v>25</v>
      </c>
      <c r="G7275" s="1" t="s">
        <v>17</v>
      </c>
      <c r="H7275" s="1" t="str">
        <f>"64"</f>
        <v>64</v>
      </c>
      <c r="I7275" s="1" t="str">
        <f>"157.32"</f>
        <v>157.32</v>
      </c>
      <c r="J7275" s="1" t="str">
        <f t="shared" ref="J7275:N7275" si="4945">"0"</f>
        <v>0</v>
      </c>
      <c r="K7275" s="1" t="str">
        <f t="shared" si="4924"/>
        <v>103</v>
      </c>
      <c r="L7275" s="1" t="str">
        <f t="shared" si="4925"/>
        <v>47</v>
      </c>
      <c r="M7275" s="1" t="str">
        <f t="shared" si="4945"/>
        <v>0</v>
      </c>
      <c r="N7275" s="1" t="str">
        <f t="shared" si="4945"/>
        <v>0</v>
      </c>
      <c r="O7275" s="1" t="str">
        <f>"7.32"</f>
        <v>7.32</v>
      </c>
    </row>
    <row r="7276" s="1" customFormat="1" spans="1:15">
      <c r="A7276" s="1" t="str">
        <f t="shared" si="4899"/>
        <v>202406</v>
      </c>
      <c r="B7276" s="1" t="str">
        <f t="shared" si="4900"/>
        <v>150525100</v>
      </c>
      <c r="C7276" s="1" t="str">
        <f>"1041300427"</f>
        <v>1041300427</v>
      </c>
      <c r="D7276" s="1" t="str">
        <f>"152326196304080911"</f>
        <v>152326196304080911</v>
      </c>
      <c r="E7276" s="1" t="s">
        <v>7012</v>
      </c>
      <c r="F7276" s="1" t="s">
        <v>25</v>
      </c>
      <c r="G7276" s="1" t="s">
        <v>17</v>
      </c>
      <c r="H7276" s="1" t="str">
        <f>"61"</f>
        <v>61</v>
      </c>
      <c r="I7276" s="1" t="str">
        <f>"163.33"</f>
        <v>163.33</v>
      </c>
      <c r="J7276" s="1" t="str">
        <f t="shared" ref="J7276:N7276" si="4946">"0"</f>
        <v>0</v>
      </c>
      <c r="K7276" s="1" t="str">
        <f t="shared" si="4924"/>
        <v>103</v>
      </c>
      <c r="L7276" s="1" t="str">
        <f t="shared" si="4925"/>
        <v>47</v>
      </c>
      <c r="M7276" s="1" t="str">
        <f t="shared" si="4946"/>
        <v>0</v>
      </c>
      <c r="N7276" s="1" t="str">
        <f t="shared" si="4946"/>
        <v>0</v>
      </c>
      <c r="O7276" s="1" t="str">
        <f>"13.33"</f>
        <v>13.33</v>
      </c>
    </row>
    <row r="7277" s="1" customFormat="1" spans="1:15">
      <c r="A7277" s="1" t="str">
        <f t="shared" si="4899"/>
        <v>202406</v>
      </c>
      <c r="B7277" s="1" t="str">
        <f t="shared" si="4900"/>
        <v>150525100</v>
      </c>
      <c r="C7277" s="1" t="str">
        <f>"1041306743"</f>
        <v>1041306743</v>
      </c>
      <c r="D7277" s="1" t="str">
        <f>"152326196206083342"</f>
        <v>152326196206083342</v>
      </c>
      <c r="E7277" s="1" t="s">
        <v>7013</v>
      </c>
      <c r="F7277" s="1" t="s">
        <v>16</v>
      </c>
      <c r="G7277" s="1" t="s">
        <v>17</v>
      </c>
      <c r="H7277" s="1" t="str">
        <f>"62"</f>
        <v>62</v>
      </c>
      <c r="I7277" s="1" t="str">
        <f>"161.44"</f>
        <v>161.44</v>
      </c>
      <c r="J7277" s="1" t="str">
        <f t="shared" ref="J7277:N7277" si="4947">"0"</f>
        <v>0</v>
      </c>
      <c r="K7277" s="1" t="str">
        <f t="shared" si="4924"/>
        <v>103</v>
      </c>
      <c r="L7277" s="1" t="str">
        <f t="shared" si="4925"/>
        <v>47</v>
      </c>
      <c r="M7277" s="1" t="str">
        <f t="shared" si="4947"/>
        <v>0</v>
      </c>
      <c r="N7277" s="1" t="str">
        <f t="shared" si="4947"/>
        <v>0</v>
      </c>
      <c r="O7277" s="1" t="str">
        <f>"11.44"</f>
        <v>11.44</v>
      </c>
    </row>
    <row r="7278" s="1" customFormat="1" spans="1:15">
      <c r="A7278" s="1" t="str">
        <f t="shared" si="4899"/>
        <v>202406</v>
      </c>
      <c r="B7278" s="1" t="str">
        <f t="shared" si="4900"/>
        <v>150525100</v>
      </c>
      <c r="C7278" s="1" t="str">
        <f>"1041280566"</f>
        <v>1041280566</v>
      </c>
      <c r="D7278" s="1" t="str">
        <f>"152326196102053827"</f>
        <v>152326196102053827</v>
      </c>
      <c r="E7278" s="1" t="s">
        <v>3098</v>
      </c>
      <c r="F7278" s="1" t="s">
        <v>16</v>
      </c>
      <c r="G7278" s="1" t="s">
        <v>19</v>
      </c>
      <c r="H7278" s="1" t="str">
        <f t="shared" ref="H7278:H7284" si="4948">"63"</f>
        <v>63</v>
      </c>
      <c r="I7278" s="1" t="str">
        <f>"158.83"</f>
        <v>158.83</v>
      </c>
      <c r="J7278" s="1" t="str">
        <f t="shared" ref="J7278:N7278" si="4949">"0"</f>
        <v>0</v>
      </c>
      <c r="K7278" s="1" t="str">
        <f t="shared" si="4924"/>
        <v>103</v>
      </c>
      <c r="L7278" s="1" t="str">
        <f t="shared" si="4925"/>
        <v>47</v>
      </c>
      <c r="M7278" s="1" t="str">
        <f t="shared" si="4949"/>
        <v>0</v>
      </c>
      <c r="N7278" s="1" t="str">
        <f t="shared" si="4949"/>
        <v>0</v>
      </c>
      <c r="O7278" s="1" t="str">
        <f>"8.83"</f>
        <v>8.83</v>
      </c>
    </row>
    <row r="7279" s="1" customFormat="1" spans="1:15">
      <c r="A7279" s="1" t="str">
        <f t="shared" si="4899"/>
        <v>202406</v>
      </c>
      <c r="B7279" s="1" t="str">
        <f t="shared" si="4900"/>
        <v>150525100</v>
      </c>
      <c r="C7279" s="1" t="str">
        <f>"1041287174"</f>
        <v>1041287174</v>
      </c>
      <c r="D7279" s="1" t="str">
        <f>"152326195802190422"</f>
        <v>152326195802190422</v>
      </c>
      <c r="E7279" s="1" t="s">
        <v>2155</v>
      </c>
      <c r="F7279" s="1" t="s">
        <v>16</v>
      </c>
      <c r="G7279" s="1" t="s">
        <v>17</v>
      </c>
      <c r="H7279" s="1" t="str">
        <f>"66"</f>
        <v>66</v>
      </c>
      <c r="I7279" s="1" t="str">
        <f>"155.98"</f>
        <v>155.98</v>
      </c>
      <c r="J7279" s="1" t="str">
        <f t="shared" ref="J7279:N7279" si="4950">"0"</f>
        <v>0</v>
      </c>
      <c r="K7279" s="1" t="str">
        <f t="shared" si="4924"/>
        <v>103</v>
      </c>
      <c r="L7279" s="1" t="str">
        <f t="shared" si="4925"/>
        <v>47</v>
      </c>
      <c r="M7279" s="1" t="str">
        <f t="shared" si="4950"/>
        <v>0</v>
      </c>
      <c r="N7279" s="1" t="str">
        <f t="shared" si="4950"/>
        <v>0</v>
      </c>
      <c r="O7279" s="1" t="str">
        <f>"5.98"</f>
        <v>5.98</v>
      </c>
    </row>
    <row r="7280" s="1" customFormat="1" spans="1:15">
      <c r="A7280" s="1" t="str">
        <f t="shared" si="4899"/>
        <v>202406</v>
      </c>
      <c r="B7280" s="1" t="str">
        <f t="shared" si="4900"/>
        <v>150525100</v>
      </c>
      <c r="C7280" s="1" t="str">
        <f>"1041306803"</f>
        <v>1041306803</v>
      </c>
      <c r="D7280" s="1" t="str">
        <f>"152326196403103824"</f>
        <v>152326196403103824</v>
      </c>
      <c r="E7280" s="1" t="s">
        <v>7014</v>
      </c>
      <c r="F7280" s="1" t="s">
        <v>16</v>
      </c>
      <c r="G7280" s="1" t="s">
        <v>17</v>
      </c>
      <c r="H7280" s="1" t="str">
        <f>"60"</f>
        <v>60</v>
      </c>
      <c r="I7280" s="1" t="str">
        <f>"164.36"</f>
        <v>164.36</v>
      </c>
      <c r="J7280" s="1" t="str">
        <f t="shared" ref="J7280:N7280" si="4951">"0"</f>
        <v>0</v>
      </c>
      <c r="K7280" s="1" t="str">
        <f t="shared" si="4924"/>
        <v>103</v>
      </c>
      <c r="L7280" s="1" t="str">
        <f t="shared" si="4925"/>
        <v>47</v>
      </c>
      <c r="M7280" s="1" t="str">
        <f t="shared" si="4951"/>
        <v>0</v>
      </c>
      <c r="N7280" s="1" t="str">
        <f t="shared" si="4951"/>
        <v>0</v>
      </c>
      <c r="O7280" s="1" t="str">
        <f>"14.36"</f>
        <v>14.36</v>
      </c>
    </row>
    <row r="7281" s="1" customFormat="1" spans="1:15">
      <c r="A7281" s="1" t="str">
        <f t="shared" si="4899"/>
        <v>202406</v>
      </c>
      <c r="B7281" s="1" t="str">
        <f t="shared" si="4900"/>
        <v>150525100</v>
      </c>
      <c r="C7281" s="1" t="str">
        <f>"1041280565"</f>
        <v>1041280565</v>
      </c>
      <c r="D7281" s="1" t="s">
        <v>7015</v>
      </c>
      <c r="E7281" s="1" t="s">
        <v>7016</v>
      </c>
      <c r="F7281" s="1" t="s">
        <v>25</v>
      </c>
      <c r="G7281" s="1" t="s">
        <v>19</v>
      </c>
      <c r="H7281" s="1" t="str">
        <f t="shared" si="4948"/>
        <v>63</v>
      </c>
      <c r="I7281" s="1" t="str">
        <f>"158.86"</f>
        <v>158.86</v>
      </c>
      <c r="J7281" s="1" t="str">
        <f t="shared" ref="J7281:N7281" si="4952">"0"</f>
        <v>0</v>
      </c>
      <c r="K7281" s="1" t="str">
        <f t="shared" si="4924"/>
        <v>103</v>
      </c>
      <c r="L7281" s="1" t="str">
        <f t="shared" si="4925"/>
        <v>47</v>
      </c>
      <c r="M7281" s="1" t="str">
        <f t="shared" si="4952"/>
        <v>0</v>
      </c>
      <c r="N7281" s="1" t="str">
        <f t="shared" si="4952"/>
        <v>0</v>
      </c>
      <c r="O7281" s="1" t="str">
        <f>"8.86"</f>
        <v>8.86</v>
      </c>
    </row>
    <row r="7282" s="1" customFormat="1" spans="1:15">
      <c r="A7282" s="1" t="str">
        <f t="shared" si="4899"/>
        <v>202406</v>
      </c>
      <c r="B7282" s="1" t="str">
        <f t="shared" si="4900"/>
        <v>150525100</v>
      </c>
      <c r="C7282" s="1" t="str">
        <f>"1041305759"</f>
        <v>1041305759</v>
      </c>
      <c r="D7282" s="1" t="s">
        <v>7017</v>
      </c>
      <c r="E7282" s="1" t="s">
        <v>7018</v>
      </c>
      <c r="F7282" s="1" t="s">
        <v>25</v>
      </c>
      <c r="G7282" s="1" t="s">
        <v>17</v>
      </c>
      <c r="H7282" s="1" t="str">
        <f>"64"</f>
        <v>64</v>
      </c>
      <c r="I7282" s="1" t="str">
        <f>"157.41"</f>
        <v>157.41</v>
      </c>
      <c r="J7282" s="1" t="str">
        <f t="shared" ref="J7282:N7282" si="4953">"0"</f>
        <v>0</v>
      </c>
      <c r="K7282" s="1" t="str">
        <f t="shared" si="4924"/>
        <v>103</v>
      </c>
      <c r="L7282" s="1" t="str">
        <f t="shared" si="4925"/>
        <v>47</v>
      </c>
      <c r="M7282" s="1" t="str">
        <f t="shared" si="4953"/>
        <v>0</v>
      </c>
      <c r="N7282" s="1" t="str">
        <f t="shared" si="4953"/>
        <v>0</v>
      </c>
      <c r="O7282" s="1" t="str">
        <f>"7.41"</f>
        <v>7.41</v>
      </c>
    </row>
    <row r="7283" s="1" customFormat="1" spans="1:15">
      <c r="A7283" s="1" t="str">
        <f t="shared" si="4899"/>
        <v>202406</v>
      </c>
      <c r="B7283" s="1" t="str">
        <f t="shared" si="4900"/>
        <v>150525100</v>
      </c>
      <c r="C7283" s="1" t="str">
        <f>"1041307334"</f>
        <v>1041307334</v>
      </c>
      <c r="D7283" s="1" t="str">
        <f>"152326196108020719"</f>
        <v>152326196108020719</v>
      </c>
      <c r="E7283" s="1" t="s">
        <v>1396</v>
      </c>
      <c r="F7283" s="1" t="s">
        <v>25</v>
      </c>
      <c r="G7283" s="1" t="s">
        <v>17</v>
      </c>
      <c r="H7283" s="1" t="str">
        <f t="shared" si="4948"/>
        <v>63</v>
      </c>
      <c r="I7283" s="1" t="str">
        <f>"160.95"</f>
        <v>160.95</v>
      </c>
      <c r="J7283" s="1" t="str">
        <f t="shared" ref="J7283:N7283" si="4954">"0"</f>
        <v>0</v>
      </c>
      <c r="K7283" s="1" t="str">
        <f t="shared" si="4924"/>
        <v>103</v>
      </c>
      <c r="L7283" s="1" t="str">
        <f t="shared" si="4925"/>
        <v>47</v>
      </c>
      <c r="M7283" s="1" t="str">
        <f t="shared" si="4954"/>
        <v>0</v>
      </c>
      <c r="N7283" s="1" t="str">
        <f t="shared" si="4954"/>
        <v>0</v>
      </c>
      <c r="O7283" s="1" t="str">
        <f>"10.95"</f>
        <v>10.95</v>
      </c>
    </row>
    <row r="7284" s="1" customFormat="1" spans="1:15">
      <c r="A7284" s="1" t="str">
        <f t="shared" si="4899"/>
        <v>202406</v>
      </c>
      <c r="B7284" s="1" t="str">
        <f t="shared" si="4900"/>
        <v>150525100</v>
      </c>
      <c r="C7284" s="1" t="str">
        <f>"1041307347"</f>
        <v>1041307347</v>
      </c>
      <c r="D7284" s="1" t="str">
        <f>"152326196112073821"</f>
        <v>152326196112073821</v>
      </c>
      <c r="E7284" s="1" t="s">
        <v>63</v>
      </c>
      <c r="F7284" s="1" t="s">
        <v>16</v>
      </c>
      <c r="G7284" s="1" t="s">
        <v>17</v>
      </c>
      <c r="H7284" s="1" t="str">
        <f t="shared" si="4948"/>
        <v>63</v>
      </c>
      <c r="I7284" s="1" t="str">
        <f>"159.26"</f>
        <v>159.26</v>
      </c>
      <c r="J7284" s="1" t="str">
        <f t="shared" ref="J7284:N7284" si="4955">"0"</f>
        <v>0</v>
      </c>
      <c r="K7284" s="1" t="str">
        <f t="shared" si="4924"/>
        <v>103</v>
      </c>
      <c r="L7284" s="1" t="str">
        <f t="shared" si="4925"/>
        <v>47</v>
      </c>
      <c r="M7284" s="1" t="str">
        <f t="shared" si="4955"/>
        <v>0</v>
      </c>
      <c r="N7284" s="1" t="str">
        <f t="shared" si="4955"/>
        <v>0</v>
      </c>
      <c r="O7284" s="1" t="str">
        <f>"9.26"</f>
        <v>9.26</v>
      </c>
    </row>
    <row r="7285" s="1" customFormat="1" spans="1:15">
      <c r="A7285" s="1" t="str">
        <f t="shared" si="4899"/>
        <v>202406</v>
      </c>
      <c r="B7285" s="1" t="str">
        <f t="shared" si="4900"/>
        <v>150525100</v>
      </c>
      <c r="C7285" s="1" t="str">
        <f>"1041307349"</f>
        <v>1041307349</v>
      </c>
      <c r="D7285" s="1" t="str">
        <f>"152326196203120929"</f>
        <v>152326196203120929</v>
      </c>
      <c r="E7285" s="1" t="s">
        <v>7019</v>
      </c>
      <c r="F7285" s="1" t="s">
        <v>16</v>
      </c>
      <c r="G7285" s="1" t="s">
        <v>17</v>
      </c>
      <c r="H7285" s="1" t="str">
        <f t="shared" ref="H7285:H7287" si="4956">"62"</f>
        <v>62</v>
      </c>
      <c r="I7285" s="1" t="str">
        <f>"161.06"</f>
        <v>161.06</v>
      </c>
      <c r="J7285" s="1" t="str">
        <f t="shared" ref="J7285:N7285" si="4957">"0"</f>
        <v>0</v>
      </c>
      <c r="K7285" s="1" t="str">
        <f t="shared" si="4924"/>
        <v>103</v>
      </c>
      <c r="L7285" s="1" t="str">
        <f t="shared" si="4925"/>
        <v>47</v>
      </c>
      <c r="M7285" s="1" t="str">
        <f t="shared" si="4957"/>
        <v>0</v>
      </c>
      <c r="N7285" s="1" t="str">
        <f t="shared" si="4957"/>
        <v>0</v>
      </c>
      <c r="O7285" s="1" t="str">
        <f>"11.06"</f>
        <v>11.06</v>
      </c>
    </row>
    <row r="7286" s="1" customFormat="1" spans="1:15">
      <c r="A7286" s="1" t="str">
        <f t="shared" si="4899"/>
        <v>202406</v>
      </c>
      <c r="B7286" s="1" t="str">
        <f t="shared" si="4900"/>
        <v>150525100</v>
      </c>
      <c r="C7286" s="1" t="str">
        <f>"1041307366"</f>
        <v>1041307366</v>
      </c>
      <c r="D7286" s="1" t="str">
        <f>"152326196209140920"</f>
        <v>152326196209140920</v>
      </c>
      <c r="E7286" s="1" t="s">
        <v>7020</v>
      </c>
      <c r="F7286" s="1" t="s">
        <v>16</v>
      </c>
      <c r="G7286" s="1" t="s">
        <v>17</v>
      </c>
      <c r="H7286" s="1" t="str">
        <f t="shared" si="4956"/>
        <v>62</v>
      </c>
      <c r="I7286" s="1" t="str">
        <f>"810.7"</f>
        <v>810.7</v>
      </c>
      <c r="J7286" s="1" t="str">
        <f>"648.56"</f>
        <v>648.56</v>
      </c>
      <c r="K7286" s="1" t="str">
        <f>"515"</f>
        <v>515</v>
      </c>
      <c r="L7286" s="1" t="str">
        <f>"235"</f>
        <v>235</v>
      </c>
      <c r="M7286" s="1" t="str">
        <f>"0"</f>
        <v>0</v>
      </c>
      <c r="N7286" s="1" t="str">
        <f>"0"</f>
        <v>0</v>
      </c>
      <c r="O7286" s="1" t="str">
        <f>"60.7"</f>
        <v>60.7</v>
      </c>
    </row>
    <row r="7287" s="1" customFormat="1" spans="1:15">
      <c r="A7287" s="1" t="str">
        <f t="shared" si="4899"/>
        <v>202406</v>
      </c>
      <c r="B7287" s="1" t="str">
        <f t="shared" si="4900"/>
        <v>150525100</v>
      </c>
      <c r="C7287" s="1" t="str">
        <f>"1041307373"</f>
        <v>1041307373</v>
      </c>
      <c r="D7287" s="1" t="str">
        <f>"152326196210223811"</f>
        <v>152326196210223811</v>
      </c>
      <c r="E7287" s="1" t="s">
        <v>7021</v>
      </c>
      <c r="F7287" s="1" t="s">
        <v>25</v>
      </c>
      <c r="G7287" s="1" t="s">
        <v>17</v>
      </c>
      <c r="H7287" s="1" t="str">
        <f t="shared" si="4956"/>
        <v>62</v>
      </c>
      <c r="I7287" s="1" t="str">
        <f>"161.07"</f>
        <v>161.07</v>
      </c>
      <c r="J7287" s="1" t="str">
        <f t="shared" ref="J7287:N7287" si="4958">"0"</f>
        <v>0</v>
      </c>
      <c r="K7287" s="1" t="str">
        <f t="shared" ref="K7287:K7350" si="4959">"103"</f>
        <v>103</v>
      </c>
      <c r="L7287" s="1" t="str">
        <f t="shared" ref="L7287:L7350" si="4960">"47"</f>
        <v>47</v>
      </c>
      <c r="M7287" s="1" t="str">
        <f t="shared" si="4958"/>
        <v>0</v>
      </c>
      <c r="N7287" s="1" t="str">
        <f t="shared" si="4958"/>
        <v>0</v>
      </c>
      <c r="O7287" s="1" t="str">
        <f>"11.07"</f>
        <v>11.07</v>
      </c>
    </row>
    <row r="7288" s="1" customFormat="1" spans="1:15">
      <c r="A7288" s="1" t="str">
        <f t="shared" si="4899"/>
        <v>202406</v>
      </c>
      <c r="B7288" s="1" t="str">
        <f t="shared" si="4900"/>
        <v>150525100</v>
      </c>
      <c r="C7288" s="1" t="str">
        <f>"1041307438"</f>
        <v>1041307438</v>
      </c>
      <c r="D7288" s="1" t="str">
        <f>"152326195809100012"</f>
        <v>152326195809100012</v>
      </c>
      <c r="E7288" s="1" t="s">
        <v>7022</v>
      </c>
      <c r="F7288" s="1" t="s">
        <v>25</v>
      </c>
      <c r="G7288" s="1" t="s">
        <v>17</v>
      </c>
      <c r="H7288" s="1" t="str">
        <f>"66"</f>
        <v>66</v>
      </c>
      <c r="I7288" s="1" t="str">
        <f>"156.38"</f>
        <v>156.38</v>
      </c>
      <c r="J7288" s="1" t="str">
        <f t="shared" ref="J7288:N7288" si="4961">"0"</f>
        <v>0</v>
      </c>
      <c r="K7288" s="1" t="str">
        <f t="shared" si="4959"/>
        <v>103</v>
      </c>
      <c r="L7288" s="1" t="str">
        <f t="shared" si="4960"/>
        <v>47</v>
      </c>
      <c r="M7288" s="1" t="str">
        <f t="shared" si="4961"/>
        <v>0</v>
      </c>
      <c r="N7288" s="1" t="str">
        <f t="shared" si="4961"/>
        <v>0</v>
      </c>
      <c r="O7288" s="1" t="str">
        <f>"6.38"</f>
        <v>6.38</v>
      </c>
    </row>
    <row r="7289" s="1" customFormat="1" spans="1:15">
      <c r="A7289" s="1" t="str">
        <f t="shared" si="4899"/>
        <v>202406</v>
      </c>
      <c r="B7289" s="1" t="str">
        <f t="shared" si="4900"/>
        <v>150525100</v>
      </c>
      <c r="C7289" s="1" t="str">
        <f>"1041305093"</f>
        <v>1041305093</v>
      </c>
      <c r="D7289" s="1" t="str">
        <f>"152326196001113085"</f>
        <v>152326196001113085</v>
      </c>
      <c r="E7289" s="1" t="s">
        <v>7023</v>
      </c>
      <c r="F7289" s="1" t="s">
        <v>16</v>
      </c>
      <c r="G7289" s="1" t="s">
        <v>17</v>
      </c>
      <c r="H7289" s="1" t="str">
        <f t="shared" ref="H7289:H7291" si="4962">"64"</f>
        <v>64</v>
      </c>
      <c r="I7289" s="1" t="str">
        <f>"157.33"</f>
        <v>157.33</v>
      </c>
      <c r="J7289" s="1" t="str">
        <f t="shared" ref="J7289:N7289" si="4963">"0"</f>
        <v>0</v>
      </c>
      <c r="K7289" s="1" t="str">
        <f t="shared" si="4959"/>
        <v>103</v>
      </c>
      <c r="L7289" s="1" t="str">
        <f t="shared" si="4960"/>
        <v>47</v>
      </c>
      <c r="M7289" s="1" t="str">
        <f t="shared" si="4963"/>
        <v>0</v>
      </c>
      <c r="N7289" s="1" t="str">
        <f t="shared" si="4963"/>
        <v>0</v>
      </c>
      <c r="O7289" s="1" t="str">
        <f>"7.33"</f>
        <v>7.33</v>
      </c>
    </row>
    <row r="7290" s="1" customFormat="1" spans="1:15">
      <c r="A7290" s="1" t="str">
        <f t="shared" si="4899"/>
        <v>202406</v>
      </c>
      <c r="B7290" s="1" t="str">
        <f t="shared" si="4900"/>
        <v>150525100</v>
      </c>
      <c r="C7290" s="1" t="str">
        <f>"1041305222"</f>
        <v>1041305222</v>
      </c>
      <c r="D7290" s="1" t="str">
        <f>"152326196002043322"</f>
        <v>152326196002043322</v>
      </c>
      <c r="E7290" s="1" t="s">
        <v>7024</v>
      </c>
      <c r="F7290" s="1" t="s">
        <v>16</v>
      </c>
      <c r="G7290" s="1" t="s">
        <v>17</v>
      </c>
      <c r="H7290" s="1" t="str">
        <f t="shared" si="4962"/>
        <v>64</v>
      </c>
      <c r="I7290" s="1" t="str">
        <f>"157.64"</f>
        <v>157.64</v>
      </c>
      <c r="J7290" s="1" t="str">
        <f t="shared" ref="J7290:N7290" si="4964">"0"</f>
        <v>0</v>
      </c>
      <c r="K7290" s="1" t="str">
        <f t="shared" si="4959"/>
        <v>103</v>
      </c>
      <c r="L7290" s="1" t="str">
        <f t="shared" si="4960"/>
        <v>47</v>
      </c>
      <c r="M7290" s="1" t="str">
        <f t="shared" si="4964"/>
        <v>0</v>
      </c>
      <c r="N7290" s="1" t="str">
        <f t="shared" si="4964"/>
        <v>0</v>
      </c>
      <c r="O7290" s="1" t="str">
        <f>"7.64"</f>
        <v>7.64</v>
      </c>
    </row>
    <row r="7291" s="1" customFormat="1" spans="1:15">
      <c r="A7291" s="1" t="str">
        <f t="shared" si="4899"/>
        <v>202406</v>
      </c>
      <c r="B7291" s="1" t="str">
        <f t="shared" si="4900"/>
        <v>150525100</v>
      </c>
      <c r="C7291" s="1" t="str">
        <f>"1041305223"</f>
        <v>1041305223</v>
      </c>
      <c r="D7291" s="1" t="s">
        <v>7025</v>
      </c>
      <c r="E7291" s="1" t="s">
        <v>7026</v>
      </c>
      <c r="F7291" s="1" t="s">
        <v>16</v>
      </c>
      <c r="G7291" s="1" t="s">
        <v>17</v>
      </c>
      <c r="H7291" s="1" t="str">
        <f t="shared" si="4962"/>
        <v>64</v>
      </c>
      <c r="I7291" s="1" t="str">
        <f>"157.62"</f>
        <v>157.62</v>
      </c>
      <c r="J7291" s="1" t="str">
        <f t="shared" ref="J7291:N7291" si="4965">"0"</f>
        <v>0</v>
      </c>
      <c r="K7291" s="1" t="str">
        <f t="shared" si="4959"/>
        <v>103</v>
      </c>
      <c r="L7291" s="1" t="str">
        <f t="shared" si="4960"/>
        <v>47</v>
      </c>
      <c r="M7291" s="1" t="str">
        <f t="shared" si="4965"/>
        <v>0</v>
      </c>
      <c r="N7291" s="1" t="str">
        <f t="shared" si="4965"/>
        <v>0</v>
      </c>
      <c r="O7291" s="1" t="str">
        <f>"7.62"</f>
        <v>7.62</v>
      </c>
    </row>
    <row r="7292" s="1" customFormat="1" spans="1:15">
      <c r="A7292" s="1" t="str">
        <f t="shared" si="4899"/>
        <v>202406</v>
      </c>
      <c r="B7292" s="1" t="str">
        <f t="shared" si="4900"/>
        <v>150525100</v>
      </c>
      <c r="C7292" s="1" t="str">
        <f>"1041712509"</f>
        <v>1041712509</v>
      </c>
      <c r="D7292" s="1" t="s">
        <v>7027</v>
      </c>
      <c r="E7292" s="1" t="s">
        <v>7028</v>
      </c>
      <c r="F7292" s="1" t="s">
        <v>16</v>
      </c>
      <c r="G7292" s="1" t="s">
        <v>17</v>
      </c>
      <c r="H7292" s="1" t="str">
        <f>"67"</f>
        <v>67</v>
      </c>
      <c r="I7292" s="1" t="str">
        <f>"155.04"</f>
        <v>155.04</v>
      </c>
      <c r="J7292" s="1" t="str">
        <f t="shared" ref="J7292:N7292" si="4966">"0"</f>
        <v>0</v>
      </c>
      <c r="K7292" s="1" t="str">
        <f t="shared" si="4959"/>
        <v>103</v>
      </c>
      <c r="L7292" s="1" t="str">
        <f t="shared" si="4960"/>
        <v>47</v>
      </c>
      <c r="M7292" s="1" t="str">
        <f t="shared" si="4966"/>
        <v>0</v>
      </c>
      <c r="N7292" s="1" t="str">
        <f t="shared" si="4966"/>
        <v>0</v>
      </c>
      <c r="O7292" s="1" t="str">
        <f>"5.04"</f>
        <v>5.04</v>
      </c>
    </row>
    <row r="7293" s="1" customFormat="1" spans="1:15">
      <c r="A7293" s="1" t="str">
        <f t="shared" si="4899"/>
        <v>202406</v>
      </c>
      <c r="B7293" s="1" t="str">
        <f t="shared" si="4900"/>
        <v>150525100</v>
      </c>
      <c r="C7293" s="1" t="str">
        <f>"1041771144"</f>
        <v>1041771144</v>
      </c>
      <c r="D7293" s="1" t="str">
        <f>"152326195906120672"</f>
        <v>152326195906120672</v>
      </c>
      <c r="E7293" s="1" t="s">
        <v>7029</v>
      </c>
      <c r="F7293" s="1" t="s">
        <v>25</v>
      </c>
      <c r="G7293" s="1" t="s">
        <v>17</v>
      </c>
      <c r="H7293" s="1" t="str">
        <f t="shared" ref="H7293:H7296" si="4967">"65"</f>
        <v>65</v>
      </c>
      <c r="I7293" s="1" t="str">
        <f>"156.02"</f>
        <v>156.02</v>
      </c>
      <c r="J7293" s="1" t="str">
        <f t="shared" ref="J7293:N7293" si="4968">"0"</f>
        <v>0</v>
      </c>
      <c r="K7293" s="1" t="str">
        <f t="shared" si="4959"/>
        <v>103</v>
      </c>
      <c r="L7293" s="1" t="str">
        <f t="shared" si="4960"/>
        <v>47</v>
      </c>
      <c r="M7293" s="1" t="str">
        <f t="shared" si="4968"/>
        <v>0</v>
      </c>
      <c r="N7293" s="1" t="str">
        <f t="shared" si="4968"/>
        <v>0</v>
      </c>
      <c r="O7293" s="1" t="str">
        <f>"6.02"</f>
        <v>6.02</v>
      </c>
    </row>
    <row r="7294" s="1" customFormat="1" spans="1:15">
      <c r="A7294" s="1" t="str">
        <f t="shared" si="4899"/>
        <v>202406</v>
      </c>
      <c r="B7294" s="1" t="str">
        <f t="shared" si="4900"/>
        <v>150525100</v>
      </c>
      <c r="C7294" s="1" t="str">
        <f>"1041594868"</f>
        <v>1041594868</v>
      </c>
      <c r="D7294" s="1" t="str">
        <f>"152326195711130424"</f>
        <v>152326195711130424</v>
      </c>
      <c r="E7294" s="1" t="s">
        <v>7030</v>
      </c>
      <c r="F7294" s="1" t="s">
        <v>16</v>
      </c>
      <c r="G7294" s="1" t="s">
        <v>17</v>
      </c>
      <c r="H7294" s="1" t="str">
        <f>"67"</f>
        <v>67</v>
      </c>
      <c r="I7294" s="1" t="str">
        <f>"155.04"</f>
        <v>155.04</v>
      </c>
      <c r="J7294" s="1" t="str">
        <f t="shared" ref="J7294:N7294" si="4969">"0"</f>
        <v>0</v>
      </c>
      <c r="K7294" s="1" t="str">
        <f t="shared" si="4959"/>
        <v>103</v>
      </c>
      <c r="L7294" s="1" t="str">
        <f t="shared" si="4960"/>
        <v>47</v>
      </c>
      <c r="M7294" s="1" t="str">
        <f t="shared" si="4969"/>
        <v>0</v>
      </c>
      <c r="N7294" s="1" t="str">
        <f t="shared" si="4969"/>
        <v>0</v>
      </c>
      <c r="O7294" s="1" t="str">
        <f>"5.04"</f>
        <v>5.04</v>
      </c>
    </row>
    <row r="7295" s="1" customFormat="1" spans="1:15">
      <c r="A7295" s="1" t="str">
        <f t="shared" si="4899"/>
        <v>202406</v>
      </c>
      <c r="B7295" s="1" t="str">
        <f t="shared" si="4900"/>
        <v>150525100</v>
      </c>
      <c r="C7295" s="1" t="str">
        <f>"1041677044"</f>
        <v>1041677044</v>
      </c>
      <c r="D7295" s="1" t="str">
        <f>"152326195910260029"</f>
        <v>152326195910260029</v>
      </c>
      <c r="E7295" s="1" t="s">
        <v>7031</v>
      </c>
      <c r="F7295" s="1" t="s">
        <v>16</v>
      </c>
      <c r="G7295" s="1" t="s">
        <v>17</v>
      </c>
      <c r="H7295" s="1" t="str">
        <f t="shared" si="4967"/>
        <v>65</v>
      </c>
      <c r="I7295" s="1" t="str">
        <f>"156.72"</f>
        <v>156.72</v>
      </c>
      <c r="J7295" s="1" t="str">
        <f t="shared" ref="J7295:N7295" si="4970">"0"</f>
        <v>0</v>
      </c>
      <c r="K7295" s="1" t="str">
        <f t="shared" si="4959"/>
        <v>103</v>
      </c>
      <c r="L7295" s="1" t="str">
        <f t="shared" si="4960"/>
        <v>47</v>
      </c>
      <c r="M7295" s="1" t="str">
        <f t="shared" si="4970"/>
        <v>0</v>
      </c>
      <c r="N7295" s="1" t="str">
        <f t="shared" si="4970"/>
        <v>0</v>
      </c>
      <c r="O7295" s="1" t="str">
        <f>"6.72"</f>
        <v>6.72</v>
      </c>
    </row>
    <row r="7296" s="1" customFormat="1" spans="1:15">
      <c r="A7296" s="1" t="str">
        <f t="shared" si="4899"/>
        <v>202406</v>
      </c>
      <c r="B7296" s="1" t="str">
        <f t="shared" si="4900"/>
        <v>150525100</v>
      </c>
      <c r="C7296" s="1" t="str">
        <f>"1041681498"</f>
        <v>1041681498</v>
      </c>
      <c r="D7296" s="1" t="str">
        <f>"152326195901080421"</f>
        <v>152326195901080421</v>
      </c>
      <c r="E7296" s="1" t="s">
        <v>7032</v>
      </c>
      <c r="F7296" s="1" t="s">
        <v>16</v>
      </c>
      <c r="G7296" s="1" t="s">
        <v>17</v>
      </c>
      <c r="H7296" s="1" t="str">
        <f t="shared" si="4967"/>
        <v>65</v>
      </c>
      <c r="I7296" s="1" t="str">
        <f>"156"</f>
        <v>156</v>
      </c>
      <c r="J7296" s="1" t="str">
        <f t="shared" ref="J7296:N7296" si="4971">"0"</f>
        <v>0</v>
      </c>
      <c r="K7296" s="1" t="str">
        <f t="shared" si="4959"/>
        <v>103</v>
      </c>
      <c r="L7296" s="1" t="str">
        <f t="shared" si="4960"/>
        <v>47</v>
      </c>
      <c r="M7296" s="1" t="str">
        <f t="shared" si="4971"/>
        <v>0</v>
      </c>
      <c r="N7296" s="1" t="str">
        <f t="shared" si="4971"/>
        <v>0</v>
      </c>
      <c r="O7296" s="1" t="str">
        <f>"6"</f>
        <v>6</v>
      </c>
    </row>
    <row r="7297" s="1" customFormat="1" spans="1:15">
      <c r="A7297" s="1" t="str">
        <f t="shared" si="4899"/>
        <v>202406</v>
      </c>
      <c r="B7297" s="1" t="str">
        <f t="shared" si="4900"/>
        <v>150525100</v>
      </c>
      <c r="C7297" s="1" t="str">
        <f>"1041756573"</f>
        <v>1041756573</v>
      </c>
      <c r="D7297" s="1" t="str">
        <f>"152326196009070040"</f>
        <v>152326196009070040</v>
      </c>
      <c r="E7297" s="1" t="s">
        <v>7033</v>
      </c>
      <c r="F7297" s="1" t="s">
        <v>16</v>
      </c>
      <c r="G7297" s="1" t="s">
        <v>19</v>
      </c>
      <c r="H7297" s="1" t="str">
        <f>"64"</f>
        <v>64</v>
      </c>
      <c r="I7297" s="1" t="str">
        <f>"183.22"</f>
        <v>183.22</v>
      </c>
      <c r="J7297" s="1" t="str">
        <f t="shared" ref="J7297:N7297" si="4972">"0"</f>
        <v>0</v>
      </c>
      <c r="K7297" s="1" t="str">
        <f t="shared" si="4959"/>
        <v>103</v>
      </c>
      <c r="L7297" s="1" t="str">
        <f t="shared" si="4960"/>
        <v>47</v>
      </c>
      <c r="M7297" s="1" t="str">
        <f t="shared" si="4972"/>
        <v>0</v>
      </c>
      <c r="N7297" s="1" t="str">
        <f t="shared" si="4972"/>
        <v>0</v>
      </c>
      <c r="O7297" s="1" t="str">
        <f>"33.22"</f>
        <v>33.22</v>
      </c>
    </row>
    <row r="7298" s="1" customFormat="1" spans="1:15">
      <c r="A7298" s="1" t="str">
        <f t="shared" ref="A7298:A7361" si="4973">"202406"</f>
        <v>202406</v>
      </c>
      <c r="B7298" s="1" t="str">
        <f t="shared" ref="B7298:B7361" si="4974">"150525100"</f>
        <v>150525100</v>
      </c>
      <c r="C7298" s="1" t="str">
        <f>"1041864274"</f>
        <v>1041864274</v>
      </c>
      <c r="D7298" s="1" t="str">
        <f>"152326196301040674"</f>
        <v>152326196301040674</v>
      </c>
      <c r="E7298" s="1" t="s">
        <v>7034</v>
      </c>
      <c r="F7298" s="1" t="s">
        <v>25</v>
      </c>
      <c r="G7298" s="1" t="s">
        <v>17</v>
      </c>
      <c r="H7298" s="1" t="str">
        <f>"62"</f>
        <v>62</v>
      </c>
      <c r="I7298" s="1" t="str">
        <f>"163.13"</f>
        <v>163.13</v>
      </c>
      <c r="J7298" s="1" t="str">
        <f t="shared" ref="J7298:N7298" si="4975">"0"</f>
        <v>0</v>
      </c>
      <c r="K7298" s="1" t="str">
        <f t="shared" si="4959"/>
        <v>103</v>
      </c>
      <c r="L7298" s="1" t="str">
        <f t="shared" si="4960"/>
        <v>47</v>
      </c>
      <c r="M7298" s="1" t="str">
        <f t="shared" si="4975"/>
        <v>0</v>
      </c>
      <c r="N7298" s="1" t="str">
        <f t="shared" si="4975"/>
        <v>0</v>
      </c>
      <c r="O7298" s="1" t="str">
        <f>"13.13"</f>
        <v>13.13</v>
      </c>
    </row>
    <row r="7299" s="1" customFormat="1" spans="1:15">
      <c r="A7299" s="1" t="str">
        <f t="shared" si="4973"/>
        <v>202406</v>
      </c>
      <c r="B7299" s="1" t="str">
        <f t="shared" si="4974"/>
        <v>150525100</v>
      </c>
      <c r="C7299" s="1" t="str">
        <f>"1041864283"</f>
        <v>1041864283</v>
      </c>
      <c r="D7299" s="1" t="str">
        <f>"152326196112281719"</f>
        <v>152326196112281719</v>
      </c>
      <c r="E7299" s="1" t="s">
        <v>7035</v>
      </c>
      <c r="F7299" s="1" t="s">
        <v>25</v>
      </c>
      <c r="G7299" s="1" t="s">
        <v>17</v>
      </c>
      <c r="H7299" s="1" t="str">
        <f>"63"</f>
        <v>63</v>
      </c>
      <c r="I7299" s="1" t="str">
        <f>"165.01"</f>
        <v>165.01</v>
      </c>
      <c r="J7299" s="1" t="str">
        <f t="shared" ref="J7299:N7299" si="4976">"0"</f>
        <v>0</v>
      </c>
      <c r="K7299" s="1" t="str">
        <f t="shared" si="4959"/>
        <v>103</v>
      </c>
      <c r="L7299" s="1" t="str">
        <f t="shared" si="4960"/>
        <v>47</v>
      </c>
      <c r="M7299" s="1" t="str">
        <f t="shared" si="4976"/>
        <v>0</v>
      </c>
      <c r="N7299" s="1" t="str">
        <f t="shared" si="4976"/>
        <v>0</v>
      </c>
      <c r="O7299" s="1" t="str">
        <f>"15.01"</f>
        <v>15.01</v>
      </c>
    </row>
    <row r="7300" s="1" customFormat="1" spans="1:15">
      <c r="A7300" s="1" t="str">
        <f t="shared" si="4973"/>
        <v>202406</v>
      </c>
      <c r="B7300" s="1" t="str">
        <f t="shared" si="4974"/>
        <v>150525100</v>
      </c>
      <c r="C7300" s="1" t="str">
        <f>"1041864352"</f>
        <v>1041864352</v>
      </c>
      <c r="D7300" s="1" t="str">
        <f>"152326196011103083"</f>
        <v>152326196011103083</v>
      </c>
      <c r="E7300" s="1" t="s">
        <v>3270</v>
      </c>
      <c r="F7300" s="1" t="s">
        <v>16</v>
      </c>
      <c r="G7300" s="1" t="s">
        <v>17</v>
      </c>
      <c r="H7300" s="1" t="str">
        <f>"64"</f>
        <v>64</v>
      </c>
      <c r="I7300" s="1" t="str">
        <f>"156.81"</f>
        <v>156.81</v>
      </c>
      <c r="J7300" s="1" t="str">
        <f t="shared" ref="J7300:N7300" si="4977">"0"</f>
        <v>0</v>
      </c>
      <c r="K7300" s="1" t="str">
        <f t="shared" si="4959"/>
        <v>103</v>
      </c>
      <c r="L7300" s="1" t="str">
        <f t="shared" si="4960"/>
        <v>47</v>
      </c>
      <c r="M7300" s="1" t="str">
        <f t="shared" si="4977"/>
        <v>0</v>
      </c>
      <c r="N7300" s="1" t="str">
        <f t="shared" si="4977"/>
        <v>0</v>
      </c>
      <c r="O7300" s="1" t="str">
        <f>"6.81"</f>
        <v>6.81</v>
      </c>
    </row>
    <row r="7301" s="1" customFormat="1" spans="1:15">
      <c r="A7301" s="1" t="str">
        <f t="shared" si="4973"/>
        <v>202406</v>
      </c>
      <c r="B7301" s="1" t="str">
        <f t="shared" si="4974"/>
        <v>150525100</v>
      </c>
      <c r="C7301" s="1" t="str">
        <f>"1042721137"</f>
        <v>1042721137</v>
      </c>
      <c r="D7301" s="1" t="s">
        <v>7036</v>
      </c>
      <c r="E7301" s="1" t="s">
        <v>7037</v>
      </c>
      <c r="F7301" s="1" t="s">
        <v>16</v>
      </c>
      <c r="G7301" s="1" t="s">
        <v>17</v>
      </c>
      <c r="H7301" s="1" t="str">
        <f>"61"</f>
        <v>61</v>
      </c>
      <c r="I7301" s="1" t="str">
        <f>"167.35"</f>
        <v>167.35</v>
      </c>
      <c r="J7301" s="1" t="str">
        <f t="shared" ref="J7301:N7301" si="4978">"0"</f>
        <v>0</v>
      </c>
      <c r="K7301" s="1" t="str">
        <f t="shared" si="4959"/>
        <v>103</v>
      </c>
      <c r="L7301" s="1" t="str">
        <f t="shared" si="4960"/>
        <v>47</v>
      </c>
      <c r="M7301" s="1" t="str">
        <f t="shared" si="4978"/>
        <v>0</v>
      </c>
      <c r="N7301" s="1" t="str">
        <f t="shared" si="4978"/>
        <v>0</v>
      </c>
      <c r="O7301" s="1" t="str">
        <f>"17.35"</f>
        <v>17.35</v>
      </c>
    </row>
    <row r="7302" s="1" customFormat="1" spans="1:15">
      <c r="A7302" s="1" t="str">
        <f t="shared" si="4973"/>
        <v>202406</v>
      </c>
      <c r="B7302" s="1" t="str">
        <f t="shared" si="4974"/>
        <v>150525100</v>
      </c>
      <c r="C7302" s="1" t="str">
        <f>"1042748906"</f>
        <v>1042748906</v>
      </c>
      <c r="D7302" s="1" t="str">
        <f>"152326196307263828"</f>
        <v>152326196307263828</v>
      </c>
      <c r="E7302" s="1" t="s">
        <v>7038</v>
      </c>
      <c r="F7302" s="1" t="s">
        <v>16</v>
      </c>
      <c r="G7302" s="1" t="s">
        <v>17</v>
      </c>
      <c r="H7302" s="1" t="str">
        <f>"61"</f>
        <v>61</v>
      </c>
      <c r="I7302" s="1" t="str">
        <f>"170.09"</f>
        <v>170.09</v>
      </c>
      <c r="J7302" s="1" t="str">
        <f t="shared" ref="J7302:N7302" si="4979">"0"</f>
        <v>0</v>
      </c>
      <c r="K7302" s="1" t="str">
        <f t="shared" si="4959"/>
        <v>103</v>
      </c>
      <c r="L7302" s="1" t="str">
        <f t="shared" si="4960"/>
        <v>47</v>
      </c>
      <c r="M7302" s="1" t="str">
        <f t="shared" si="4979"/>
        <v>0</v>
      </c>
      <c r="N7302" s="1" t="str">
        <f t="shared" si="4979"/>
        <v>0</v>
      </c>
      <c r="O7302" s="1" t="str">
        <f>"20.09"</f>
        <v>20.09</v>
      </c>
    </row>
    <row r="7303" s="1" customFormat="1" spans="1:15">
      <c r="A7303" s="1" t="str">
        <f t="shared" si="4973"/>
        <v>202406</v>
      </c>
      <c r="B7303" s="1" t="str">
        <f t="shared" si="4974"/>
        <v>150525100</v>
      </c>
      <c r="C7303" s="1" t="str">
        <f>"1041624369"</f>
        <v>1041624369</v>
      </c>
      <c r="D7303" s="1" t="str">
        <f>"152326195901113078"</f>
        <v>152326195901113078</v>
      </c>
      <c r="E7303" s="1" t="s">
        <v>7039</v>
      </c>
      <c r="F7303" s="1" t="s">
        <v>25</v>
      </c>
      <c r="G7303" s="1" t="s">
        <v>17</v>
      </c>
      <c r="H7303" s="1" t="str">
        <f t="shared" ref="H7303:H7307" si="4980">"65"</f>
        <v>65</v>
      </c>
      <c r="I7303" s="1" t="str">
        <f>"156"</f>
        <v>156</v>
      </c>
      <c r="J7303" s="1" t="str">
        <f t="shared" ref="J7303:N7303" si="4981">"0"</f>
        <v>0</v>
      </c>
      <c r="K7303" s="1" t="str">
        <f t="shared" si="4959"/>
        <v>103</v>
      </c>
      <c r="L7303" s="1" t="str">
        <f t="shared" si="4960"/>
        <v>47</v>
      </c>
      <c r="M7303" s="1" t="str">
        <f t="shared" si="4981"/>
        <v>0</v>
      </c>
      <c r="N7303" s="1" t="str">
        <f t="shared" si="4981"/>
        <v>0</v>
      </c>
      <c r="O7303" s="1" t="str">
        <f>"6"</f>
        <v>6</v>
      </c>
    </row>
    <row r="7304" s="1" customFormat="1" spans="1:15">
      <c r="A7304" s="1" t="str">
        <f t="shared" si="4973"/>
        <v>202406</v>
      </c>
      <c r="B7304" s="1" t="str">
        <f t="shared" si="4974"/>
        <v>150525100</v>
      </c>
      <c r="C7304" s="1" t="str">
        <f>"1042152697"</f>
        <v>1042152697</v>
      </c>
      <c r="D7304" s="1" t="str">
        <f>"152326195801090913"</f>
        <v>152326195801090913</v>
      </c>
      <c r="E7304" s="1" t="s">
        <v>164</v>
      </c>
      <c r="F7304" s="1" t="s">
        <v>25</v>
      </c>
      <c r="G7304" s="1" t="s">
        <v>19</v>
      </c>
      <c r="H7304" s="1" t="str">
        <f>"66"</f>
        <v>66</v>
      </c>
      <c r="I7304" s="1" t="str">
        <f>"155.04"</f>
        <v>155.04</v>
      </c>
      <c r="J7304" s="1" t="str">
        <f t="shared" ref="J7304:N7304" si="4982">"0"</f>
        <v>0</v>
      </c>
      <c r="K7304" s="1" t="str">
        <f t="shared" si="4959"/>
        <v>103</v>
      </c>
      <c r="L7304" s="1" t="str">
        <f t="shared" si="4960"/>
        <v>47</v>
      </c>
      <c r="M7304" s="1" t="str">
        <f t="shared" si="4982"/>
        <v>0</v>
      </c>
      <c r="N7304" s="1" t="str">
        <f t="shared" si="4982"/>
        <v>0</v>
      </c>
      <c r="O7304" s="1" t="str">
        <f>"5.04"</f>
        <v>5.04</v>
      </c>
    </row>
    <row r="7305" s="1" customFormat="1" spans="1:15">
      <c r="A7305" s="1" t="str">
        <f t="shared" si="4973"/>
        <v>202406</v>
      </c>
      <c r="B7305" s="1" t="str">
        <f t="shared" si="4974"/>
        <v>150525100</v>
      </c>
      <c r="C7305" s="1" t="str">
        <f>"1042145191"</f>
        <v>1042145191</v>
      </c>
      <c r="D7305" s="1" t="str">
        <f>"152326195911243810"</f>
        <v>152326195911243810</v>
      </c>
      <c r="E7305" s="1" t="s">
        <v>7040</v>
      </c>
      <c r="F7305" s="1" t="s">
        <v>25</v>
      </c>
      <c r="G7305" s="1" t="s">
        <v>19</v>
      </c>
      <c r="H7305" s="1" t="str">
        <f t="shared" si="4980"/>
        <v>65</v>
      </c>
      <c r="I7305" s="1" t="str">
        <f>"156.06"</f>
        <v>156.06</v>
      </c>
      <c r="J7305" s="1" t="str">
        <f t="shared" ref="J7305:N7305" si="4983">"0"</f>
        <v>0</v>
      </c>
      <c r="K7305" s="1" t="str">
        <f t="shared" si="4959"/>
        <v>103</v>
      </c>
      <c r="L7305" s="1" t="str">
        <f t="shared" si="4960"/>
        <v>47</v>
      </c>
      <c r="M7305" s="1" t="str">
        <f t="shared" si="4983"/>
        <v>0</v>
      </c>
      <c r="N7305" s="1" t="str">
        <f t="shared" si="4983"/>
        <v>0</v>
      </c>
      <c r="O7305" s="1" t="str">
        <f>"6.06"</f>
        <v>6.06</v>
      </c>
    </row>
    <row r="7306" s="1" customFormat="1" spans="1:15">
      <c r="A7306" s="1" t="str">
        <f t="shared" si="4973"/>
        <v>202406</v>
      </c>
      <c r="B7306" s="1" t="str">
        <f t="shared" si="4974"/>
        <v>150525100</v>
      </c>
      <c r="C7306" s="1" t="str">
        <f>"1041663052"</f>
        <v>1041663052</v>
      </c>
      <c r="D7306" s="1" t="str">
        <f>"152326195808290694"</f>
        <v>152326195808290694</v>
      </c>
      <c r="E7306" s="1" t="s">
        <v>7041</v>
      </c>
      <c r="F7306" s="1" t="s">
        <v>25</v>
      </c>
      <c r="G7306" s="1" t="s">
        <v>19</v>
      </c>
      <c r="H7306" s="1" t="str">
        <f>"66"</f>
        <v>66</v>
      </c>
      <c r="I7306" s="1" t="str">
        <f>"150"</f>
        <v>150</v>
      </c>
      <c r="J7306" s="1" t="str">
        <f t="shared" ref="J7306:O7306" si="4984">"0"</f>
        <v>0</v>
      </c>
      <c r="K7306" s="1" t="str">
        <f t="shared" si="4959"/>
        <v>103</v>
      </c>
      <c r="L7306" s="1" t="str">
        <f t="shared" si="4960"/>
        <v>47</v>
      </c>
      <c r="M7306" s="1" t="str">
        <f t="shared" si="4984"/>
        <v>0</v>
      </c>
      <c r="N7306" s="1" t="str">
        <f t="shared" si="4984"/>
        <v>0</v>
      </c>
      <c r="O7306" s="1" t="str">
        <f t="shared" si="4984"/>
        <v>0</v>
      </c>
    </row>
    <row r="7307" s="1" customFormat="1" spans="1:15">
      <c r="A7307" s="1" t="str">
        <f t="shared" si="4973"/>
        <v>202406</v>
      </c>
      <c r="B7307" s="1" t="str">
        <f t="shared" si="4974"/>
        <v>150525100</v>
      </c>
      <c r="C7307" s="1" t="str">
        <f>"1042176276"</f>
        <v>1042176276</v>
      </c>
      <c r="D7307" s="1" t="str">
        <f>"152326195909093825"</f>
        <v>152326195909093825</v>
      </c>
      <c r="E7307" s="1" t="s">
        <v>812</v>
      </c>
      <c r="F7307" s="1" t="s">
        <v>16</v>
      </c>
      <c r="G7307" s="1" t="s">
        <v>17</v>
      </c>
      <c r="H7307" s="1" t="str">
        <f t="shared" si="4980"/>
        <v>65</v>
      </c>
      <c r="I7307" s="1" t="str">
        <f>"156.06"</f>
        <v>156.06</v>
      </c>
      <c r="J7307" s="1" t="str">
        <f t="shared" ref="J7307:N7307" si="4985">"0"</f>
        <v>0</v>
      </c>
      <c r="K7307" s="1" t="str">
        <f t="shared" si="4959"/>
        <v>103</v>
      </c>
      <c r="L7307" s="1" t="str">
        <f t="shared" si="4960"/>
        <v>47</v>
      </c>
      <c r="M7307" s="1" t="str">
        <f t="shared" si="4985"/>
        <v>0</v>
      </c>
      <c r="N7307" s="1" t="str">
        <f t="shared" si="4985"/>
        <v>0</v>
      </c>
      <c r="O7307" s="1" t="str">
        <f>"6.06"</f>
        <v>6.06</v>
      </c>
    </row>
    <row r="7308" s="1" customFormat="1" spans="1:15">
      <c r="A7308" s="1" t="str">
        <f t="shared" si="4973"/>
        <v>202406</v>
      </c>
      <c r="B7308" s="1" t="str">
        <f t="shared" si="4974"/>
        <v>150525100</v>
      </c>
      <c r="C7308" s="1" t="str">
        <f>"1042300427"</f>
        <v>1042300427</v>
      </c>
      <c r="D7308" s="1" t="str">
        <f>"152326195611010011"</f>
        <v>152326195611010011</v>
      </c>
      <c r="E7308" s="1" t="s">
        <v>7042</v>
      </c>
      <c r="F7308" s="1" t="s">
        <v>25</v>
      </c>
      <c r="G7308" s="1" t="s">
        <v>17</v>
      </c>
      <c r="H7308" s="1" t="str">
        <f>"68"</f>
        <v>68</v>
      </c>
      <c r="I7308" s="1" t="str">
        <f>"158.64"</f>
        <v>158.64</v>
      </c>
      <c r="J7308" s="1" t="str">
        <f t="shared" ref="J7308:N7308" si="4986">"0"</f>
        <v>0</v>
      </c>
      <c r="K7308" s="1" t="str">
        <f t="shared" si="4959"/>
        <v>103</v>
      </c>
      <c r="L7308" s="1" t="str">
        <f t="shared" si="4960"/>
        <v>47</v>
      </c>
      <c r="M7308" s="1" t="str">
        <f t="shared" si="4986"/>
        <v>0</v>
      </c>
      <c r="N7308" s="1" t="str">
        <f t="shared" si="4986"/>
        <v>0</v>
      </c>
      <c r="O7308" s="1" t="str">
        <f>"8.64"</f>
        <v>8.64</v>
      </c>
    </row>
    <row r="7309" s="1" customFormat="1" spans="1:15">
      <c r="A7309" s="1" t="str">
        <f t="shared" si="4973"/>
        <v>202406</v>
      </c>
      <c r="B7309" s="1" t="str">
        <f t="shared" si="4974"/>
        <v>150525100</v>
      </c>
      <c r="C7309" s="1" t="str">
        <f>"1042325338"</f>
        <v>1042325338</v>
      </c>
      <c r="D7309" s="1" t="str">
        <f>"152326196009073073"</f>
        <v>152326196009073073</v>
      </c>
      <c r="E7309" s="1" t="s">
        <v>7043</v>
      </c>
      <c r="F7309" s="1" t="s">
        <v>25</v>
      </c>
      <c r="G7309" s="1" t="s">
        <v>17</v>
      </c>
      <c r="H7309" s="1" t="str">
        <f t="shared" ref="H7309:H7312" si="4987">"64"</f>
        <v>64</v>
      </c>
      <c r="I7309" s="1" t="str">
        <f>"156.79"</f>
        <v>156.79</v>
      </c>
      <c r="J7309" s="1" t="str">
        <f t="shared" ref="J7309:N7309" si="4988">"0"</f>
        <v>0</v>
      </c>
      <c r="K7309" s="1" t="str">
        <f t="shared" si="4959"/>
        <v>103</v>
      </c>
      <c r="L7309" s="1" t="str">
        <f t="shared" si="4960"/>
        <v>47</v>
      </c>
      <c r="M7309" s="1" t="str">
        <f t="shared" si="4988"/>
        <v>0</v>
      </c>
      <c r="N7309" s="1" t="str">
        <f t="shared" si="4988"/>
        <v>0</v>
      </c>
      <c r="O7309" s="1" t="str">
        <f>"6.79"</f>
        <v>6.79</v>
      </c>
    </row>
    <row r="7310" s="1" customFormat="1" spans="1:15">
      <c r="A7310" s="1" t="str">
        <f t="shared" si="4973"/>
        <v>202406</v>
      </c>
      <c r="B7310" s="1" t="str">
        <f t="shared" si="4974"/>
        <v>150525100</v>
      </c>
      <c r="C7310" s="1" t="str">
        <f>"1042453032"</f>
        <v>1042453032</v>
      </c>
      <c r="D7310" s="1" t="str">
        <f>"152326196005020660"</f>
        <v>152326196005020660</v>
      </c>
      <c r="E7310" s="1" t="s">
        <v>7044</v>
      </c>
      <c r="F7310" s="1" t="s">
        <v>16</v>
      </c>
      <c r="G7310" s="1" t="s">
        <v>17</v>
      </c>
      <c r="H7310" s="1" t="str">
        <f t="shared" si="4987"/>
        <v>64</v>
      </c>
      <c r="I7310" s="1" t="str">
        <f>"157.06"</f>
        <v>157.06</v>
      </c>
      <c r="J7310" s="1" t="str">
        <f t="shared" ref="J7310:N7310" si="4989">"0"</f>
        <v>0</v>
      </c>
      <c r="K7310" s="1" t="str">
        <f t="shared" si="4959"/>
        <v>103</v>
      </c>
      <c r="L7310" s="1" t="str">
        <f t="shared" si="4960"/>
        <v>47</v>
      </c>
      <c r="M7310" s="1" t="str">
        <f t="shared" si="4989"/>
        <v>0</v>
      </c>
      <c r="N7310" s="1" t="str">
        <f t="shared" si="4989"/>
        <v>0</v>
      </c>
      <c r="O7310" s="1" t="str">
        <f>"7.06"</f>
        <v>7.06</v>
      </c>
    </row>
    <row r="7311" s="1" customFormat="1" spans="1:15">
      <c r="A7311" s="1" t="str">
        <f t="shared" si="4973"/>
        <v>202406</v>
      </c>
      <c r="B7311" s="1" t="str">
        <f t="shared" si="4974"/>
        <v>150525100</v>
      </c>
      <c r="C7311" s="1" t="str">
        <f>"1042341087"</f>
        <v>1042341087</v>
      </c>
      <c r="D7311" s="1" t="str">
        <f>"152326195901156860"</f>
        <v>152326195901156860</v>
      </c>
      <c r="E7311" s="1" t="s">
        <v>7045</v>
      </c>
      <c r="F7311" s="1" t="s">
        <v>16</v>
      </c>
      <c r="G7311" s="1" t="s">
        <v>17</v>
      </c>
      <c r="H7311" s="1" t="str">
        <f>"65"</f>
        <v>65</v>
      </c>
      <c r="I7311" s="1" t="str">
        <f>"214.83"</f>
        <v>214.83</v>
      </c>
      <c r="J7311" s="1" t="str">
        <f t="shared" ref="J7311:N7311" si="4990">"0"</f>
        <v>0</v>
      </c>
      <c r="K7311" s="1" t="str">
        <f t="shared" si="4959"/>
        <v>103</v>
      </c>
      <c r="L7311" s="1" t="str">
        <f t="shared" si="4960"/>
        <v>47</v>
      </c>
      <c r="M7311" s="1" t="str">
        <f t="shared" si="4990"/>
        <v>0</v>
      </c>
      <c r="N7311" s="1" t="str">
        <f t="shared" si="4990"/>
        <v>0</v>
      </c>
      <c r="O7311" s="1" t="str">
        <f>"64.83"</f>
        <v>64.83</v>
      </c>
    </row>
    <row r="7312" s="1" customFormat="1" spans="1:15">
      <c r="A7312" s="1" t="str">
        <f t="shared" si="4973"/>
        <v>202406</v>
      </c>
      <c r="B7312" s="1" t="str">
        <f t="shared" si="4974"/>
        <v>150525100</v>
      </c>
      <c r="C7312" s="1" t="str">
        <f>"1042468927"</f>
        <v>1042468927</v>
      </c>
      <c r="D7312" s="1" t="str">
        <f>"152326196008200923"</f>
        <v>152326196008200923</v>
      </c>
      <c r="E7312" s="1" t="s">
        <v>7046</v>
      </c>
      <c r="F7312" s="1" t="s">
        <v>16</v>
      </c>
      <c r="G7312" s="1" t="s">
        <v>19</v>
      </c>
      <c r="H7312" s="1" t="str">
        <f t="shared" si="4987"/>
        <v>64</v>
      </c>
      <c r="I7312" s="1" t="str">
        <f>"156.8"</f>
        <v>156.8</v>
      </c>
      <c r="J7312" s="1" t="str">
        <f t="shared" ref="J7312:N7312" si="4991">"0"</f>
        <v>0</v>
      </c>
      <c r="K7312" s="1" t="str">
        <f t="shared" si="4959"/>
        <v>103</v>
      </c>
      <c r="L7312" s="1" t="str">
        <f t="shared" si="4960"/>
        <v>47</v>
      </c>
      <c r="M7312" s="1" t="str">
        <f t="shared" si="4991"/>
        <v>0</v>
      </c>
      <c r="N7312" s="1" t="str">
        <f t="shared" si="4991"/>
        <v>0</v>
      </c>
      <c r="O7312" s="1" t="str">
        <f>"6.8"</f>
        <v>6.8</v>
      </c>
    </row>
    <row r="7313" s="1" customFormat="1" spans="1:15">
      <c r="A7313" s="1" t="str">
        <f t="shared" si="4973"/>
        <v>202406</v>
      </c>
      <c r="B7313" s="1" t="str">
        <f t="shared" si="4974"/>
        <v>150525100</v>
      </c>
      <c r="C7313" s="1" t="str">
        <f>"1042331042"</f>
        <v>1042331042</v>
      </c>
      <c r="D7313" s="1" t="str">
        <f>"152326195912090916"</f>
        <v>152326195912090916</v>
      </c>
      <c r="E7313" s="1" t="s">
        <v>7047</v>
      </c>
      <c r="F7313" s="1" t="s">
        <v>25</v>
      </c>
      <c r="G7313" s="1" t="s">
        <v>17</v>
      </c>
      <c r="H7313" s="1" t="str">
        <f>"65"</f>
        <v>65</v>
      </c>
      <c r="I7313" s="1" t="str">
        <f>"156.73"</f>
        <v>156.73</v>
      </c>
      <c r="J7313" s="1" t="str">
        <f t="shared" ref="J7313:N7313" si="4992">"0"</f>
        <v>0</v>
      </c>
      <c r="K7313" s="1" t="str">
        <f t="shared" si="4959"/>
        <v>103</v>
      </c>
      <c r="L7313" s="1" t="str">
        <f t="shared" si="4960"/>
        <v>47</v>
      </c>
      <c r="M7313" s="1" t="str">
        <f t="shared" si="4992"/>
        <v>0</v>
      </c>
      <c r="N7313" s="1" t="str">
        <f t="shared" si="4992"/>
        <v>0</v>
      </c>
      <c r="O7313" s="1" t="str">
        <f>"6.73"</f>
        <v>6.73</v>
      </c>
    </row>
    <row r="7314" s="1" customFormat="1" spans="1:15">
      <c r="A7314" s="1" t="str">
        <f t="shared" si="4973"/>
        <v>202406</v>
      </c>
      <c r="B7314" s="1" t="str">
        <f t="shared" si="4974"/>
        <v>150525100</v>
      </c>
      <c r="C7314" s="1" t="str">
        <f>"1042279286"</f>
        <v>1042279286</v>
      </c>
      <c r="D7314" s="1" t="str">
        <f>"152326195901033828"</f>
        <v>152326195901033828</v>
      </c>
      <c r="E7314" s="1" t="s">
        <v>7048</v>
      </c>
      <c r="F7314" s="1" t="s">
        <v>16</v>
      </c>
      <c r="G7314" s="1" t="s">
        <v>19</v>
      </c>
      <c r="H7314" s="1" t="str">
        <f>"66"</f>
        <v>66</v>
      </c>
      <c r="I7314" s="1" t="str">
        <f>"156.01"</f>
        <v>156.01</v>
      </c>
      <c r="J7314" s="1" t="str">
        <f t="shared" ref="J7314:N7314" si="4993">"0"</f>
        <v>0</v>
      </c>
      <c r="K7314" s="1" t="str">
        <f t="shared" si="4959"/>
        <v>103</v>
      </c>
      <c r="L7314" s="1" t="str">
        <f t="shared" si="4960"/>
        <v>47</v>
      </c>
      <c r="M7314" s="1" t="str">
        <f t="shared" si="4993"/>
        <v>0</v>
      </c>
      <c r="N7314" s="1" t="str">
        <f t="shared" si="4993"/>
        <v>0</v>
      </c>
      <c r="O7314" s="1" t="str">
        <f>"6.01"</f>
        <v>6.01</v>
      </c>
    </row>
    <row r="7315" s="1" customFormat="1" spans="1:15">
      <c r="A7315" s="1" t="str">
        <f t="shared" si="4973"/>
        <v>202406</v>
      </c>
      <c r="B7315" s="1" t="str">
        <f t="shared" si="4974"/>
        <v>150525100</v>
      </c>
      <c r="C7315" s="1" t="str">
        <f>"1042275903"</f>
        <v>1042275903</v>
      </c>
      <c r="D7315" s="1" t="str">
        <f>"152326196210160048"</f>
        <v>152326196210160048</v>
      </c>
      <c r="E7315" s="1" t="s">
        <v>7049</v>
      </c>
      <c r="F7315" s="1" t="s">
        <v>16</v>
      </c>
      <c r="G7315" s="1" t="s">
        <v>17</v>
      </c>
      <c r="H7315" s="1" t="str">
        <f>"62"</f>
        <v>62</v>
      </c>
      <c r="I7315" s="1" t="str">
        <f>"167.02"</f>
        <v>167.02</v>
      </c>
      <c r="J7315" s="1" t="str">
        <f t="shared" ref="J7315:N7315" si="4994">"0"</f>
        <v>0</v>
      </c>
      <c r="K7315" s="1" t="str">
        <f t="shared" si="4959"/>
        <v>103</v>
      </c>
      <c r="L7315" s="1" t="str">
        <f t="shared" si="4960"/>
        <v>47</v>
      </c>
      <c r="M7315" s="1" t="str">
        <f t="shared" si="4994"/>
        <v>0</v>
      </c>
      <c r="N7315" s="1" t="str">
        <f t="shared" si="4994"/>
        <v>0</v>
      </c>
      <c r="O7315" s="1" t="str">
        <f>"17.02"</f>
        <v>17.02</v>
      </c>
    </row>
    <row r="7316" s="1" customFormat="1" spans="1:15">
      <c r="A7316" s="1" t="str">
        <f t="shared" si="4973"/>
        <v>202406</v>
      </c>
      <c r="B7316" s="1" t="str">
        <f t="shared" si="4974"/>
        <v>150525100</v>
      </c>
      <c r="C7316" s="1" t="str">
        <f>"1042765054"</f>
        <v>1042765054</v>
      </c>
      <c r="D7316" s="1" t="str">
        <f>"152326196106013814"</f>
        <v>152326196106013814</v>
      </c>
      <c r="E7316" s="1" t="s">
        <v>7050</v>
      </c>
      <c r="F7316" s="1" t="s">
        <v>25</v>
      </c>
      <c r="G7316" s="1" t="s">
        <v>17</v>
      </c>
      <c r="H7316" s="1" t="str">
        <f t="shared" ref="H7316:H7319" si="4995">"63"</f>
        <v>63</v>
      </c>
      <c r="I7316" s="1" t="str">
        <f>"158.62"</f>
        <v>158.62</v>
      </c>
      <c r="J7316" s="1" t="str">
        <f t="shared" ref="J7316:N7316" si="4996">"0"</f>
        <v>0</v>
      </c>
      <c r="K7316" s="1" t="str">
        <f t="shared" si="4959"/>
        <v>103</v>
      </c>
      <c r="L7316" s="1" t="str">
        <f t="shared" si="4960"/>
        <v>47</v>
      </c>
      <c r="M7316" s="1" t="str">
        <f t="shared" si="4996"/>
        <v>0</v>
      </c>
      <c r="N7316" s="1" t="str">
        <f t="shared" si="4996"/>
        <v>0</v>
      </c>
      <c r="O7316" s="1" t="str">
        <f>"8.62"</f>
        <v>8.62</v>
      </c>
    </row>
    <row r="7317" s="1" customFormat="1" spans="1:15">
      <c r="A7317" s="1" t="str">
        <f t="shared" si="4973"/>
        <v>202406</v>
      </c>
      <c r="B7317" s="1" t="str">
        <f t="shared" si="4974"/>
        <v>150525100</v>
      </c>
      <c r="C7317" s="1" t="str">
        <f>"1042842360"</f>
        <v>1042842360</v>
      </c>
      <c r="D7317" s="1" t="str">
        <f>"152326196107110683"</f>
        <v>152326196107110683</v>
      </c>
      <c r="E7317" s="1" t="s">
        <v>6760</v>
      </c>
      <c r="F7317" s="1" t="s">
        <v>16</v>
      </c>
      <c r="G7317" s="1" t="s">
        <v>17</v>
      </c>
      <c r="H7317" s="1" t="str">
        <f t="shared" si="4995"/>
        <v>63</v>
      </c>
      <c r="I7317" s="1" t="str">
        <f>"158.59"</f>
        <v>158.59</v>
      </c>
      <c r="J7317" s="1" t="str">
        <f t="shared" ref="J7317:N7317" si="4997">"0"</f>
        <v>0</v>
      </c>
      <c r="K7317" s="1" t="str">
        <f t="shared" si="4959"/>
        <v>103</v>
      </c>
      <c r="L7317" s="1" t="str">
        <f t="shared" si="4960"/>
        <v>47</v>
      </c>
      <c r="M7317" s="1" t="str">
        <f t="shared" si="4997"/>
        <v>0</v>
      </c>
      <c r="N7317" s="1" t="str">
        <f t="shared" si="4997"/>
        <v>0</v>
      </c>
      <c r="O7317" s="1" t="str">
        <f>"8.59"</f>
        <v>8.59</v>
      </c>
    </row>
    <row r="7318" s="1" customFormat="1" spans="1:15">
      <c r="A7318" s="1" t="str">
        <f t="shared" si="4973"/>
        <v>202406</v>
      </c>
      <c r="B7318" s="1" t="str">
        <f t="shared" si="4974"/>
        <v>150525100</v>
      </c>
      <c r="C7318" s="1" t="str">
        <f>"1042806334"</f>
        <v>1042806334</v>
      </c>
      <c r="D7318" s="1" t="str">
        <f>"152326195906106379"</f>
        <v>152326195906106379</v>
      </c>
      <c r="E7318" s="1" t="s">
        <v>7051</v>
      </c>
      <c r="F7318" s="1" t="s">
        <v>25</v>
      </c>
      <c r="G7318" s="1" t="s">
        <v>17</v>
      </c>
      <c r="H7318" s="1" t="str">
        <f>"65"</f>
        <v>65</v>
      </c>
      <c r="I7318" s="1" t="str">
        <f>"157.56"</f>
        <v>157.56</v>
      </c>
      <c r="J7318" s="1" t="str">
        <f t="shared" ref="J7318:N7318" si="4998">"0"</f>
        <v>0</v>
      </c>
      <c r="K7318" s="1" t="str">
        <f t="shared" si="4959"/>
        <v>103</v>
      </c>
      <c r="L7318" s="1" t="str">
        <f t="shared" si="4960"/>
        <v>47</v>
      </c>
      <c r="M7318" s="1" t="str">
        <f t="shared" si="4998"/>
        <v>0</v>
      </c>
      <c r="N7318" s="1" t="str">
        <f t="shared" si="4998"/>
        <v>0</v>
      </c>
      <c r="O7318" s="1" t="str">
        <f>"7.56"</f>
        <v>7.56</v>
      </c>
    </row>
    <row r="7319" s="1" customFormat="1" spans="1:15">
      <c r="A7319" s="1" t="str">
        <f t="shared" si="4973"/>
        <v>202406</v>
      </c>
      <c r="B7319" s="1" t="str">
        <f t="shared" si="4974"/>
        <v>150525100</v>
      </c>
      <c r="C7319" s="1" t="str">
        <f>"1042757141"</f>
        <v>1042757141</v>
      </c>
      <c r="D7319" s="1" t="str">
        <f>"152326196106263311"</f>
        <v>152326196106263311</v>
      </c>
      <c r="E7319" s="1" t="s">
        <v>7052</v>
      </c>
      <c r="F7319" s="1" t="s">
        <v>25</v>
      </c>
      <c r="G7319" s="1" t="s">
        <v>17</v>
      </c>
      <c r="H7319" s="1" t="str">
        <f t="shared" si="4995"/>
        <v>63</v>
      </c>
      <c r="I7319" s="1" t="str">
        <f>"187.83"</f>
        <v>187.83</v>
      </c>
      <c r="J7319" s="1" t="str">
        <f t="shared" ref="J7319:N7319" si="4999">"0"</f>
        <v>0</v>
      </c>
      <c r="K7319" s="1" t="str">
        <f t="shared" si="4959"/>
        <v>103</v>
      </c>
      <c r="L7319" s="1" t="str">
        <f t="shared" si="4960"/>
        <v>47</v>
      </c>
      <c r="M7319" s="1" t="str">
        <f t="shared" si="4999"/>
        <v>0</v>
      </c>
      <c r="N7319" s="1" t="str">
        <f t="shared" si="4999"/>
        <v>0</v>
      </c>
      <c r="O7319" s="1" t="str">
        <f>"37.83"</f>
        <v>37.83</v>
      </c>
    </row>
    <row r="7320" s="1" customFormat="1" spans="1:15">
      <c r="A7320" s="1" t="str">
        <f t="shared" si="4973"/>
        <v>202406</v>
      </c>
      <c r="B7320" s="1" t="str">
        <f t="shared" si="4974"/>
        <v>150525100</v>
      </c>
      <c r="C7320" s="1" t="str">
        <f>"1042805024"</f>
        <v>1042805024</v>
      </c>
      <c r="D7320" s="1" t="str">
        <f>"152326196307172811"</f>
        <v>152326196307172811</v>
      </c>
      <c r="E7320" s="1" t="s">
        <v>7053</v>
      </c>
      <c r="F7320" s="1" t="s">
        <v>25</v>
      </c>
      <c r="G7320" s="1" t="s">
        <v>17</v>
      </c>
      <c r="H7320" s="1" t="str">
        <f>"61"</f>
        <v>61</v>
      </c>
      <c r="I7320" s="1" t="str">
        <f>"170.12"</f>
        <v>170.12</v>
      </c>
      <c r="J7320" s="1" t="str">
        <f t="shared" ref="J7320:N7320" si="5000">"0"</f>
        <v>0</v>
      </c>
      <c r="K7320" s="1" t="str">
        <f t="shared" si="4959"/>
        <v>103</v>
      </c>
      <c r="L7320" s="1" t="str">
        <f t="shared" si="4960"/>
        <v>47</v>
      </c>
      <c r="M7320" s="1" t="str">
        <f t="shared" si="5000"/>
        <v>0</v>
      </c>
      <c r="N7320" s="1" t="str">
        <f t="shared" si="5000"/>
        <v>0</v>
      </c>
      <c r="O7320" s="1" t="str">
        <f>"20.12"</f>
        <v>20.12</v>
      </c>
    </row>
    <row r="7321" s="1" customFormat="1" spans="1:15">
      <c r="A7321" s="1" t="str">
        <f t="shared" si="4973"/>
        <v>202406</v>
      </c>
      <c r="B7321" s="1" t="str">
        <f t="shared" si="4974"/>
        <v>150525100</v>
      </c>
      <c r="C7321" s="1" t="str">
        <f>"1042574653"</f>
        <v>1042574653</v>
      </c>
      <c r="D7321" s="1" t="str">
        <f>"152326195708010675"</f>
        <v>152326195708010675</v>
      </c>
      <c r="E7321" s="1" t="s">
        <v>7054</v>
      </c>
      <c r="F7321" s="1" t="s">
        <v>25</v>
      </c>
      <c r="G7321" s="1" t="s">
        <v>17</v>
      </c>
      <c r="H7321" s="1" t="str">
        <f>"67"</f>
        <v>67</v>
      </c>
      <c r="I7321" s="1" t="str">
        <f>"155.04"</f>
        <v>155.04</v>
      </c>
      <c r="J7321" s="1" t="str">
        <f t="shared" ref="J7321:N7321" si="5001">"0"</f>
        <v>0</v>
      </c>
      <c r="K7321" s="1" t="str">
        <f t="shared" si="4959"/>
        <v>103</v>
      </c>
      <c r="L7321" s="1" t="str">
        <f t="shared" si="4960"/>
        <v>47</v>
      </c>
      <c r="M7321" s="1" t="str">
        <f t="shared" si="5001"/>
        <v>0</v>
      </c>
      <c r="N7321" s="1" t="str">
        <f t="shared" si="5001"/>
        <v>0</v>
      </c>
      <c r="O7321" s="1" t="str">
        <f>"5.04"</f>
        <v>5.04</v>
      </c>
    </row>
    <row r="7322" s="1" customFormat="1" spans="1:15">
      <c r="A7322" s="1" t="str">
        <f t="shared" si="4973"/>
        <v>202406</v>
      </c>
      <c r="B7322" s="1" t="str">
        <f t="shared" si="4974"/>
        <v>150525100</v>
      </c>
      <c r="C7322" s="1" t="str">
        <f>"1042741273"</f>
        <v>1042741273</v>
      </c>
      <c r="D7322" s="1" t="str">
        <f>"152326196004103325"</f>
        <v>152326196004103325</v>
      </c>
      <c r="E7322" s="1" t="s">
        <v>7055</v>
      </c>
      <c r="F7322" s="1" t="s">
        <v>16</v>
      </c>
      <c r="G7322" s="1" t="s">
        <v>17</v>
      </c>
      <c r="H7322" s="1" t="str">
        <f t="shared" ref="H7322:H7326" si="5002">"64"</f>
        <v>64</v>
      </c>
      <c r="I7322" s="1" t="str">
        <f>"156.76"</f>
        <v>156.76</v>
      </c>
      <c r="J7322" s="1" t="str">
        <f t="shared" ref="J7322:N7322" si="5003">"0"</f>
        <v>0</v>
      </c>
      <c r="K7322" s="1" t="str">
        <f t="shared" si="4959"/>
        <v>103</v>
      </c>
      <c r="L7322" s="1" t="str">
        <f t="shared" si="4960"/>
        <v>47</v>
      </c>
      <c r="M7322" s="1" t="str">
        <f t="shared" si="5003"/>
        <v>0</v>
      </c>
      <c r="N7322" s="1" t="str">
        <f t="shared" si="5003"/>
        <v>0</v>
      </c>
      <c r="O7322" s="1" t="str">
        <f>"6.76"</f>
        <v>6.76</v>
      </c>
    </row>
    <row r="7323" s="1" customFormat="1" spans="1:15">
      <c r="A7323" s="1" t="str">
        <f t="shared" si="4973"/>
        <v>202406</v>
      </c>
      <c r="B7323" s="1" t="str">
        <f t="shared" si="4974"/>
        <v>150525100</v>
      </c>
      <c r="C7323" s="1" t="str">
        <f>"1042786074"</f>
        <v>1042786074</v>
      </c>
      <c r="D7323" s="1" t="str">
        <f>"152326196310103817"</f>
        <v>152326196310103817</v>
      </c>
      <c r="E7323" s="1" t="s">
        <v>7056</v>
      </c>
      <c r="F7323" s="1" t="s">
        <v>25</v>
      </c>
      <c r="G7323" s="1" t="s">
        <v>17</v>
      </c>
      <c r="H7323" s="1" t="str">
        <f>"61"</f>
        <v>61</v>
      </c>
      <c r="I7323" s="1" t="str">
        <f>"169.5"</f>
        <v>169.5</v>
      </c>
      <c r="J7323" s="1" t="str">
        <f t="shared" ref="J7323:N7323" si="5004">"0"</f>
        <v>0</v>
      </c>
      <c r="K7323" s="1" t="str">
        <f t="shared" si="4959"/>
        <v>103</v>
      </c>
      <c r="L7323" s="1" t="str">
        <f t="shared" si="4960"/>
        <v>47</v>
      </c>
      <c r="M7323" s="1" t="str">
        <f t="shared" si="5004"/>
        <v>0</v>
      </c>
      <c r="N7323" s="1" t="str">
        <f t="shared" si="5004"/>
        <v>0</v>
      </c>
      <c r="O7323" s="1" t="str">
        <f>"19.5"</f>
        <v>19.5</v>
      </c>
    </row>
    <row r="7324" s="1" customFormat="1" spans="1:15">
      <c r="A7324" s="1" t="str">
        <f t="shared" si="4973"/>
        <v>202406</v>
      </c>
      <c r="B7324" s="1" t="str">
        <f t="shared" si="4974"/>
        <v>150525100</v>
      </c>
      <c r="C7324" s="1" t="str">
        <f>"1042727867"</f>
        <v>1042727867</v>
      </c>
      <c r="D7324" s="1" t="str">
        <f>"152326196104153311"</f>
        <v>152326196104153311</v>
      </c>
      <c r="E7324" s="1" t="s">
        <v>7057</v>
      </c>
      <c r="F7324" s="1" t="s">
        <v>25</v>
      </c>
      <c r="G7324" s="1" t="s">
        <v>17</v>
      </c>
      <c r="H7324" s="1" t="str">
        <f>"63"</f>
        <v>63</v>
      </c>
      <c r="I7324" s="1" t="str">
        <f>"158.57"</f>
        <v>158.57</v>
      </c>
      <c r="J7324" s="1" t="str">
        <f t="shared" ref="J7324:N7324" si="5005">"0"</f>
        <v>0</v>
      </c>
      <c r="K7324" s="1" t="str">
        <f t="shared" si="4959"/>
        <v>103</v>
      </c>
      <c r="L7324" s="1" t="str">
        <f t="shared" si="4960"/>
        <v>47</v>
      </c>
      <c r="M7324" s="1" t="str">
        <f t="shared" si="5005"/>
        <v>0</v>
      </c>
      <c r="N7324" s="1" t="str">
        <f t="shared" si="5005"/>
        <v>0</v>
      </c>
      <c r="O7324" s="1" t="str">
        <f>"8.57"</f>
        <v>8.57</v>
      </c>
    </row>
    <row r="7325" s="1" customFormat="1" spans="1:15">
      <c r="A7325" s="1" t="str">
        <f t="shared" si="4973"/>
        <v>202406</v>
      </c>
      <c r="B7325" s="1" t="str">
        <f t="shared" si="4974"/>
        <v>150525100</v>
      </c>
      <c r="C7325" s="1" t="str">
        <f>"1042572956"</f>
        <v>1042572956</v>
      </c>
      <c r="D7325" s="1" t="str">
        <f>"152326196101066124"</f>
        <v>152326196101066124</v>
      </c>
      <c r="E7325" s="1" t="s">
        <v>6760</v>
      </c>
      <c r="F7325" s="1" t="s">
        <v>16</v>
      </c>
      <c r="G7325" s="1" t="s">
        <v>17</v>
      </c>
      <c r="H7325" s="1" t="str">
        <f t="shared" si="5002"/>
        <v>64</v>
      </c>
      <c r="I7325" s="1" t="str">
        <f>"158.91"</f>
        <v>158.91</v>
      </c>
      <c r="J7325" s="1" t="str">
        <f t="shared" ref="J7325:N7325" si="5006">"0"</f>
        <v>0</v>
      </c>
      <c r="K7325" s="1" t="str">
        <f t="shared" si="4959"/>
        <v>103</v>
      </c>
      <c r="L7325" s="1" t="str">
        <f t="shared" si="4960"/>
        <v>47</v>
      </c>
      <c r="M7325" s="1" t="str">
        <f t="shared" si="5006"/>
        <v>0</v>
      </c>
      <c r="N7325" s="1" t="str">
        <f t="shared" si="5006"/>
        <v>0</v>
      </c>
      <c r="O7325" s="1" t="str">
        <f>"8.91"</f>
        <v>8.91</v>
      </c>
    </row>
    <row r="7326" s="1" customFormat="1" spans="1:15">
      <c r="A7326" s="1" t="str">
        <f t="shared" si="4973"/>
        <v>202406</v>
      </c>
      <c r="B7326" s="1" t="str">
        <f t="shared" si="4974"/>
        <v>150525100</v>
      </c>
      <c r="C7326" s="1" t="str">
        <f>"1042516300"</f>
        <v>1042516300</v>
      </c>
      <c r="D7326" s="1" t="s">
        <v>7058</v>
      </c>
      <c r="E7326" s="1" t="s">
        <v>7059</v>
      </c>
      <c r="F7326" s="1" t="s">
        <v>25</v>
      </c>
      <c r="G7326" s="1" t="s">
        <v>17</v>
      </c>
      <c r="H7326" s="1" t="str">
        <f t="shared" si="5002"/>
        <v>64</v>
      </c>
      <c r="I7326" s="1" t="str">
        <f>"156.79"</f>
        <v>156.79</v>
      </c>
      <c r="J7326" s="1" t="str">
        <f t="shared" ref="J7326:N7326" si="5007">"0"</f>
        <v>0</v>
      </c>
      <c r="K7326" s="1" t="str">
        <f t="shared" si="4959"/>
        <v>103</v>
      </c>
      <c r="L7326" s="1" t="str">
        <f t="shared" si="4960"/>
        <v>47</v>
      </c>
      <c r="M7326" s="1" t="str">
        <f t="shared" si="5007"/>
        <v>0</v>
      </c>
      <c r="N7326" s="1" t="str">
        <f t="shared" si="5007"/>
        <v>0</v>
      </c>
      <c r="O7326" s="1" t="str">
        <f>"6.79"</f>
        <v>6.79</v>
      </c>
    </row>
    <row r="7327" s="1" customFormat="1" spans="1:15">
      <c r="A7327" s="1" t="str">
        <f t="shared" si="4973"/>
        <v>202406</v>
      </c>
      <c r="B7327" s="1" t="str">
        <f t="shared" si="4974"/>
        <v>150525100</v>
      </c>
      <c r="C7327" s="1" t="str">
        <f>"1042803701"</f>
        <v>1042803701</v>
      </c>
      <c r="D7327" s="1" t="str">
        <f>"152326196204253328"</f>
        <v>152326196204253328</v>
      </c>
      <c r="E7327" s="1" t="s">
        <v>7060</v>
      </c>
      <c r="F7327" s="1" t="s">
        <v>16</v>
      </c>
      <c r="G7327" s="1" t="s">
        <v>17</v>
      </c>
      <c r="H7327" s="1" t="str">
        <f t="shared" ref="H7327:H7332" si="5008">"62"</f>
        <v>62</v>
      </c>
      <c r="I7327" s="1" t="str">
        <f>"160.76"</f>
        <v>160.76</v>
      </c>
      <c r="J7327" s="1" t="str">
        <f t="shared" ref="J7327:N7327" si="5009">"0"</f>
        <v>0</v>
      </c>
      <c r="K7327" s="1" t="str">
        <f t="shared" si="4959"/>
        <v>103</v>
      </c>
      <c r="L7327" s="1" t="str">
        <f t="shared" si="4960"/>
        <v>47</v>
      </c>
      <c r="M7327" s="1" t="str">
        <f t="shared" si="5009"/>
        <v>0</v>
      </c>
      <c r="N7327" s="1" t="str">
        <f t="shared" si="5009"/>
        <v>0</v>
      </c>
      <c r="O7327" s="1" t="str">
        <f>"10.76"</f>
        <v>10.76</v>
      </c>
    </row>
    <row r="7328" s="1" customFormat="1" spans="1:15">
      <c r="A7328" s="1" t="str">
        <f t="shared" si="4973"/>
        <v>202406</v>
      </c>
      <c r="B7328" s="1" t="str">
        <f t="shared" si="4974"/>
        <v>150525100</v>
      </c>
      <c r="C7328" s="1" t="str">
        <f>"1043062005"</f>
        <v>1043062005</v>
      </c>
      <c r="D7328" s="1" t="str">
        <f>"152326196202050025"</f>
        <v>152326196202050025</v>
      </c>
      <c r="E7328" s="1" t="s">
        <v>7061</v>
      </c>
      <c r="F7328" s="1" t="s">
        <v>16</v>
      </c>
      <c r="G7328" s="1" t="s">
        <v>17</v>
      </c>
      <c r="H7328" s="1" t="str">
        <f t="shared" si="5008"/>
        <v>62</v>
      </c>
      <c r="I7328" s="1" t="str">
        <f>"165.86"</f>
        <v>165.86</v>
      </c>
      <c r="J7328" s="1" t="str">
        <f t="shared" ref="J7328:N7328" si="5010">"0"</f>
        <v>0</v>
      </c>
      <c r="K7328" s="1" t="str">
        <f t="shared" si="4959"/>
        <v>103</v>
      </c>
      <c r="L7328" s="1" t="str">
        <f t="shared" si="4960"/>
        <v>47</v>
      </c>
      <c r="M7328" s="1" t="str">
        <f t="shared" si="5010"/>
        <v>0</v>
      </c>
      <c r="N7328" s="1" t="str">
        <f t="shared" si="5010"/>
        <v>0</v>
      </c>
      <c r="O7328" s="1" t="str">
        <f>"15.86"</f>
        <v>15.86</v>
      </c>
    </row>
    <row r="7329" s="1" customFormat="1" spans="1:15">
      <c r="A7329" s="1" t="str">
        <f t="shared" si="4973"/>
        <v>202406</v>
      </c>
      <c r="B7329" s="1" t="str">
        <f t="shared" si="4974"/>
        <v>150525100</v>
      </c>
      <c r="C7329" s="1" t="str">
        <f>"1043290394"</f>
        <v>1043290394</v>
      </c>
      <c r="D7329" s="1" t="str">
        <f>"152326196301136115"</f>
        <v>152326196301136115</v>
      </c>
      <c r="E7329" s="1" t="s">
        <v>7062</v>
      </c>
      <c r="F7329" s="1" t="s">
        <v>25</v>
      </c>
      <c r="G7329" s="1" t="s">
        <v>17</v>
      </c>
      <c r="H7329" s="1" t="str">
        <f>"61"</f>
        <v>61</v>
      </c>
      <c r="I7329" s="1" t="str">
        <f>"162.02"</f>
        <v>162.02</v>
      </c>
      <c r="J7329" s="1" t="str">
        <f t="shared" ref="J7329:N7329" si="5011">"0"</f>
        <v>0</v>
      </c>
      <c r="K7329" s="1" t="str">
        <f t="shared" si="4959"/>
        <v>103</v>
      </c>
      <c r="L7329" s="1" t="str">
        <f t="shared" si="4960"/>
        <v>47</v>
      </c>
      <c r="M7329" s="1" t="str">
        <f t="shared" si="5011"/>
        <v>0</v>
      </c>
      <c r="N7329" s="1" t="str">
        <f t="shared" si="5011"/>
        <v>0</v>
      </c>
      <c r="O7329" s="1" t="str">
        <f>"12.02"</f>
        <v>12.02</v>
      </c>
    </row>
    <row r="7330" s="1" customFormat="1" spans="1:15">
      <c r="A7330" s="1" t="str">
        <f t="shared" si="4973"/>
        <v>202406</v>
      </c>
      <c r="B7330" s="1" t="str">
        <f t="shared" si="4974"/>
        <v>150525100</v>
      </c>
      <c r="C7330" s="1" t="str">
        <f>"1043251545"</f>
        <v>1043251545</v>
      </c>
      <c r="D7330" s="1" t="str">
        <f>"152326195402014286"</f>
        <v>152326195402014286</v>
      </c>
      <c r="E7330" s="1" t="s">
        <v>7063</v>
      </c>
      <c r="F7330" s="1" t="s">
        <v>16</v>
      </c>
      <c r="G7330" s="1" t="s">
        <v>17</v>
      </c>
      <c r="H7330" s="1" t="str">
        <f>"70"</f>
        <v>70</v>
      </c>
      <c r="I7330" s="1" t="str">
        <f>"165.77"</f>
        <v>165.77</v>
      </c>
      <c r="J7330" s="1" t="str">
        <f t="shared" ref="J7330:N7330" si="5012">"0"</f>
        <v>0</v>
      </c>
      <c r="K7330" s="1" t="str">
        <f t="shared" si="4959"/>
        <v>103</v>
      </c>
      <c r="L7330" s="1" t="str">
        <f t="shared" si="4960"/>
        <v>47</v>
      </c>
      <c r="M7330" s="1" t="str">
        <f t="shared" si="5012"/>
        <v>0</v>
      </c>
      <c r="N7330" s="1" t="str">
        <f t="shared" si="5012"/>
        <v>0</v>
      </c>
      <c r="O7330" s="1" t="str">
        <f>"5.77"</f>
        <v>5.77</v>
      </c>
    </row>
    <row r="7331" s="1" customFormat="1" spans="1:15">
      <c r="A7331" s="1" t="str">
        <f t="shared" si="4973"/>
        <v>202406</v>
      </c>
      <c r="B7331" s="1" t="str">
        <f t="shared" si="4974"/>
        <v>150525100</v>
      </c>
      <c r="C7331" s="1" t="str">
        <f>"1042689757"</f>
        <v>1042689757</v>
      </c>
      <c r="D7331" s="1" t="str">
        <f>"152326196212150919"</f>
        <v>152326196212150919</v>
      </c>
      <c r="E7331" s="1" t="s">
        <v>7064</v>
      </c>
      <c r="F7331" s="1" t="s">
        <v>25</v>
      </c>
      <c r="G7331" s="1" t="s">
        <v>19</v>
      </c>
      <c r="H7331" s="1" t="str">
        <f t="shared" si="5008"/>
        <v>62</v>
      </c>
      <c r="I7331" s="1" t="str">
        <f>"160.6"</f>
        <v>160.6</v>
      </c>
      <c r="J7331" s="1" t="str">
        <f t="shared" ref="J7331:N7331" si="5013">"0"</f>
        <v>0</v>
      </c>
      <c r="K7331" s="1" t="str">
        <f t="shared" si="4959"/>
        <v>103</v>
      </c>
      <c r="L7331" s="1" t="str">
        <f t="shared" si="4960"/>
        <v>47</v>
      </c>
      <c r="M7331" s="1" t="str">
        <f t="shared" si="5013"/>
        <v>0</v>
      </c>
      <c r="N7331" s="1" t="str">
        <f t="shared" si="5013"/>
        <v>0</v>
      </c>
      <c r="O7331" s="1" t="str">
        <f>"10.6"</f>
        <v>10.6</v>
      </c>
    </row>
    <row r="7332" s="1" customFormat="1" spans="1:15">
      <c r="A7332" s="1" t="str">
        <f t="shared" si="4973"/>
        <v>202406</v>
      </c>
      <c r="B7332" s="1" t="str">
        <f t="shared" si="4974"/>
        <v>150525100</v>
      </c>
      <c r="C7332" s="1" t="str">
        <f>"1042958750"</f>
        <v>1042958750</v>
      </c>
      <c r="D7332" s="1" t="str">
        <f>"152326196210206384"</f>
        <v>152326196210206384</v>
      </c>
      <c r="E7332" s="1" t="s">
        <v>7065</v>
      </c>
      <c r="F7332" s="1" t="s">
        <v>16</v>
      </c>
      <c r="G7332" s="1" t="s">
        <v>17</v>
      </c>
      <c r="H7332" s="1" t="str">
        <f t="shared" si="5008"/>
        <v>62</v>
      </c>
      <c r="I7332" s="1" t="str">
        <f>"160.57"</f>
        <v>160.57</v>
      </c>
      <c r="J7332" s="1" t="str">
        <f t="shared" ref="J7332:N7332" si="5014">"0"</f>
        <v>0</v>
      </c>
      <c r="K7332" s="1" t="str">
        <f t="shared" si="4959"/>
        <v>103</v>
      </c>
      <c r="L7332" s="1" t="str">
        <f t="shared" si="4960"/>
        <v>47</v>
      </c>
      <c r="M7332" s="1" t="str">
        <f t="shared" si="5014"/>
        <v>0</v>
      </c>
      <c r="N7332" s="1" t="str">
        <f t="shared" si="5014"/>
        <v>0</v>
      </c>
      <c r="O7332" s="1" t="str">
        <f>"10.57"</f>
        <v>10.57</v>
      </c>
    </row>
    <row r="7333" s="1" customFormat="1" spans="1:15">
      <c r="A7333" s="1" t="str">
        <f t="shared" si="4973"/>
        <v>202406</v>
      </c>
      <c r="B7333" s="1" t="str">
        <f t="shared" si="4974"/>
        <v>150525100</v>
      </c>
      <c r="C7333" s="1" t="str">
        <f>"1042958751"</f>
        <v>1042958751</v>
      </c>
      <c r="D7333" s="1" t="str">
        <f>"152326196311146114"</f>
        <v>152326196311146114</v>
      </c>
      <c r="E7333" s="1" t="s">
        <v>7066</v>
      </c>
      <c r="F7333" s="1" t="s">
        <v>25</v>
      </c>
      <c r="G7333" s="1" t="s">
        <v>17</v>
      </c>
      <c r="H7333" s="1" t="str">
        <f t="shared" ref="H7333:H7336" si="5015">"61"</f>
        <v>61</v>
      </c>
      <c r="I7333" s="1" t="str">
        <f>"162.47"</f>
        <v>162.47</v>
      </c>
      <c r="J7333" s="1" t="str">
        <f t="shared" ref="J7333:N7333" si="5016">"0"</f>
        <v>0</v>
      </c>
      <c r="K7333" s="1" t="str">
        <f t="shared" si="4959"/>
        <v>103</v>
      </c>
      <c r="L7333" s="1" t="str">
        <f t="shared" si="4960"/>
        <v>47</v>
      </c>
      <c r="M7333" s="1" t="str">
        <f t="shared" si="5016"/>
        <v>0</v>
      </c>
      <c r="N7333" s="1" t="str">
        <f t="shared" si="5016"/>
        <v>0</v>
      </c>
      <c r="O7333" s="1" t="str">
        <f>"12.47"</f>
        <v>12.47</v>
      </c>
    </row>
    <row r="7334" s="1" customFormat="1" spans="1:15">
      <c r="A7334" s="1" t="str">
        <f t="shared" si="4973"/>
        <v>202406</v>
      </c>
      <c r="B7334" s="1" t="str">
        <f t="shared" si="4974"/>
        <v>150525100</v>
      </c>
      <c r="C7334" s="1" t="str">
        <f>"1043041026"</f>
        <v>1043041026</v>
      </c>
      <c r="D7334" s="1" t="str">
        <f>"152326196210193827"</f>
        <v>152326196210193827</v>
      </c>
      <c r="E7334" s="1" t="s">
        <v>206</v>
      </c>
      <c r="F7334" s="1" t="s">
        <v>16</v>
      </c>
      <c r="G7334" s="1" t="s">
        <v>19</v>
      </c>
      <c r="H7334" s="1" t="str">
        <f t="shared" ref="H7334:H7339" si="5017">"62"</f>
        <v>62</v>
      </c>
      <c r="I7334" s="1" t="str">
        <f>"166.18"</f>
        <v>166.18</v>
      </c>
      <c r="J7334" s="1" t="str">
        <f t="shared" ref="J7334:N7334" si="5018">"0"</f>
        <v>0</v>
      </c>
      <c r="K7334" s="1" t="str">
        <f t="shared" si="4959"/>
        <v>103</v>
      </c>
      <c r="L7334" s="1" t="str">
        <f t="shared" si="4960"/>
        <v>47</v>
      </c>
      <c r="M7334" s="1" t="str">
        <f t="shared" si="5018"/>
        <v>0</v>
      </c>
      <c r="N7334" s="1" t="str">
        <f t="shared" si="5018"/>
        <v>0</v>
      </c>
      <c r="O7334" s="1" t="str">
        <f>"16.18"</f>
        <v>16.18</v>
      </c>
    </row>
    <row r="7335" s="1" customFormat="1" spans="1:15">
      <c r="A7335" s="1" t="str">
        <f t="shared" si="4973"/>
        <v>202406</v>
      </c>
      <c r="B7335" s="1" t="str">
        <f t="shared" si="4974"/>
        <v>150525100</v>
      </c>
      <c r="C7335" s="1" t="str">
        <f>"1042785708"</f>
        <v>1042785708</v>
      </c>
      <c r="D7335" s="1" t="str">
        <f>"152326196306300666"</f>
        <v>152326196306300666</v>
      </c>
      <c r="E7335" s="1" t="s">
        <v>7067</v>
      </c>
      <c r="F7335" s="1" t="s">
        <v>16</v>
      </c>
      <c r="G7335" s="1" t="s">
        <v>17</v>
      </c>
      <c r="H7335" s="1" t="str">
        <f t="shared" si="5015"/>
        <v>61</v>
      </c>
      <c r="I7335" s="1" t="str">
        <f>"162.76"</f>
        <v>162.76</v>
      </c>
      <c r="J7335" s="1" t="str">
        <f t="shared" ref="J7335:N7335" si="5019">"0"</f>
        <v>0</v>
      </c>
      <c r="K7335" s="1" t="str">
        <f t="shared" si="4959"/>
        <v>103</v>
      </c>
      <c r="L7335" s="1" t="str">
        <f t="shared" si="4960"/>
        <v>47</v>
      </c>
      <c r="M7335" s="1" t="str">
        <f t="shared" si="5019"/>
        <v>0</v>
      </c>
      <c r="N7335" s="1" t="str">
        <f t="shared" si="5019"/>
        <v>0</v>
      </c>
      <c r="O7335" s="1" t="str">
        <f>"12.76"</f>
        <v>12.76</v>
      </c>
    </row>
    <row r="7336" s="1" customFormat="1" spans="1:15">
      <c r="A7336" s="1" t="str">
        <f t="shared" si="4973"/>
        <v>202406</v>
      </c>
      <c r="B7336" s="1" t="str">
        <f t="shared" si="4974"/>
        <v>150525100</v>
      </c>
      <c r="C7336" s="1" t="str">
        <f>"1043061109"</f>
        <v>1043061109</v>
      </c>
      <c r="D7336" s="1" t="str">
        <f>"152326196302083836"</f>
        <v>152326196302083836</v>
      </c>
      <c r="E7336" s="1" t="s">
        <v>7068</v>
      </c>
      <c r="F7336" s="1" t="s">
        <v>25</v>
      </c>
      <c r="G7336" s="1" t="s">
        <v>19</v>
      </c>
      <c r="H7336" s="1" t="str">
        <f t="shared" si="5015"/>
        <v>61</v>
      </c>
      <c r="I7336" s="1" t="str">
        <f>"167.62"</f>
        <v>167.62</v>
      </c>
      <c r="J7336" s="1" t="str">
        <f t="shared" ref="J7336:N7336" si="5020">"0"</f>
        <v>0</v>
      </c>
      <c r="K7336" s="1" t="str">
        <f t="shared" si="4959"/>
        <v>103</v>
      </c>
      <c r="L7336" s="1" t="str">
        <f t="shared" si="4960"/>
        <v>47</v>
      </c>
      <c r="M7336" s="1" t="str">
        <f t="shared" si="5020"/>
        <v>0</v>
      </c>
      <c r="N7336" s="1" t="str">
        <f t="shared" si="5020"/>
        <v>0</v>
      </c>
      <c r="O7336" s="1" t="str">
        <f>"17.62"</f>
        <v>17.62</v>
      </c>
    </row>
    <row r="7337" s="1" customFormat="1" spans="1:15">
      <c r="A7337" s="1" t="str">
        <f t="shared" si="4973"/>
        <v>202406</v>
      </c>
      <c r="B7337" s="1" t="str">
        <f t="shared" si="4974"/>
        <v>150525100</v>
      </c>
      <c r="C7337" s="1" t="str">
        <f>"1042721049"</f>
        <v>1042721049</v>
      </c>
      <c r="D7337" s="1" t="str">
        <f>"152326196208203846"</f>
        <v>152326196208203846</v>
      </c>
      <c r="E7337" s="1" t="s">
        <v>7069</v>
      </c>
      <c r="F7337" s="1" t="s">
        <v>16</v>
      </c>
      <c r="G7337" s="1" t="s">
        <v>17</v>
      </c>
      <c r="H7337" s="1" t="str">
        <f t="shared" si="5017"/>
        <v>62</v>
      </c>
      <c r="I7337" s="1" t="str">
        <f>"160.85"</f>
        <v>160.85</v>
      </c>
      <c r="J7337" s="1" t="str">
        <f t="shared" ref="J7337:N7337" si="5021">"0"</f>
        <v>0</v>
      </c>
      <c r="K7337" s="1" t="str">
        <f t="shared" si="4959"/>
        <v>103</v>
      </c>
      <c r="L7337" s="1" t="str">
        <f t="shared" si="4960"/>
        <v>47</v>
      </c>
      <c r="M7337" s="1" t="str">
        <f t="shared" si="5021"/>
        <v>0</v>
      </c>
      <c r="N7337" s="1" t="str">
        <f t="shared" si="5021"/>
        <v>0</v>
      </c>
      <c r="O7337" s="1" t="str">
        <f>"10.85"</f>
        <v>10.85</v>
      </c>
    </row>
    <row r="7338" s="1" customFormat="1" spans="1:15">
      <c r="A7338" s="1" t="str">
        <f t="shared" si="4973"/>
        <v>202406</v>
      </c>
      <c r="B7338" s="1" t="str">
        <f t="shared" si="4974"/>
        <v>150525100</v>
      </c>
      <c r="C7338" s="1" t="str">
        <f>"1043048769"</f>
        <v>1043048769</v>
      </c>
      <c r="D7338" s="1" t="str">
        <f>"152326196308020043"</f>
        <v>152326196308020043</v>
      </c>
      <c r="E7338" s="1" t="s">
        <v>7070</v>
      </c>
      <c r="F7338" s="1" t="s">
        <v>16</v>
      </c>
      <c r="G7338" s="1" t="s">
        <v>17</v>
      </c>
      <c r="H7338" s="1" t="str">
        <f t="shared" ref="H7338:H7342" si="5022">"61"</f>
        <v>61</v>
      </c>
      <c r="I7338" s="1" t="str">
        <f>"169.56"</f>
        <v>169.56</v>
      </c>
      <c r="J7338" s="1" t="str">
        <f t="shared" ref="J7338:N7338" si="5023">"0"</f>
        <v>0</v>
      </c>
      <c r="K7338" s="1" t="str">
        <f t="shared" si="4959"/>
        <v>103</v>
      </c>
      <c r="L7338" s="1" t="str">
        <f t="shared" si="4960"/>
        <v>47</v>
      </c>
      <c r="M7338" s="1" t="str">
        <f t="shared" si="5023"/>
        <v>0</v>
      </c>
      <c r="N7338" s="1" t="str">
        <f t="shared" si="5023"/>
        <v>0</v>
      </c>
      <c r="O7338" s="1" t="str">
        <f>"19.56"</f>
        <v>19.56</v>
      </c>
    </row>
    <row r="7339" s="1" customFormat="1" spans="1:15">
      <c r="A7339" s="1" t="str">
        <f t="shared" si="4973"/>
        <v>202406</v>
      </c>
      <c r="B7339" s="1" t="str">
        <f t="shared" si="4974"/>
        <v>150525100</v>
      </c>
      <c r="C7339" s="1" t="str">
        <f>"1042970234"</f>
        <v>1042970234</v>
      </c>
      <c r="D7339" s="1" t="str">
        <f>"152326196201136126"</f>
        <v>152326196201136126</v>
      </c>
      <c r="E7339" s="1" t="s">
        <v>385</v>
      </c>
      <c r="F7339" s="1" t="s">
        <v>16</v>
      </c>
      <c r="G7339" s="1" t="s">
        <v>19</v>
      </c>
      <c r="H7339" s="1" t="str">
        <f t="shared" si="5017"/>
        <v>62</v>
      </c>
      <c r="I7339" s="1" t="str">
        <f>"179.13"</f>
        <v>179.13</v>
      </c>
      <c r="J7339" s="1" t="str">
        <f t="shared" ref="J7339:N7339" si="5024">"0"</f>
        <v>0</v>
      </c>
      <c r="K7339" s="1" t="str">
        <f t="shared" si="4959"/>
        <v>103</v>
      </c>
      <c r="L7339" s="1" t="str">
        <f t="shared" si="4960"/>
        <v>47</v>
      </c>
      <c r="M7339" s="1" t="str">
        <f t="shared" si="5024"/>
        <v>0</v>
      </c>
      <c r="N7339" s="1" t="str">
        <f t="shared" si="5024"/>
        <v>0</v>
      </c>
      <c r="O7339" s="1" t="str">
        <f>"29.13"</f>
        <v>29.13</v>
      </c>
    </row>
    <row r="7340" s="1" customFormat="1" spans="1:15">
      <c r="A7340" s="1" t="str">
        <f t="shared" si="4973"/>
        <v>202406</v>
      </c>
      <c r="B7340" s="1" t="str">
        <f t="shared" si="4974"/>
        <v>150525100</v>
      </c>
      <c r="C7340" s="1" t="str">
        <f>"1042759937"</f>
        <v>1042759937</v>
      </c>
      <c r="D7340" s="1" t="str">
        <f>"152326196111120702"</f>
        <v>152326196111120702</v>
      </c>
      <c r="E7340" s="1" t="s">
        <v>7071</v>
      </c>
      <c r="F7340" s="1" t="s">
        <v>16</v>
      </c>
      <c r="G7340" s="1" t="s">
        <v>17</v>
      </c>
      <c r="H7340" s="1" t="str">
        <f>"63"</f>
        <v>63</v>
      </c>
      <c r="I7340" s="1" t="str">
        <f>"166.33"</f>
        <v>166.33</v>
      </c>
      <c r="J7340" s="1" t="str">
        <f t="shared" ref="J7340:N7340" si="5025">"0"</f>
        <v>0</v>
      </c>
      <c r="K7340" s="1" t="str">
        <f t="shared" si="4959"/>
        <v>103</v>
      </c>
      <c r="L7340" s="1" t="str">
        <f t="shared" si="4960"/>
        <v>47</v>
      </c>
      <c r="M7340" s="1" t="str">
        <f t="shared" si="5025"/>
        <v>0</v>
      </c>
      <c r="N7340" s="1" t="str">
        <f t="shared" si="5025"/>
        <v>0</v>
      </c>
      <c r="O7340" s="1" t="str">
        <f>"16.33"</f>
        <v>16.33</v>
      </c>
    </row>
    <row r="7341" s="1" customFormat="1" spans="1:15">
      <c r="A7341" s="1" t="str">
        <f t="shared" si="4973"/>
        <v>202406</v>
      </c>
      <c r="B7341" s="1" t="str">
        <f t="shared" si="4974"/>
        <v>150525100</v>
      </c>
      <c r="C7341" s="1" t="str">
        <f>"1042771393"</f>
        <v>1042771393</v>
      </c>
      <c r="D7341" s="1" t="str">
        <f>"152326196307063324"</f>
        <v>152326196307063324</v>
      </c>
      <c r="E7341" s="1" t="s">
        <v>6035</v>
      </c>
      <c r="F7341" s="1" t="s">
        <v>16</v>
      </c>
      <c r="G7341" s="1" t="s">
        <v>17</v>
      </c>
      <c r="H7341" s="1" t="str">
        <f t="shared" si="5022"/>
        <v>61</v>
      </c>
      <c r="I7341" s="1" t="str">
        <f>"162.76"</f>
        <v>162.76</v>
      </c>
      <c r="J7341" s="1" t="str">
        <f t="shared" ref="J7341:N7341" si="5026">"0"</f>
        <v>0</v>
      </c>
      <c r="K7341" s="1" t="str">
        <f t="shared" si="4959"/>
        <v>103</v>
      </c>
      <c r="L7341" s="1" t="str">
        <f t="shared" si="4960"/>
        <v>47</v>
      </c>
      <c r="M7341" s="1" t="str">
        <f t="shared" si="5026"/>
        <v>0</v>
      </c>
      <c r="N7341" s="1" t="str">
        <f t="shared" si="5026"/>
        <v>0</v>
      </c>
      <c r="O7341" s="1" t="str">
        <f>"12.76"</f>
        <v>12.76</v>
      </c>
    </row>
    <row r="7342" s="1" customFormat="1" spans="1:15">
      <c r="A7342" s="1" t="str">
        <f t="shared" si="4973"/>
        <v>202406</v>
      </c>
      <c r="B7342" s="1" t="str">
        <f t="shared" si="4974"/>
        <v>150525100</v>
      </c>
      <c r="C7342" s="1" t="str">
        <f>"1042771401"</f>
        <v>1042771401</v>
      </c>
      <c r="D7342" s="1" t="str">
        <f>"152326196303293325"</f>
        <v>152326196303293325</v>
      </c>
      <c r="E7342" s="1" t="s">
        <v>7072</v>
      </c>
      <c r="F7342" s="1" t="s">
        <v>16</v>
      </c>
      <c r="G7342" s="1" t="s">
        <v>19</v>
      </c>
      <c r="H7342" s="1" t="str">
        <f t="shared" si="5022"/>
        <v>61</v>
      </c>
      <c r="I7342" s="1" t="str">
        <f>"162.35"</f>
        <v>162.35</v>
      </c>
      <c r="J7342" s="1" t="str">
        <f t="shared" ref="J7342:N7342" si="5027">"0"</f>
        <v>0</v>
      </c>
      <c r="K7342" s="1" t="str">
        <f t="shared" si="4959"/>
        <v>103</v>
      </c>
      <c r="L7342" s="1" t="str">
        <f t="shared" si="4960"/>
        <v>47</v>
      </c>
      <c r="M7342" s="1" t="str">
        <f t="shared" si="5027"/>
        <v>0</v>
      </c>
      <c r="N7342" s="1" t="str">
        <f t="shared" si="5027"/>
        <v>0</v>
      </c>
      <c r="O7342" s="1" t="str">
        <f>"12.35"</f>
        <v>12.35</v>
      </c>
    </row>
    <row r="7343" s="1" customFormat="1" spans="1:15">
      <c r="A7343" s="1" t="str">
        <f t="shared" si="4973"/>
        <v>202406</v>
      </c>
      <c r="B7343" s="1" t="str">
        <f t="shared" si="4974"/>
        <v>150525100</v>
      </c>
      <c r="C7343" s="1" t="str">
        <f>"1042686308"</f>
        <v>1042686308</v>
      </c>
      <c r="D7343" s="1" t="str">
        <f>"152326196301063817"</f>
        <v>152326196301063817</v>
      </c>
      <c r="E7343" s="1" t="s">
        <v>7073</v>
      </c>
      <c r="F7343" s="1" t="s">
        <v>25</v>
      </c>
      <c r="G7343" s="1" t="s">
        <v>96</v>
      </c>
      <c r="H7343" s="1" t="str">
        <f>"62"</f>
        <v>62</v>
      </c>
      <c r="I7343" s="1" t="str">
        <f>"163.82"</f>
        <v>163.82</v>
      </c>
      <c r="J7343" s="1" t="str">
        <f t="shared" ref="J7343:N7343" si="5028">"0"</f>
        <v>0</v>
      </c>
      <c r="K7343" s="1" t="str">
        <f t="shared" si="4959"/>
        <v>103</v>
      </c>
      <c r="L7343" s="1" t="str">
        <f t="shared" si="4960"/>
        <v>47</v>
      </c>
      <c r="M7343" s="1" t="str">
        <f t="shared" si="5028"/>
        <v>0</v>
      </c>
      <c r="N7343" s="1" t="str">
        <f t="shared" si="5028"/>
        <v>0</v>
      </c>
      <c r="O7343" s="1" t="str">
        <f>"13.82"</f>
        <v>13.82</v>
      </c>
    </row>
    <row r="7344" s="1" customFormat="1" spans="1:15">
      <c r="A7344" s="1" t="str">
        <f t="shared" si="4973"/>
        <v>202406</v>
      </c>
      <c r="B7344" s="1" t="str">
        <f t="shared" si="4974"/>
        <v>150525100</v>
      </c>
      <c r="C7344" s="1" t="str">
        <f>"1042764901"</f>
        <v>1042764901</v>
      </c>
      <c r="D7344" s="1" t="str">
        <f>"152326196211270660"</f>
        <v>152326196211270660</v>
      </c>
      <c r="E7344" s="1" t="s">
        <v>7074</v>
      </c>
      <c r="F7344" s="1" t="s">
        <v>16</v>
      </c>
      <c r="G7344" s="1" t="s">
        <v>17</v>
      </c>
      <c r="H7344" s="1" t="str">
        <f>"62"</f>
        <v>62</v>
      </c>
      <c r="I7344" s="1" t="str">
        <f>"167"</f>
        <v>167</v>
      </c>
      <c r="J7344" s="1" t="str">
        <f t="shared" ref="J7344:N7344" si="5029">"0"</f>
        <v>0</v>
      </c>
      <c r="K7344" s="1" t="str">
        <f t="shared" si="4959"/>
        <v>103</v>
      </c>
      <c r="L7344" s="1" t="str">
        <f t="shared" si="4960"/>
        <v>47</v>
      </c>
      <c r="M7344" s="1" t="str">
        <f t="shared" si="5029"/>
        <v>0</v>
      </c>
      <c r="N7344" s="1" t="str">
        <f t="shared" si="5029"/>
        <v>0</v>
      </c>
      <c r="O7344" s="1" t="str">
        <f>"17"</f>
        <v>17</v>
      </c>
    </row>
    <row r="7345" s="1" customFormat="1" spans="1:15">
      <c r="A7345" s="1" t="str">
        <f t="shared" si="4973"/>
        <v>202406</v>
      </c>
      <c r="B7345" s="1" t="str">
        <f t="shared" si="4974"/>
        <v>150525100</v>
      </c>
      <c r="C7345" s="1" t="str">
        <f>"1042686404"</f>
        <v>1042686404</v>
      </c>
      <c r="D7345" s="1" t="str">
        <f>"152326196306280431"</f>
        <v>152326196306280431</v>
      </c>
      <c r="E7345" s="1" t="s">
        <v>7075</v>
      </c>
      <c r="F7345" s="1" t="s">
        <v>25</v>
      </c>
      <c r="G7345" s="1" t="s">
        <v>17</v>
      </c>
      <c r="H7345" s="1" t="str">
        <f t="shared" ref="H7345:H7348" si="5030">"61"</f>
        <v>61</v>
      </c>
      <c r="I7345" s="1" t="str">
        <f>"168.87"</f>
        <v>168.87</v>
      </c>
      <c r="J7345" s="1" t="str">
        <f t="shared" ref="J7345:N7345" si="5031">"0"</f>
        <v>0</v>
      </c>
      <c r="K7345" s="1" t="str">
        <f t="shared" si="4959"/>
        <v>103</v>
      </c>
      <c r="L7345" s="1" t="str">
        <f t="shared" si="4960"/>
        <v>47</v>
      </c>
      <c r="M7345" s="1" t="str">
        <f t="shared" si="5031"/>
        <v>0</v>
      </c>
      <c r="N7345" s="1" t="str">
        <f t="shared" si="5031"/>
        <v>0</v>
      </c>
      <c r="O7345" s="1" t="str">
        <f>"18.87"</f>
        <v>18.87</v>
      </c>
    </row>
    <row r="7346" s="1" customFormat="1" spans="1:15">
      <c r="A7346" s="1" t="str">
        <f t="shared" si="4973"/>
        <v>202406</v>
      </c>
      <c r="B7346" s="1" t="str">
        <f t="shared" si="4974"/>
        <v>150525100</v>
      </c>
      <c r="C7346" s="1" t="str">
        <f>"1042752680"</f>
        <v>1042752680</v>
      </c>
      <c r="D7346" s="1" t="str">
        <f>"152326196302100448"</f>
        <v>152326196302100448</v>
      </c>
      <c r="E7346" s="1" t="s">
        <v>1630</v>
      </c>
      <c r="F7346" s="1" t="s">
        <v>16</v>
      </c>
      <c r="G7346" s="1" t="s">
        <v>17</v>
      </c>
      <c r="H7346" s="1" t="str">
        <f t="shared" si="5030"/>
        <v>61</v>
      </c>
      <c r="I7346" s="1" t="str">
        <f>"162.34"</f>
        <v>162.34</v>
      </c>
      <c r="J7346" s="1" t="str">
        <f t="shared" ref="J7346:N7346" si="5032">"0"</f>
        <v>0</v>
      </c>
      <c r="K7346" s="1" t="str">
        <f t="shared" si="4959"/>
        <v>103</v>
      </c>
      <c r="L7346" s="1" t="str">
        <f t="shared" si="4960"/>
        <v>47</v>
      </c>
      <c r="M7346" s="1" t="str">
        <f t="shared" si="5032"/>
        <v>0</v>
      </c>
      <c r="N7346" s="1" t="str">
        <f t="shared" si="5032"/>
        <v>0</v>
      </c>
      <c r="O7346" s="1" t="str">
        <f>"12.34"</f>
        <v>12.34</v>
      </c>
    </row>
    <row r="7347" s="1" customFormat="1" spans="1:15">
      <c r="A7347" s="1" t="str">
        <f t="shared" si="4973"/>
        <v>202406</v>
      </c>
      <c r="B7347" s="1" t="str">
        <f t="shared" si="4974"/>
        <v>150525100</v>
      </c>
      <c r="C7347" s="1" t="str">
        <f>"1043227124"</f>
        <v>1043227124</v>
      </c>
      <c r="D7347" s="1" t="str">
        <f>"152326196303160426"</f>
        <v>152326196303160426</v>
      </c>
      <c r="E7347" s="1" t="s">
        <v>7076</v>
      </c>
      <c r="F7347" s="1" t="s">
        <v>16</v>
      </c>
      <c r="G7347" s="1" t="s">
        <v>17</v>
      </c>
      <c r="H7347" s="1" t="str">
        <f t="shared" si="5030"/>
        <v>61</v>
      </c>
      <c r="I7347" s="1" t="str">
        <f>"167.64"</f>
        <v>167.64</v>
      </c>
      <c r="J7347" s="1" t="str">
        <f t="shared" ref="J7347:N7347" si="5033">"0"</f>
        <v>0</v>
      </c>
      <c r="K7347" s="1" t="str">
        <f t="shared" si="4959"/>
        <v>103</v>
      </c>
      <c r="L7347" s="1" t="str">
        <f t="shared" si="4960"/>
        <v>47</v>
      </c>
      <c r="M7347" s="1" t="str">
        <f t="shared" si="5033"/>
        <v>0</v>
      </c>
      <c r="N7347" s="1" t="str">
        <f t="shared" si="5033"/>
        <v>0</v>
      </c>
      <c r="O7347" s="1" t="str">
        <f>"17.64"</f>
        <v>17.64</v>
      </c>
    </row>
    <row r="7348" s="1" customFormat="1" spans="1:15">
      <c r="A7348" s="1" t="str">
        <f t="shared" si="4973"/>
        <v>202406</v>
      </c>
      <c r="B7348" s="1" t="str">
        <f t="shared" si="4974"/>
        <v>150525100</v>
      </c>
      <c r="C7348" s="1" t="str">
        <f>"1042750206"</f>
        <v>1042750206</v>
      </c>
      <c r="D7348" s="1" t="str">
        <f>"152326196305103820"</f>
        <v>152326196305103820</v>
      </c>
      <c r="E7348" s="1" t="s">
        <v>1630</v>
      </c>
      <c r="F7348" s="1" t="s">
        <v>16</v>
      </c>
      <c r="G7348" s="1" t="s">
        <v>17</v>
      </c>
      <c r="H7348" s="1" t="str">
        <f t="shared" si="5030"/>
        <v>61</v>
      </c>
      <c r="I7348" s="1" t="str">
        <f>"162.37"</f>
        <v>162.37</v>
      </c>
      <c r="J7348" s="1" t="str">
        <f t="shared" ref="J7348:N7348" si="5034">"0"</f>
        <v>0</v>
      </c>
      <c r="K7348" s="1" t="str">
        <f t="shared" si="4959"/>
        <v>103</v>
      </c>
      <c r="L7348" s="1" t="str">
        <f t="shared" si="4960"/>
        <v>47</v>
      </c>
      <c r="M7348" s="1" t="str">
        <f t="shared" si="5034"/>
        <v>0</v>
      </c>
      <c r="N7348" s="1" t="str">
        <f t="shared" si="5034"/>
        <v>0</v>
      </c>
      <c r="O7348" s="1" t="str">
        <f>"12.37"</f>
        <v>12.37</v>
      </c>
    </row>
    <row r="7349" s="1" customFormat="1" spans="1:15">
      <c r="A7349" s="1" t="str">
        <f t="shared" si="4973"/>
        <v>202406</v>
      </c>
      <c r="B7349" s="1" t="str">
        <f t="shared" si="4974"/>
        <v>150525100</v>
      </c>
      <c r="C7349" s="1" t="str">
        <f>"1042696396"</f>
        <v>1042696396</v>
      </c>
      <c r="D7349" s="1" t="str">
        <f>"152326196206143317"</f>
        <v>152326196206143317</v>
      </c>
      <c r="E7349" s="1" t="s">
        <v>7077</v>
      </c>
      <c r="F7349" s="1" t="s">
        <v>25</v>
      </c>
      <c r="G7349" s="1" t="s">
        <v>17</v>
      </c>
      <c r="H7349" s="1" t="str">
        <f>"62"</f>
        <v>62</v>
      </c>
      <c r="I7349" s="1" t="str">
        <f>"160.81"</f>
        <v>160.81</v>
      </c>
      <c r="J7349" s="1" t="str">
        <f t="shared" ref="J7349:N7349" si="5035">"0"</f>
        <v>0</v>
      </c>
      <c r="K7349" s="1" t="str">
        <f t="shared" si="4959"/>
        <v>103</v>
      </c>
      <c r="L7349" s="1" t="str">
        <f t="shared" si="4960"/>
        <v>47</v>
      </c>
      <c r="M7349" s="1" t="str">
        <f t="shared" si="5035"/>
        <v>0</v>
      </c>
      <c r="N7349" s="1" t="str">
        <f t="shared" si="5035"/>
        <v>0</v>
      </c>
      <c r="O7349" s="1" t="str">
        <f>"10.81"</f>
        <v>10.81</v>
      </c>
    </row>
    <row r="7350" s="1" customFormat="1" spans="1:15">
      <c r="A7350" s="1" t="str">
        <f t="shared" si="4973"/>
        <v>202406</v>
      </c>
      <c r="B7350" s="1" t="str">
        <f t="shared" si="4974"/>
        <v>150525100</v>
      </c>
      <c r="C7350" s="1" t="str">
        <f>"1041806515"</f>
        <v>1041806515</v>
      </c>
      <c r="D7350" s="1" t="str">
        <f>"152326196207253323"</f>
        <v>152326196207253323</v>
      </c>
      <c r="E7350" s="1" t="s">
        <v>7078</v>
      </c>
      <c r="F7350" s="1" t="s">
        <v>16</v>
      </c>
      <c r="G7350" s="1" t="s">
        <v>19</v>
      </c>
      <c r="H7350" s="1" t="str">
        <f>"62"</f>
        <v>62</v>
      </c>
      <c r="I7350" s="1" t="str">
        <f>"162.04"</f>
        <v>162.04</v>
      </c>
      <c r="J7350" s="1" t="str">
        <f t="shared" ref="J7350:N7350" si="5036">"0"</f>
        <v>0</v>
      </c>
      <c r="K7350" s="1" t="str">
        <f t="shared" si="4959"/>
        <v>103</v>
      </c>
      <c r="L7350" s="1" t="str">
        <f t="shared" si="4960"/>
        <v>47</v>
      </c>
      <c r="M7350" s="1" t="str">
        <f t="shared" si="5036"/>
        <v>0</v>
      </c>
      <c r="N7350" s="1" t="str">
        <f t="shared" si="5036"/>
        <v>0</v>
      </c>
      <c r="O7350" s="1" t="str">
        <f>"12.04"</f>
        <v>12.04</v>
      </c>
    </row>
    <row r="7351" s="1" customFormat="1" spans="1:15">
      <c r="A7351" s="1" t="str">
        <f t="shared" si="4973"/>
        <v>202406</v>
      </c>
      <c r="B7351" s="1" t="str">
        <f t="shared" si="4974"/>
        <v>150525100</v>
      </c>
      <c r="C7351" s="1" t="str">
        <f>"1041808441"</f>
        <v>1041808441</v>
      </c>
      <c r="D7351" s="1" t="str">
        <f>"152326196305233326"</f>
        <v>152326196305233326</v>
      </c>
      <c r="E7351" s="1" t="s">
        <v>7079</v>
      </c>
      <c r="F7351" s="1" t="s">
        <v>16</v>
      </c>
      <c r="G7351" s="1" t="s">
        <v>17</v>
      </c>
      <c r="H7351" s="1" t="str">
        <f t="shared" ref="H7351:H7354" si="5037">"61"</f>
        <v>61</v>
      </c>
      <c r="I7351" s="1" t="str">
        <f>"162.41"</f>
        <v>162.41</v>
      </c>
      <c r="J7351" s="1" t="str">
        <f t="shared" ref="J7351:N7351" si="5038">"0"</f>
        <v>0</v>
      </c>
      <c r="K7351" s="1" t="str">
        <f t="shared" ref="K7351:K7414" si="5039">"103"</f>
        <v>103</v>
      </c>
      <c r="L7351" s="1" t="str">
        <f t="shared" ref="L7351:L7414" si="5040">"47"</f>
        <v>47</v>
      </c>
      <c r="M7351" s="1" t="str">
        <f t="shared" si="5038"/>
        <v>0</v>
      </c>
      <c r="N7351" s="1" t="str">
        <f t="shared" si="5038"/>
        <v>0</v>
      </c>
      <c r="O7351" s="1" t="str">
        <f>"12.41"</f>
        <v>12.41</v>
      </c>
    </row>
    <row r="7352" s="1" customFormat="1" spans="1:15">
      <c r="A7352" s="1" t="str">
        <f t="shared" si="4973"/>
        <v>202406</v>
      </c>
      <c r="B7352" s="1" t="str">
        <f t="shared" si="4974"/>
        <v>150525100</v>
      </c>
      <c r="C7352" s="1" t="str">
        <f>"1042923243"</f>
        <v>1042923243</v>
      </c>
      <c r="D7352" s="1" t="str">
        <f>"152326196304070692"</f>
        <v>152326196304070692</v>
      </c>
      <c r="E7352" s="1" t="s">
        <v>7080</v>
      </c>
      <c r="F7352" s="1" t="s">
        <v>25</v>
      </c>
      <c r="G7352" s="1" t="s">
        <v>17</v>
      </c>
      <c r="H7352" s="1" t="str">
        <f t="shared" si="5037"/>
        <v>61</v>
      </c>
      <c r="I7352" s="1" t="str">
        <f>"162.35"</f>
        <v>162.35</v>
      </c>
      <c r="J7352" s="1" t="str">
        <f t="shared" ref="J7352:N7352" si="5041">"0"</f>
        <v>0</v>
      </c>
      <c r="K7352" s="1" t="str">
        <f t="shared" si="5039"/>
        <v>103</v>
      </c>
      <c r="L7352" s="1" t="str">
        <f t="shared" si="5040"/>
        <v>47</v>
      </c>
      <c r="M7352" s="1" t="str">
        <f t="shared" si="5041"/>
        <v>0</v>
      </c>
      <c r="N7352" s="1" t="str">
        <f t="shared" si="5041"/>
        <v>0</v>
      </c>
      <c r="O7352" s="1" t="str">
        <f>"12.35"</f>
        <v>12.35</v>
      </c>
    </row>
    <row r="7353" s="1" customFormat="1" spans="1:15">
      <c r="A7353" s="1" t="str">
        <f t="shared" si="4973"/>
        <v>202406</v>
      </c>
      <c r="B7353" s="1" t="str">
        <f t="shared" si="4974"/>
        <v>150525100</v>
      </c>
      <c r="C7353" s="1" t="str">
        <f>"1042933891"</f>
        <v>1042933891</v>
      </c>
      <c r="D7353" s="1" t="str">
        <f>"152326196310106372"</f>
        <v>152326196310106372</v>
      </c>
      <c r="E7353" s="1" t="s">
        <v>7081</v>
      </c>
      <c r="F7353" s="1" t="s">
        <v>25</v>
      </c>
      <c r="G7353" s="1" t="s">
        <v>17</v>
      </c>
      <c r="H7353" s="1" t="str">
        <f t="shared" si="5037"/>
        <v>61</v>
      </c>
      <c r="I7353" s="1" t="str">
        <f>"169.12"</f>
        <v>169.12</v>
      </c>
      <c r="J7353" s="1" t="str">
        <f t="shared" ref="J7353:N7353" si="5042">"0"</f>
        <v>0</v>
      </c>
      <c r="K7353" s="1" t="str">
        <f t="shared" si="5039"/>
        <v>103</v>
      </c>
      <c r="L7353" s="1" t="str">
        <f t="shared" si="5040"/>
        <v>47</v>
      </c>
      <c r="M7353" s="1" t="str">
        <f t="shared" si="5042"/>
        <v>0</v>
      </c>
      <c r="N7353" s="1" t="str">
        <f t="shared" si="5042"/>
        <v>0</v>
      </c>
      <c r="O7353" s="1" t="str">
        <f>"19.12"</f>
        <v>19.12</v>
      </c>
    </row>
    <row r="7354" s="1" customFormat="1" spans="1:15">
      <c r="A7354" s="1" t="str">
        <f t="shared" si="4973"/>
        <v>202406</v>
      </c>
      <c r="B7354" s="1" t="str">
        <f t="shared" si="4974"/>
        <v>150525100</v>
      </c>
      <c r="C7354" s="1" t="str">
        <f>"1042725443"</f>
        <v>1042725443</v>
      </c>
      <c r="D7354" s="1" t="str">
        <f>"152326196312293087"</f>
        <v>152326196312293087</v>
      </c>
      <c r="E7354" s="1" t="s">
        <v>7082</v>
      </c>
      <c r="F7354" s="1" t="s">
        <v>16</v>
      </c>
      <c r="G7354" s="1" t="s">
        <v>96</v>
      </c>
      <c r="H7354" s="1" t="str">
        <f t="shared" si="5037"/>
        <v>61</v>
      </c>
      <c r="I7354" s="1" t="str">
        <f>"162.5"</f>
        <v>162.5</v>
      </c>
      <c r="J7354" s="1" t="str">
        <f t="shared" ref="J7354:N7354" si="5043">"0"</f>
        <v>0</v>
      </c>
      <c r="K7354" s="1" t="str">
        <f t="shared" si="5039"/>
        <v>103</v>
      </c>
      <c r="L7354" s="1" t="str">
        <f t="shared" si="5040"/>
        <v>47</v>
      </c>
      <c r="M7354" s="1" t="str">
        <f t="shared" si="5043"/>
        <v>0</v>
      </c>
      <c r="N7354" s="1" t="str">
        <f t="shared" si="5043"/>
        <v>0</v>
      </c>
      <c r="O7354" s="1" t="str">
        <f>"12.5"</f>
        <v>12.5</v>
      </c>
    </row>
    <row r="7355" s="1" customFormat="1" spans="1:15">
      <c r="A7355" s="1" t="str">
        <f t="shared" si="4973"/>
        <v>202406</v>
      </c>
      <c r="B7355" s="1" t="str">
        <f t="shared" si="4974"/>
        <v>150525100</v>
      </c>
      <c r="C7355" s="1" t="str">
        <f>"1043271324"</f>
        <v>1043271324</v>
      </c>
      <c r="D7355" s="1" t="s">
        <v>7083</v>
      </c>
      <c r="E7355" s="1" t="s">
        <v>1269</v>
      </c>
      <c r="F7355" s="1" t="s">
        <v>16</v>
      </c>
      <c r="G7355" s="1" t="s">
        <v>17</v>
      </c>
      <c r="H7355" s="1" t="str">
        <f>"62"</f>
        <v>62</v>
      </c>
      <c r="I7355" s="1" t="str">
        <f>"165.85"</f>
        <v>165.85</v>
      </c>
      <c r="J7355" s="1" t="str">
        <f t="shared" ref="J7355:N7355" si="5044">"0"</f>
        <v>0</v>
      </c>
      <c r="K7355" s="1" t="str">
        <f t="shared" si="5039"/>
        <v>103</v>
      </c>
      <c r="L7355" s="1" t="str">
        <f t="shared" si="5040"/>
        <v>47</v>
      </c>
      <c r="M7355" s="1" t="str">
        <f t="shared" si="5044"/>
        <v>0</v>
      </c>
      <c r="N7355" s="1" t="str">
        <f t="shared" si="5044"/>
        <v>0</v>
      </c>
      <c r="O7355" s="1" t="str">
        <f>"15.85"</f>
        <v>15.85</v>
      </c>
    </row>
    <row r="7356" s="1" customFormat="1" spans="1:15">
      <c r="A7356" s="1" t="str">
        <f t="shared" si="4973"/>
        <v>202406</v>
      </c>
      <c r="B7356" s="1" t="str">
        <f t="shared" si="4974"/>
        <v>150525100</v>
      </c>
      <c r="C7356" s="1" t="str">
        <f>"1043291102"</f>
        <v>1043291102</v>
      </c>
      <c r="D7356" s="1" t="str">
        <f>"152326196311103819"</f>
        <v>152326196311103819</v>
      </c>
      <c r="E7356" s="1" t="s">
        <v>7084</v>
      </c>
      <c r="F7356" s="1" t="s">
        <v>25</v>
      </c>
      <c r="G7356" s="1" t="s">
        <v>17</v>
      </c>
      <c r="H7356" s="1" t="str">
        <f t="shared" ref="H7356:H7359" si="5045">"61"</f>
        <v>61</v>
      </c>
      <c r="I7356" s="1" t="str">
        <f>"167.78"</f>
        <v>167.78</v>
      </c>
      <c r="J7356" s="1" t="str">
        <f t="shared" ref="J7356:N7356" si="5046">"0"</f>
        <v>0</v>
      </c>
      <c r="K7356" s="1" t="str">
        <f t="shared" si="5039"/>
        <v>103</v>
      </c>
      <c r="L7356" s="1" t="str">
        <f t="shared" si="5040"/>
        <v>47</v>
      </c>
      <c r="M7356" s="1" t="str">
        <f t="shared" si="5046"/>
        <v>0</v>
      </c>
      <c r="N7356" s="1" t="str">
        <f t="shared" si="5046"/>
        <v>0</v>
      </c>
      <c r="O7356" s="1" t="str">
        <f>"17.78"</f>
        <v>17.78</v>
      </c>
    </row>
    <row r="7357" s="1" customFormat="1" spans="1:15">
      <c r="A7357" s="1" t="str">
        <f t="shared" si="4973"/>
        <v>202406</v>
      </c>
      <c r="B7357" s="1" t="str">
        <f t="shared" si="4974"/>
        <v>150525100</v>
      </c>
      <c r="C7357" s="1" t="str">
        <f>"1043280325"</f>
        <v>1043280325</v>
      </c>
      <c r="D7357" s="1" t="str">
        <f>"152326196202150915"</f>
        <v>152326196202150915</v>
      </c>
      <c r="E7357" s="1" t="s">
        <v>7085</v>
      </c>
      <c r="F7357" s="1" t="s">
        <v>25</v>
      </c>
      <c r="G7357" s="1" t="s">
        <v>19</v>
      </c>
      <c r="H7357" s="1" t="str">
        <f>"62"</f>
        <v>62</v>
      </c>
      <c r="I7357" s="1" t="str">
        <f>"165.85"</f>
        <v>165.85</v>
      </c>
      <c r="J7357" s="1" t="str">
        <f t="shared" ref="J7357:N7357" si="5047">"0"</f>
        <v>0</v>
      </c>
      <c r="K7357" s="1" t="str">
        <f t="shared" si="5039"/>
        <v>103</v>
      </c>
      <c r="L7357" s="1" t="str">
        <f t="shared" si="5040"/>
        <v>47</v>
      </c>
      <c r="M7357" s="1" t="str">
        <f t="shared" si="5047"/>
        <v>0</v>
      </c>
      <c r="N7357" s="1" t="str">
        <f t="shared" si="5047"/>
        <v>0</v>
      </c>
      <c r="O7357" s="1" t="str">
        <f>"15.85"</f>
        <v>15.85</v>
      </c>
    </row>
    <row r="7358" s="1" customFormat="1" spans="1:15">
      <c r="A7358" s="1" t="str">
        <f t="shared" si="4973"/>
        <v>202406</v>
      </c>
      <c r="B7358" s="1" t="str">
        <f t="shared" si="4974"/>
        <v>150525100</v>
      </c>
      <c r="C7358" s="1" t="str">
        <f>"1043317487"</f>
        <v>1043317487</v>
      </c>
      <c r="D7358" s="1" t="str">
        <f>"152326196304020433"</f>
        <v>152326196304020433</v>
      </c>
      <c r="E7358" s="1" t="s">
        <v>7086</v>
      </c>
      <c r="F7358" s="1" t="s">
        <v>25</v>
      </c>
      <c r="G7358" s="1" t="s">
        <v>17</v>
      </c>
      <c r="H7358" s="1" t="str">
        <f t="shared" si="5045"/>
        <v>61</v>
      </c>
      <c r="I7358" s="1" t="str">
        <f>"167.29"</f>
        <v>167.29</v>
      </c>
      <c r="J7358" s="1" t="str">
        <f t="shared" ref="J7358:N7358" si="5048">"0"</f>
        <v>0</v>
      </c>
      <c r="K7358" s="1" t="str">
        <f t="shared" si="5039"/>
        <v>103</v>
      </c>
      <c r="L7358" s="1" t="str">
        <f t="shared" si="5040"/>
        <v>47</v>
      </c>
      <c r="M7358" s="1" t="str">
        <f t="shared" si="5048"/>
        <v>0</v>
      </c>
      <c r="N7358" s="1" t="str">
        <f t="shared" si="5048"/>
        <v>0</v>
      </c>
      <c r="O7358" s="1" t="str">
        <f>"17.29"</f>
        <v>17.29</v>
      </c>
    </row>
    <row r="7359" s="1" customFormat="1" spans="1:15">
      <c r="A7359" s="1" t="str">
        <f t="shared" si="4973"/>
        <v>202406</v>
      </c>
      <c r="B7359" s="1" t="str">
        <f t="shared" si="4974"/>
        <v>150525100</v>
      </c>
      <c r="C7359" s="1" t="str">
        <f>"1043320709"</f>
        <v>1043320709</v>
      </c>
      <c r="D7359" s="1" t="str">
        <f>"152326196302106380"</f>
        <v>152326196302106380</v>
      </c>
      <c r="E7359" s="1" t="s">
        <v>7087</v>
      </c>
      <c r="F7359" s="1" t="s">
        <v>16</v>
      </c>
      <c r="G7359" s="1" t="s">
        <v>17</v>
      </c>
      <c r="H7359" s="1" t="str">
        <f t="shared" si="5045"/>
        <v>61</v>
      </c>
      <c r="I7359" s="1" t="str">
        <f>"167.29"</f>
        <v>167.29</v>
      </c>
      <c r="J7359" s="1" t="str">
        <f t="shared" ref="J7359:N7359" si="5049">"0"</f>
        <v>0</v>
      </c>
      <c r="K7359" s="1" t="str">
        <f t="shared" si="5039"/>
        <v>103</v>
      </c>
      <c r="L7359" s="1" t="str">
        <f t="shared" si="5040"/>
        <v>47</v>
      </c>
      <c r="M7359" s="1" t="str">
        <f t="shared" si="5049"/>
        <v>0</v>
      </c>
      <c r="N7359" s="1" t="str">
        <f t="shared" si="5049"/>
        <v>0</v>
      </c>
      <c r="O7359" s="1" t="str">
        <f>"17.29"</f>
        <v>17.29</v>
      </c>
    </row>
    <row r="7360" s="1" customFormat="1" spans="1:15">
      <c r="A7360" s="1" t="str">
        <f t="shared" si="4973"/>
        <v>202406</v>
      </c>
      <c r="B7360" s="1" t="str">
        <f t="shared" si="4974"/>
        <v>150525100</v>
      </c>
      <c r="C7360" s="1" t="str">
        <f>"1043272363"</f>
        <v>1043272363</v>
      </c>
      <c r="D7360" s="1" t="s">
        <v>7088</v>
      </c>
      <c r="E7360" s="1" t="s">
        <v>7089</v>
      </c>
      <c r="F7360" s="1" t="s">
        <v>16</v>
      </c>
      <c r="G7360" s="1" t="s">
        <v>17</v>
      </c>
      <c r="H7360" s="1" t="str">
        <f>"64"</f>
        <v>64</v>
      </c>
      <c r="I7360" s="1" t="str">
        <f>"156.82"</f>
        <v>156.82</v>
      </c>
      <c r="J7360" s="1" t="str">
        <f t="shared" ref="J7360:N7360" si="5050">"0"</f>
        <v>0</v>
      </c>
      <c r="K7360" s="1" t="str">
        <f t="shared" si="5039"/>
        <v>103</v>
      </c>
      <c r="L7360" s="1" t="str">
        <f t="shared" si="5040"/>
        <v>47</v>
      </c>
      <c r="M7360" s="1" t="str">
        <f t="shared" si="5050"/>
        <v>0</v>
      </c>
      <c r="N7360" s="1" t="str">
        <f t="shared" si="5050"/>
        <v>0</v>
      </c>
      <c r="O7360" s="1" t="str">
        <f>"6.82"</f>
        <v>6.82</v>
      </c>
    </row>
    <row r="7361" s="1" customFormat="1" spans="1:15">
      <c r="A7361" s="1" t="str">
        <f t="shared" si="4973"/>
        <v>202406</v>
      </c>
      <c r="B7361" s="1" t="str">
        <f t="shared" si="4974"/>
        <v>150525100</v>
      </c>
      <c r="C7361" s="1" t="str">
        <f>"1042988020"</f>
        <v>1042988020</v>
      </c>
      <c r="D7361" s="1" t="str">
        <f>"152326196112140924"</f>
        <v>152326196112140924</v>
      </c>
      <c r="E7361" s="1" t="s">
        <v>7090</v>
      </c>
      <c r="F7361" s="1" t="s">
        <v>16</v>
      </c>
      <c r="G7361" s="1" t="s">
        <v>19</v>
      </c>
      <c r="H7361" s="1" t="str">
        <f>"63"</f>
        <v>63</v>
      </c>
      <c r="I7361" s="1" t="str">
        <f>"158.66"</f>
        <v>158.66</v>
      </c>
      <c r="J7361" s="1" t="str">
        <f t="shared" ref="J7361:N7361" si="5051">"0"</f>
        <v>0</v>
      </c>
      <c r="K7361" s="1" t="str">
        <f t="shared" si="5039"/>
        <v>103</v>
      </c>
      <c r="L7361" s="1" t="str">
        <f t="shared" si="5040"/>
        <v>47</v>
      </c>
      <c r="M7361" s="1" t="str">
        <f t="shared" si="5051"/>
        <v>0</v>
      </c>
      <c r="N7361" s="1" t="str">
        <f t="shared" si="5051"/>
        <v>0</v>
      </c>
      <c r="O7361" s="1" t="str">
        <f>"8.66"</f>
        <v>8.66</v>
      </c>
    </row>
    <row r="7362" s="1" customFormat="1" spans="1:15">
      <c r="A7362" s="1" t="str">
        <f t="shared" ref="A7362:A7425" si="5052">"202406"</f>
        <v>202406</v>
      </c>
      <c r="B7362" s="1" t="str">
        <f t="shared" ref="B7362:B7425" si="5053">"150525100"</f>
        <v>150525100</v>
      </c>
      <c r="C7362" s="1" t="str">
        <f>"1043271680"</f>
        <v>1043271680</v>
      </c>
      <c r="D7362" s="1" t="s">
        <v>7091</v>
      </c>
      <c r="E7362" s="1" t="s">
        <v>7092</v>
      </c>
      <c r="F7362" s="1" t="s">
        <v>25</v>
      </c>
      <c r="G7362" s="1" t="s">
        <v>17</v>
      </c>
      <c r="H7362" s="1" t="str">
        <f t="shared" ref="H7362:H7367" si="5054">"61"</f>
        <v>61</v>
      </c>
      <c r="I7362" s="1" t="str">
        <f>"167.37"</f>
        <v>167.37</v>
      </c>
      <c r="J7362" s="1" t="str">
        <f t="shared" ref="J7362:N7362" si="5055">"0"</f>
        <v>0</v>
      </c>
      <c r="K7362" s="1" t="str">
        <f t="shared" si="5039"/>
        <v>103</v>
      </c>
      <c r="L7362" s="1" t="str">
        <f t="shared" si="5040"/>
        <v>47</v>
      </c>
      <c r="M7362" s="1" t="str">
        <f t="shared" si="5055"/>
        <v>0</v>
      </c>
      <c r="N7362" s="1" t="str">
        <f t="shared" si="5055"/>
        <v>0</v>
      </c>
      <c r="O7362" s="1" t="str">
        <f>"17.37"</f>
        <v>17.37</v>
      </c>
    </row>
    <row r="7363" s="1" customFormat="1" spans="1:15">
      <c r="A7363" s="1" t="str">
        <f t="shared" si="5052"/>
        <v>202406</v>
      </c>
      <c r="B7363" s="1" t="str">
        <f t="shared" si="5053"/>
        <v>150525100</v>
      </c>
      <c r="C7363" s="1" t="str">
        <f>"1043321875"</f>
        <v>1043321875</v>
      </c>
      <c r="D7363" s="1" t="str">
        <f>"152326196208120426"</f>
        <v>152326196208120426</v>
      </c>
      <c r="E7363" s="1" t="s">
        <v>7093</v>
      </c>
      <c r="F7363" s="1" t="s">
        <v>16</v>
      </c>
      <c r="G7363" s="1" t="s">
        <v>17</v>
      </c>
      <c r="H7363" s="1" t="str">
        <f>"62"</f>
        <v>62</v>
      </c>
      <c r="I7363" s="1" t="str">
        <f>"165.85"</f>
        <v>165.85</v>
      </c>
      <c r="J7363" s="1" t="str">
        <f t="shared" ref="J7363:N7363" si="5056">"0"</f>
        <v>0</v>
      </c>
      <c r="K7363" s="1" t="str">
        <f t="shared" si="5039"/>
        <v>103</v>
      </c>
      <c r="L7363" s="1" t="str">
        <f t="shared" si="5040"/>
        <v>47</v>
      </c>
      <c r="M7363" s="1" t="str">
        <f t="shared" si="5056"/>
        <v>0</v>
      </c>
      <c r="N7363" s="1" t="str">
        <f t="shared" si="5056"/>
        <v>0</v>
      </c>
      <c r="O7363" s="1" t="str">
        <f>"15.85"</f>
        <v>15.85</v>
      </c>
    </row>
    <row r="7364" s="1" customFormat="1" spans="1:15">
      <c r="A7364" s="1" t="str">
        <f t="shared" si="5052"/>
        <v>202406</v>
      </c>
      <c r="B7364" s="1" t="str">
        <f t="shared" si="5053"/>
        <v>150525100</v>
      </c>
      <c r="C7364" s="1" t="str">
        <f>"1043236595"</f>
        <v>1043236595</v>
      </c>
      <c r="D7364" s="1" t="str">
        <f>"152326196212173811"</f>
        <v>152326196212173811</v>
      </c>
      <c r="E7364" s="1" t="s">
        <v>7094</v>
      </c>
      <c r="F7364" s="1" t="s">
        <v>25</v>
      </c>
      <c r="G7364" s="1" t="s">
        <v>17</v>
      </c>
      <c r="H7364" s="1" t="str">
        <f>"62"</f>
        <v>62</v>
      </c>
      <c r="I7364" s="1" t="str">
        <f>"165.88"</f>
        <v>165.88</v>
      </c>
      <c r="J7364" s="1" t="str">
        <f t="shared" ref="J7364:N7364" si="5057">"0"</f>
        <v>0</v>
      </c>
      <c r="K7364" s="1" t="str">
        <f t="shared" si="5039"/>
        <v>103</v>
      </c>
      <c r="L7364" s="1" t="str">
        <f t="shared" si="5040"/>
        <v>47</v>
      </c>
      <c r="M7364" s="1" t="str">
        <f t="shared" si="5057"/>
        <v>0</v>
      </c>
      <c r="N7364" s="1" t="str">
        <f t="shared" si="5057"/>
        <v>0</v>
      </c>
      <c r="O7364" s="1" t="str">
        <f>"15.88"</f>
        <v>15.88</v>
      </c>
    </row>
    <row r="7365" s="1" customFormat="1" spans="1:15">
      <c r="A7365" s="1" t="str">
        <f t="shared" si="5052"/>
        <v>202406</v>
      </c>
      <c r="B7365" s="1" t="str">
        <f t="shared" si="5053"/>
        <v>150525100</v>
      </c>
      <c r="C7365" s="1" t="str">
        <f>"1043320413"</f>
        <v>1043320413</v>
      </c>
      <c r="D7365" s="1" t="str">
        <f>"152326196310066374"</f>
        <v>152326196310066374</v>
      </c>
      <c r="E7365" s="1" t="s">
        <v>7095</v>
      </c>
      <c r="F7365" s="1" t="s">
        <v>25</v>
      </c>
      <c r="G7365" s="1" t="s">
        <v>17</v>
      </c>
      <c r="H7365" s="1" t="str">
        <f t="shared" si="5054"/>
        <v>61</v>
      </c>
      <c r="I7365" s="1" t="str">
        <f>"193.71"</f>
        <v>193.71</v>
      </c>
      <c r="J7365" s="1" t="str">
        <f t="shared" ref="J7365:N7365" si="5058">"0"</f>
        <v>0</v>
      </c>
      <c r="K7365" s="1" t="str">
        <f t="shared" si="5039"/>
        <v>103</v>
      </c>
      <c r="L7365" s="1" t="str">
        <f t="shared" si="5040"/>
        <v>47</v>
      </c>
      <c r="M7365" s="1" t="str">
        <f t="shared" si="5058"/>
        <v>0</v>
      </c>
      <c r="N7365" s="1" t="str">
        <f t="shared" si="5058"/>
        <v>0</v>
      </c>
      <c r="O7365" s="1" t="str">
        <f>"43.71"</f>
        <v>43.71</v>
      </c>
    </row>
    <row r="7366" s="1" customFormat="1" spans="1:15">
      <c r="A7366" s="1" t="str">
        <f t="shared" si="5052"/>
        <v>202406</v>
      </c>
      <c r="B7366" s="1" t="str">
        <f t="shared" si="5053"/>
        <v>150525100</v>
      </c>
      <c r="C7366" s="1" t="str">
        <f>"1043385382"</f>
        <v>1043385382</v>
      </c>
      <c r="D7366" s="1" t="str">
        <f>"152326196303240020"</f>
        <v>152326196303240020</v>
      </c>
      <c r="E7366" s="1" t="s">
        <v>7096</v>
      </c>
      <c r="F7366" s="1" t="s">
        <v>16</v>
      </c>
      <c r="G7366" s="1" t="s">
        <v>17</v>
      </c>
      <c r="H7366" s="1" t="str">
        <f t="shared" si="5054"/>
        <v>61</v>
      </c>
      <c r="I7366" s="1" t="str">
        <f>"167.31"</f>
        <v>167.31</v>
      </c>
      <c r="J7366" s="1" t="str">
        <f t="shared" ref="J7366:N7366" si="5059">"0"</f>
        <v>0</v>
      </c>
      <c r="K7366" s="1" t="str">
        <f t="shared" si="5039"/>
        <v>103</v>
      </c>
      <c r="L7366" s="1" t="str">
        <f t="shared" si="5040"/>
        <v>47</v>
      </c>
      <c r="M7366" s="1" t="str">
        <f t="shared" si="5059"/>
        <v>0</v>
      </c>
      <c r="N7366" s="1" t="str">
        <f t="shared" si="5059"/>
        <v>0</v>
      </c>
      <c r="O7366" s="1" t="str">
        <f>"17.31"</f>
        <v>17.31</v>
      </c>
    </row>
    <row r="7367" s="1" customFormat="1" spans="1:15">
      <c r="A7367" s="1" t="str">
        <f t="shared" si="5052"/>
        <v>202406</v>
      </c>
      <c r="B7367" s="1" t="str">
        <f t="shared" si="5053"/>
        <v>150525100</v>
      </c>
      <c r="C7367" s="1" t="str">
        <f>"1043311629"</f>
        <v>1043311629</v>
      </c>
      <c r="D7367" s="1" t="str">
        <f>"152326196307143842"</f>
        <v>152326196307143842</v>
      </c>
      <c r="E7367" s="1" t="s">
        <v>7097</v>
      </c>
      <c r="F7367" s="1" t="s">
        <v>16</v>
      </c>
      <c r="G7367" s="1" t="s">
        <v>17</v>
      </c>
      <c r="H7367" s="1" t="str">
        <f t="shared" si="5054"/>
        <v>61</v>
      </c>
      <c r="I7367" s="1" t="str">
        <f>"162.13"</f>
        <v>162.13</v>
      </c>
      <c r="J7367" s="1" t="str">
        <f t="shared" ref="J7367:N7367" si="5060">"0"</f>
        <v>0</v>
      </c>
      <c r="K7367" s="1" t="str">
        <f t="shared" si="5039"/>
        <v>103</v>
      </c>
      <c r="L7367" s="1" t="str">
        <f t="shared" si="5040"/>
        <v>47</v>
      </c>
      <c r="M7367" s="1" t="str">
        <f t="shared" si="5060"/>
        <v>0</v>
      </c>
      <c r="N7367" s="1" t="str">
        <f t="shared" si="5060"/>
        <v>0</v>
      </c>
      <c r="O7367" s="1" t="str">
        <f>"12.13"</f>
        <v>12.13</v>
      </c>
    </row>
    <row r="7368" s="1" customFormat="1" spans="1:15">
      <c r="A7368" s="1" t="str">
        <f t="shared" si="5052"/>
        <v>202406</v>
      </c>
      <c r="B7368" s="1" t="str">
        <f t="shared" si="5053"/>
        <v>150525100</v>
      </c>
      <c r="C7368" s="1" t="str">
        <f>"1015846625"</f>
        <v>1015846625</v>
      </c>
      <c r="D7368" s="1" t="str">
        <f>"152326195311170048"</f>
        <v>152326195311170048</v>
      </c>
      <c r="E7368" s="1" t="s">
        <v>1263</v>
      </c>
      <c r="F7368" s="1" t="s">
        <v>16</v>
      </c>
      <c r="G7368" s="1" t="s">
        <v>17</v>
      </c>
      <c r="H7368" s="1" t="str">
        <f>"71"</f>
        <v>71</v>
      </c>
      <c r="I7368" s="1" t="str">
        <f>"208.76"</f>
        <v>208.76</v>
      </c>
      <c r="J7368" s="1" t="str">
        <f t="shared" ref="J7368:N7368" si="5061">"0"</f>
        <v>0</v>
      </c>
      <c r="K7368" s="1" t="str">
        <f t="shared" si="5039"/>
        <v>103</v>
      </c>
      <c r="L7368" s="1" t="str">
        <f t="shared" si="5040"/>
        <v>47</v>
      </c>
      <c r="M7368" s="1" t="str">
        <f t="shared" si="5061"/>
        <v>0</v>
      </c>
      <c r="N7368" s="1" t="str">
        <f t="shared" si="5061"/>
        <v>0</v>
      </c>
      <c r="O7368" s="1" t="str">
        <f>"48.76"</f>
        <v>48.76</v>
      </c>
    </row>
    <row r="7369" s="1" customFormat="1" spans="1:15">
      <c r="A7369" s="1" t="str">
        <f t="shared" si="5052"/>
        <v>202406</v>
      </c>
      <c r="B7369" s="1" t="str">
        <f t="shared" si="5053"/>
        <v>150525100</v>
      </c>
      <c r="C7369" s="1" t="str">
        <f>"1040642074"</f>
        <v>1040642074</v>
      </c>
      <c r="D7369" s="1" t="str">
        <f>"152326195903033813"</f>
        <v>152326195903033813</v>
      </c>
      <c r="E7369" s="1" t="s">
        <v>7098</v>
      </c>
      <c r="F7369" s="1" t="s">
        <v>25</v>
      </c>
      <c r="G7369" s="1" t="s">
        <v>17</v>
      </c>
      <c r="H7369" s="1" t="str">
        <f>"65"</f>
        <v>65</v>
      </c>
      <c r="I7369" s="1" t="str">
        <f>"157.26"</f>
        <v>157.26</v>
      </c>
      <c r="J7369" s="1" t="str">
        <f t="shared" ref="J7369:N7369" si="5062">"0"</f>
        <v>0</v>
      </c>
      <c r="K7369" s="1" t="str">
        <f t="shared" si="5039"/>
        <v>103</v>
      </c>
      <c r="L7369" s="1" t="str">
        <f t="shared" si="5040"/>
        <v>47</v>
      </c>
      <c r="M7369" s="1" t="str">
        <f t="shared" si="5062"/>
        <v>0</v>
      </c>
      <c r="N7369" s="1" t="str">
        <f t="shared" si="5062"/>
        <v>0</v>
      </c>
      <c r="O7369" s="1" t="str">
        <f>"7.26"</f>
        <v>7.26</v>
      </c>
    </row>
    <row r="7370" s="1" customFormat="1" spans="1:15">
      <c r="A7370" s="1" t="str">
        <f t="shared" si="5052"/>
        <v>202406</v>
      </c>
      <c r="B7370" s="1" t="str">
        <f t="shared" si="5053"/>
        <v>150525100</v>
      </c>
      <c r="C7370" s="1" t="str">
        <f>"1040642077"</f>
        <v>1040642077</v>
      </c>
      <c r="D7370" s="1" t="str">
        <f>"152326195508303828"</f>
        <v>152326195508303828</v>
      </c>
      <c r="E7370" s="1" t="s">
        <v>1225</v>
      </c>
      <c r="F7370" s="1" t="s">
        <v>16</v>
      </c>
      <c r="G7370" s="1" t="s">
        <v>19</v>
      </c>
      <c r="H7370" s="1" t="str">
        <f>"69"</f>
        <v>69</v>
      </c>
      <c r="I7370" s="1" t="str">
        <f>"154.34"</f>
        <v>154.34</v>
      </c>
      <c r="J7370" s="1" t="str">
        <f t="shared" ref="J7370:N7370" si="5063">"0"</f>
        <v>0</v>
      </c>
      <c r="K7370" s="1" t="str">
        <f t="shared" si="5039"/>
        <v>103</v>
      </c>
      <c r="L7370" s="1" t="str">
        <f t="shared" si="5040"/>
        <v>47</v>
      </c>
      <c r="M7370" s="1" t="str">
        <f t="shared" si="5063"/>
        <v>0</v>
      </c>
      <c r="N7370" s="1" t="str">
        <f t="shared" si="5063"/>
        <v>0</v>
      </c>
      <c r="O7370" s="1" t="str">
        <f>"4.34"</f>
        <v>4.34</v>
      </c>
    </row>
    <row r="7371" s="1" customFormat="1" spans="1:15">
      <c r="A7371" s="1" t="str">
        <f t="shared" si="5052"/>
        <v>202406</v>
      </c>
      <c r="B7371" s="1" t="str">
        <f t="shared" si="5053"/>
        <v>150525100</v>
      </c>
      <c r="C7371" s="1" t="str">
        <f>"1040642833"</f>
        <v>1040642833</v>
      </c>
      <c r="D7371" s="1" t="str">
        <f>"152326195405100921"</f>
        <v>152326195405100921</v>
      </c>
      <c r="E7371" s="1" t="s">
        <v>7099</v>
      </c>
      <c r="F7371" s="1" t="s">
        <v>16</v>
      </c>
      <c r="G7371" s="1" t="s">
        <v>19</v>
      </c>
      <c r="H7371" s="1" t="str">
        <f>"70"</f>
        <v>70</v>
      </c>
      <c r="I7371" s="1" t="str">
        <f>"163.26"</f>
        <v>163.26</v>
      </c>
      <c r="J7371" s="1" t="str">
        <f t="shared" ref="J7371:N7371" si="5064">"0"</f>
        <v>0</v>
      </c>
      <c r="K7371" s="1" t="str">
        <f t="shared" si="5039"/>
        <v>103</v>
      </c>
      <c r="L7371" s="1" t="str">
        <f t="shared" si="5040"/>
        <v>47</v>
      </c>
      <c r="M7371" s="1" t="str">
        <f t="shared" si="5064"/>
        <v>0</v>
      </c>
      <c r="N7371" s="1" t="str">
        <f t="shared" si="5064"/>
        <v>0</v>
      </c>
      <c r="O7371" s="1" t="str">
        <f>"3.26"</f>
        <v>3.26</v>
      </c>
    </row>
    <row r="7372" s="1" customFormat="1" spans="1:15">
      <c r="A7372" s="1" t="str">
        <f t="shared" si="5052"/>
        <v>202406</v>
      </c>
      <c r="B7372" s="1" t="str">
        <f t="shared" si="5053"/>
        <v>150525100</v>
      </c>
      <c r="C7372" s="1" t="str">
        <f>"1040642813"</f>
        <v>1040642813</v>
      </c>
      <c r="D7372" s="1" t="str">
        <f>"152326195809280914"</f>
        <v>152326195809280914</v>
      </c>
      <c r="E7372" s="1" t="s">
        <v>7100</v>
      </c>
      <c r="F7372" s="1" t="s">
        <v>25</v>
      </c>
      <c r="G7372" s="1" t="s">
        <v>19</v>
      </c>
      <c r="H7372" s="1" t="str">
        <f>"66"</f>
        <v>66</v>
      </c>
      <c r="I7372" s="1" t="str">
        <f>"156.23"</f>
        <v>156.23</v>
      </c>
      <c r="J7372" s="1" t="str">
        <f t="shared" ref="J7372:N7372" si="5065">"0"</f>
        <v>0</v>
      </c>
      <c r="K7372" s="1" t="str">
        <f t="shared" si="5039"/>
        <v>103</v>
      </c>
      <c r="L7372" s="1" t="str">
        <f t="shared" si="5040"/>
        <v>47</v>
      </c>
      <c r="M7372" s="1" t="str">
        <f t="shared" si="5065"/>
        <v>0</v>
      </c>
      <c r="N7372" s="1" t="str">
        <f t="shared" si="5065"/>
        <v>0</v>
      </c>
      <c r="O7372" s="1" t="str">
        <f>"6.23"</f>
        <v>6.23</v>
      </c>
    </row>
    <row r="7373" s="1" customFormat="1" spans="1:15">
      <c r="A7373" s="1" t="str">
        <f t="shared" si="5052"/>
        <v>202406</v>
      </c>
      <c r="B7373" s="1" t="str">
        <f t="shared" si="5053"/>
        <v>150525100</v>
      </c>
      <c r="C7373" s="1" t="str">
        <f>"1040642816"</f>
        <v>1040642816</v>
      </c>
      <c r="D7373" s="1" t="str">
        <f>"152326195612170922"</f>
        <v>152326195612170922</v>
      </c>
      <c r="E7373" s="1" t="s">
        <v>7101</v>
      </c>
      <c r="F7373" s="1" t="s">
        <v>16</v>
      </c>
      <c r="G7373" s="1" t="s">
        <v>19</v>
      </c>
      <c r="H7373" s="1" t="str">
        <f>"68"</f>
        <v>68</v>
      </c>
      <c r="I7373" s="1" t="str">
        <f>"155.15"</f>
        <v>155.15</v>
      </c>
      <c r="J7373" s="1" t="str">
        <f t="shared" ref="J7373:N7373" si="5066">"0"</f>
        <v>0</v>
      </c>
      <c r="K7373" s="1" t="str">
        <f t="shared" si="5039"/>
        <v>103</v>
      </c>
      <c r="L7373" s="1" t="str">
        <f t="shared" si="5040"/>
        <v>47</v>
      </c>
      <c r="M7373" s="1" t="str">
        <f t="shared" si="5066"/>
        <v>0</v>
      </c>
      <c r="N7373" s="1" t="str">
        <f t="shared" si="5066"/>
        <v>0</v>
      </c>
      <c r="O7373" s="1" t="str">
        <f>"5.15"</f>
        <v>5.15</v>
      </c>
    </row>
    <row r="7374" s="1" customFormat="1" spans="1:15">
      <c r="A7374" s="1" t="str">
        <f t="shared" si="5052"/>
        <v>202406</v>
      </c>
      <c r="B7374" s="1" t="str">
        <f t="shared" si="5053"/>
        <v>150525100</v>
      </c>
      <c r="C7374" s="1" t="str">
        <f>"1014561304"</f>
        <v>1014561304</v>
      </c>
      <c r="D7374" s="1" t="str">
        <f>"152326196304090415"</f>
        <v>152326196304090415</v>
      </c>
      <c r="E7374" s="1" t="s">
        <v>7102</v>
      </c>
      <c r="F7374" s="1" t="s">
        <v>25</v>
      </c>
      <c r="G7374" s="1" t="s">
        <v>17</v>
      </c>
      <c r="H7374" s="1" t="str">
        <f>"61"</f>
        <v>61</v>
      </c>
      <c r="I7374" s="1" t="str">
        <f>"164.97"</f>
        <v>164.97</v>
      </c>
      <c r="J7374" s="1" t="str">
        <f t="shared" ref="J7374:N7374" si="5067">"0"</f>
        <v>0</v>
      </c>
      <c r="K7374" s="1" t="str">
        <f t="shared" si="5039"/>
        <v>103</v>
      </c>
      <c r="L7374" s="1" t="str">
        <f t="shared" si="5040"/>
        <v>47</v>
      </c>
      <c r="M7374" s="1" t="str">
        <f t="shared" si="5067"/>
        <v>0</v>
      </c>
      <c r="N7374" s="1" t="str">
        <f t="shared" si="5067"/>
        <v>0</v>
      </c>
      <c r="O7374" s="1" t="str">
        <f>"14.97"</f>
        <v>14.97</v>
      </c>
    </row>
    <row r="7375" s="1" customFormat="1" spans="1:15">
      <c r="A7375" s="1" t="str">
        <f t="shared" si="5052"/>
        <v>202406</v>
      </c>
      <c r="B7375" s="1" t="str">
        <f t="shared" si="5053"/>
        <v>150525100</v>
      </c>
      <c r="C7375" s="1" t="str">
        <f>"1014562563"</f>
        <v>1014562563</v>
      </c>
      <c r="D7375" s="1" t="str">
        <f>"152326195510110427"</f>
        <v>152326195510110427</v>
      </c>
      <c r="E7375" s="1" t="s">
        <v>7103</v>
      </c>
      <c r="F7375" s="1" t="s">
        <v>16</v>
      </c>
      <c r="G7375" s="1" t="s">
        <v>17</v>
      </c>
      <c r="H7375" s="1" t="str">
        <f>"69"</f>
        <v>69</v>
      </c>
      <c r="I7375" s="1" t="str">
        <f>"155.12"</f>
        <v>155.12</v>
      </c>
      <c r="J7375" s="1" t="str">
        <f t="shared" ref="J7375:N7375" si="5068">"0"</f>
        <v>0</v>
      </c>
      <c r="K7375" s="1" t="str">
        <f t="shared" si="5039"/>
        <v>103</v>
      </c>
      <c r="L7375" s="1" t="str">
        <f t="shared" si="5040"/>
        <v>47</v>
      </c>
      <c r="M7375" s="1" t="str">
        <f t="shared" si="5068"/>
        <v>0</v>
      </c>
      <c r="N7375" s="1" t="str">
        <f t="shared" si="5068"/>
        <v>0</v>
      </c>
      <c r="O7375" s="1" t="str">
        <f>"5.12"</f>
        <v>5.12</v>
      </c>
    </row>
    <row r="7376" s="1" customFormat="1" spans="1:15">
      <c r="A7376" s="1" t="str">
        <f t="shared" si="5052"/>
        <v>202406</v>
      </c>
      <c r="B7376" s="1" t="str">
        <f t="shared" si="5053"/>
        <v>150525100</v>
      </c>
      <c r="C7376" s="1" t="str">
        <f>"1014562566"</f>
        <v>1014562566</v>
      </c>
      <c r="D7376" s="1" t="str">
        <f>"152326195807150446"</f>
        <v>152326195807150446</v>
      </c>
      <c r="E7376" s="1" t="s">
        <v>7104</v>
      </c>
      <c r="F7376" s="1" t="s">
        <v>16</v>
      </c>
      <c r="G7376" s="1" t="s">
        <v>17</v>
      </c>
      <c r="H7376" s="1" t="str">
        <f>"66"</f>
        <v>66</v>
      </c>
      <c r="I7376" s="1" t="str">
        <f>"157.14"</f>
        <v>157.14</v>
      </c>
      <c r="J7376" s="1" t="str">
        <f t="shared" ref="J7376:N7376" si="5069">"0"</f>
        <v>0</v>
      </c>
      <c r="K7376" s="1" t="str">
        <f t="shared" si="5039"/>
        <v>103</v>
      </c>
      <c r="L7376" s="1" t="str">
        <f t="shared" si="5040"/>
        <v>47</v>
      </c>
      <c r="M7376" s="1" t="str">
        <f t="shared" si="5069"/>
        <v>0</v>
      </c>
      <c r="N7376" s="1" t="str">
        <f t="shared" si="5069"/>
        <v>0</v>
      </c>
      <c r="O7376" s="1" t="str">
        <f>"7.14"</f>
        <v>7.14</v>
      </c>
    </row>
    <row r="7377" s="1" customFormat="1" spans="1:15">
      <c r="A7377" s="1" t="str">
        <f t="shared" si="5052"/>
        <v>202406</v>
      </c>
      <c r="B7377" s="1" t="str">
        <f t="shared" si="5053"/>
        <v>150525100</v>
      </c>
      <c r="C7377" s="1" t="str">
        <f>"1014563449"</f>
        <v>1014563449</v>
      </c>
      <c r="D7377" s="1" t="str">
        <f>"152326195304130427"</f>
        <v>152326195304130427</v>
      </c>
      <c r="E7377" s="1" t="s">
        <v>7105</v>
      </c>
      <c r="F7377" s="1" t="s">
        <v>16</v>
      </c>
      <c r="G7377" s="1" t="s">
        <v>17</v>
      </c>
      <c r="H7377" s="1" t="str">
        <f>"71"</f>
        <v>71</v>
      </c>
      <c r="I7377" s="1" t="str">
        <f>"163.18"</f>
        <v>163.18</v>
      </c>
      <c r="J7377" s="1" t="str">
        <f t="shared" ref="J7377:N7377" si="5070">"0"</f>
        <v>0</v>
      </c>
      <c r="K7377" s="1" t="str">
        <f t="shared" si="5039"/>
        <v>103</v>
      </c>
      <c r="L7377" s="1" t="str">
        <f t="shared" si="5040"/>
        <v>47</v>
      </c>
      <c r="M7377" s="1" t="str">
        <f t="shared" si="5070"/>
        <v>0</v>
      </c>
      <c r="N7377" s="1" t="str">
        <f t="shared" si="5070"/>
        <v>0</v>
      </c>
      <c r="O7377" s="1" t="str">
        <f>"3.18"</f>
        <v>3.18</v>
      </c>
    </row>
    <row r="7378" s="1" customFormat="1" spans="1:15">
      <c r="A7378" s="1" t="str">
        <f t="shared" si="5052"/>
        <v>202406</v>
      </c>
      <c r="B7378" s="1" t="str">
        <f t="shared" si="5053"/>
        <v>150525100</v>
      </c>
      <c r="C7378" s="1" t="str">
        <f>"1014563450"</f>
        <v>1014563450</v>
      </c>
      <c r="D7378" s="1" t="str">
        <f>"152326195406200414"</f>
        <v>152326195406200414</v>
      </c>
      <c r="E7378" s="1" t="s">
        <v>7106</v>
      </c>
      <c r="F7378" s="1" t="s">
        <v>25</v>
      </c>
      <c r="G7378" s="1" t="s">
        <v>17</v>
      </c>
      <c r="H7378" s="1" t="str">
        <f>"70"</f>
        <v>70</v>
      </c>
      <c r="I7378" s="1" t="str">
        <f>"154.16"</f>
        <v>154.16</v>
      </c>
      <c r="J7378" s="1" t="str">
        <f t="shared" ref="J7378:N7378" si="5071">"0"</f>
        <v>0</v>
      </c>
      <c r="K7378" s="1" t="str">
        <f t="shared" si="5039"/>
        <v>103</v>
      </c>
      <c r="L7378" s="1" t="str">
        <f t="shared" si="5040"/>
        <v>47</v>
      </c>
      <c r="M7378" s="1" t="str">
        <f t="shared" si="5071"/>
        <v>0</v>
      </c>
      <c r="N7378" s="1" t="str">
        <f t="shared" si="5071"/>
        <v>0</v>
      </c>
      <c r="O7378" s="1" t="str">
        <f>"4.16"</f>
        <v>4.16</v>
      </c>
    </row>
    <row r="7379" s="1" customFormat="1" spans="1:15">
      <c r="A7379" s="1" t="str">
        <f t="shared" si="5052"/>
        <v>202406</v>
      </c>
      <c r="B7379" s="1" t="str">
        <f t="shared" si="5053"/>
        <v>150525100</v>
      </c>
      <c r="C7379" s="1" t="str">
        <f>"1014569859"</f>
        <v>1014569859</v>
      </c>
      <c r="D7379" s="1" t="s">
        <v>7107</v>
      </c>
      <c r="E7379" s="1" t="s">
        <v>7108</v>
      </c>
      <c r="F7379" s="1" t="s">
        <v>16</v>
      </c>
      <c r="G7379" s="1" t="s">
        <v>17</v>
      </c>
      <c r="H7379" s="1" t="str">
        <f>"60"</f>
        <v>60</v>
      </c>
      <c r="I7379" s="1" t="str">
        <f>"166.82"</f>
        <v>166.82</v>
      </c>
      <c r="J7379" s="1" t="str">
        <f t="shared" ref="J7379:N7379" si="5072">"0"</f>
        <v>0</v>
      </c>
      <c r="K7379" s="1" t="str">
        <f t="shared" si="5039"/>
        <v>103</v>
      </c>
      <c r="L7379" s="1" t="str">
        <f t="shared" si="5040"/>
        <v>47</v>
      </c>
      <c r="M7379" s="1" t="str">
        <f t="shared" si="5072"/>
        <v>0</v>
      </c>
      <c r="N7379" s="1" t="str">
        <f t="shared" si="5072"/>
        <v>0</v>
      </c>
      <c r="O7379" s="1" t="str">
        <f>"16.82"</f>
        <v>16.82</v>
      </c>
    </row>
    <row r="7380" s="1" customFormat="1" spans="1:15">
      <c r="A7380" s="1" t="str">
        <f t="shared" si="5052"/>
        <v>202406</v>
      </c>
      <c r="B7380" s="1" t="str">
        <f t="shared" si="5053"/>
        <v>150525100</v>
      </c>
      <c r="C7380" s="1" t="str">
        <f>"1014569872"</f>
        <v>1014569872</v>
      </c>
      <c r="D7380" s="1" t="str">
        <f>"152326195203190420"</f>
        <v>152326195203190420</v>
      </c>
      <c r="E7380" s="1" t="s">
        <v>7109</v>
      </c>
      <c r="F7380" s="1" t="s">
        <v>16</v>
      </c>
      <c r="G7380" s="1" t="s">
        <v>17</v>
      </c>
      <c r="H7380" s="1" t="str">
        <f>"72"</f>
        <v>72</v>
      </c>
      <c r="I7380" s="1" t="str">
        <f>"162.15"</f>
        <v>162.15</v>
      </c>
      <c r="J7380" s="1" t="str">
        <f t="shared" ref="J7380:N7380" si="5073">"0"</f>
        <v>0</v>
      </c>
      <c r="K7380" s="1" t="str">
        <f t="shared" si="5039"/>
        <v>103</v>
      </c>
      <c r="L7380" s="1" t="str">
        <f t="shared" si="5040"/>
        <v>47</v>
      </c>
      <c r="M7380" s="1" t="str">
        <f t="shared" si="5073"/>
        <v>0</v>
      </c>
      <c r="N7380" s="1" t="str">
        <f t="shared" si="5073"/>
        <v>0</v>
      </c>
      <c r="O7380" s="1" t="str">
        <f>"2.15"</f>
        <v>2.15</v>
      </c>
    </row>
    <row r="7381" s="1" customFormat="1" spans="1:15">
      <c r="A7381" s="1" t="str">
        <f t="shared" si="5052"/>
        <v>202406</v>
      </c>
      <c r="B7381" s="1" t="str">
        <f t="shared" si="5053"/>
        <v>150525100</v>
      </c>
      <c r="C7381" s="1" t="str">
        <f>"1014569873"</f>
        <v>1014569873</v>
      </c>
      <c r="D7381" s="1" t="str">
        <f>"152326195303020429"</f>
        <v>152326195303020429</v>
      </c>
      <c r="E7381" s="1" t="s">
        <v>7110</v>
      </c>
      <c r="F7381" s="1" t="s">
        <v>16</v>
      </c>
      <c r="G7381" s="1" t="s">
        <v>17</v>
      </c>
      <c r="H7381" s="1" t="str">
        <f>"71"</f>
        <v>71</v>
      </c>
      <c r="I7381" s="1" t="str">
        <f>"163.16"</f>
        <v>163.16</v>
      </c>
      <c r="J7381" s="1" t="str">
        <f t="shared" ref="J7381:N7381" si="5074">"0"</f>
        <v>0</v>
      </c>
      <c r="K7381" s="1" t="str">
        <f t="shared" si="5039"/>
        <v>103</v>
      </c>
      <c r="L7381" s="1" t="str">
        <f t="shared" si="5040"/>
        <v>47</v>
      </c>
      <c r="M7381" s="1" t="str">
        <f t="shared" si="5074"/>
        <v>0</v>
      </c>
      <c r="N7381" s="1" t="str">
        <f t="shared" si="5074"/>
        <v>0</v>
      </c>
      <c r="O7381" s="1" t="str">
        <f>"3.16"</f>
        <v>3.16</v>
      </c>
    </row>
    <row r="7382" s="1" customFormat="1" spans="1:15">
      <c r="A7382" s="1" t="str">
        <f t="shared" si="5052"/>
        <v>202406</v>
      </c>
      <c r="B7382" s="1" t="str">
        <f t="shared" si="5053"/>
        <v>150525100</v>
      </c>
      <c r="C7382" s="1" t="str">
        <f>"1014583769"</f>
        <v>1014583769</v>
      </c>
      <c r="D7382" s="1" t="str">
        <f>"152326195508290668"</f>
        <v>152326195508290668</v>
      </c>
      <c r="E7382" s="1" t="s">
        <v>7111</v>
      </c>
      <c r="F7382" s="1" t="s">
        <v>16</v>
      </c>
      <c r="G7382" s="1" t="s">
        <v>19</v>
      </c>
      <c r="H7382" s="1" t="str">
        <f>"69"</f>
        <v>69</v>
      </c>
      <c r="I7382" s="1" t="str">
        <f>"154.84"</f>
        <v>154.84</v>
      </c>
      <c r="J7382" s="1" t="str">
        <f t="shared" ref="J7382:N7382" si="5075">"0"</f>
        <v>0</v>
      </c>
      <c r="K7382" s="1" t="str">
        <f t="shared" si="5039"/>
        <v>103</v>
      </c>
      <c r="L7382" s="1" t="str">
        <f t="shared" si="5040"/>
        <v>47</v>
      </c>
      <c r="M7382" s="1" t="str">
        <f t="shared" si="5075"/>
        <v>0</v>
      </c>
      <c r="N7382" s="1" t="str">
        <f t="shared" si="5075"/>
        <v>0</v>
      </c>
      <c r="O7382" s="1" t="str">
        <f>"4.84"</f>
        <v>4.84</v>
      </c>
    </row>
    <row r="7383" s="1" customFormat="1" spans="1:15">
      <c r="A7383" s="1" t="str">
        <f t="shared" si="5052"/>
        <v>202406</v>
      </c>
      <c r="B7383" s="1" t="str">
        <f t="shared" si="5053"/>
        <v>150525100</v>
      </c>
      <c r="C7383" s="1" t="str">
        <f>"1014583782"</f>
        <v>1014583782</v>
      </c>
      <c r="D7383" s="1" t="str">
        <f>"152326195705010426"</f>
        <v>152326195705010426</v>
      </c>
      <c r="E7383" s="1" t="s">
        <v>7112</v>
      </c>
      <c r="F7383" s="1" t="s">
        <v>16</v>
      </c>
      <c r="G7383" s="1" t="s">
        <v>19</v>
      </c>
      <c r="H7383" s="1" t="str">
        <f>"67"</f>
        <v>67</v>
      </c>
      <c r="I7383" s="1" t="str">
        <f>"156.05"</f>
        <v>156.05</v>
      </c>
      <c r="J7383" s="1" t="str">
        <f t="shared" ref="J7383:N7383" si="5076">"0"</f>
        <v>0</v>
      </c>
      <c r="K7383" s="1" t="str">
        <f t="shared" si="5039"/>
        <v>103</v>
      </c>
      <c r="L7383" s="1" t="str">
        <f t="shared" si="5040"/>
        <v>47</v>
      </c>
      <c r="M7383" s="1" t="str">
        <f t="shared" si="5076"/>
        <v>0</v>
      </c>
      <c r="N7383" s="1" t="str">
        <f t="shared" si="5076"/>
        <v>0</v>
      </c>
      <c r="O7383" s="1" t="str">
        <f>"6.05"</f>
        <v>6.05</v>
      </c>
    </row>
    <row r="7384" s="1" customFormat="1" spans="1:15">
      <c r="A7384" s="1" t="str">
        <f t="shared" si="5052"/>
        <v>202406</v>
      </c>
      <c r="B7384" s="1" t="str">
        <f t="shared" si="5053"/>
        <v>150525100</v>
      </c>
      <c r="C7384" s="1" t="str">
        <f>"1014550162"</f>
        <v>1014550162</v>
      </c>
      <c r="D7384" s="1" t="str">
        <f>"152326195701253324"</f>
        <v>152326195701253324</v>
      </c>
      <c r="E7384" s="1" t="s">
        <v>7113</v>
      </c>
      <c r="F7384" s="1" t="s">
        <v>16</v>
      </c>
      <c r="G7384" s="1" t="s">
        <v>17</v>
      </c>
      <c r="H7384" s="1" t="str">
        <f>"67"</f>
        <v>67</v>
      </c>
      <c r="I7384" s="1" t="str">
        <f>"156.03"</f>
        <v>156.03</v>
      </c>
      <c r="J7384" s="1" t="str">
        <f t="shared" ref="J7384:N7384" si="5077">"0"</f>
        <v>0</v>
      </c>
      <c r="K7384" s="1" t="str">
        <f t="shared" si="5039"/>
        <v>103</v>
      </c>
      <c r="L7384" s="1" t="str">
        <f t="shared" si="5040"/>
        <v>47</v>
      </c>
      <c r="M7384" s="1" t="str">
        <f t="shared" si="5077"/>
        <v>0</v>
      </c>
      <c r="N7384" s="1" t="str">
        <f t="shared" si="5077"/>
        <v>0</v>
      </c>
      <c r="O7384" s="1" t="str">
        <f>"6.03"</f>
        <v>6.03</v>
      </c>
    </row>
    <row r="7385" s="1" customFormat="1" spans="1:15">
      <c r="A7385" s="1" t="str">
        <f t="shared" si="5052"/>
        <v>202406</v>
      </c>
      <c r="B7385" s="1" t="str">
        <f t="shared" si="5053"/>
        <v>150525100</v>
      </c>
      <c r="C7385" s="1" t="str">
        <f>"1014585200"</f>
        <v>1014585200</v>
      </c>
      <c r="D7385" s="1" t="str">
        <f>"152326196204200445"</f>
        <v>152326196204200445</v>
      </c>
      <c r="E7385" s="1" t="s">
        <v>7114</v>
      </c>
      <c r="F7385" s="1" t="s">
        <v>16</v>
      </c>
      <c r="G7385" s="1" t="s">
        <v>17</v>
      </c>
      <c r="H7385" s="1" t="str">
        <f t="shared" ref="H7385:H7388" si="5078">"62"</f>
        <v>62</v>
      </c>
      <c r="I7385" s="1" t="str">
        <f>"166.29"</f>
        <v>166.29</v>
      </c>
      <c r="J7385" s="1" t="str">
        <f t="shared" ref="J7385:N7385" si="5079">"0"</f>
        <v>0</v>
      </c>
      <c r="K7385" s="1" t="str">
        <f t="shared" si="5039"/>
        <v>103</v>
      </c>
      <c r="L7385" s="1" t="str">
        <f t="shared" si="5040"/>
        <v>47</v>
      </c>
      <c r="M7385" s="1" t="str">
        <f t="shared" si="5079"/>
        <v>0</v>
      </c>
      <c r="N7385" s="1" t="str">
        <f t="shared" si="5079"/>
        <v>0</v>
      </c>
      <c r="O7385" s="1" t="str">
        <f>"16.29"</f>
        <v>16.29</v>
      </c>
    </row>
    <row r="7386" s="1" customFormat="1" spans="1:15">
      <c r="A7386" s="1" t="str">
        <f t="shared" si="5052"/>
        <v>202406</v>
      </c>
      <c r="B7386" s="1" t="str">
        <f t="shared" si="5053"/>
        <v>150525100</v>
      </c>
      <c r="C7386" s="1" t="str">
        <f>"1014585202"</f>
        <v>1014585202</v>
      </c>
      <c r="D7386" s="1" t="str">
        <f>"152326196207060660"</f>
        <v>152326196207060660</v>
      </c>
      <c r="E7386" s="1" t="s">
        <v>7115</v>
      </c>
      <c r="F7386" s="1" t="s">
        <v>16</v>
      </c>
      <c r="G7386" s="1" t="s">
        <v>17</v>
      </c>
      <c r="H7386" s="1" t="str">
        <f t="shared" si="5078"/>
        <v>62</v>
      </c>
      <c r="I7386" s="1" t="str">
        <f>"162.8"</f>
        <v>162.8</v>
      </c>
      <c r="J7386" s="1" t="str">
        <f t="shared" ref="J7386:N7386" si="5080">"0"</f>
        <v>0</v>
      </c>
      <c r="K7386" s="1" t="str">
        <f t="shared" si="5039"/>
        <v>103</v>
      </c>
      <c r="L7386" s="1" t="str">
        <f t="shared" si="5040"/>
        <v>47</v>
      </c>
      <c r="M7386" s="1" t="str">
        <f t="shared" si="5080"/>
        <v>0</v>
      </c>
      <c r="N7386" s="1" t="str">
        <f t="shared" si="5080"/>
        <v>0</v>
      </c>
      <c r="O7386" s="1" t="str">
        <f>"12.8"</f>
        <v>12.8</v>
      </c>
    </row>
    <row r="7387" s="1" customFormat="1" spans="1:15">
      <c r="A7387" s="1" t="str">
        <f t="shared" si="5052"/>
        <v>202406</v>
      </c>
      <c r="B7387" s="1" t="str">
        <f t="shared" si="5053"/>
        <v>150525100</v>
      </c>
      <c r="C7387" s="1" t="str">
        <f>"1014585209"</f>
        <v>1014585209</v>
      </c>
      <c r="D7387" s="1" t="str">
        <f>"152326196209070424"</f>
        <v>152326196209070424</v>
      </c>
      <c r="E7387" s="1" t="s">
        <v>3189</v>
      </c>
      <c r="F7387" s="1" t="s">
        <v>16</v>
      </c>
      <c r="G7387" s="1" t="s">
        <v>17</v>
      </c>
      <c r="H7387" s="1" t="str">
        <f t="shared" si="5078"/>
        <v>62</v>
      </c>
      <c r="I7387" s="1" t="str">
        <f>"163.13"</f>
        <v>163.13</v>
      </c>
      <c r="J7387" s="1" t="str">
        <f t="shared" ref="J7387:N7387" si="5081">"0"</f>
        <v>0</v>
      </c>
      <c r="K7387" s="1" t="str">
        <f t="shared" si="5039"/>
        <v>103</v>
      </c>
      <c r="L7387" s="1" t="str">
        <f t="shared" si="5040"/>
        <v>47</v>
      </c>
      <c r="M7387" s="1" t="str">
        <f t="shared" si="5081"/>
        <v>0</v>
      </c>
      <c r="N7387" s="1" t="str">
        <f t="shared" si="5081"/>
        <v>0</v>
      </c>
      <c r="O7387" s="1" t="str">
        <f>"13.13"</f>
        <v>13.13</v>
      </c>
    </row>
    <row r="7388" s="1" customFormat="1" spans="1:15">
      <c r="A7388" s="1" t="str">
        <f t="shared" si="5052"/>
        <v>202406</v>
      </c>
      <c r="B7388" s="1" t="str">
        <f t="shared" si="5053"/>
        <v>150525100</v>
      </c>
      <c r="C7388" s="1" t="str">
        <f>"1014585213"</f>
        <v>1014585213</v>
      </c>
      <c r="D7388" s="1" t="str">
        <f>"152326196210090684"</f>
        <v>152326196210090684</v>
      </c>
      <c r="E7388" s="1" t="s">
        <v>4847</v>
      </c>
      <c r="F7388" s="1" t="s">
        <v>16</v>
      </c>
      <c r="G7388" s="1" t="s">
        <v>17</v>
      </c>
      <c r="H7388" s="1" t="str">
        <f t="shared" si="5078"/>
        <v>62</v>
      </c>
      <c r="I7388" s="1" t="str">
        <f>"164.24"</f>
        <v>164.24</v>
      </c>
      <c r="J7388" s="1" t="str">
        <f t="shared" ref="J7388:N7388" si="5082">"0"</f>
        <v>0</v>
      </c>
      <c r="K7388" s="1" t="str">
        <f t="shared" si="5039"/>
        <v>103</v>
      </c>
      <c r="L7388" s="1" t="str">
        <f t="shared" si="5040"/>
        <v>47</v>
      </c>
      <c r="M7388" s="1" t="str">
        <f t="shared" si="5082"/>
        <v>0</v>
      </c>
      <c r="N7388" s="1" t="str">
        <f t="shared" si="5082"/>
        <v>0</v>
      </c>
      <c r="O7388" s="1" t="str">
        <f>"14.24"</f>
        <v>14.24</v>
      </c>
    </row>
    <row r="7389" s="1" customFormat="1" spans="1:15">
      <c r="A7389" s="1" t="str">
        <f t="shared" si="5052"/>
        <v>202406</v>
      </c>
      <c r="B7389" s="1" t="str">
        <f t="shared" si="5053"/>
        <v>150525100</v>
      </c>
      <c r="C7389" s="1" t="str">
        <f>"1014562589"</f>
        <v>1014562589</v>
      </c>
      <c r="D7389" s="1" t="str">
        <f>"152326195311220420"</f>
        <v>152326195311220420</v>
      </c>
      <c r="E7389" s="1" t="s">
        <v>7116</v>
      </c>
      <c r="F7389" s="1" t="s">
        <v>16</v>
      </c>
      <c r="G7389" s="1" t="s">
        <v>19</v>
      </c>
      <c r="H7389" s="1" t="str">
        <f>"71"</f>
        <v>71</v>
      </c>
      <c r="I7389" s="1" t="str">
        <f>"163.18"</f>
        <v>163.18</v>
      </c>
      <c r="J7389" s="1" t="str">
        <f t="shared" ref="J7389:N7389" si="5083">"0"</f>
        <v>0</v>
      </c>
      <c r="K7389" s="1" t="str">
        <f t="shared" si="5039"/>
        <v>103</v>
      </c>
      <c r="L7389" s="1" t="str">
        <f t="shared" si="5040"/>
        <v>47</v>
      </c>
      <c r="M7389" s="1" t="str">
        <f t="shared" si="5083"/>
        <v>0</v>
      </c>
      <c r="N7389" s="1" t="str">
        <f t="shared" si="5083"/>
        <v>0</v>
      </c>
      <c r="O7389" s="1" t="str">
        <f>"3.18"</f>
        <v>3.18</v>
      </c>
    </row>
    <row r="7390" s="1" customFormat="1" spans="1:15">
      <c r="A7390" s="1" t="str">
        <f t="shared" si="5052"/>
        <v>202406</v>
      </c>
      <c r="B7390" s="1" t="str">
        <f t="shared" si="5053"/>
        <v>150525100</v>
      </c>
      <c r="C7390" s="1" t="str">
        <f>"1014563107"</f>
        <v>1014563107</v>
      </c>
      <c r="D7390" s="1" t="s">
        <v>7117</v>
      </c>
      <c r="E7390" s="1" t="s">
        <v>7118</v>
      </c>
      <c r="F7390" s="1" t="s">
        <v>25</v>
      </c>
      <c r="G7390" s="1" t="s">
        <v>17</v>
      </c>
      <c r="H7390" s="1" t="str">
        <f>"72"</f>
        <v>72</v>
      </c>
      <c r="I7390" s="1" t="str">
        <f>"162.16"</f>
        <v>162.16</v>
      </c>
      <c r="J7390" s="1" t="str">
        <f t="shared" ref="J7390:N7390" si="5084">"0"</f>
        <v>0</v>
      </c>
      <c r="K7390" s="1" t="str">
        <f t="shared" si="5039"/>
        <v>103</v>
      </c>
      <c r="L7390" s="1" t="str">
        <f t="shared" si="5040"/>
        <v>47</v>
      </c>
      <c r="M7390" s="1" t="str">
        <f t="shared" si="5084"/>
        <v>0</v>
      </c>
      <c r="N7390" s="1" t="str">
        <f t="shared" si="5084"/>
        <v>0</v>
      </c>
      <c r="O7390" s="1" t="str">
        <f>"2.16"</f>
        <v>2.16</v>
      </c>
    </row>
    <row r="7391" s="1" customFormat="1" spans="1:15">
      <c r="A7391" s="1" t="str">
        <f t="shared" si="5052"/>
        <v>202406</v>
      </c>
      <c r="B7391" s="1" t="str">
        <f t="shared" si="5053"/>
        <v>150525100</v>
      </c>
      <c r="C7391" s="1" t="str">
        <f>"1014563464"</f>
        <v>1014563464</v>
      </c>
      <c r="D7391" s="1" t="str">
        <f>"152326196210100424"</f>
        <v>152326196210100424</v>
      </c>
      <c r="E7391" s="1" t="s">
        <v>7119</v>
      </c>
      <c r="F7391" s="1" t="s">
        <v>16</v>
      </c>
      <c r="G7391" s="1" t="s">
        <v>17</v>
      </c>
      <c r="H7391" s="1" t="str">
        <f>"62"</f>
        <v>62</v>
      </c>
      <c r="I7391" s="1" t="str">
        <f>"163.18"</f>
        <v>163.18</v>
      </c>
      <c r="J7391" s="1" t="str">
        <f t="shared" ref="J7391:N7391" si="5085">"0"</f>
        <v>0</v>
      </c>
      <c r="K7391" s="1" t="str">
        <f t="shared" si="5039"/>
        <v>103</v>
      </c>
      <c r="L7391" s="1" t="str">
        <f t="shared" si="5040"/>
        <v>47</v>
      </c>
      <c r="M7391" s="1" t="str">
        <f t="shared" si="5085"/>
        <v>0</v>
      </c>
      <c r="N7391" s="1" t="str">
        <f t="shared" si="5085"/>
        <v>0</v>
      </c>
      <c r="O7391" s="1" t="str">
        <f>"13.18"</f>
        <v>13.18</v>
      </c>
    </row>
    <row r="7392" s="1" customFormat="1" spans="1:15">
      <c r="A7392" s="1" t="str">
        <f t="shared" si="5052"/>
        <v>202406</v>
      </c>
      <c r="B7392" s="1" t="str">
        <f t="shared" si="5053"/>
        <v>150525100</v>
      </c>
      <c r="C7392" s="1" t="str">
        <f>"1014569888"</f>
        <v>1014569888</v>
      </c>
      <c r="D7392" s="1" t="str">
        <f>"152326196304200418"</f>
        <v>152326196304200418</v>
      </c>
      <c r="E7392" s="1" t="s">
        <v>7120</v>
      </c>
      <c r="F7392" s="1" t="s">
        <v>25</v>
      </c>
      <c r="G7392" s="1" t="s">
        <v>17</v>
      </c>
      <c r="H7392" s="1" t="str">
        <f>"61"</f>
        <v>61</v>
      </c>
      <c r="I7392" s="1" t="str">
        <f>"163.28"</f>
        <v>163.28</v>
      </c>
      <c r="J7392" s="1" t="str">
        <f t="shared" ref="J7392:N7392" si="5086">"0"</f>
        <v>0</v>
      </c>
      <c r="K7392" s="1" t="str">
        <f t="shared" si="5039"/>
        <v>103</v>
      </c>
      <c r="L7392" s="1" t="str">
        <f t="shared" si="5040"/>
        <v>47</v>
      </c>
      <c r="M7392" s="1" t="str">
        <f t="shared" si="5086"/>
        <v>0</v>
      </c>
      <c r="N7392" s="1" t="str">
        <f t="shared" si="5086"/>
        <v>0</v>
      </c>
      <c r="O7392" s="1" t="str">
        <f>"13.28"</f>
        <v>13.28</v>
      </c>
    </row>
    <row r="7393" s="1" customFormat="1" spans="1:15">
      <c r="A7393" s="1" t="str">
        <f t="shared" si="5052"/>
        <v>202406</v>
      </c>
      <c r="B7393" s="1" t="str">
        <f t="shared" si="5053"/>
        <v>150525100</v>
      </c>
      <c r="C7393" s="1" t="str">
        <f>"1014569902"</f>
        <v>1014569902</v>
      </c>
      <c r="D7393" s="1" t="str">
        <f>"152326196402050425"</f>
        <v>152326196402050425</v>
      </c>
      <c r="E7393" s="1" t="s">
        <v>7121</v>
      </c>
      <c r="F7393" s="1" t="s">
        <v>16</v>
      </c>
      <c r="G7393" s="1" t="s">
        <v>17</v>
      </c>
      <c r="H7393" s="1" t="str">
        <f>"60"</f>
        <v>60</v>
      </c>
      <c r="I7393" s="1" t="str">
        <f>"172.99"</f>
        <v>172.99</v>
      </c>
      <c r="J7393" s="1" t="str">
        <f t="shared" ref="J7393:N7393" si="5087">"0"</f>
        <v>0</v>
      </c>
      <c r="K7393" s="1" t="str">
        <f t="shared" si="5039"/>
        <v>103</v>
      </c>
      <c r="L7393" s="1" t="str">
        <f t="shared" si="5040"/>
        <v>47</v>
      </c>
      <c r="M7393" s="1" t="str">
        <f t="shared" si="5087"/>
        <v>0</v>
      </c>
      <c r="N7393" s="1" t="str">
        <f t="shared" si="5087"/>
        <v>0</v>
      </c>
      <c r="O7393" s="1" t="str">
        <f>"22.99"</f>
        <v>22.99</v>
      </c>
    </row>
    <row r="7394" s="1" customFormat="1" spans="1:15">
      <c r="A7394" s="1" t="str">
        <f t="shared" si="5052"/>
        <v>202406</v>
      </c>
      <c r="B7394" s="1" t="str">
        <f t="shared" si="5053"/>
        <v>150525100</v>
      </c>
      <c r="C7394" s="1" t="str">
        <f>"1014550173"</f>
        <v>1014550173</v>
      </c>
      <c r="D7394" s="1" t="str">
        <f>"152326195706243328"</f>
        <v>152326195706243328</v>
      </c>
      <c r="E7394" s="1" t="s">
        <v>7122</v>
      </c>
      <c r="F7394" s="1" t="s">
        <v>16</v>
      </c>
      <c r="G7394" s="1" t="s">
        <v>17</v>
      </c>
      <c r="H7394" s="1" t="str">
        <f t="shared" ref="H7394:H7396" si="5088">"67"</f>
        <v>67</v>
      </c>
      <c r="I7394" s="1" t="str">
        <f>"156.07"</f>
        <v>156.07</v>
      </c>
      <c r="J7394" s="1" t="str">
        <f t="shared" ref="J7394:N7394" si="5089">"0"</f>
        <v>0</v>
      </c>
      <c r="K7394" s="1" t="str">
        <f t="shared" si="5039"/>
        <v>103</v>
      </c>
      <c r="L7394" s="1" t="str">
        <f t="shared" si="5040"/>
        <v>47</v>
      </c>
      <c r="M7394" s="1" t="str">
        <f t="shared" si="5089"/>
        <v>0</v>
      </c>
      <c r="N7394" s="1" t="str">
        <f t="shared" si="5089"/>
        <v>0</v>
      </c>
      <c r="O7394" s="1" t="str">
        <f>"6.07"</f>
        <v>6.07</v>
      </c>
    </row>
    <row r="7395" s="1" customFormat="1" spans="1:15">
      <c r="A7395" s="1" t="str">
        <f t="shared" si="5052"/>
        <v>202406</v>
      </c>
      <c r="B7395" s="1" t="str">
        <f t="shared" si="5053"/>
        <v>150525100</v>
      </c>
      <c r="C7395" s="1" t="str">
        <f>"1014550181"</f>
        <v>1014550181</v>
      </c>
      <c r="D7395" s="1" t="str">
        <f>"152326195708140664"</f>
        <v>152326195708140664</v>
      </c>
      <c r="E7395" s="1" t="s">
        <v>7123</v>
      </c>
      <c r="F7395" s="1" t="s">
        <v>16</v>
      </c>
      <c r="G7395" s="1" t="s">
        <v>17</v>
      </c>
      <c r="H7395" s="1" t="str">
        <f t="shared" si="5088"/>
        <v>67</v>
      </c>
      <c r="I7395" s="1" t="str">
        <f>"156.09"</f>
        <v>156.09</v>
      </c>
      <c r="J7395" s="1" t="str">
        <f t="shared" ref="J7395:N7395" si="5090">"0"</f>
        <v>0</v>
      </c>
      <c r="K7395" s="1" t="str">
        <f t="shared" si="5039"/>
        <v>103</v>
      </c>
      <c r="L7395" s="1" t="str">
        <f t="shared" si="5040"/>
        <v>47</v>
      </c>
      <c r="M7395" s="1" t="str">
        <f t="shared" si="5090"/>
        <v>0</v>
      </c>
      <c r="N7395" s="1" t="str">
        <f t="shared" si="5090"/>
        <v>0</v>
      </c>
      <c r="O7395" s="1" t="str">
        <f>"6.09"</f>
        <v>6.09</v>
      </c>
    </row>
    <row r="7396" s="1" customFormat="1" spans="1:15">
      <c r="A7396" s="1" t="str">
        <f t="shared" si="5052"/>
        <v>202406</v>
      </c>
      <c r="B7396" s="1" t="str">
        <f t="shared" si="5053"/>
        <v>150525100</v>
      </c>
      <c r="C7396" s="1" t="str">
        <f>"1014550185"</f>
        <v>1014550185</v>
      </c>
      <c r="D7396" s="1" t="str">
        <f>"152326195708283323"</f>
        <v>152326195708283323</v>
      </c>
      <c r="E7396" s="1" t="s">
        <v>7124</v>
      </c>
      <c r="F7396" s="1" t="s">
        <v>16</v>
      </c>
      <c r="G7396" s="1" t="s">
        <v>19</v>
      </c>
      <c r="H7396" s="1" t="str">
        <f t="shared" si="5088"/>
        <v>67</v>
      </c>
      <c r="I7396" s="1" t="str">
        <f>"156.09"</f>
        <v>156.09</v>
      </c>
      <c r="J7396" s="1" t="str">
        <f t="shared" ref="J7396:N7396" si="5091">"0"</f>
        <v>0</v>
      </c>
      <c r="K7396" s="1" t="str">
        <f t="shared" si="5039"/>
        <v>103</v>
      </c>
      <c r="L7396" s="1" t="str">
        <f t="shared" si="5040"/>
        <v>47</v>
      </c>
      <c r="M7396" s="1" t="str">
        <f t="shared" si="5091"/>
        <v>0</v>
      </c>
      <c r="N7396" s="1" t="str">
        <f t="shared" si="5091"/>
        <v>0</v>
      </c>
      <c r="O7396" s="1" t="str">
        <f>"6.09"</f>
        <v>6.09</v>
      </c>
    </row>
    <row r="7397" s="1" customFormat="1" spans="1:15">
      <c r="A7397" s="1" t="str">
        <f t="shared" si="5052"/>
        <v>202406</v>
      </c>
      <c r="B7397" s="1" t="str">
        <f t="shared" si="5053"/>
        <v>150525100</v>
      </c>
      <c r="C7397" s="1" t="str">
        <f>"1014550202"</f>
        <v>1014550202</v>
      </c>
      <c r="D7397" s="1" t="str">
        <f>"152326195802080688"</f>
        <v>152326195802080688</v>
      </c>
      <c r="E7397" s="1" t="s">
        <v>7125</v>
      </c>
      <c r="F7397" s="1" t="s">
        <v>16</v>
      </c>
      <c r="G7397" s="1" t="s">
        <v>17</v>
      </c>
      <c r="H7397" s="1" t="str">
        <f>"66"</f>
        <v>66</v>
      </c>
      <c r="I7397" s="1" t="str">
        <f>"157.08"</f>
        <v>157.08</v>
      </c>
      <c r="J7397" s="1" t="str">
        <f t="shared" ref="J7397:N7397" si="5092">"0"</f>
        <v>0</v>
      </c>
      <c r="K7397" s="1" t="str">
        <f t="shared" si="5039"/>
        <v>103</v>
      </c>
      <c r="L7397" s="1" t="str">
        <f t="shared" si="5040"/>
        <v>47</v>
      </c>
      <c r="M7397" s="1" t="str">
        <f t="shared" si="5092"/>
        <v>0</v>
      </c>
      <c r="N7397" s="1" t="str">
        <f t="shared" si="5092"/>
        <v>0</v>
      </c>
      <c r="O7397" s="1" t="str">
        <f>"7.08"</f>
        <v>7.08</v>
      </c>
    </row>
    <row r="7398" s="1" customFormat="1" spans="1:15">
      <c r="A7398" s="1" t="str">
        <f t="shared" si="5052"/>
        <v>202406</v>
      </c>
      <c r="B7398" s="1" t="str">
        <f t="shared" si="5053"/>
        <v>150525100</v>
      </c>
      <c r="C7398" s="1" t="str">
        <f>"1014550675"</f>
        <v>1014550675</v>
      </c>
      <c r="D7398" s="1" t="str">
        <f>"152326195305143342"</f>
        <v>152326195305143342</v>
      </c>
      <c r="E7398" s="1" t="s">
        <v>7126</v>
      </c>
      <c r="F7398" s="1" t="s">
        <v>16</v>
      </c>
      <c r="G7398" s="1" t="s">
        <v>17</v>
      </c>
      <c r="H7398" s="1" t="str">
        <f>"71"</f>
        <v>71</v>
      </c>
      <c r="I7398" s="1" t="str">
        <f>"163.16"</f>
        <v>163.16</v>
      </c>
      <c r="J7398" s="1" t="str">
        <f t="shared" ref="J7398:N7398" si="5093">"0"</f>
        <v>0</v>
      </c>
      <c r="K7398" s="1" t="str">
        <f t="shared" si="5039"/>
        <v>103</v>
      </c>
      <c r="L7398" s="1" t="str">
        <f t="shared" si="5040"/>
        <v>47</v>
      </c>
      <c r="M7398" s="1" t="str">
        <f t="shared" si="5093"/>
        <v>0</v>
      </c>
      <c r="N7398" s="1" t="str">
        <f t="shared" si="5093"/>
        <v>0</v>
      </c>
      <c r="O7398" s="1" t="str">
        <f>"3.16"</f>
        <v>3.16</v>
      </c>
    </row>
    <row r="7399" s="1" customFormat="1" spans="1:15">
      <c r="A7399" s="1" t="str">
        <f t="shared" si="5052"/>
        <v>202406</v>
      </c>
      <c r="B7399" s="1" t="str">
        <f t="shared" si="5053"/>
        <v>150525100</v>
      </c>
      <c r="C7399" s="1" t="str">
        <f>"1040642186"</f>
        <v>1040642186</v>
      </c>
      <c r="D7399" s="1" t="str">
        <f>"152326195802183329"</f>
        <v>152326195802183329</v>
      </c>
      <c r="E7399" s="1" t="s">
        <v>7127</v>
      </c>
      <c r="F7399" s="1" t="s">
        <v>16</v>
      </c>
      <c r="G7399" s="1" t="s">
        <v>19</v>
      </c>
      <c r="H7399" s="1" t="str">
        <f>"66"</f>
        <v>66</v>
      </c>
      <c r="I7399" s="1" t="str">
        <f>"156.49"</f>
        <v>156.49</v>
      </c>
      <c r="J7399" s="1" t="str">
        <f t="shared" ref="J7399:N7399" si="5094">"0"</f>
        <v>0</v>
      </c>
      <c r="K7399" s="1" t="str">
        <f t="shared" si="5039"/>
        <v>103</v>
      </c>
      <c r="L7399" s="1" t="str">
        <f t="shared" si="5040"/>
        <v>47</v>
      </c>
      <c r="M7399" s="1" t="str">
        <f t="shared" si="5094"/>
        <v>0</v>
      </c>
      <c r="N7399" s="1" t="str">
        <f t="shared" si="5094"/>
        <v>0</v>
      </c>
      <c r="O7399" s="1" t="str">
        <f>"6.49"</f>
        <v>6.49</v>
      </c>
    </row>
    <row r="7400" s="1" customFormat="1" spans="1:15">
      <c r="A7400" s="1" t="str">
        <f t="shared" si="5052"/>
        <v>202406</v>
      </c>
      <c r="B7400" s="1" t="str">
        <f t="shared" si="5053"/>
        <v>150525100</v>
      </c>
      <c r="C7400" s="1" t="str">
        <f>"1040642204"</f>
        <v>1040642204</v>
      </c>
      <c r="D7400" s="1" t="s">
        <v>7128</v>
      </c>
      <c r="E7400" s="1" t="s">
        <v>566</v>
      </c>
      <c r="F7400" s="1" t="s">
        <v>16</v>
      </c>
      <c r="G7400" s="1" t="s">
        <v>19</v>
      </c>
      <c r="H7400" s="1" t="str">
        <f>"70"</f>
        <v>70</v>
      </c>
      <c r="I7400" s="1" t="str">
        <f>"153.56"</f>
        <v>153.56</v>
      </c>
      <c r="J7400" s="1" t="str">
        <f t="shared" ref="J7400:N7400" si="5095">"0"</f>
        <v>0</v>
      </c>
      <c r="K7400" s="1" t="str">
        <f t="shared" si="5039"/>
        <v>103</v>
      </c>
      <c r="L7400" s="1" t="str">
        <f t="shared" si="5040"/>
        <v>47</v>
      </c>
      <c r="M7400" s="1" t="str">
        <f t="shared" si="5095"/>
        <v>0</v>
      </c>
      <c r="N7400" s="1" t="str">
        <f t="shared" si="5095"/>
        <v>0</v>
      </c>
      <c r="O7400" s="1" t="str">
        <f>"3.56"</f>
        <v>3.56</v>
      </c>
    </row>
    <row r="7401" s="1" customFormat="1" spans="1:15">
      <c r="A7401" s="1" t="str">
        <f t="shared" si="5052"/>
        <v>202406</v>
      </c>
      <c r="B7401" s="1" t="str">
        <f t="shared" si="5053"/>
        <v>150525100</v>
      </c>
      <c r="C7401" s="1" t="str">
        <f>"1040642226"</f>
        <v>1040642226</v>
      </c>
      <c r="D7401" s="1" t="s">
        <v>7129</v>
      </c>
      <c r="E7401" s="1" t="s">
        <v>2238</v>
      </c>
      <c r="F7401" s="1" t="s">
        <v>16</v>
      </c>
      <c r="G7401" s="1" t="s">
        <v>19</v>
      </c>
      <c r="H7401" s="1" t="str">
        <f>"69"</f>
        <v>69</v>
      </c>
      <c r="I7401" s="1" t="str">
        <f>"154.52"</f>
        <v>154.52</v>
      </c>
      <c r="J7401" s="1" t="str">
        <f t="shared" ref="J7401:N7401" si="5096">"0"</f>
        <v>0</v>
      </c>
      <c r="K7401" s="1" t="str">
        <f t="shared" si="5039"/>
        <v>103</v>
      </c>
      <c r="L7401" s="1" t="str">
        <f t="shared" si="5040"/>
        <v>47</v>
      </c>
      <c r="M7401" s="1" t="str">
        <f t="shared" si="5096"/>
        <v>0</v>
      </c>
      <c r="N7401" s="1" t="str">
        <f t="shared" si="5096"/>
        <v>0</v>
      </c>
      <c r="O7401" s="1" t="str">
        <f>"4.52"</f>
        <v>4.52</v>
      </c>
    </row>
    <row r="7402" s="1" customFormat="1" spans="1:15">
      <c r="A7402" s="1" t="str">
        <f t="shared" si="5052"/>
        <v>202406</v>
      </c>
      <c r="B7402" s="1" t="str">
        <f t="shared" si="5053"/>
        <v>150525100</v>
      </c>
      <c r="C7402" s="1" t="str">
        <f>"1040642266"</f>
        <v>1040642266</v>
      </c>
      <c r="D7402" s="1" t="str">
        <f>"152326196109193312"</f>
        <v>152326196109193312</v>
      </c>
      <c r="E7402" s="1" t="s">
        <v>7130</v>
      </c>
      <c r="F7402" s="1" t="s">
        <v>25</v>
      </c>
      <c r="G7402" s="1" t="s">
        <v>19</v>
      </c>
      <c r="H7402" s="1" t="str">
        <f>"63"</f>
        <v>63</v>
      </c>
      <c r="I7402" s="1" t="str">
        <f>"161.69"</f>
        <v>161.69</v>
      </c>
      <c r="J7402" s="1" t="str">
        <f t="shared" ref="J7402:N7402" si="5097">"0"</f>
        <v>0</v>
      </c>
      <c r="K7402" s="1" t="str">
        <f t="shared" si="5039"/>
        <v>103</v>
      </c>
      <c r="L7402" s="1" t="str">
        <f t="shared" si="5040"/>
        <v>47</v>
      </c>
      <c r="M7402" s="1" t="str">
        <f t="shared" si="5097"/>
        <v>0</v>
      </c>
      <c r="N7402" s="1" t="str">
        <f t="shared" si="5097"/>
        <v>0</v>
      </c>
      <c r="O7402" s="1" t="str">
        <f>"11.69"</f>
        <v>11.69</v>
      </c>
    </row>
    <row r="7403" s="1" customFormat="1" spans="1:15">
      <c r="A7403" s="1" t="str">
        <f t="shared" si="5052"/>
        <v>202406</v>
      </c>
      <c r="B7403" s="1" t="str">
        <f t="shared" si="5053"/>
        <v>150525100</v>
      </c>
      <c r="C7403" s="1" t="str">
        <f>"1040641605"</f>
        <v>1040641605</v>
      </c>
      <c r="D7403" s="1" t="str">
        <f>"152326195403240912"</f>
        <v>152326195403240912</v>
      </c>
      <c r="E7403" s="1" t="s">
        <v>7131</v>
      </c>
      <c r="F7403" s="1" t="s">
        <v>25</v>
      </c>
      <c r="G7403" s="1" t="s">
        <v>19</v>
      </c>
      <c r="H7403" s="1" t="str">
        <f>"70"</f>
        <v>70</v>
      </c>
      <c r="I7403" s="1" t="str">
        <f>"163.1"</f>
        <v>163.1</v>
      </c>
      <c r="J7403" s="1" t="str">
        <f t="shared" ref="J7403:N7403" si="5098">"0"</f>
        <v>0</v>
      </c>
      <c r="K7403" s="1" t="str">
        <f t="shared" si="5039"/>
        <v>103</v>
      </c>
      <c r="L7403" s="1" t="str">
        <f t="shared" si="5040"/>
        <v>47</v>
      </c>
      <c r="M7403" s="1" t="str">
        <f t="shared" si="5098"/>
        <v>0</v>
      </c>
      <c r="N7403" s="1" t="str">
        <f t="shared" si="5098"/>
        <v>0</v>
      </c>
      <c r="O7403" s="1" t="str">
        <f>"3.1"</f>
        <v>3.1</v>
      </c>
    </row>
    <row r="7404" s="1" customFormat="1" spans="1:15">
      <c r="A7404" s="1" t="str">
        <f t="shared" si="5052"/>
        <v>202406</v>
      </c>
      <c r="B7404" s="1" t="str">
        <f t="shared" si="5053"/>
        <v>150525100</v>
      </c>
      <c r="C7404" s="1" t="str">
        <f>"1040641614"</f>
        <v>1040641614</v>
      </c>
      <c r="D7404" s="1" t="str">
        <f>"152326195701110921"</f>
        <v>152326195701110921</v>
      </c>
      <c r="E7404" s="1" t="s">
        <v>7132</v>
      </c>
      <c r="F7404" s="1" t="s">
        <v>16</v>
      </c>
      <c r="G7404" s="1" t="s">
        <v>19</v>
      </c>
      <c r="H7404" s="1" t="str">
        <f>"67"</f>
        <v>67</v>
      </c>
      <c r="I7404" s="1" t="str">
        <f>"155.27"</f>
        <v>155.27</v>
      </c>
      <c r="J7404" s="1" t="str">
        <f t="shared" ref="J7404:N7404" si="5099">"0"</f>
        <v>0</v>
      </c>
      <c r="K7404" s="1" t="str">
        <f t="shared" si="5039"/>
        <v>103</v>
      </c>
      <c r="L7404" s="1" t="str">
        <f t="shared" si="5040"/>
        <v>47</v>
      </c>
      <c r="M7404" s="1" t="str">
        <f t="shared" si="5099"/>
        <v>0</v>
      </c>
      <c r="N7404" s="1" t="str">
        <f t="shared" si="5099"/>
        <v>0</v>
      </c>
      <c r="O7404" s="1" t="str">
        <f>"5.27"</f>
        <v>5.27</v>
      </c>
    </row>
    <row r="7405" s="1" customFormat="1" spans="1:15">
      <c r="A7405" s="1" t="str">
        <f t="shared" si="5052"/>
        <v>202406</v>
      </c>
      <c r="B7405" s="1" t="str">
        <f t="shared" si="5053"/>
        <v>150525100</v>
      </c>
      <c r="C7405" s="1" t="str">
        <f>"1040641618"</f>
        <v>1040641618</v>
      </c>
      <c r="D7405" s="1" t="str">
        <f>"152326195805160923"</f>
        <v>152326195805160923</v>
      </c>
      <c r="E7405" s="1" t="s">
        <v>7133</v>
      </c>
      <c r="F7405" s="1" t="s">
        <v>16</v>
      </c>
      <c r="G7405" s="1" t="s">
        <v>19</v>
      </c>
      <c r="H7405" s="1" t="str">
        <f>"66"</f>
        <v>66</v>
      </c>
      <c r="I7405" s="1" t="str">
        <f>"156.01"</f>
        <v>156.01</v>
      </c>
      <c r="J7405" s="1" t="str">
        <f t="shared" ref="J7405:N7405" si="5100">"0"</f>
        <v>0</v>
      </c>
      <c r="K7405" s="1" t="str">
        <f t="shared" si="5039"/>
        <v>103</v>
      </c>
      <c r="L7405" s="1" t="str">
        <f t="shared" si="5040"/>
        <v>47</v>
      </c>
      <c r="M7405" s="1" t="str">
        <f t="shared" si="5100"/>
        <v>0</v>
      </c>
      <c r="N7405" s="1" t="str">
        <f t="shared" si="5100"/>
        <v>0</v>
      </c>
      <c r="O7405" s="1" t="str">
        <f>"6.01"</f>
        <v>6.01</v>
      </c>
    </row>
    <row r="7406" s="1" customFormat="1" spans="1:15">
      <c r="A7406" s="1" t="str">
        <f t="shared" si="5052"/>
        <v>202406</v>
      </c>
      <c r="B7406" s="1" t="str">
        <f t="shared" si="5053"/>
        <v>150525100</v>
      </c>
      <c r="C7406" s="1" t="str">
        <f>"1014561137"</f>
        <v>1014561137</v>
      </c>
      <c r="D7406" s="1" t="str">
        <f>"152326195412260421"</f>
        <v>152326195412260421</v>
      </c>
      <c r="E7406" s="1" t="s">
        <v>7134</v>
      </c>
      <c r="F7406" s="1" t="s">
        <v>16</v>
      </c>
      <c r="G7406" s="1" t="s">
        <v>17</v>
      </c>
      <c r="H7406" s="1" t="str">
        <f>"70"</f>
        <v>70</v>
      </c>
      <c r="I7406" s="1" t="str">
        <f>"154.14"</f>
        <v>154.14</v>
      </c>
      <c r="J7406" s="1" t="str">
        <f t="shared" ref="J7406:N7406" si="5101">"0"</f>
        <v>0</v>
      </c>
      <c r="K7406" s="1" t="str">
        <f t="shared" si="5039"/>
        <v>103</v>
      </c>
      <c r="L7406" s="1" t="str">
        <f t="shared" si="5040"/>
        <v>47</v>
      </c>
      <c r="M7406" s="1" t="str">
        <f t="shared" si="5101"/>
        <v>0</v>
      </c>
      <c r="N7406" s="1" t="str">
        <f t="shared" si="5101"/>
        <v>0</v>
      </c>
      <c r="O7406" s="1" t="str">
        <f>"4.14"</f>
        <v>4.14</v>
      </c>
    </row>
    <row r="7407" s="1" customFormat="1" spans="1:15">
      <c r="A7407" s="1" t="str">
        <f t="shared" si="5052"/>
        <v>202406</v>
      </c>
      <c r="B7407" s="1" t="str">
        <f t="shared" si="5053"/>
        <v>150525100</v>
      </c>
      <c r="C7407" s="1" t="str">
        <f>"1014585268"</f>
        <v>1014585268</v>
      </c>
      <c r="D7407" s="1" t="str">
        <f>"152326196302220669"</f>
        <v>152326196302220669</v>
      </c>
      <c r="E7407" s="1" t="s">
        <v>7135</v>
      </c>
      <c r="F7407" s="1" t="s">
        <v>16</v>
      </c>
      <c r="G7407" s="1" t="s">
        <v>17</v>
      </c>
      <c r="H7407" s="1" t="str">
        <f>"61"</f>
        <v>61</v>
      </c>
      <c r="I7407" s="1" t="str">
        <f>"164.13"</f>
        <v>164.13</v>
      </c>
      <c r="J7407" s="1" t="str">
        <f t="shared" ref="J7407:N7407" si="5102">"0"</f>
        <v>0</v>
      </c>
      <c r="K7407" s="1" t="str">
        <f t="shared" si="5039"/>
        <v>103</v>
      </c>
      <c r="L7407" s="1" t="str">
        <f t="shared" si="5040"/>
        <v>47</v>
      </c>
      <c r="M7407" s="1" t="str">
        <f t="shared" si="5102"/>
        <v>0</v>
      </c>
      <c r="N7407" s="1" t="str">
        <f t="shared" si="5102"/>
        <v>0</v>
      </c>
      <c r="O7407" s="1" t="str">
        <f>"14.13"</f>
        <v>14.13</v>
      </c>
    </row>
    <row r="7408" s="1" customFormat="1" spans="1:15">
      <c r="A7408" s="1" t="str">
        <f t="shared" si="5052"/>
        <v>202406</v>
      </c>
      <c r="B7408" s="1" t="str">
        <f t="shared" si="5053"/>
        <v>150525100</v>
      </c>
      <c r="C7408" s="1" t="str">
        <f>"1014585269"</f>
        <v>1014585269</v>
      </c>
      <c r="D7408" s="1" t="str">
        <f>"152326196302223341"</f>
        <v>152326196302223341</v>
      </c>
      <c r="E7408" s="1" t="s">
        <v>7136</v>
      </c>
      <c r="F7408" s="1" t="s">
        <v>16</v>
      </c>
      <c r="G7408" s="1" t="s">
        <v>17</v>
      </c>
      <c r="H7408" s="1" t="str">
        <f>"61"</f>
        <v>61</v>
      </c>
      <c r="I7408" s="1" t="str">
        <f>"164.93"</f>
        <v>164.93</v>
      </c>
      <c r="J7408" s="1" t="str">
        <f t="shared" ref="J7408:N7408" si="5103">"0"</f>
        <v>0</v>
      </c>
      <c r="K7408" s="1" t="str">
        <f t="shared" si="5039"/>
        <v>103</v>
      </c>
      <c r="L7408" s="1" t="str">
        <f t="shared" si="5040"/>
        <v>47</v>
      </c>
      <c r="M7408" s="1" t="str">
        <f t="shared" si="5103"/>
        <v>0</v>
      </c>
      <c r="N7408" s="1" t="str">
        <f t="shared" si="5103"/>
        <v>0</v>
      </c>
      <c r="O7408" s="1" t="str">
        <f>"14.93"</f>
        <v>14.93</v>
      </c>
    </row>
    <row r="7409" s="1" customFormat="1" spans="1:15">
      <c r="A7409" s="1" t="str">
        <f t="shared" si="5052"/>
        <v>202406</v>
      </c>
      <c r="B7409" s="1" t="str">
        <f t="shared" si="5053"/>
        <v>150525100</v>
      </c>
      <c r="C7409" s="1" t="str">
        <f>"1014561146"</f>
        <v>1014561146</v>
      </c>
      <c r="D7409" s="1" t="str">
        <f>"152326195503160426"</f>
        <v>152326195503160426</v>
      </c>
      <c r="E7409" s="1" t="s">
        <v>7137</v>
      </c>
      <c r="F7409" s="1" t="s">
        <v>16</v>
      </c>
      <c r="G7409" s="1" t="s">
        <v>17</v>
      </c>
      <c r="H7409" s="1" t="str">
        <f t="shared" ref="H7409:H7411" si="5104">"69"</f>
        <v>69</v>
      </c>
      <c r="I7409" s="1" t="str">
        <f t="shared" ref="I7409:I7411" si="5105">"155.1"</f>
        <v>155.1</v>
      </c>
      <c r="J7409" s="1" t="str">
        <f t="shared" ref="J7409:N7409" si="5106">"0"</f>
        <v>0</v>
      </c>
      <c r="K7409" s="1" t="str">
        <f t="shared" si="5039"/>
        <v>103</v>
      </c>
      <c r="L7409" s="1" t="str">
        <f t="shared" si="5040"/>
        <v>47</v>
      </c>
      <c r="M7409" s="1" t="str">
        <f t="shared" si="5106"/>
        <v>0</v>
      </c>
      <c r="N7409" s="1" t="str">
        <f t="shared" si="5106"/>
        <v>0</v>
      </c>
      <c r="O7409" s="1" t="str">
        <f t="shared" ref="O7409:O7411" si="5107">"5.1"</f>
        <v>5.1</v>
      </c>
    </row>
    <row r="7410" s="1" customFormat="1" spans="1:15">
      <c r="A7410" s="1" t="str">
        <f t="shared" si="5052"/>
        <v>202406</v>
      </c>
      <c r="B7410" s="1" t="str">
        <f t="shared" si="5053"/>
        <v>150525100</v>
      </c>
      <c r="C7410" s="1" t="str">
        <f>"1014561148"</f>
        <v>1014561148</v>
      </c>
      <c r="D7410" s="1" t="str">
        <f>"152326195503210411"</f>
        <v>152326195503210411</v>
      </c>
      <c r="E7410" s="1" t="s">
        <v>7138</v>
      </c>
      <c r="F7410" s="1" t="s">
        <v>25</v>
      </c>
      <c r="G7410" s="1" t="s">
        <v>17</v>
      </c>
      <c r="H7410" s="1" t="str">
        <f t="shared" si="5104"/>
        <v>69</v>
      </c>
      <c r="I7410" s="1" t="str">
        <f t="shared" si="5105"/>
        <v>155.1</v>
      </c>
      <c r="J7410" s="1" t="str">
        <f t="shared" ref="J7410:N7410" si="5108">"0"</f>
        <v>0</v>
      </c>
      <c r="K7410" s="1" t="str">
        <f t="shared" si="5039"/>
        <v>103</v>
      </c>
      <c r="L7410" s="1" t="str">
        <f t="shared" si="5040"/>
        <v>47</v>
      </c>
      <c r="M7410" s="1" t="str">
        <f t="shared" si="5108"/>
        <v>0</v>
      </c>
      <c r="N7410" s="1" t="str">
        <f t="shared" si="5108"/>
        <v>0</v>
      </c>
      <c r="O7410" s="1" t="str">
        <f t="shared" si="5107"/>
        <v>5.1</v>
      </c>
    </row>
    <row r="7411" s="1" customFormat="1" spans="1:15">
      <c r="A7411" s="1" t="str">
        <f t="shared" si="5052"/>
        <v>202406</v>
      </c>
      <c r="B7411" s="1" t="str">
        <f t="shared" si="5053"/>
        <v>150525100</v>
      </c>
      <c r="C7411" s="1" t="str">
        <f>"1014561157"</f>
        <v>1014561157</v>
      </c>
      <c r="D7411" s="1" t="str">
        <f>"152326195505020427"</f>
        <v>152326195505020427</v>
      </c>
      <c r="E7411" s="1" t="s">
        <v>7139</v>
      </c>
      <c r="F7411" s="1" t="s">
        <v>16</v>
      </c>
      <c r="G7411" s="1" t="s">
        <v>17</v>
      </c>
      <c r="H7411" s="1" t="str">
        <f t="shared" si="5104"/>
        <v>69</v>
      </c>
      <c r="I7411" s="1" t="str">
        <f t="shared" si="5105"/>
        <v>155.1</v>
      </c>
      <c r="J7411" s="1" t="str">
        <f t="shared" ref="J7411:N7411" si="5109">"0"</f>
        <v>0</v>
      </c>
      <c r="K7411" s="1" t="str">
        <f t="shared" si="5039"/>
        <v>103</v>
      </c>
      <c r="L7411" s="1" t="str">
        <f t="shared" si="5040"/>
        <v>47</v>
      </c>
      <c r="M7411" s="1" t="str">
        <f t="shared" si="5109"/>
        <v>0</v>
      </c>
      <c r="N7411" s="1" t="str">
        <f t="shared" si="5109"/>
        <v>0</v>
      </c>
      <c r="O7411" s="1" t="str">
        <f t="shared" si="5107"/>
        <v>5.1</v>
      </c>
    </row>
    <row r="7412" s="1" customFormat="1" spans="1:15">
      <c r="A7412" s="1" t="str">
        <f t="shared" si="5052"/>
        <v>202406</v>
      </c>
      <c r="B7412" s="1" t="str">
        <f t="shared" si="5053"/>
        <v>150525100</v>
      </c>
      <c r="C7412" s="1" t="str">
        <f>"1014561420"</f>
        <v>1014561420</v>
      </c>
      <c r="D7412" s="1" t="str">
        <f>"152326195203140415"</f>
        <v>152326195203140415</v>
      </c>
      <c r="E7412" s="1" t="s">
        <v>7140</v>
      </c>
      <c r="F7412" s="1" t="s">
        <v>25</v>
      </c>
      <c r="G7412" s="1" t="s">
        <v>17</v>
      </c>
      <c r="H7412" s="1" t="str">
        <f>"72"</f>
        <v>72</v>
      </c>
      <c r="I7412" s="1" t="str">
        <f>"162.15"</f>
        <v>162.15</v>
      </c>
      <c r="J7412" s="1" t="str">
        <f t="shared" ref="J7412:N7412" si="5110">"0"</f>
        <v>0</v>
      </c>
      <c r="K7412" s="1" t="str">
        <f t="shared" si="5039"/>
        <v>103</v>
      </c>
      <c r="L7412" s="1" t="str">
        <f t="shared" si="5040"/>
        <v>47</v>
      </c>
      <c r="M7412" s="1" t="str">
        <f t="shared" si="5110"/>
        <v>0</v>
      </c>
      <c r="N7412" s="1" t="str">
        <f t="shared" si="5110"/>
        <v>0</v>
      </c>
      <c r="O7412" s="1" t="str">
        <f>"2.15"</f>
        <v>2.15</v>
      </c>
    </row>
    <row r="7413" s="1" customFormat="1" spans="1:15">
      <c r="A7413" s="1" t="str">
        <f t="shared" si="5052"/>
        <v>202406</v>
      </c>
      <c r="B7413" s="1" t="str">
        <f t="shared" si="5053"/>
        <v>150525100</v>
      </c>
      <c r="C7413" s="1" t="str">
        <f>"1014584174"</f>
        <v>1014584174</v>
      </c>
      <c r="D7413" s="1" t="str">
        <f>"152326195905260665"</f>
        <v>152326195905260665</v>
      </c>
      <c r="E7413" s="1" t="s">
        <v>63</v>
      </c>
      <c r="F7413" s="1" t="s">
        <v>16</v>
      </c>
      <c r="G7413" s="1" t="s">
        <v>17</v>
      </c>
      <c r="H7413" s="1" t="str">
        <f>"65"</f>
        <v>65</v>
      </c>
      <c r="I7413" s="1" t="str">
        <f>"157.95"</f>
        <v>157.95</v>
      </c>
      <c r="J7413" s="1" t="str">
        <f t="shared" ref="J7413:N7413" si="5111">"0"</f>
        <v>0</v>
      </c>
      <c r="K7413" s="1" t="str">
        <f t="shared" si="5039"/>
        <v>103</v>
      </c>
      <c r="L7413" s="1" t="str">
        <f t="shared" si="5040"/>
        <v>47</v>
      </c>
      <c r="M7413" s="1" t="str">
        <f t="shared" si="5111"/>
        <v>0</v>
      </c>
      <c r="N7413" s="1" t="str">
        <f t="shared" si="5111"/>
        <v>0</v>
      </c>
      <c r="O7413" s="1" t="str">
        <f>"7.95"</f>
        <v>7.95</v>
      </c>
    </row>
    <row r="7414" s="1" customFormat="1" spans="1:15">
      <c r="A7414" s="1" t="str">
        <f t="shared" si="5052"/>
        <v>202406</v>
      </c>
      <c r="B7414" s="1" t="str">
        <f t="shared" si="5053"/>
        <v>150525100</v>
      </c>
      <c r="C7414" s="1" t="str">
        <f>"1014584182"</f>
        <v>1014584182</v>
      </c>
      <c r="D7414" s="1" t="str">
        <f>"152326195910050662"</f>
        <v>152326195910050662</v>
      </c>
      <c r="E7414" s="1" t="s">
        <v>7141</v>
      </c>
      <c r="F7414" s="1" t="s">
        <v>16</v>
      </c>
      <c r="G7414" s="1" t="s">
        <v>17</v>
      </c>
      <c r="H7414" s="1" t="str">
        <f>"65"</f>
        <v>65</v>
      </c>
      <c r="I7414" s="1" t="str">
        <f>"157.27"</f>
        <v>157.27</v>
      </c>
      <c r="J7414" s="1" t="str">
        <f t="shared" ref="J7414:N7414" si="5112">"0"</f>
        <v>0</v>
      </c>
      <c r="K7414" s="1" t="str">
        <f t="shared" si="5039"/>
        <v>103</v>
      </c>
      <c r="L7414" s="1" t="str">
        <f t="shared" si="5040"/>
        <v>47</v>
      </c>
      <c r="M7414" s="1" t="str">
        <f t="shared" si="5112"/>
        <v>0</v>
      </c>
      <c r="N7414" s="1" t="str">
        <f t="shared" si="5112"/>
        <v>0</v>
      </c>
      <c r="O7414" s="1" t="str">
        <f>"7.27"</f>
        <v>7.27</v>
      </c>
    </row>
    <row r="7415" s="1" customFormat="1" spans="1:15">
      <c r="A7415" s="1" t="str">
        <f t="shared" si="5052"/>
        <v>202406</v>
      </c>
      <c r="B7415" s="1" t="str">
        <f t="shared" si="5053"/>
        <v>150525100</v>
      </c>
      <c r="C7415" s="1" t="str">
        <f>"1014549728"</f>
        <v>1014549728</v>
      </c>
      <c r="D7415" s="1" t="s">
        <v>7142</v>
      </c>
      <c r="E7415" s="1" t="s">
        <v>7143</v>
      </c>
      <c r="F7415" s="1" t="s">
        <v>16</v>
      </c>
      <c r="G7415" s="1" t="s">
        <v>17</v>
      </c>
      <c r="H7415" s="1" t="str">
        <f>"62"</f>
        <v>62</v>
      </c>
      <c r="I7415" s="1" t="str">
        <f>"163.07"</f>
        <v>163.07</v>
      </c>
      <c r="J7415" s="1" t="str">
        <f t="shared" ref="J7415:N7415" si="5113">"0"</f>
        <v>0</v>
      </c>
      <c r="K7415" s="1" t="str">
        <f t="shared" ref="K7415:K7471" si="5114">"103"</f>
        <v>103</v>
      </c>
      <c r="L7415" s="1" t="str">
        <f t="shared" ref="L7415:L7471" si="5115">"47"</f>
        <v>47</v>
      </c>
      <c r="M7415" s="1" t="str">
        <f t="shared" si="5113"/>
        <v>0</v>
      </c>
      <c r="N7415" s="1" t="str">
        <f t="shared" si="5113"/>
        <v>0</v>
      </c>
      <c r="O7415" s="1" t="str">
        <f>"13.07"</f>
        <v>13.07</v>
      </c>
    </row>
    <row r="7416" s="1" customFormat="1" spans="1:15">
      <c r="A7416" s="1" t="str">
        <f t="shared" si="5052"/>
        <v>202406</v>
      </c>
      <c r="B7416" s="1" t="str">
        <f t="shared" si="5053"/>
        <v>150525100</v>
      </c>
      <c r="C7416" s="1" t="str">
        <f>"1014550269"</f>
        <v>1014550269</v>
      </c>
      <c r="D7416" s="1" t="str">
        <f>"152326195810060660"</f>
        <v>152326195810060660</v>
      </c>
      <c r="E7416" s="1" t="s">
        <v>7144</v>
      </c>
      <c r="F7416" s="1" t="s">
        <v>16</v>
      </c>
      <c r="G7416" s="1" t="s">
        <v>17</v>
      </c>
      <c r="H7416" s="1" t="str">
        <f>"66"</f>
        <v>66</v>
      </c>
      <c r="I7416" s="1" t="str">
        <f>"157.87"</f>
        <v>157.87</v>
      </c>
      <c r="J7416" s="1" t="str">
        <f t="shared" ref="J7416:N7416" si="5116">"0"</f>
        <v>0</v>
      </c>
      <c r="K7416" s="1" t="str">
        <f t="shared" si="5114"/>
        <v>103</v>
      </c>
      <c r="L7416" s="1" t="str">
        <f t="shared" si="5115"/>
        <v>47</v>
      </c>
      <c r="M7416" s="1" t="str">
        <f t="shared" si="5116"/>
        <v>0</v>
      </c>
      <c r="N7416" s="1" t="str">
        <f t="shared" si="5116"/>
        <v>0</v>
      </c>
      <c r="O7416" s="1" t="str">
        <f>"7.87"</f>
        <v>7.87</v>
      </c>
    </row>
    <row r="7417" s="1" customFormat="1" spans="1:15">
      <c r="A7417" s="1" t="str">
        <f t="shared" si="5052"/>
        <v>202406</v>
      </c>
      <c r="B7417" s="1" t="str">
        <f t="shared" si="5053"/>
        <v>150525100</v>
      </c>
      <c r="C7417" s="1" t="str">
        <f>"1014585278"</f>
        <v>1014585278</v>
      </c>
      <c r="D7417" s="1" t="str">
        <f>"152326196304250669"</f>
        <v>152326196304250669</v>
      </c>
      <c r="E7417" s="1" t="s">
        <v>7145</v>
      </c>
      <c r="F7417" s="1" t="s">
        <v>16</v>
      </c>
      <c r="G7417" s="1" t="s">
        <v>17</v>
      </c>
      <c r="H7417" s="1" t="str">
        <f t="shared" ref="H7417:H7419" si="5117">"61"</f>
        <v>61</v>
      </c>
      <c r="I7417" s="1" t="str">
        <f>"164.39"</f>
        <v>164.39</v>
      </c>
      <c r="J7417" s="1" t="str">
        <f t="shared" ref="J7417:N7417" si="5118">"0"</f>
        <v>0</v>
      </c>
      <c r="K7417" s="1" t="str">
        <f t="shared" si="5114"/>
        <v>103</v>
      </c>
      <c r="L7417" s="1" t="str">
        <f t="shared" si="5115"/>
        <v>47</v>
      </c>
      <c r="M7417" s="1" t="str">
        <f t="shared" si="5118"/>
        <v>0</v>
      </c>
      <c r="N7417" s="1" t="str">
        <f t="shared" si="5118"/>
        <v>0</v>
      </c>
      <c r="O7417" s="1" t="str">
        <f>"14.39"</f>
        <v>14.39</v>
      </c>
    </row>
    <row r="7418" s="1" customFormat="1" spans="1:15">
      <c r="A7418" s="1" t="str">
        <f t="shared" si="5052"/>
        <v>202406</v>
      </c>
      <c r="B7418" s="1" t="str">
        <f t="shared" si="5053"/>
        <v>150525100</v>
      </c>
      <c r="C7418" s="1" t="str">
        <f>"1014585286"</f>
        <v>1014585286</v>
      </c>
      <c r="D7418" s="1" t="str">
        <f>"152326196307113328"</f>
        <v>152326196307113328</v>
      </c>
      <c r="E7418" s="1" t="s">
        <v>7146</v>
      </c>
      <c r="F7418" s="1" t="s">
        <v>16</v>
      </c>
      <c r="G7418" s="1" t="s">
        <v>17</v>
      </c>
      <c r="H7418" s="1" t="str">
        <f t="shared" si="5117"/>
        <v>61</v>
      </c>
      <c r="I7418" s="1" t="str">
        <f>"164.24"</f>
        <v>164.24</v>
      </c>
      <c r="J7418" s="1" t="str">
        <f t="shared" ref="J7418:N7418" si="5119">"0"</f>
        <v>0</v>
      </c>
      <c r="K7418" s="1" t="str">
        <f t="shared" si="5114"/>
        <v>103</v>
      </c>
      <c r="L7418" s="1" t="str">
        <f t="shared" si="5115"/>
        <v>47</v>
      </c>
      <c r="M7418" s="1" t="str">
        <f t="shared" si="5119"/>
        <v>0</v>
      </c>
      <c r="N7418" s="1" t="str">
        <f t="shared" si="5119"/>
        <v>0</v>
      </c>
      <c r="O7418" s="1" t="str">
        <f>"14.24"</f>
        <v>14.24</v>
      </c>
    </row>
    <row r="7419" s="1" customFormat="1" spans="1:15">
      <c r="A7419" s="1" t="str">
        <f t="shared" si="5052"/>
        <v>202406</v>
      </c>
      <c r="B7419" s="1" t="str">
        <f t="shared" si="5053"/>
        <v>150525100</v>
      </c>
      <c r="C7419" s="1" t="str">
        <f>"1014585301"</f>
        <v>1014585301</v>
      </c>
      <c r="D7419" s="1" t="str">
        <f>"152326196312020425"</f>
        <v>152326196312020425</v>
      </c>
      <c r="E7419" s="1" t="s">
        <v>7147</v>
      </c>
      <c r="F7419" s="1" t="s">
        <v>16</v>
      </c>
      <c r="G7419" s="1" t="s">
        <v>17</v>
      </c>
      <c r="H7419" s="1" t="str">
        <f t="shared" si="5117"/>
        <v>61</v>
      </c>
      <c r="I7419" s="1" t="str">
        <f>"166.52"</f>
        <v>166.52</v>
      </c>
      <c r="J7419" s="1" t="str">
        <f t="shared" ref="J7419:N7419" si="5120">"0"</f>
        <v>0</v>
      </c>
      <c r="K7419" s="1" t="str">
        <f t="shared" si="5114"/>
        <v>103</v>
      </c>
      <c r="L7419" s="1" t="str">
        <f t="shared" si="5115"/>
        <v>47</v>
      </c>
      <c r="M7419" s="1" t="str">
        <f t="shared" si="5120"/>
        <v>0</v>
      </c>
      <c r="N7419" s="1" t="str">
        <f t="shared" si="5120"/>
        <v>0</v>
      </c>
      <c r="O7419" s="1" t="str">
        <f>"16.52"</f>
        <v>16.52</v>
      </c>
    </row>
    <row r="7420" s="1" customFormat="1" spans="1:15">
      <c r="A7420" s="1" t="str">
        <f t="shared" si="5052"/>
        <v>202406</v>
      </c>
      <c r="B7420" s="1" t="str">
        <f t="shared" si="5053"/>
        <v>150525100</v>
      </c>
      <c r="C7420" s="1" t="str">
        <f>"1014552193"</f>
        <v>1014552193</v>
      </c>
      <c r="D7420" s="1" t="str">
        <f>"152326195302193811"</f>
        <v>152326195302193811</v>
      </c>
      <c r="E7420" s="1" t="s">
        <v>7148</v>
      </c>
      <c r="F7420" s="1" t="s">
        <v>25</v>
      </c>
      <c r="G7420" s="1" t="s">
        <v>17</v>
      </c>
      <c r="H7420" s="1" t="str">
        <f>"71"</f>
        <v>71</v>
      </c>
      <c r="I7420" s="1" t="str">
        <f>"162.92"</f>
        <v>162.92</v>
      </c>
      <c r="J7420" s="1" t="str">
        <f t="shared" ref="J7420:N7420" si="5121">"0"</f>
        <v>0</v>
      </c>
      <c r="K7420" s="1" t="str">
        <f t="shared" si="5114"/>
        <v>103</v>
      </c>
      <c r="L7420" s="1" t="str">
        <f t="shared" si="5115"/>
        <v>47</v>
      </c>
      <c r="M7420" s="1" t="str">
        <f t="shared" si="5121"/>
        <v>0</v>
      </c>
      <c r="N7420" s="1" t="str">
        <f t="shared" si="5121"/>
        <v>0</v>
      </c>
      <c r="O7420" s="1" t="str">
        <f>"2.92"</f>
        <v>2.92</v>
      </c>
    </row>
    <row r="7421" s="1" customFormat="1" spans="1:15">
      <c r="A7421" s="1" t="str">
        <f t="shared" si="5052"/>
        <v>202406</v>
      </c>
      <c r="B7421" s="1" t="str">
        <f t="shared" si="5053"/>
        <v>150525100</v>
      </c>
      <c r="C7421" s="1" t="str">
        <f>"1040641626"</f>
        <v>1040641626</v>
      </c>
      <c r="D7421" s="1" t="str">
        <f>"152326196309040919"</f>
        <v>152326196309040919</v>
      </c>
      <c r="E7421" s="1" t="s">
        <v>4536</v>
      </c>
      <c r="F7421" s="1" t="s">
        <v>25</v>
      </c>
      <c r="G7421" s="1" t="s">
        <v>19</v>
      </c>
      <c r="H7421" s="1" t="str">
        <f>"61"</f>
        <v>61</v>
      </c>
      <c r="I7421" s="1" t="str">
        <f>"164.15"</f>
        <v>164.15</v>
      </c>
      <c r="J7421" s="1" t="str">
        <f t="shared" ref="J7421:N7421" si="5122">"0"</f>
        <v>0</v>
      </c>
      <c r="K7421" s="1" t="str">
        <f t="shared" si="5114"/>
        <v>103</v>
      </c>
      <c r="L7421" s="1" t="str">
        <f t="shared" si="5115"/>
        <v>47</v>
      </c>
      <c r="M7421" s="1" t="str">
        <f t="shared" si="5122"/>
        <v>0</v>
      </c>
      <c r="N7421" s="1" t="str">
        <f t="shared" si="5122"/>
        <v>0</v>
      </c>
      <c r="O7421" s="1" t="str">
        <f>"14.15"</f>
        <v>14.15</v>
      </c>
    </row>
    <row r="7422" s="1" customFormat="1" spans="1:15">
      <c r="A7422" s="1" t="str">
        <f t="shared" si="5052"/>
        <v>202406</v>
      </c>
      <c r="B7422" s="1" t="str">
        <f t="shared" si="5053"/>
        <v>150525100</v>
      </c>
      <c r="C7422" s="1" t="str">
        <f>"1040641634"</f>
        <v>1040641634</v>
      </c>
      <c r="D7422" s="1" t="str">
        <f>"152326195909060927"</f>
        <v>152326195909060927</v>
      </c>
      <c r="E7422" s="1" t="s">
        <v>6903</v>
      </c>
      <c r="F7422" s="1" t="s">
        <v>16</v>
      </c>
      <c r="G7422" s="1" t="s">
        <v>19</v>
      </c>
      <c r="H7422" s="1" t="str">
        <f t="shared" ref="H7422:H7428" si="5123">"65"</f>
        <v>65</v>
      </c>
      <c r="I7422" s="1" t="str">
        <f>"156.81"</f>
        <v>156.81</v>
      </c>
      <c r="J7422" s="1" t="str">
        <f t="shared" ref="J7422:N7422" si="5124">"0"</f>
        <v>0</v>
      </c>
      <c r="K7422" s="1" t="str">
        <f t="shared" si="5114"/>
        <v>103</v>
      </c>
      <c r="L7422" s="1" t="str">
        <f t="shared" si="5115"/>
        <v>47</v>
      </c>
      <c r="M7422" s="1" t="str">
        <f t="shared" si="5124"/>
        <v>0</v>
      </c>
      <c r="N7422" s="1" t="str">
        <f t="shared" si="5124"/>
        <v>0</v>
      </c>
      <c r="O7422" s="1" t="str">
        <f>"6.81"</f>
        <v>6.81</v>
      </c>
    </row>
    <row r="7423" s="1" customFormat="1" spans="1:15">
      <c r="A7423" s="1" t="str">
        <f t="shared" si="5052"/>
        <v>202406</v>
      </c>
      <c r="B7423" s="1" t="str">
        <f t="shared" si="5053"/>
        <v>150525100</v>
      </c>
      <c r="C7423" s="1" t="str">
        <f>"1040641659"</f>
        <v>1040641659</v>
      </c>
      <c r="D7423" s="1" t="str">
        <f>"152326195507060668"</f>
        <v>152326195507060668</v>
      </c>
      <c r="E7423" s="1" t="s">
        <v>2079</v>
      </c>
      <c r="F7423" s="1" t="s">
        <v>16</v>
      </c>
      <c r="G7423" s="1" t="s">
        <v>17</v>
      </c>
      <c r="H7423" s="1" t="str">
        <f>"69"</f>
        <v>69</v>
      </c>
      <c r="I7423" s="1" t="str">
        <f>"154.26"</f>
        <v>154.26</v>
      </c>
      <c r="J7423" s="1" t="str">
        <f t="shared" ref="J7423:N7423" si="5125">"0"</f>
        <v>0</v>
      </c>
      <c r="K7423" s="1" t="str">
        <f t="shared" si="5114"/>
        <v>103</v>
      </c>
      <c r="L7423" s="1" t="str">
        <f t="shared" si="5115"/>
        <v>47</v>
      </c>
      <c r="M7423" s="1" t="str">
        <f t="shared" si="5125"/>
        <v>0</v>
      </c>
      <c r="N7423" s="1" t="str">
        <f t="shared" si="5125"/>
        <v>0</v>
      </c>
      <c r="O7423" s="1" t="str">
        <f>"4.26"</f>
        <v>4.26</v>
      </c>
    </row>
    <row r="7424" s="1" customFormat="1" spans="1:15">
      <c r="A7424" s="1" t="str">
        <f t="shared" si="5052"/>
        <v>202406</v>
      </c>
      <c r="B7424" s="1" t="str">
        <f t="shared" si="5053"/>
        <v>150525100</v>
      </c>
      <c r="C7424" s="1" t="str">
        <f>"1014583892"</f>
        <v>1014583892</v>
      </c>
      <c r="D7424" s="1" t="str">
        <f>"152326195503210673"</f>
        <v>152326195503210673</v>
      </c>
      <c r="E7424" s="1" t="s">
        <v>7149</v>
      </c>
      <c r="F7424" s="1" t="s">
        <v>25</v>
      </c>
      <c r="G7424" s="1" t="s">
        <v>17</v>
      </c>
      <c r="H7424" s="1" t="str">
        <f>"69"</f>
        <v>69</v>
      </c>
      <c r="I7424" s="1" t="str">
        <f>"155.09"</f>
        <v>155.09</v>
      </c>
      <c r="J7424" s="1" t="str">
        <f t="shared" ref="J7424:N7424" si="5126">"0"</f>
        <v>0</v>
      </c>
      <c r="K7424" s="1" t="str">
        <f t="shared" si="5114"/>
        <v>103</v>
      </c>
      <c r="L7424" s="1" t="str">
        <f t="shared" si="5115"/>
        <v>47</v>
      </c>
      <c r="M7424" s="1" t="str">
        <f t="shared" si="5126"/>
        <v>0</v>
      </c>
      <c r="N7424" s="1" t="str">
        <f t="shared" si="5126"/>
        <v>0</v>
      </c>
      <c r="O7424" s="1" t="str">
        <f>"5.09"</f>
        <v>5.09</v>
      </c>
    </row>
    <row r="7425" s="1" customFormat="1" spans="1:15">
      <c r="A7425" s="1" t="str">
        <f t="shared" si="5052"/>
        <v>202406</v>
      </c>
      <c r="B7425" s="1" t="str">
        <f t="shared" si="5053"/>
        <v>150525100</v>
      </c>
      <c r="C7425" s="1" t="str">
        <f>"1014584186"</f>
        <v>1014584186</v>
      </c>
      <c r="D7425" s="1" t="str">
        <f>"152326195911050664"</f>
        <v>152326195911050664</v>
      </c>
      <c r="E7425" s="1" t="s">
        <v>7150</v>
      </c>
      <c r="F7425" s="1" t="s">
        <v>16</v>
      </c>
      <c r="G7425" s="1" t="s">
        <v>17</v>
      </c>
      <c r="H7425" s="1" t="str">
        <f t="shared" si="5123"/>
        <v>65</v>
      </c>
      <c r="I7425" s="1" t="str">
        <f>"157.2"</f>
        <v>157.2</v>
      </c>
      <c r="J7425" s="1" t="str">
        <f t="shared" ref="J7425:N7425" si="5127">"0"</f>
        <v>0</v>
      </c>
      <c r="K7425" s="1" t="str">
        <f t="shared" si="5114"/>
        <v>103</v>
      </c>
      <c r="L7425" s="1" t="str">
        <f t="shared" si="5115"/>
        <v>47</v>
      </c>
      <c r="M7425" s="1" t="str">
        <f t="shared" si="5127"/>
        <v>0</v>
      </c>
      <c r="N7425" s="1" t="str">
        <f t="shared" si="5127"/>
        <v>0</v>
      </c>
      <c r="O7425" s="1" t="str">
        <f>"7.2"</f>
        <v>7.2</v>
      </c>
    </row>
    <row r="7426" s="1" customFormat="1" spans="1:15">
      <c r="A7426" s="1" t="str">
        <f t="shared" ref="A7426:A7489" si="5128">"202406"</f>
        <v>202406</v>
      </c>
      <c r="B7426" s="1" t="str">
        <f t="shared" ref="B7426:B7489" si="5129">"150525100"</f>
        <v>150525100</v>
      </c>
      <c r="C7426" s="1" t="str">
        <f>"1014584195"</f>
        <v>1014584195</v>
      </c>
      <c r="D7426" s="1" t="str">
        <f>"152326196001060411"</f>
        <v>152326196001060411</v>
      </c>
      <c r="E7426" s="1" t="s">
        <v>7151</v>
      </c>
      <c r="F7426" s="1" t="s">
        <v>25</v>
      </c>
      <c r="G7426" s="1" t="s">
        <v>17</v>
      </c>
      <c r="H7426" s="1" t="str">
        <f t="shared" si="5123"/>
        <v>65</v>
      </c>
      <c r="I7426" s="1" t="str">
        <f>"159.16"</f>
        <v>159.16</v>
      </c>
      <c r="J7426" s="1" t="str">
        <f t="shared" ref="J7426:N7426" si="5130">"0"</f>
        <v>0</v>
      </c>
      <c r="K7426" s="1" t="str">
        <f t="shared" si="5114"/>
        <v>103</v>
      </c>
      <c r="L7426" s="1" t="str">
        <f t="shared" si="5115"/>
        <v>47</v>
      </c>
      <c r="M7426" s="1" t="str">
        <f t="shared" si="5130"/>
        <v>0</v>
      </c>
      <c r="N7426" s="1" t="str">
        <f t="shared" si="5130"/>
        <v>0</v>
      </c>
      <c r="O7426" s="1" t="str">
        <f>"9.16"</f>
        <v>9.16</v>
      </c>
    </row>
    <row r="7427" s="1" customFormat="1" spans="1:15">
      <c r="A7427" s="1" t="str">
        <f t="shared" si="5128"/>
        <v>202406</v>
      </c>
      <c r="B7427" s="1" t="str">
        <f t="shared" si="5129"/>
        <v>150525100</v>
      </c>
      <c r="C7427" s="1" t="str">
        <f>"1014550291"</f>
        <v>1014550291</v>
      </c>
      <c r="D7427" s="1" t="str">
        <f>"152326195905190660"</f>
        <v>152326195905190660</v>
      </c>
      <c r="E7427" s="1" t="s">
        <v>2406</v>
      </c>
      <c r="F7427" s="1" t="s">
        <v>16</v>
      </c>
      <c r="G7427" s="1" t="s">
        <v>17</v>
      </c>
      <c r="H7427" s="1" t="str">
        <f t="shared" si="5123"/>
        <v>65</v>
      </c>
      <c r="I7427" s="1" t="str">
        <f>"158.15"</f>
        <v>158.15</v>
      </c>
      <c r="J7427" s="1" t="str">
        <f t="shared" ref="J7427:N7427" si="5131">"0"</f>
        <v>0</v>
      </c>
      <c r="K7427" s="1" t="str">
        <f t="shared" si="5114"/>
        <v>103</v>
      </c>
      <c r="L7427" s="1" t="str">
        <f t="shared" si="5115"/>
        <v>47</v>
      </c>
      <c r="M7427" s="1" t="str">
        <f t="shared" si="5131"/>
        <v>0</v>
      </c>
      <c r="N7427" s="1" t="str">
        <f t="shared" si="5131"/>
        <v>0</v>
      </c>
      <c r="O7427" s="1" t="str">
        <f>"8.15"</f>
        <v>8.15</v>
      </c>
    </row>
    <row r="7428" s="1" customFormat="1" spans="1:15">
      <c r="A7428" s="1" t="str">
        <f t="shared" si="5128"/>
        <v>202406</v>
      </c>
      <c r="B7428" s="1" t="str">
        <f t="shared" si="5129"/>
        <v>150525100</v>
      </c>
      <c r="C7428" s="1" t="str">
        <f>"1014550295"</f>
        <v>1014550295</v>
      </c>
      <c r="D7428" s="1" t="str">
        <f>"152326195908050663"</f>
        <v>152326195908050663</v>
      </c>
      <c r="E7428" s="1" t="s">
        <v>7152</v>
      </c>
      <c r="F7428" s="1" t="s">
        <v>16</v>
      </c>
      <c r="G7428" s="1" t="s">
        <v>17</v>
      </c>
      <c r="H7428" s="1" t="str">
        <f t="shared" si="5123"/>
        <v>65</v>
      </c>
      <c r="I7428" s="1" t="str">
        <f>"158.18"</f>
        <v>158.18</v>
      </c>
      <c r="J7428" s="1" t="str">
        <f t="shared" ref="J7428:N7428" si="5132">"0"</f>
        <v>0</v>
      </c>
      <c r="K7428" s="1" t="str">
        <f t="shared" si="5114"/>
        <v>103</v>
      </c>
      <c r="L7428" s="1" t="str">
        <f t="shared" si="5115"/>
        <v>47</v>
      </c>
      <c r="M7428" s="1" t="str">
        <f t="shared" si="5132"/>
        <v>0</v>
      </c>
      <c r="N7428" s="1" t="str">
        <f t="shared" si="5132"/>
        <v>0</v>
      </c>
      <c r="O7428" s="1" t="str">
        <f>"8.18"</f>
        <v>8.18</v>
      </c>
    </row>
    <row r="7429" s="1" customFormat="1" spans="1:15">
      <c r="A7429" s="1" t="str">
        <f t="shared" si="5128"/>
        <v>202406</v>
      </c>
      <c r="B7429" s="1" t="str">
        <f t="shared" si="5129"/>
        <v>150525100</v>
      </c>
      <c r="C7429" s="1" t="str">
        <f>"1014585302"</f>
        <v>1014585302</v>
      </c>
      <c r="D7429" s="1" t="str">
        <f>"152326196312140435"</f>
        <v>152326196312140435</v>
      </c>
      <c r="E7429" s="1" t="s">
        <v>7153</v>
      </c>
      <c r="F7429" s="1" t="s">
        <v>25</v>
      </c>
      <c r="G7429" s="1" t="s">
        <v>17</v>
      </c>
      <c r="H7429" s="1" t="str">
        <f>"61"</f>
        <v>61</v>
      </c>
      <c r="I7429" s="1" t="str">
        <f>"166.52"</f>
        <v>166.52</v>
      </c>
      <c r="J7429" s="1" t="str">
        <f t="shared" ref="J7429:N7429" si="5133">"0"</f>
        <v>0</v>
      </c>
      <c r="K7429" s="1" t="str">
        <f t="shared" si="5114"/>
        <v>103</v>
      </c>
      <c r="L7429" s="1" t="str">
        <f t="shared" si="5115"/>
        <v>47</v>
      </c>
      <c r="M7429" s="1" t="str">
        <f t="shared" si="5133"/>
        <v>0</v>
      </c>
      <c r="N7429" s="1" t="str">
        <f t="shared" si="5133"/>
        <v>0</v>
      </c>
      <c r="O7429" s="1" t="str">
        <f>"16.52"</f>
        <v>16.52</v>
      </c>
    </row>
    <row r="7430" s="1" customFormat="1" spans="1:15">
      <c r="A7430" s="1" t="str">
        <f t="shared" si="5128"/>
        <v>202406</v>
      </c>
      <c r="B7430" s="1" t="str">
        <f t="shared" si="5129"/>
        <v>150525100</v>
      </c>
      <c r="C7430" s="1" t="str">
        <f>"1014561462"</f>
        <v>1014561462</v>
      </c>
      <c r="D7430" s="1" t="str">
        <f>"152326195407170421"</f>
        <v>152326195407170421</v>
      </c>
      <c r="E7430" s="1" t="s">
        <v>7154</v>
      </c>
      <c r="F7430" s="1" t="s">
        <v>16</v>
      </c>
      <c r="G7430" s="1" t="s">
        <v>17</v>
      </c>
      <c r="H7430" s="1" t="str">
        <f t="shared" ref="H7430:H7436" si="5134">"70"</f>
        <v>70</v>
      </c>
      <c r="I7430" s="1" t="str">
        <f>"154.14"</f>
        <v>154.14</v>
      </c>
      <c r="J7430" s="1" t="str">
        <f t="shared" ref="J7430:N7430" si="5135">"0"</f>
        <v>0</v>
      </c>
      <c r="K7430" s="1" t="str">
        <f t="shared" si="5114"/>
        <v>103</v>
      </c>
      <c r="L7430" s="1" t="str">
        <f t="shared" si="5115"/>
        <v>47</v>
      </c>
      <c r="M7430" s="1" t="str">
        <f t="shared" si="5135"/>
        <v>0</v>
      </c>
      <c r="N7430" s="1" t="str">
        <f t="shared" si="5135"/>
        <v>0</v>
      </c>
      <c r="O7430" s="1" t="str">
        <f>"4.14"</f>
        <v>4.14</v>
      </c>
    </row>
    <row r="7431" s="1" customFormat="1" spans="1:15">
      <c r="A7431" s="1" t="str">
        <f t="shared" si="5128"/>
        <v>202406</v>
      </c>
      <c r="B7431" s="1" t="str">
        <f t="shared" si="5129"/>
        <v>150525100</v>
      </c>
      <c r="C7431" s="1" t="str">
        <f>"1014562730"</f>
        <v>1014562730</v>
      </c>
      <c r="D7431" s="1" t="str">
        <f>"152326196110020427"</f>
        <v>152326196110020427</v>
      </c>
      <c r="E7431" s="1" t="s">
        <v>7155</v>
      </c>
      <c r="F7431" s="1" t="s">
        <v>16</v>
      </c>
      <c r="G7431" s="1" t="s">
        <v>17</v>
      </c>
      <c r="H7431" s="1" t="str">
        <f>"63"</f>
        <v>63</v>
      </c>
      <c r="I7431" s="1" t="str">
        <f>"160.41"</f>
        <v>160.41</v>
      </c>
      <c r="J7431" s="1" t="str">
        <f t="shared" ref="J7431:N7431" si="5136">"0"</f>
        <v>0</v>
      </c>
      <c r="K7431" s="1" t="str">
        <f t="shared" si="5114"/>
        <v>103</v>
      </c>
      <c r="L7431" s="1" t="str">
        <f t="shared" si="5115"/>
        <v>47</v>
      </c>
      <c r="M7431" s="1" t="str">
        <f t="shared" si="5136"/>
        <v>0</v>
      </c>
      <c r="N7431" s="1" t="str">
        <f t="shared" si="5136"/>
        <v>0</v>
      </c>
      <c r="O7431" s="1" t="str">
        <f>"10.41"</f>
        <v>10.41</v>
      </c>
    </row>
    <row r="7432" s="1" customFormat="1" spans="1:15">
      <c r="A7432" s="1" t="str">
        <f t="shared" si="5128"/>
        <v>202406</v>
      </c>
      <c r="B7432" s="1" t="str">
        <f t="shared" si="5129"/>
        <v>150525100</v>
      </c>
      <c r="C7432" s="1" t="str">
        <f>"1014562732"</f>
        <v>1014562732</v>
      </c>
      <c r="D7432" s="1" t="str">
        <f>"152326195203070429"</f>
        <v>152326195203070429</v>
      </c>
      <c r="E7432" s="1" t="s">
        <v>906</v>
      </c>
      <c r="F7432" s="1" t="s">
        <v>16</v>
      </c>
      <c r="G7432" s="1" t="s">
        <v>17</v>
      </c>
      <c r="H7432" s="1" t="str">
        <f>"72"</f>
        <v>72</v>
      </c>
      <c r="I7432" s="1" t="str">
        <f>"162.16"</f>
        <v>162.16</v>
      </c>
      <c r="J7432" s="1" t="str">
        <f t="shared" ref="J7432:N7432" si="5137">"0"</f>
        <v>0</v>
      </c>
      <c r="K7432" s="1" t="str">
        <f t="shared" si="5114"/>
        <v>103</v>
      </c>
      <c r="L7432" s="1" t="str">
        <f t="shared" si="5115"/>
        <v>47</v>
      </c>
      <c r="M7432" s="1" t="str">
        <f t="shared" si="5137"/>
        <v>0</v>
      </c>
      <c r="N7432" s="1" t="str">
        <f t="shared" si="5137"/>
        <v>0</v>
      </c>
      <c r="O7432" s="1" t="str">
        <f>"2.16"</f>
        <v>2.16</v>
      </c>
    </row>
    <row r="7433" s="1" customFormat="1" spans="1:15">
      <c r="A7433" s="1" t="str">
        <f t="shared" si="5128"/>
        <v>202406</v>
      </c>
      <c r="B7433" s="1" t="str">
        <f t="shared" si="5129"/>
        <v>150525100</v>
      </c>
      <c r="C7433" s="1" t="str">
        <f>"1014550800"</f>
        <v>1014550800</v>
      </c>
      <c r="D7433" s="1" t="str">
        <f>"152326195409153342"</f>
        <v>152326195409153342</v>
      </c>
      <c r="E7433" s="1" t="s">
        <v>7156</v>
      </c>
      <c r="F7433" s="1" t="s">
        <v>16</v>
      </c>
      <c r="G7433" s="1" t="s">
        <v>19</v>
      </c>
      <c r="H7433" s="1" t="str">
        <f t="shared" si="5134"/>
        <v>70</v>
      </c>
      <c r="I7433" s="1" t="str">
        <f t="shared" ref="I7433:I7435" si="5138">"154.15"</f>
        <v>154.15</v>
      </c>
      <c r="J7433" s="1" t="str">
        <f t="shared" ref="J7433:N7433" si="5139">"0"</f>
        <v>0</v>
      </c>
      <c r="K7433" s="1" t="str">
        <f t="shared" si="5114"/>
        <v>103</v>
      </c>
      <c r="L7433" s="1" t="str">
        <f t="shared" si="5115"/>
        <v>47</v>
      </c>
      <c r="M7433" s="1" t="str">
        <f t="shared" si="5139"/>
        <v>0</v>
      </c>
      <c r="N7433" s="1" t="str">
        <f t="shared" si="5139"/>
        <v>0</v>
      </c>
      <c r="O7433" s="1" t="str">
        <f t="shared" ref="O7433:O7435" si="5140">"4.15"</f>
        <v>4.15</v>
      </c>
    </row>
    <row r="7434" s="1" customFormat="1" spans="1:15">
      <c r="A7434" s="1" t="str">
        <f t="shared" si="5128"/>
        <v>202406</v>
      </c>
      <c r="B7434" s="1" t="str">
        <f t="shared" si="5129"/>
        <v>150525100</v>
      </c>
      <c r="C7434" s="1" t="str">
        <f>"1014550811"</f>
        <v>1014550811</v>
      </c>
      <c r="D7434" s="1" t="str">
        <f>"152326195412040672"</f>
        <v>152326195412040672</v>
      </c>
      <c r="E7434" s="1" t="s">
        <v>7157</v>
      </c>
      <c r="F7434" s="1" t="s">
        <v>25</v>
      </c>
      <c r="G7434" s="1" t="s">
        <v>17</v>
      </c>
      <c r="H7434" s="1" t="str">
        <f t="shared" si="5134"/>
        <v>70</v>
      </c>
      <c r="I7434" s="1" t="str">
        <f t="shared" si="5138"/>
        <v>154.15</v>
      </c>
      <c r="J7434" s="1" t="str">
        <f t="shared" ref="J7434:N7434" si="5141">"0"</f>
        <v>0</v>
      </c>
      <c r="K7434" s="1" t="str">
        <f t="shared" si="5114"/>
        <v>103</v>
      </c>
      <c r="L7434" s="1" t="str">
        <f t="shared" si="5115"/>
        <v>47</v>
      </c>
      <c r="M7434" s="1" t="str">
        <f t="shared" si="5141"/>
        <v>0</v>
      </c>
      <c r="N7434" s="1" t="str">
        <f t="shared" si="5141"/>
        <v>0</v>
      </c>
      <c r="O7434" s="1" t="str">
        <f t="shared" si="5140"/>
        <v>4.15</v>
      </c>
    </row>
    <row r="7435" s="1" customFormat="1" spans="1:15">
      <c r="A7435" s="1" t="str">
        <f t="shared" si="5128"/>
        <v>202406</v>
      </c>
      <c r="B7435" s="1" t="str">
        <f t="shared" si="5129"/>
        <v>150525100</v>
      </c>
      <c r="C7435" s="1" t="str">
        <f>"1014550816"</f>
        <v>1014550816</v>
      </c>
      <c r="D7435" s="1" t="str">
        <f>"152326195412130694"</f>
        <v>152326195412130694</v>
      </c>
      <c r="E7435" s="1" t="s">
        <v>7158</v>
      </c>
      <c r="F7435" s="1" t="s">
        <v>25</v>
      </c>
      <c r="G7435" s="1" t="s">
        <v>17</v>
      </c>
      <c r="H7435" s="1" t="str">
        <f t="shared" si="5134"/>
        <v>70</v>
      </c>
      <c r="I7435" s="1" t="str">
        <f t="shared" si="5138"/>
        <v>154.15</v>
      </c>
      <c r="J7435" s="1" t="str">
        <f t="shared" ref="J7435:N7435" si="5142">"0"</f>
        <v>0</v>
      </c>
      <c r="K7435" s="1" t="str">
        <f t="shared" si="5114"/>
        <v>103</v>
      </c>
      <c r="L7435" s="1" t="str">
        <f t="shared" si="5115"/>
        <v>47</v>
      </c>
      <c r="M7435" s="1" t="str">
        <f t="shared" si="5142"/>
        <v>0</v>
      </c>
      <c r="N7435" s="1" t="str">
        <f t="shared" si="5142"/>
        <v>0</v>
      </c>
      <c r="O7435" s="1" t="str">
        <f t="shared" si="5140"/>
        <v>4.15</v>
      </c>
    </row>
    <row r="7436" s="1" customFormat="1" spans="1:15">
      <c r="A7436" s="1" t="str">
        <f t="shared" si="5128"/>
        <v>202406</v>
      </c>
      <c r="B7436" s="1" t="str">
        <f t="shared" si="5129"/>
        <v>150525100</v>
      </c>
      <c r="C7436" s="1" t="str">
        <f>"1014570738"</f>
        <v>1014570738</v>
      </c>
      <c r="D7436" s="1" t="s">
        <v>7159</v>
      </c>
      <c r="E7436" s="1" t="s">
        <v>7160</v>
      </c>
      <c r="F7436" s="1" t="s">
        <v>16</v>
      </c>
      <c r="G7436" s="1" t="s">
        <v>17</v>
      </c>
      <c r="H7436" s="1" t="str">
        <f t="shared" si="5134"/>
        <v>70</v>
      </c>
      <c r="I7436" s="1" t="str">
        <f>"175.81"</f>
        <v>175.81</v>
      </c>
      <c r="J7436" s="1" t="str">
        <f t="shared" ref="J7436:N7436" si="5143">"0"</f>
        <v>0</v>
      </c>
      <c r="K7436" s="1" t="str">
        <f t="shared" si="5114"/>
        <v>103</v>
      </c>
      <c r="L7436" s="1" t="str">
        <f t="shared" si="5115"/>
        <v>47</v>
      </c>
      <c r="M7436" s="1" t="str">
        <f t="shared" si="5143"/>
        <v>0</v>
      </c>
      <c r="N7436" s="1" t="str">
        <f t="shared" si="5143"/>
        <v>0</v>
      </c>
      <c r="O7436" s="1" t="str">
        <f>"15.81"</f>
        <v>15.81</v>
      </c>
    </row>
    <row r="7437" s="1" customFormat="1" spans="1:15">
      <c r="A7437" s="1" t="str">
        <f t="shared" si="5128"/>
        <v>202406</v>
      </c>
      <c r="B7437" s="1" t="str">
        <f t="shared" si="5129"/>
        <v>150525100</v>
      </c>
      <c r="C7437" s="1" t="str">
        <f>"1014570739"</f>
        <v>1014570739</v>
      </c>
      <c r="D7437" s="1" t="str">
        <f>"152326195505230061"</f>
        <v>152326195505230061</v>
      </c>
      <c r="E7437" s="1" t="s">
        <v>1124</v>
      </c>
      <c r="F7437" s="1" t="s">
        <v>16</v>
      </c>
      <c r="G7437" s="1" t="s">
        <v>17</v>
      </c>
      <c r="H7437" s="1" t="str">
        <f>"69"</f>
        <v>69</v>
      </c>
      <c r="I7437" s="1" t="str">
        <f>"165.83"</f>
        <v>165.83</v>
      </c>
      <c r="J7437" s="1" t="str">
        <f t="shared" ref="J7437:N7437" si="5144">"0"</f>
        <v>0</v>
      </c>
      <c r="K7437" s="1" t="str">
        <f t="shared" si="5114"/>
        <v>103</v>
      </c>
      <c r="L7437" s="1" t="str">
        <f t="shared" si="5115"/>
        <v>47</v>
      </c>
      <c r="M7437" s="1" t="str">
        <f t="shared" si="5144"/>
        <v>0</v>
      </c>
      <c r="N7437" s="1" t="str">
        <f t="shared" si="5144"/>
        <v>0</v>
      </c>
      <c r="O7437" s="1" t="str">
        <f>"15.83"</f>
        <v>15.83</v>
      </c>
    </row>
    <row r="7438" s="1" customFormat="1" spans="1:15">
      <c r="A7438" s="1" t="str">
        <f t="shared" si="5128"/>
        <v>202406</v>
      </c>
      <c r="B7438" s="1" t="str">
        <f t="shared" si="5129"/>
        <v>150525100</v>
      </c>
      <c r="C7438" s="1" t="str">
        <f>"1014613148"</f>
        <v>1014613148</v>
      </c>
      <c r="D7438" s="1" t="str">
        <f>"152326194710063317"</f>
        <v>152326194710063317</v>
      </c>
      <c r="E7438" s="1" t="s">
        <v>7161</v>
      </c>
      <c r="F7438" s="1" t="s">
        <v>25</v>
      </c>
      <c r="G7438" s="1" t="s">
        <v>96</v>
      </c>
      <c r="H7438" s="1" t="str">
        <f>"77"</f>
        <v>77</v>
      </c>
      <c r="I7438" s="1" t="str">
        <f t="shared" ref="I7438:I7440" si="5145">"160"</f>
        <v>160</v>
      </c>
      <c r="J7438" s="1" t="str">
        <f t="shared" ref="J7438:O7438" si="5146">"0"</f>
        <v>0</v>
      </c>
      <c r="K7438" s="1" t="str">
        <f t="shared" si="5114"/>
        <v>103</v>
      </c>
      <c r="L7438" s="1" t="str">
        <f t="shared" si="5115"/>
        <v>47</v>
      </c>
      <c r="M7438" s="1" t="str">
        <f t="shared" si="5146"/>
        <v>0</v>
      </c>
      <c r="N7438" s="1" t="str">
        <f t="shared" si="5146"/>
        <v>0</v>
      </c>
      <c r="O7438" s="1" t="str">
        <f t="shared" si="5146"/>
        <v>0</v>
      </c>
    </row>
    <row r="7439" s="1" customFormat="1" spans="1:15">
      <c r="A7439" s="1" t="str">
        <f t="shared" si="5128"/>
        <v>202406</v>
      </c>
      <c r="B7439" s="1" t="str">
        <f t="shared" si="5129"/>
        <v>150525100</v>
      </c>
      <c r="C7439" s="1" t="str">
        <f>"1014613151"</f>
        <v>1014613151</v>
      </c>
      <c r="D7439" s="1" t="s">
        <v>7162</v>
      </c>
      <c r="E7439" s="1" t="s">
        <v>7163</v>
      </c>
      <c r="F7439" s="1" t="s">
        <v>25</v>
      </c>
      <c r="G7439" s="1" t="s">
        <v>19</v>
      </c>
      <c r="H7439" s="1" t="str">
        <f>"73"</f>
        <v>73</v>
      </c>
      <c r="I7439" s="1" t="str">
        <f t="shared" si="5145"/>
        <v>160</v>
      </c>
      <c r="J7439" s="1" t="str">
        <f t="shared" ref="J7439:O7439" si="5147">"0"</f>
        <v>0</v>
      </c>
      <c r="K7439" s="1" t="str">
        <f t="shared" si="5114"/>
        <v>103</v>
      </c>
      <c r="L7439" s="1" t="str">
        <f t="shared" si="5115"/>
        <v>47</v>
      </c>
      <c r="M7439" s="1" t="str">
        <f t="shared" si="5147"/>
        <v>0</v>
      </c>
      <c r="N7439" s="1" t="str">
        <f t="shared" si="5147"/>
        <v>0</v>
      </c>
      <c r="O7439" s="1" t="str">
        <f t="shared" si="5147"/>
        <v>0</v>
      </c>
    </row>
    <row r="7440" s="1" customFormat="1" spans="1:15">
      <c r="A7440" s="1" t="str">
        <f t="shared" si="5128"/>
        <v>202406</v>
      </c>
      <c r="B7440" s="1" t="str">
        <f t="shared" si="5129"/>
        <v>150525100</v>
      </c>
      <c r="C7440" s="1" t="str">
        <f>"1014613153"</f>
        <v>1014613153</v>
      </c>
      <c r="D7440" s="1" t="s">
        <v>7164</v>
      </c>
      <c r="E7440" s="1" t="s">
        <v>7165</v>
      </c>
      <c r="F7440" s="1" t="s">
        <v>25</v>
      </c>
      <c r="G7440" s="1" t="s">
        <v>19</v>
      </c>
      <c r="H7440" s="1" t="str">
        <f>"77"</f>
        <v>77</v>
      </c>
      <c r="I7440" s="1" t="str">
        <f t="shared" si="5145"/>
        <v>160</v>
      </c>
      <c r="J7440" s="1" t="str">
        <f t="shared" ref="J7440:O7440" si="5148">"0"</f>
        <v>0</v>
      </c>
      <c r="K7440" s="1" t="str">
        <f t="shared" si="5114"/>
        <v>103</v>
      </c>
      <c r="L7440" s="1" t="str">
        <f t="shared" si="5115"/>
        <v>47</v>
      </c>
      <c r="M7440" s="1" t="str">
        <f t="shared" si="5148"/>
        <v>0</v>
      </c>
      <c r="N7440" s="1" t="str">
        <f t="shared" si="5148"/>
        <v>0</v>
      </c>
      <c r="O7440" s="1" t="str">
        <f t="shared" si="5148"/>
        <v>0</v>
      </c>
    </row>
    <row r="7441" s="1" customFormat="1" spans="1:15">
      <c r="A7441" s="1" t="str">
        <f t="shared" si="5128"/>
        <v>202406</v>
      </c>
      <c r="B7441" s="1" t="str">
        <f t="shared" si="5129"/>
        <v>150525100</v>
      </c>
      <c r="C7441" s="1" t="str">
        <f>"1014613157"</f>
        <v>1014613157</v>
      </c>
      <c r="D7441" s="1" t="s">
        <v>7166</v>
      </c>
      <c r="E7441" s="1" t="s">
        <v>7167</v>
      </c>
      <c r="F7441" s="1" t="s">
        <v>25</v>
      </c>
      <c r="G7441" s="1" t="s">
        <v>19</v>
      </c>
      <c r="H7441" s="1" t="str">
        <f>"84"</f>
        <v>84</v>
      </c>
      <c r="I7441" s="1" t="str">
        <f t="shared" ref="I7441:I7447" si="5149">"170"</f>
        <v>170</v>
      </c>
      <c r="J7441" s="1" t="str">
        <f t="shared" ref="J7441:O7441" si="5150">"0"</f>
        <v>0</v>
      </c>
      <c r="K7441" s="1" t="str">
        <f t="shared" si="5114"/>
        <v>103</v>
      </c>
      <c r="L7441" s="1" t="str">
        <f t="shared" si="5115"/>
        <v>47</v>
      </c>
      <c r="M7441" s="1" t="str">
        <f t="shared" si="5150"/>
        <v>0</v>
      </c>
      <c r="N7441" s="1" t="str">
        <f t="shared" si="5150"/>
        <v>0</v>
      </c>
      <c r="O7441" s="1" t="str">
        <f t="shared" si="5150"/>
        <v>0</v>
      </c>
    </row>
    <row r="7442" s="1" customFormat="1" spans="1:15">
      <c r="A7442" s="1" t="str">
        <f t="shared" si="5128"/>
        <v>202406</v>
      </c>
      <c r="B7442" s="1" t="str">
        <f t="shared" si="5129"/>
        <v>150525100</v>
      </c>
      <c r="C7442" s="1" t="str">
        <f>"1014622583"</f>
        <v>1014622583</v>
      </c>
      <c r="D7442" s="1" t="str">
        <f>"152326195009210416"</f>
        <v>152326195009210416</v>
      </c>
      <c r="E7442" s="1" t="s">
        <v>7168</v>
      </c>
      <c r="F7442" s="1" t="s">
        <v>25</v>
      </c>
      <c r="G7442" s="1" t="s">
        <v>17</v>
      </c>
      <c r="H7442" s="1" t="str">
        <f>"74"</f>
        <v>74</v>
      </c>
      <c r="I7442" s="1" t="str">
        <f t="shared" ref="I7442:I7444" si="5151">"160"</f>
        <v>160</v>
      </c>
      <c r="J7442" s="1" t="str">
        <f t="shared" ref="J7442:O7442" si="5152">"0"</f>
        <v>0</v>
      </c>
      <c r="K7442" s="1" t="str">
        <f t="shared" si="5114"/>
        <v>103</v>
      </c>
      <c r="L7442" s="1" t="str">
        <f t="shared" si="5115"/>
        <v>47</v>
      </c>
      <c r="M7442" s="1" t="str">
        <f t="shared" si="5152"/>
        <v>0</v>
      </c>
      <c r="N7442" s="1" t="str">
        <f t="shared" si="5152"/>
        <v>0</v>
      </c>
      <c r="O7442" s="1" t="str">
        <f t="shared" si="5152"/>
        <v>0</v>
      </c>
    </row>
    <row r="7443" s="1" customFormat="1" spans="1:15">
      <c r="A7443" s="1" t="str">
        <f t="shared" si="5128"/>
        <v>202406</v>
      </c>
      <c r="B7443" s="1" t="str">
        <f t="shared" si="5129"/>
        <v>150525100</v>
      </c>
      <c r="C7443" s="1" t="str">
        <f>"1014623956"</f>
        <v>1014623956</v>
      </c>
      <c r="D7443" s="1" t="str">
        <f>"152326194410030679"</f>
        <v>152326194410030679</v>
      </c>
      <c r="E7443" s="1" t="s">
        <v>7169</v>
      </c>
      <c r="F7443" s="1" t="s">
        <v>25</v>
      </c>
      <c r="G7443" s="1" t="s">
        <v>17</v>
      </c>
      <c r="H7443" s="1" t="str">
        <f>"80"</f>
        <v>80</v>
      </c>
      <c r="I7443" s="1" t="str">
        <f t="shared" si="5151"/>
        <v>160</v>
      </c>
      <c r="J7443" s="1" t="str">
        <f t="shared" ref="J7443:O7443" si="5153">"0"</f>
        <v>0</v>
      </c>
      <c r="K7443" s="1" t="str">
        <f t="shared" si="5114"/>
        <v>103</v>
      </c>
      <c r="L7443" s="1" t="str">
        <f t="shared" si="5115"/>
        <v>47</v>
      </c>
      <c r="M7443" s="1" t="str">
        <f t="shared" si="5153"/>
        <v>0</v>
      </c>
      <c r="N7443" s="1" t="str">
        <f t="shared" si="5153"/>
        <v>0</v>
      </c>
      <c r="O7443" s="1" t="str">
        <f t="shared" si="5153"/>
        <v>0</v>
      </c>
    </row>
    <row r="7444" s="1" customFormat="1" spans="1:15">
      <c r="A7444" s="1" t="str">
        <f t="shared" si="5128"/>
        <v>202406</v>
      </c>
      <c r="B7444" s="1" t="str">
        <f t="shared" si="5129"/>
        <v>150525100</v>
      </c>
      <c r="C7444" s="1" t="str">
        <f>"1014623967"</f>
        <v>1014623967</v>
      </c>
      <c r="D7444" s="1" t="str">
        <f>"152326195112200670"</f>
        <v>152326195112200670</v>
      </c>
      <c r="E7444" s="1" t="s">
        <v>7170</v>
      </c>
      <c r="F7444" s="1" t="s">
        <v>25</v>
      </c>
      <c r="G7444" s="1" t="s">
        <v>19</v>
      </c>
      <c r="H7444" s="1" t="str">
        <f>"73"</f>
        <v>73</v>
      </c>
      <c r="I7444" s="1" t="str">
        <f t="shared" si="5151"/>
        <v>160</v>
      </c>
      <c r="J7444" s="1" t="str">
        <f t="shared" ref="J7444:O7444" si="5154">"0"</f>
        <v>0</v>
      </c>
      <c r="K7444" s="1" t="str">
        <f t="shared" si="5114"/>
        <v>103</v>
      </c>
      <c r="L7444" s="1" t="str">
        <f t="shared" si="5115"/>
        <v>47</v>
      </c>
      <c r="M7444" s="1" t="str">
        <f t="shared" si="5154"/>
        <v>0</v>
      </c>
      <c r="N7444" s="1" t="str">
        <f t="shared" si="5154"/>
        <v>0</v>
      </c>
      <c r="O7444" s="1" t="str">
        <f t="shared" si="5154"/>
        <v>0</v>
      </c>
    </row>
    <row r="7445" s="1" customFormat="1" spans="1:15">
      <c r="A7445" s="1" t="str">
        <f t="shared" si="5128"/>
        <v>202406</v>
      </c>
      <c r="B7445" s="1" t="str">
        <f t="shared" si="5129"/>
        <v>150525100</v>
      </c>
      <c r="C7445" s="1" t="str">
        <f>"1014623970"</f>
        <v>1014623970</v>
      </c>
      <c r="D7445" s="1" t="str">
        <f>"152326194308060660"</f>
        <v>152326194308060660</v>
      </c>
      <c r="E7445" s="1" t="s">
        <v>7171</v>
      </c>
      <c r="F7445" s="1" t="s">
        <v>16</v>
      </c>
      <c r="G7445" s="1" t="s">
        <v>19</v>
      </c>
      <c r="H7445" s="1" t="str">
        <f>"81"</f>
        <v>81</v>
      </c>
      <c r="I7445" s="1" t="str">
        <f t="shared" si="5149"/>
        <v>170</v>
      </c>
      <c r="J7445" s="1" t="str">
        <f t="shared" ref="J7445:O7445" si="5155">"0"</f>
        <v>0</v>
      </c>
      <c r="K7445" s="1" t="str">
        <f t="shared" si="5114"/>
        <v>103</v>
      </c>
      <c r="L7445" s="1" t="str">
        <f t="shared" si="5115"/>
        <v>47</v>
      </c>
      <c r="M7445" s="1" t="str">
        <f t="shared" si="5155"/>
        <v>0</v>
      </c>
      <c r="N7445" s="1" t="str">
        <f t="shared" si="5155"/>
        <v>0</v>
      </c>
      <c r="O7445" s="1" t="str">
        <f t="shared" si="5155"/>
        <v>0</v>
      </c>
    </row>
    <row r="7446" s="1" customFormat="1" spans="1:15">
      <c r="A7446" s="1" t="str">
        <f t="shared" si="5128"/>
        <v>202406</v>
      </c>
      <c r="B7446" s="1" t="str">
        <f t="shared" si="5129"/>
        <v>150525100</v>
      </c>
      <c r="C7446" s="1" t="str">
        <f>"1014623983"</f>
        <v>1014623983</v>
      </c>
      <c r="D7446" s="1" t="str">
        <f>"152326194307050671"</f>
        <v>152326194307050671</v>
      </c>
      <c r="E7446" s="1" t="s">
        <v>7172</v>
      </c>
      <c r="F7446" s="1" t="s">
        <v>25</v>
      </c>
      <c r="G7446" s="1" t="s">
        <v>17</v>
      </c>
      <c r="H7446" s="1" t="str">
        <f>"81"</f>
        <v>81</v>
      </c>
      <c r="I7446" s="1" t="str">
        <f t="shared" si="5149"/>
        <v>170</v>
      </c>
      <c r="J7446" s="1" t="str">
        <f t="shared" ref="J7446:O7446" si="5156">"0"</f>
        <v>0</v>
      </c>
      <c r="K7446" s="1" t="str">
        <f t="shared" si="5114"/>
        <v>103</v>
      </c>
      <c r="L7446" s="1" t="str">
        <f t="shared" si="5115"/>
        <v>47</v>
      </c>
      <c r="M7446" s="1" t="str">
        <f t="shared" si="5156"/>
        <v>0</v>
      </c>
      <c r="N7446" s="1" t="str">
        <f t="shared" si="5156"/>
        <v>0</v>
      </c>
      <c r="O7446" s="1" t="str">
        <f t="shared" si="5156"/>
        <v>0</v>
      </c>
    </row>
    <row r="7447" s="1" customFormat="1" spans="1:15">
      <c r="A7447" s="1" t="str">
        <f t="shared" si="5128"/>
        <v>202406</v>
      </c>
      <c r="B7447" s="1" t="str">
        <f t="shared" si="5129"/>
        <v>150525100</v>
      </c>
      <c r="C7447" s="1" t="str">
        <f>"1014629349"</f>
        <v>1014629349</v>
      </c>
      <c r="D7447" s="1" t="str">
        <f>"152326194110050010"</f>
        <v>152326194110050010</v>
      </c>
      <c r="E7447" s="1" t="s">
        <v>7173</v>
      </c>
      <c r="F7447" s="1" t="s">
        <v>25</v>
      </c>
      <c r="G7447" s="1" t="s">
        <v>17</v>
      </c>
      <c r="H7447" s="1" t="str">
        <f>"83"</f>
        <v>83</v>
      </c>
      <c r="I7447" s="1" t="str">
        <f t="shared" si="5149"/>
        <v>170</v>
      </c>
      <c r="J7447" s="1" t="str">
        <f t="shared" ref="J7447:O7447" si="5157">"0"</f>
        <v>0</v>
      </c>
      <c r="K7447" s="1" t="str">
        <f t="shared" si="5114"/>
        <v>103</v>
      </c>
      <c r="L7447" s="1" t="str">
        <f t="shared" si="5115"/>
        <v>47</v>
      </c>
      <c r="M7447" s="1" t="str">
        <f t="shared" si="5157"/>
        <v>0</v>
      </c>
      <c r="N7447" s="1" t="str">
        <f t="shared" si="5157"/>
        <v>0</v>
      </c>
      <c r="O7447" s="1" t="str">
        <f t="shared" si="5157"/>
        <v>0</v>
      </c>
    </row>
    <row r="7448" s="1" customFormat="1" spans="1:15">
      <c r="A7448" s="1" t="str">
        <f t="shared" si="5128"/>
        <v>202406</v>
      </c>
      <c r="B7448" s="1" t="str">
        <f t="shared" si="5129"/>
        <v>150525100</v>
      </c>
      <c r="C7448" s="1" t="str">
        <f>"1014629401"</f>
        <v>1014629401</v>
      </c>
      <c r="D7448" s="1" t="str">
        <f>"152326195004290023"</f>
        <v>152326195004290023</v>
      </c>
      <c r="E7448" s="1" t="s">
        <v>7174</v>
      </c>
      <c r="F7448" s="1" t="s">
        <v>16</v>
      </c>
      <c r="G7448" s="1" t="s">
        <v>17</v>
      </c>
      <c r="H7448" s="1" t="str">
        <f>"74"</f>
        <v>74</v>
      </c>
      <c r="I7448" s="1" t="str">
        <f t="shared" ref="I7448:I7454" si="5158">"160"</f>
        <v>160</v>
      </c>
      <c r="J7448" s="1" t="str">
        <f t="shared" ref="J7448:O7448" si="5159">"0"</f>
        <v>0</v>
      </c>
      <c r="K7448" s="1" t="str">
        <f t="shared" si="5114"/>
        <v>103</v>
      </c>
      <c r="L7448" s="1" t="str">
        <f t="shared" si="5115"/>
        <v>47</v>
      </c>
      <c r="M7448" s="1" t="str">
        <f t="shared" si="5159"/>
        <v>0</v>
      </c>
      <c r="N7448" s="1" t="str">
        <f t="shared" si="5159"/>
        <v>0</v>
      </c>
      <c r="O7448" s="1" t="str">
        <f t="shared" si="5159"/>
        <v>0</v>
      </c>
    </row>
    <row r="7449" s="1" customFormat="1" spans="1:15">
      <c r="A7449" s="1" t="str">
        <f t="shared" si="5128"/>
        <v>202406</v>
      </c>
      <c r="B7449" s="1" t="str">
        <f t="shared" si="5129"/>
        <v>150525100</v>
      </c>
      <c r="C7449" s="1" t="str">
        <f>"1014629406"</f>
        <v>1014629406</v>
      </c>
      <c r="D7449" s="1" t="str">
        <f>"152326194711160012"</f>
        <v>152326194711160012</v>
      </c>
      <c r="E7449" s="1" t="s">
        <v>7175</v>
      </c>
      <c r="F7449" s="1" t="s">
        <v>25</v>
      </c>
      <c r="G7449" s="1" t="s">
        <v>17</v>
      </c>
      <c r="H7449" s="1" t="str">
        <f>"77"</f>
        <v>77</v>
      </c>
      <c r="I7449" s="1" t="str">
        <f t="shared" si="5158"/>
        <v>160</v>
      </c>
      <c r="J7449" s="1" t="str">
        <f t="shared" ref="J7449:O7449" si="5160">"0"</f>
        <v>0</v>
      </c>
      <c r="K7449" s="1" t="str">
        <f t="shared" si="5114"/>
        <v>103</v>
      </c>
      <c r="L7449" s="1" t="str">
        <f t="shared" si="5115"/>
        <v>47</v>
      </c>
      <c r="M7449" s="1" t="str">
        <f t="shared" si="5160"/>
        <v>0</v>
      </c>
      <c r="N7449" s="1" t="str">
        <f t="shared" si="5160"/>
        <v>0</v>
      </c>
      <c r="O7449" s="1" t="str">
        <f t="shared" si="5160"/>
        <v>0</v>
      </c>
    </row>
    <row r="7450" s="1" customFormat="1" spans="1:15">
      <c r="A7450" s="1" t="str">
        <f t="shared" si="5128"/>
        <v>202406</v>
      </c>
      <c r="B7450" s="1" t="str">
        <f t="shared" si="5129"/>
        <v>150525100</v>
      </c>
      <c r="C7450" s="1" t="str">
        <f>"1014619416"</f>
        <v>1014619416</v>
      </c>
      <c r="D7450" s="1" t="s">
        <v>7176</v>
      </c>
      <c r="E7450" s="1" t="s">
        <v>7177</v>
      </c>
      <c r="F7450" s="1" t="s">
        <v>25</v>
      </c>
      <c r="G7450" s="1" t="s">
        <v>17</v>
      </c>
      <c r="H7450" s="1" t="str">
        <f>"93"</f>
        <v>93</v>
      </c>
      <c r="I7450" s="1" t="str">
        <f t="shared" ref="I7450:I7452" si="5161">"170"</f>
        <v>170</v>
      </c>
      <c r="J7450" s="1" t="str">
        <f t="shared" ref="J7450:O7450" si="5162">"0"</f>
        <v>0</v>
      </c>
      <c r="K7450" s="1" t="str">
        <f t="shared" si="5114"/>
        <v>103</v>
      </c>
      <c r="L7450" s="1" t="str">
        <f t="shared" si="5115"/>
        <v>47</v>
      </c>
      <c r="M7450" s="1" t="str">
        <f t="shared" si="5162"/>
        <v>0</v>
      </c>
      <c r="N7450" s="1" t="str">
        <f t="shared" si="5162"/>
        <v>0</v>
      </c>
      <c r="O7450" s="1" t="str">
        <f t="shared" si="5162"/>
        <v>0</v>
      </c>
    </row>
    <row r="7451" s="1" customFormat="1" spans="1:15">
      <c r="A7451" s="1" t="str">
        <f t="shared" si="5128"/>
        <v>202406</v>
      </c>
      <c r="B7451" s="1" t="str">
        <f t="shared" si="5129"/>
        <v>150525100</v>
      </c>
      <c r="C7451" s="1" t="str">
        <f>"1014619427"</f>
        <v>1014619427</v>
      </c>
      <c r="D7451" s="1" t="str">
        <f>"152326193202130670"</f>
        <v>152326193202130670</v>
      </c>
      <c r="E7451" s="1" t="s">
        <v>7178</v>
      </c>
      <c r="F7451" s="1" t="s">
        <v>25</v>
      </c>
      <c r="G7451" s="1" t="s">
        <v>17</v>
      </c>
      <c r="H7451" s="1" t="str">
        <f>"92"</f>
        <v>92</v>
      </c>
      <c r="I7451" s="1" t="str">
        <f t="shared" si="5161"/>
        <v>170</v>
      </c>
      <c r="J7451" s="1" t="str">
        <f t="shared" ref="J7451:O7451" si="5163">"0"</f>
        <v>0</v>
      </c>
      <c r="K7451" s="1" t="str">
        <f t="shared" si="5114"/>
        <v>103</v>
      </c>
      <c r="L7451" s="1" t="str">
        <f t="shared" si="5115"/>
        <v>47</v>
      </c>
      <c r="M7451" s="1" t="str">
        <f t="shared" si="5163"/>
        <v>0</v>
      </c>
      <c r="N7451" s="1" t="str">
        <f t="shared" si="5163"/>
        <v>0</v>
      </c>
      <c r="O7451" s="1" t="str">
        <f t="shared" si="5163"/>
        <v>0</v>
      </c>
    </row>
    <row r="7452" s="1" customFormat="1" spans="1:15">
      <c r="A7452" s="1" t="str">
        <f t="shared" si="5128"/>
        <v>202406</v>
      </c>
      <c r="B7452" s="1" t="str">
        <f t="shared" si="5129"/>
        <v>150525100</v>
      </c>
      <c r="C7452" s="1" t="str">
        <f>"1014629841"</f>
        <v>1014629841</v>
      </c>
      <c r="D7452" s="1" t="str">
        <f>"152326193504133084"</f>
        <v>152326193504133084</v>
      </c>
      <c r="E7452" s="1" t="s">
        <v>561</v>
      </c>
      <c r="F7452" s="1" t="s">
        <v>16</v>
      </c>
      <c r="G7452" s="1" t="s">
        <v>17</v>
      </c>
      <c r="H7452" s="1" t="str">
        <f>"89"</f>
        <v>89</v>
      </c>
      <c r="I7452" s="1" t="str">
        <f t="shared" si="5161"/>
        <v>170</v>
      </c>
      <c r="J7452" s="1" t="str">
        <f t="shared" ref="J7452:O7452" si="5164">"0"</f>
        <v>0</v>
      </c>
      <c r="K7452" s="1" t="str">
        <f t="shared" si="5114"/>
        <v>103</v>
      </c>
      <c r="L7452" s="1" t="str">
        <f t="shared" si="5115"/>
        <v>47</v>
      </c>
      <c r="M7452" s="1" t="str">
        <f t="shared" si="5164"/>
        <v>0</v>
      </c>
      <c r="N7452" s="1" t="str">
        <f t="shared" si="5164"/>
        <v>0</v>
      </c>
      <c r="O7452" s="1" t="str">
        <f t="shared" si="5164"/>
        <v>0</v>
      </c>
    </row>
    <row r="7453" s="1" customFormat="1" spans="1:15">
      <c r="A7453" s="1" t="str">
        <f t="shared" si="5128"/>
        <v>202406</v>
      </c>
      <c r="B7453" s="1" t="str">
        <f t="shared" si="5129"/>
        <v>150525100</v>
      </c>
      <c r="C7453" s="1" t="str">
        <f>"1014629845"</f>
        <v>1014629845</v>
      </c>
      <c r="D7453" s="1" t="str">
        <f>"152326195006233081"</f>
        <v>152326195006233081</v>
      </c>
      <c r="E7453" s="1" t="s">
        <v>7179</v>
      </c>
      <c r="F7453" s="1" t="s">
        <v>16</v>
      </c>
      <c r="G7453" s="1" t="s">
        <v>17</v>
      </c>
      <c r="H7453" s="1" t="str">
        <f>"74"</f>
        <v>74</v>
      </c>
      <c r="I7453" s="1" t="str">
        <f t="shared" si="5158"/>
        <v>160</v>
      </c>
      <c r="J7453" s="1" t="str">
        <f t="shared" ref="J7453:O7453" si="5165">"0"</f>
        <v>0</v>
      </c>
      <c r="K7453" s="1" t="str">
        <f t="shared" si="5114"/>
        <v>103</v>
      </c>
      <c r="L7453" s="1" t="str">
        <f t="shared" si="5115"/>
        <v>47</v>
      </c>
      <c r="M7453" s="1" t="str">
        <f t="shared" si="5165"/>
        <v>0</v>
      </c>
      <c r="N7453" s="1" t="str">
        <f t="shared" si="5165"/>
        <v>0</v>
      </c>
      <c r="O7453" s="1" t="str">
        <f t="shared" si="5165"/>
        <v>0</v>
      </c>
    </row>
    <row r="7454" s="1" customFormat="1" spans="1:15">
      <c r="A7454" s="1" t="str">
        <f t="shared" si="5128"/>
        <v>202406</v>
      </c>
      <c r="B7454" s="1" t="str">
        <f t="shared" si="5129"/>
        <v>150525100</v>
      </c>
      <c r="C7454" s="1" t="str">
        <f>"1014629919"</f>
        <v>1014629919</v>
      </c>
      <c r="D7454" s="1" t="str">
        <f>"152326194506180049"</f>
        <v>152326194506180049</v>
      </c>
      <c r="E7454" s="1" t="s">
        <v>7180</v>
      </c>
      <c r="F7454" s="1" t="s">
        <v>16</v>
      </c>
      <c r="G7454" s="1" t="s">
        <v>17</v>
      </c>
      <c r="H7454" s="1" t="str">
        <f>"79"</f>
        <v>79</v>
      </c>
      <c r="I7454" s="1" t="str">
        <f t="shared" si="5158"/>
        <v>160</v>
      </c>
      <c r="J7454" s="1" t="str">
        <f t="shared" ref="J7454:O7454" si="5166">"0"</f>
        <v>0</v>
      </c>
      <c r="K7454" s="1" t="str">
        <f t="shared" si="5114"/>
        <v>103</v>
      </c>
      <c r="L7454" s="1" t="str">
        <f t="shared" si="5115"/>
        <v>47</v>
      </c>
      <c r="M7454" s="1" t="str">
        <f t="shared" si="5166"/>
        <v>0</v>
      </c>
      <c r="N7454" s="1" t="str">
        <f t="shared" si="5166"/>
        <v>0</v>
      </c>
      <c r="O7454" s="1" t="str">
        <f t="shared" si="5166"/>
        <v>0</v>
      </c>
    </row>
    <row r="7455" s="1" customFormat="1" spans="1:15">
      <c r="A7455" s="1" t="str">
        <f t="shared" si="5128"/>
        <v>202406</v>
      </c>
      <c r="B7455" s="1" t="str">
        <f t="shared" si="5129"/>
        <v>150525100</v>
      </c>
      <c r="C7455" s="1" t="str">
        <f>"1014562761"</f>
        <v>1014562761</v>
      </c>
      <c r="D7455" s="1" t="str">
        <f>"152326196305270426"</f>
        <v>152326196305270426</v>
      </c>
      <c r="E7455" s="1" t="s">
        <v>7181</v>
      </c>
      <c r="F7455" s="1" t="s">
        <v>16</v>
      </c>
      <c r="G7455" s="1" t="s">
        <v>17</v>
      </c>
      <c r="H7455" s="1" t="str">
        <f>"61"</f>
        <v>61</v>
      </c>
      <c r="I7455" s="1" t="str">
        <f>"165.01"</f>
        <v>165.01</v>
      </c>
      <c r="J7455" s="1" t="str">
        <f t="shared" ref="J7455:N7455" si="5167">"0"</f>
        <v>0</v>
      </c>
      <c r="K7455" s="1" t="str">
        <f t="shared" si="5114"/>
        <v>103</v>
      </c>
      <c r="L7455" s="1" t="str">
        <f t="shared" si="5115"/>
        <v>47</v>
      </c>
      <c r="M7455" s="1" t="str">
        <f t="shared" si="5167"/>
        <v>0</v>
      </c>
      <c r="N7455" s="1" t="str">
        <f t="shared" si="5167"/>
        <v>0</v>
      </c>
      <c r="O7455" s="1" t="str">
        <f>"15.01"</f>
        <v>15.01</v>
      </c>
    </row>
    <row r="7456" s="1" customFormat="1" spans="1:15">
      <c r="A7456" s="1" t="str">
        <f t="shared" si="5128"/>
        <v>202406</v>
      </c>
      <c r="B7456" s="1" t="str">
        <f t="shared" si="5129"/>
        <v>150525100</v>
      </c>
      <c r="C7456" s="1" t="str">
        <f>"1014563122"</f>
        <v>1014563122</v>
      </c>
      <c r="D7456" s="1" t="s">
        <v>7182</v>
      </c>
      <c r="E7456" s="1" t="s">
        <v>6381</v>
      </c>
      <c r="F7456" s="1" t="s">
        <v>16</v>
      </c>
      <c r="G7456" s="1" t="s">
        <v>17</v>
      </c>
      <c r="H7456" s="1" t="str">
        <f>"63"</f>
        <v>63</v>
      </c>
      <c r="I7456" s="1" t="str">
        <f>"161.15"</f>
        <v>161.15</v>
      </c>
      <c r="J7456" s="1" t="str">
        <f t="shared" ref="J7456:N7456" si="5168">"0"</f>
        <v>0</v>
      </c>
      <c r="K7456" s="1" t="str">
        <f t="shared" si="5114"/>
        <v>103</v>
      </c>
      <c r="L7456" s="1" t="str">
        <f t="shared" si="5115"/>
        <v>47</v>
      </c>
      <c r="M7456" s="1" t="str">
        <f t="shared" si="5168"/>
        <v>0</v>
      </c>
      <c r="N7456" s="1" t="str">
        <f t="shared" si="5168"/>
        <v>0</v>
      </c>
      <c r="O7456" s="1" t="str">
        <f>"11.15"</f>
        <v>11.15</v>
      </c>
    </row>
    <row r="7457" s="1" customFormat="1" spans="1:15">
      <c r="A7457" s="1" t="str">
        <f t="shared" si="5128"/>
        <v>202406</v>
      </c>
      <c r="B7457" s="1" t="str">
        <f t="shared" si="5129"/>
        <v>150525100</v>
      </c>
      <c r="C7457" s="1" t="str">
        <f>"1014584266"</f>
        <v>1014584266</v>
      </c>
      <c r="D7457" s="1" t="str">
        <f>"152326195610040411"</f>
        <v>152326195610040411</v>
      </c>
      <c r="E7457" s="1" t="s">
        <v>7183</v>
      </c>
      <c r="F7457" s="1" t="s">
        <v>25</v>
      </c>
      <c r="G7457" s="1" t="s">
        <v>17</v>
      </c>
      <c r="H7457" s="1" t="str">
        <f>"68"</f>
        <v>68</v>
      </c>
      <c r="I7457" s="1" t="str">
        <f>"156"</f>
        <v>156</v>
      </c>
      <c r="J7457" s="1" t="str">
        <f t="shared" ref="J7457:N7457" si="5169">"0"</f>
        <v>0</v>
      </c>
      <c r="K7457" s="1" t="str">
        <f t="shared" si="5114"/>
        <v>103</v>
      </c>
      <c r="L7457" s="1" t="str">
        <f t="shared" si="5115"/>
        <v>47</v>
      </c>
      <c r="M7457" s="1" t="str">
        <f t="shared" si="5169"/>
        <v>0</v>
      </c>
      <c r="N7457" s="1" t="str">
        <f t="shared" si="5169"/>
        <v>0</v>
      </c>
      <c r="O7457" s="1" t="str">
        <f>"6"</f>
        <v>6</v>
      </c>
    </row>
    <row r="7458" s="1" customFormat="1" spans="1:15">
      <c r="A7458" s="1" t="str">
        <f t="shared" si="5128"/>
        <v>202406</v>
      </c>
      <c r="B7458" s="1" t="str">
        <f t="shared" si="5129"/>
        <v>150525100</v>
      </c>
      <c r="C7458" s="1" t="str">
        <f>"1014549840"</f>
        <v>1014549840</v>
      </c>
      <c r="D7458" s="1" t="str">
        <f>"152326196102090660"</f>
        <v>152326196102090660</v>
      </c>
      <c r="E7458" s="1" t="s">
        <v>6398</v>
      </c>
      <c r="F7458" s="1" t="s">
        <v>16</v>
      </c>
      <c r="G7458" s="1" t="s">
        <v>19</v>
      </c>
      <c r="H7458" s="1" t="str">
        <f>"63"</f>
        <v>63</v>
      </c>
      <c r="I7458" s="1" t="str">
        <f>"179.73"</f>
        <v>179.73</v>
      </c>
      <c r="J7458" s="1" t="str">
        <f t="shared" ref="J7458:N7458" si="5170">"0"</f>
        <v>0</v>
      </c>
      <c r="K7458" s="1" t="str">
        <f t="shared" si="5114"/>
        <v>103</v>
      </c>
      <c r="L7458" s="1" t="str">
        <f t="shared" si="5115"/>
        <v>47</v>
      </c>
      <c r="M7458" s="1" t="str">
        <f t="shared" si="5170"/>
        <v>0</v>
      </c>
      <c r="N7458" s="1" t="str">
        <f t="shared" si="5170"/>
        <v>0</v>
      </c>
      <c r="O7458" s="1" t="str">
        <f>"29.73"</f>
        <v>29.73</v>
      </c>
    </row>
    <row r="7459" s="1" customFormat="1" spans="1:15">
      <c r="A7459" s="1" t="str">
        <f t="shared" si="5128"/>
        <v>202406</v>
      </c>
      <c r="B7459" s="1" t="str">
        <f t="shared" si="5129"/>
        <v>150525100</v>
      </c>
      <c r="C7459" s="1" t="str">
        <f>"1014550344"</f>
        <v>1014550344</v>
      </c>
      <c r="D7459" s="1" t="str">
        <f>"152326196210240662"</f>
        <v>152326196210240662</v>
      </c>
      <c r="E7459" s="1" t="s">
        <v>7184</v>
      </c>
      <c r="F7459" s="1" t="s">
        <v>16</v>
      </c>
      <c r="G7459" s="1" t="s">
        <v>19</v>
      </c>
      <c r="H7459" s="1" t="str">
        <f>"62"</f>
        <v>62</v>
      </c>
      <c r="I7459" s="1" t="str">
        <f>"163.16"</f>
        <v>163.16</v>
      </c>
      <c r="J7459" s="1" t="str">
        <f t="shared" ref="J7459:N7459" si="5171">"0"</f>
        <v>0</v>
      </c>
      <c r="K7459" s="1" t="str">
        <f t="shared" si="5114"/>
        <v>103</v>
      </c>
      <c r="L7459" s="1" t="str">
        <f t="shared" si="5115"/>
        <v>47</v>
      </c>
      <c r="M7459" s="1" t="str">
        <f t="shared" si="5171"/>
        <v>0</v>
      </c>
      <c r="N7459" s="1" t="str">
        <f t="shared" si="5171"/>
        <v>0</v>
      </c>
      <c r="O7459" s="1" t="str">
        <f>"13.16"</f>
        <v>13.16</v>
      </c>
    </row>
    <row r="7460" s="1" customFormat="1" spans="1:15">
      <c r="A7460" s="1" t="str">
        <f t="shared" si="5128"/>
        <v>202406</v>
      </c>
      <c r="B7460" s="1" t="str">
        <f t="shared" si="5129"/>
        <v>150525100</v>
      </c>
      <c r="C7460" s="1" t="str">
        <f>"1014550346"</f>
        <v>1014550346</v>
      </c>
      <c r="D7460" s="1" t="str">
        <f>"152326196211010674"</f>
        <v>152326196211010674</v>
      </c>
      <c r="E7460" s="1" t="s">
        <v>7185</v>
      </c>
      <c r="F7460" s="1" t="s">
        <v>25</v>
      </c>
      <c r="G7460" s="1" t="s">
        <v>17</v>
      </c>
      <c r="H7460" s="1" t="str">
        <f>"62"</f>
        <v>62</v>
      </c>
      <c r="I7460" s="1" t="str">
        <f>"164.88"</f>
        <v>164.88</v>
      </c>
      <c r="J7460" s="1" t="str">
        <f t="shared" ref="J7460:N7460" si="5172">"0"</f>
        <v>0</v>
      </c>
      <c r="K7460" s="1" t="str">
        <f t="shared" si="5114"/>
        <v>103</v>
      </c>
      <c r="L7460" s="1" t="str">
        <f t="shared" si="5115"/>
        <v>47</v>
      </c>
      <c r="M7460" s="1" t="str">
        <f t="shared" si="5172"/>
        <v>0</v>
      </c>
      <c r="N7460" s="1" t="str">
        <f t="shared" si="5172"/>
        <v>0</v>
      </c>
      <c r="O7460" s="1" t="str">
        <f>"14.88"</f>
        <v>14.88</v>
      </c>
    </row>
    <row r="7461" s="1" customFormat="1" spans="1:15">
      <c r="A7461" s="1" t="str">
        <f t="shared" si="5128"/>
        <v>202406</v>
      </c>
      <c r="B7461" s="1" t="str">
        <f t="shared" si="5129"/>
        <v>150525100</v>
      </c>
      <c r="C7461" s="1" t="str">
        <f>"1014550365"</f>
        <v>1014550365</v>
      </c>
      <c r="D7461" s="1" t="str">
        <f>"152326196303170683"</f>
        <v>152326196303170683</v>
      </c>
      <c r="E7461" s="1" t="s">
        <v>7186</v>
      </c>
      <c r="F7461" s="1" t="s">
        <v>16</v>
      </c>
      <c r="G7461" s="1" t="s">
        <v>17</v>
      </c>
      <c r="H7461" s="1" t="str">
        <f>"61"</f>
        <v>61</v>
      </c>
      <c r="I7461" s="1" t="str">
        <f>"166.67"</f>
        <v>166.67</v>
      </c>
      <c r="J7461" s="1" t="str">
        <f t="shared" ref="J7461:N7461" si="5173">"0"</f>
        <v>0</v>
      </c>
      <c r="K7461" s="1" t="str">
        <f t="shared" si="5114"/>
        <v>103</v>
      </c>
      <c r="L7461" s="1" t="str">
        <f t="shared" si="5115"/>
        <v>47</v>
      </c>
      <c r="M7461" s="1" t="str">
        <f t="shared" si="5173"/>
        <v>0</v>
      </c>
      <c r="N7461" s="1" t="str">
        <f t="shared" si="5173"/>
        <v>0</v>
      </c>
      <c r="O7461" s="1" t="str">
        <f>"16.67"</f>
        <v>16.67</v>
      </c>
    </row>
    <row r="7462" s="1" customFormat="1" spans="1:15">
      <c r="A7462" s="1" t="str">
        <f t="shared" si="5128"/>
        <v>202406</v>
      </c>
      <c r="B7462" s="1" t="str">
        <f t="shared" si="5129"/>
        <v>150525100</v>
      </c>
      <c r="C7462" s="1" t="str">
        <f>"1014584890"</f>
        <v>1014584890</v>
      </c>
      <c r="D7462" s="1" t="s">
        <v>7187</v>
      </c>
      <c r="E7462" s="1" t="s">
        <v>6870</v>
      </c>
      <c r="F7462" s="1" t="s">
        <v>16</v>
      </c>
      <c r="G7462" s="1" t="s">
        <v>19</v>
      </c>
      <c r="H7462" s="1" t="str">
        <f>"72"</f>
        <v>72</v>
      </c>
      <c r="I7462" s="1" t="str">
        <f>"162.14"</f>
        <v>162.14</v>
      </c>
      <c r="J7462" s="1" t="str">
        <f t="shared" ref="J7462:N7462" si="5174">"0"</f>
        <v>0</v>
      </c>
      <c r="K7462" s="1" t="str">
        <f t="shared" si="5114"/>
        <v>103</v>
      </c>
      <c r="L7462" s="1" t="str">
        <f t="shared" si="5115"/>
        <v>47</v>
      </c>
      <c r="M7462" s="1" t="str">
        <f t="shared" si="5174"/>
        <v>0</v>
      </c>
      <c r="N7462" s="1" t="str">
        <f t="shared" si="5174"/>
        <v>0</v>
      </c>
      <c r="O7462" s="1" t="str">
        <f>"2.14"</f>
        <v>2.14</v>
      </c>
    </row>
    <row r="7463" s="1" customFormat="1" spans="1:15">
      <c r="A7463" s="1" t="str">
        <f t="shared" si="5128"/>
        <v>202406</v>
      </c>
      <c r="B7463" s="1" t="str">
        <f t="shared" si="5129"/>
        <v>150525100</v>
      </c>
      <c r="C7463" s="1" t="str">
        <f>"1014584897"</f>
        <v>1014584897</v>
      </c>
      <c r="D7463" s="1" t="str">
        <f>"152326195507240423"</f>
        <v>152326195507240423</v>
      </c>
      <c r="E7463" s="1" t="s">
        <v>7188</v>
      </c>
      <c r="F7463" s="1" t="s">
        <v>16</v>
      </c>
      <c r="G7463" s="1" t="s">
        <v>19</v>
      </c>
      <c r="H7463" s="1" t="str">
        <f>"69"</f>
        <v>69</v>
      </c>
      <c r="I7463" s="1" t="str">
        <f>"155.1"</f>
        <v>155.1</v>
      </c>
      <c r="J7463" s="1" t="str">
        <f t="shared" ref="J7463:N7463" si="5175">"0"</f>
        <v>0</v>
      </c>
      <c r="K7463" s="1" t="str">
        <f t="shared" si="5114"/>
        <v>103</v>
      </c>
      <c r="L7463" s="1" t="str">
        <f t="shared" si="5115"/>
        <v>47</v>
      </c>
      <c r="M7463" s="1" t="str">
        <f t="shared" si="5175"/>
        <v>0</v>
      </c>
      <c r="N7463" s="1" t="str">
        <f t="shared" si="5175"/>
        <v>0</v>
      </c>
      <c r="O7463" s="1" t="str">
        <f>"5.1"</f>
        <v>5.1</v>
      </c>
    </row>
    <row r="7464" s="1" customFormat="1" spans="1:15">
      <c r="A7464" s="1" t="str">
        <f t="shared" si="5128"/>
        <v>202406</v>
      </c>
      <c r="B7464" s="1" t="str">
        <f t="shared" si="5129"/>
        <v>150525100</v>
      </c>
      <c r="C7464" s="1" t="str">
        <f>"1014562791"</f>
        <v>1014562791</v>
      </c>
      <c r="D7464" s="1" t="str">
        <f>"152326195110040423"</f>
        <v>152326195110040423</v>
      </c>
      <c r="E7464" s="1" t="s">
        <v>7189</v>
      </c>
      <c r="F7464" s="1" t="s">
        <v>16</v>
      </c>
      <c r="G7464" s="1" t="s">
        <v>96</v>
      </c>
      <c r="H7464" s="1" t="str">
        <f>"73"</f>
        <v>73</v>
      </c>
      <c r="I7464" s="1" t="str">
        <f>"160"</f>
        <v>160</v>
      </c>
      <c r="J7464" s="1" t="str">
        <f t="shared" ref="J7464:O7464" si="5176">"0"</f>
        <v>0</v>
      </c>
      <c r="K7464" s="1" t="str">
        <f t="shared" si="5114"/>
        <v>103</v>
      </c>
      <c r="L7464" s="1" t="str">
        <f t="shared" si="5115"/>
        <v>47</v>
      </c>
      <c r="M7464" s="1" t="str">
        <f t="shared" si="5176"/>
        <v>0</v>
      </c>
      <c r="N7464" s="1" t="str">
        <f t="shared" si="5176"/>
        <v>0</v>
      </c>
      <c r="O7464" s="1" t="str">
        <f t="shared" si="5176"/>
        <v>0</v>
      </c>
    </row>
    <row r="7465" s="1" customFormat="1" spans="1:15">
      <c r="A7465" s="1" t="str">
        <f t="shared" si="5128"/>
        <v>202406</v>
      </c>
      <c r="B7465" s="1" t="str">
        <f t="shared" si="5129"/>
        <v>150525100</v>
      </c>
      <c r="C7465" s="1" t="str">
        <f>"1014563167"</f>
        <v>1014563167</v>
      </c>
      <c r="D7465" s="1" t="str">
        <f>"152326195407040424"</f>
        <v>152326195407040424</v>
      </c>
      <c r="E7465" s="1" t="s">
        <v>7190</v>
      </c>
      <c r="F7465" s="1" t="s">
        <v>16</v>
      </c>
      <c r="G7465" s="1" t="s">
        <v>17</v>
      </c>
      <c r="H7465" s="1" t="str">
        <f>"70"</f>
        <v>70</v>
      </c>
      <c r="I7465" s="1" t="str">
        <f>"154.16"</f>
        <v>154.16</v>
      </c>
      <c r="J7465" s="1" t="str">
        <f t="shared" ref="J7465:N7465" si="5177">"0"</f>
        <v>0</v>
      </c>
      <c r="K7465" s="1" t="str">
        <f t="shared" si="5114"/>
        <v>103</v>
      </c>
      <c r="L7465" s="1" t="str">
        <f t="shared" si="5115"/>
        <v>47</v>
      </c>
      <c r="M7465" s="1" t="str">
        <f t="shared" si="5177"/>
        <v>0</v>
      </c>
      <c r="N7465" s="1" t="str">
        <f t="shared" si="5177"/>
        <v>0</v>
      </c>
      <c r="O7465" s="1" t="str">
        <f>"4.16"</f>
        <v>4.16</v>
      </c>
    </row>
    <row r="7466" s="1" customFormat="1" spans="1:15">
      <c r="A7466" s="1" t="str">
        <f t="shared" si="5128"/>
        <v>202406</v>
      </c>
      <c r="B7466" s="1" t="str">
        <f t="shared" si="5129"/>
        <v>150525100</v>
      </c>
      <c r="C7466" s="1" t="str">
        <f>"1014569581"</f>
        <v>1014569581</v>
      </c>
      <c r="D7466" s="1" t="str">
        <f>"152326195608070427"</f>
        <v>152326195608070427</v>
      </c>
      <c r="E7466" s="1" t="s">
        <v>1804</v>
      </c>
      <c r="F7466" s="1" t="s">
        <v>16</v>
      </c>
      <c r="G7466" s="1" t="s">
        <v>19</v>
      </c>
      <c r="H7466" s="1" t="str">
        <f>"68"</f>
        <v>68</v>
      </c>
      <c r="I7466" s="1" t="str">
        <f>"162.32"</f>
        <v>162.32</v>
      </c>
      <c r="J7466" s="1" t="str">
        <f t="shared" ref="J7466:N7466" si="5178">"0"</f>
        <v>0</v>
      </c>
      <c r="K7466" s="1" t="str">
        <f t="shared" si="5114"/>
        <v>103</v>
      </c>
      <c r="L7466" s="1" t="str">
        <f t="shared" si="5115"/>
        <v>47</v>
      </c>
      <c r="M7466" s="1" t="str">
        <f t="shared" si="5178"/>
        <v>0</v>
      </c>
      <c r="N7466" s="1" t="str">
        <f t="shared" si="5178"/>
        <v>0</v>
      </c>
      <c r="O7466" s="1" t="str">
        <f>"12.32"</f>
        <v>12.32</v>
      </c>
    </row>
    <row r="7467" s="1" customFormat="1" spans="1:15">
      <c r="A7467" s="1" t="str">
        <f t="shared" si="5128"/>
        <v>202406</v>
      </c>
      <c r="B7467" s="1" t="str">
        <f t="shared" si="5129"/>
        <v>150525100</v>
      </c>
      <c r="C7467" s="1" t="str">
        <f>"1014569591"</f>
        <v>1014569591</v>
      </c>
      <c r="D7467" s="1" t="str">
        <f>"152326195911090420"</f>
        <v>152326195911090420</v>
      </c>
      <c r="E7467" s="1" t="s">
        <v>7191</v>
      </c>
      <c r="F7467" s="1" t="s">
        <v>16</v>
      </c>
      <c r="G7467" s="1" t="s">
        <v>19</v>
      </c>
      <c r="H7467" s="1" t="str">
        <f>"65"</f>
        <v>65</v>
      </c>
      <c r="I7467" s="1" t="str">
        <f>"158.21"</f>
        <v>158.21</v>
      </c>
      <c r="J7467" s="1" t="str">
        <f t="shared" ref="J7467:N7467" si="5179">"0"</f>
        <v>0</v>
      </c>
      <c r="K7467" s="1" t="str">
        <f t="shared" si="5114"/>
        <v>103</v>
      </c>
      <c r="L7467" s="1" t="str">
        <f t="shared" si="5115"/>
        <v>47</v>
      </c>
      <c r="M7467" s="1" t="str">
        <f t="shared" si="5179"/>
        <v>0</v>
      </c>
      <c r="N7467" s="1" t="str">
        <f t="shared" si="5179"/>
        <v>0</v>
      </c>
      <c r="O7467" s="1" t="str">
        <f>"8.21"</f>
        <v>8.21</v>
      </c>
    </row>
    <row r="7468" s="1" customFormat="1" spans="1:15">
      <c r="A7468" s="1" t="str">
        <f t="shared" si="5128"/>
        <v>202406</v>
      </c>
      <c r="B7468" s="1" t="str">
        <f t="shared" si="5129"/>
        <v>150525100</v>
      </c>
      <c r="C7468" s="1" t="str">
        <f>"1014569594"</f>
        <v>1014569594</v>
      </c>
      <c r="D7468" s="1" t="str">
        <f>"152326196001120410"</f>
        <v>152326196001120410</v>
      </c>
      <c r="E7468" s="1" t="s">
        <v>7192</v>
      </c>
      <c r="F7468" s="1" t="s">
        <v>25</v>
      </c>
      <c r="G7468" s="1" t="s">
        <v>19</v>
      </c>
      <c r="H7468" s="1" t="str">
        <f>"64"</f>
        <v>64</v>
      </c>
      <c r="I7468" s="1" t="str">
        <f>"159.16"</f>
        <v>159.16</v>
      </c>
      <c r="J7468" s="1" t="str">
        <f t="shared" ref="J7468:N7468" si="5180">"0"</f>
        <v>0</v>
      </c>
      <c r="K7468" s="1" t="str">
        <f t="shared" si="5114"/>
        <v>103</v>
      </c>
      <c r="L7468" s="1" t="str">
        <f t="shared" si="5115"/>
        <v>47</v>
      </c>
      <c r="M7468" s="1" t="str">
        <f t="shared" si="5180"/>
        <v>0</v>
      </c>
      <c r="N7468" s="1" t="str">
        <f t="shared" si="5180"/>
        <v>0</v>
      </c>
      <c r="O7468" s="1" t="str">
        <f>"9.16"</f>
        <v>9.16</v>
      </c>
    </row>
    <row r="7469" s="1" customFormat="1" spans="1:15">
      <c r="A7469" s="1" t="str">
        <f t="shared" si="5128"/>
        <v>202406</v>
      </c>
      <c r="B7469" s="1" t="str">
        <f t="shared" si="5129"/>
        <v>150525100</v>
      </c>
      <c r="C7469" s="1" t="str">
        <f>"1014569600"</f>
        <v>1014569600</v>
      </c>
      <c r="D7469" s="1" t="str">
        <f>"152326196111260422"</f>
        <v>152326196111260422</v>
      </c>
      <c r="E7469" s="1" t="s">
        <v>7193</v>
      </c>
      <c r="F7469" s="1" t="s">
        <v>16</v>
      </c>
      <c r="G7469" s="1" t="s">
        <v>19</v>
      </c>
      <c r="H7469" s="1" t="str">
        <f>"63"</f>
        <v>63</v>
      </c>
      <c r="I7469" s="1" t="str">
        <f>"161.14"</f>
        <v>161.14</v>
      </c>
      <c r="J7469" s="1" t="str">
        <f t="shared" ref="J7469:N7469" si="5181">"0"</f>
        <v>0</v>
      </c>
      <c r="K7469" s="1" t="str">
        <f t="shared" si="5114"/>
        <v>103</v>
      </c>
      <c r="L7469" s="1" t="str">
        <f t="shared" si="5115"/>
        <v>47</v>
      </c>
      <c r="M7469" s="1" t="str">
        <f t="shared" si="5181"/>
        <v>0</v>
      </c>
      <c r="N7469" s="1" t="str">
        <f t="shared" si="5181"/>
        <v>0</v>
      </c>
      <c r="O7469" s="1" t="str">
        <f>"11.14"</f>
        <v>11.14</v>
      </c>
    </row>
    <row r="7470" s="1" customFormat="1" spans="1:15">
      <c r="A7470" s="1" t="str">
        <f t="shared" si="5128"/>
        <v>202406</v>
      </c>
      <c r="B7470" s="1" t="str">
        <f t="shared" si="5129"/>
        <v>150525100</v>
      </c>
      <c r="C7470" s="1" t="str">
        <f>"1014583993"</f>
        <v>1014583993</v>
      </c>
      <c r="D7470" s="1" t="str">
        <f>"152326195609103315"</f>
        <v>152326195609103315</v>
      </c>
      <c r="E7470" s="1" t="s">
        <v>7194</v>
      </c>
      <c r="F7470" s="1" t="s">
        <v>25</v>
      </c>
      <c r="G7470" s="1" t="s">
        <v>17</v>
      </c>
      <c r="H7470" s="1" t="str">
        <f>"68"</f>
        <v>68</v>
      </c>
      <c r="I7470" s="1" t="str">
        <f>"155.51"</f>
        <v>155.51</v>
      </c>
      <c r="J7470" s="1" t="str">
        <f t="shared" ref="J7470:N7470" si="5182">"0"</f>
        <v>0</v>
      </c>
      <c r="K7470" s="1" t="str">
        <f t="shared" si="5114"/>
        <v>103</v>
      </c>
      <c r="L7470" s="1" t="str">
        <f t="shared" si="5115"/>
        <v>47</v>
      </c>
      <c r="M7470" s="1" t="str">
        <f t="shared" si="5182"/>
        <v>0</v>
      </c>
      <c r="N7470" s="1" t="str">
        <f t="shared" si="5182"/>
        <v>0</v>
      </c>
      <c r="O7470" s="1" t="str">
        <f>"5.51"</f>
        <v>5.51</v>
      </c>
    </row>
    <row r="7471" s="1" customFormat="1" spans="1:15">
      <c r="A7471" s="1" t="str">
        <f t="shared" si="5128"/>
        <v>202406</v>
      </c>
      <c r="B7471" s="1" t="str">
        <f t="shared" si="5129"/>
        <v>150525100</v>
      </c>
      <c r="C7471" s="1" t="str">
        <f>"1014550371"</f>
        <v>1014550371</v>
      </c>
      <c r="D7471" s="1" t="str">
        <f>"152326196306013827"</f>
        <v>152326196306013827</v>
      </c>
      <c r="E7471" s="1" t="s">
        <v>7195</v>
      </c>
      <c r="F7471" s="1" t="s">
        <v>16</v>
      </c>
      <c r="G7471" s="1" t="s">
        <v>19</v>
      </c>
      <c r="H7471" s="1" t="str">
        <f>"61"</f>
        <v>61</v>
      </c>
      <c r="I7471" s="1" t="str">
        <f>"165.01"</f>
        <v>165.01</v>
      </c>
      <c r="J7471" s="1" t="str">
        <f t="shared" ref="J7471:N7471" si="5183">"0"</f>
        <v>0</v>
      </c>
      <c r="K7471" s="1" t="str">
        <f t="shared" si="5114"/>
        <v>103</v>
      </c>
      <c r="L7471" s="1" t="str">
        <f t="shared" si="5115"/>
        <v>47</v>
      </c>
      <c r="M7471" s="1" t="str">
        <f t="shared" si="5183"/>
        <v>0</v>
      </c>
      <c r="N7471" s="1" t="str">
        <f t="shared" si="5183"/>
        <v>0</v>
      </c>
      <c r="O7471" s="1" t="str">
        <f>"15.01"</f>
        <v>15.01</v>
      </c>
    </row>
    <row r="7472" s="1" customFormat="1" spans="1:15">
      <c r="A7472" s="1" t="str">
        <f t="shared" si="5128"/>
        <v>202406</v>
      </c>
      <c r="B7472" s="1" t="str">
        <f t="shared" si="5129"/>
        <v>150525100</v>
      </c>
      <c r="C7472" s="1" t="str">
        <f>"1014584905"</f>
        <v>1014584905</v>
      </c>
      <c r="D7472" s="1" t="str">
        <f>"152326196001170426"</f>
        <v>152326196001170426</v>
      </c>
      <c r="E7472" s="1" t="s">
        <v>7196</v>
      </c>
      <c r="F7472" s="1" t="s">
        <v>16</v>
      </c>
      <c r="G7472" s="1" t="s">
        <v>19</v>
      </c>
      <c r="H7472" s="1" t="str">
        <f>"64"</f>
        <v>64</v>
      </c>
      <c r="I7472" s="1" t="str">
        <f>"636.68"</f>
        <v>636.68</v>
      </c>
      <c r="J7472" s="1" t="str">
        <f>"477.51"</f>
        <v>477.51</v>
      </c>
      <c r="K7472" s="1" t="str">
        <f>"412"</f>
        <v>412</v>
      </c>
      <c r="L7472" s="1" t="str">
        <f>"188"</f>
        <v>188</v>
      </c>
      <c r="M7472" s="1" t="str">
        <f>"0"</f>
        <v>0</v>
      </c>
      <c r="N7472" s="1" t="str">
        <f>"0"</f>
        <v>0</v>
      </c>
      <c r="O7472" s="1" t="str">
        <f>"36.68"</f>
        <v>36.68</v>
      </c>
    </row>
    <row r="7473" s="1" customFormat="1" spans="1:15">
      <c r="A7473" s="1" t="str">
        <f t="shared" si="5128"/>
        <v>202406</v>
      </c>
      <c r="B7473" s="1" t="str">
        <f t="shared" si="5129"/>
        <v>150525100</v>
      </c>
      <c r="C7473" s="1" t="str">
        <f>"1040681559"</f>
        <v>1040681559</v>
      </c>
      <c r="D7473" s="1" t="str">
        <f>"152326195406090016"</f>
        <v>152326195406090016</v>
      </c>
      <c r="E7473" s="1" t="s">
        <v>7197</v>
      </c>
      <c r="F7473" s="1" t="s">
        <v>25</v>
      </c>
      <c r="G7473" s="1" t="s">
        <v>17</v>
      </c>
      <c r="H7473" s="1" t="str">
        <f>"70"</f>
        <v>70</v>
      </c>
      <c r="I7473" s="1" t="str">
        <f>"152.93"</f>
        <v>152.93</v>
      </c>
      <c r="J7473" s="1" t="str">
        <f t="shared" ref="J7473:N7473" si="5184">"0"</f>
        <v>0</v>
      </c>
      <c r="K7473" s="1" t="str">
        <f t="shared" ref="K7473:K7480" si="5185">"103"</f>
        <v>103</v>
      </c>
      <c r="L7473" s="1" t="str">
        <f t="shared" ref="L7473:L7480" si="5186">"47"</f>
        <v>47</v>
      </c>
      <c r="M7473" s="1" t="str">
        <f t="shared" si="5184"/>
        <v>0</v>
      </c>
      <c r="N7473" s="1" t="str">
        <f t="shared" si="5184"/>
        <v>0</v>
      </c>
      <c r="O7473" s="1" t="str">
        <f>"2.93"</f>
        <v>2.93</v>
      </c>
    </row>
    <row r="7474" s="1" customFormat="1" spans="1:15">
      <c r="A7474" s="1" t="str">
        <f t="shared" si="5128"/>
        <v>202406</v>
      </c>
      <c r="B7474" s="1" t="str">
        <f t="shared" si="5129"/>
        <v>150525100</v>
      </c>
      <c r="C7474" s="1" t="str">
        <f>"1040681582"</f>
        <v>1040681582</v>
      </c>
      <c r="D7474" s="1" t="str">
        <f>"152326196310300036"</f>
        <v>152326196310300036</v>
      </c>
      <c r="E7474" s="1" t="s">
        <v>7198</v>
      </c>
      <c r="F7474" s="1" t="s">
        <v>25</v>
      </c>
      <c r="G7474" s="1" t="s">
        <v>17</v>
      </c>
      <c r="H7474" s="1" t="str">
        <f>"61"</f>
        <v>61</v>
      </c>
      <c r="I7474" s="1" t="str">
        <f>"165.15"</f>
        <v>165.15</v>
      </c>
      <c r="J7474" s="1" t="str">
        <f t="shared" ref="J7474:N7474" si="5187">"0"</f>
        <v>0</v>
      </c>
      <c r="K7474" s="1" t="str">
        <f t="shared" si="5185"/>
        <v>103</v>
      </c>
      <c r="L7474" s="1" t="str">
        <f t="shared" si="5186"/>
        <v>47</v>
      </c>
      <c r="M7474" s="1" t="str">
        <f t="shared" si="5187"/>
        <v>0</v>
      </c>
      <c r="N7474" s="1" t="str">
        <f t="shared" si="5187"/>
        <v>0</v>
      </c>
      <c r="O7474" s="1" t="str">
        <f>"15.15"</f>
        <v>15.15</v>
      </c>
    </row>
    <row r="7475" s="1" customFormat="1" spans="1:15">
      <c r="A7475" s="1" t="str">
        <f t="shared" si="5128"/>
        <v>202406</v>
      </c>
      <c r="B7475" s="1" t="str">
        <f t="shared" si="5129"/>
        <v>150525100</v>
      </c>
      <c r="C7475" s="1" t="str">
        <f>"1040681600"</f>
        <v>1040681600</v>
      </c>
      <c r="D7475" s="1" t="str">
        <f>"152326195509070026"</f>
        <v>152326195509070026</v>
      </c>
      <c r="E7475" s="1" t="s">
        <v>7199</v>
      </c>
      <c r="F7475" s="1" t="s">
        <v>16</v>
      </c>
      <c r="G7475" s="1" t="s">
        <v>17</v>
      </c>
      <c r="H7475" s="1" t="str">
        <f>"69"</f>
        <v>69</v>
      </c>
      <c r="I7475" s="1" t="str">
        <f>"153.81"</f>
        <v>153.81</v>
      </c>
      <c r="J7475" s="1" t="str">
        <f t="shared" ref="J7475:N7475" si="5188">"0"</f>
        <v>0</v>
      </c>
      <c r="K7475" s="1" t="str">
        <f t="shared" si="5185"/>
        <v>103</v>
      </c>
      <c r="L7475" s="1" t="str">
        <f t="shared" si="5186"/>
        <v>47</v>
      </c>
      <c r="M7475" s="1" t="str">
        <f t="shared" si="5188"/>
        <v>0</v>
      </c>
      <c r="N7475" s="1" t="str">
        <f t="shared" si="5188"/>
        <v>0</v>
      </c>
      <c r="O7475" s="1" t="str">
        <f>"3.81"</f>
        <v>3.81</v>
      </c>
    </row>
    <row r="7476" s="1" customFormat="1" spans="1:15">
      <c r="A7476" s="1" t="str">
        <f t="shared" si="5128"/>
        <v>202406</v>
      </c>
      <c r="B7476" s="1" t="str">
        <f t="shared" si="5129"/>
        <v>150525100</v>
      </c>
      <c r="C7476" s="1" t="str">
        <f>"1040681603"</f>
        <v>1040681603</v>
      </c>
      <c r="D7476" s="1" t="str">
        <f>"152326195612103818"</f>
        <v>152326195612103818</v>
      </c>
      <c r="E7476" s="1" t="s">
        <v>7200</v>
      </c>
      <c r="F7476" s="1" t="s">
        <v>25</v>
      </c>
      <c r="G7476" s="1" t="s">
        <v>19</v>
      </c>
      <c r="H7476" s="1" t="str">
        <f t="shared" ref="H7476:H7480" si="5189">"68"</f>
        <v>68</v>
      </c>
      <c r="I7476" s="1" t="str">
        <f t="shared" ref="I7476:I7480" si="5190">"154.81"</f>
        <v>154.81</v>
      </c>
      <c r="J7476" s="1" t="str">
        <f t="shared" ref="J7476:N7476" si="5191">"0"</f>
        <v>0</v>
      </c>
      <c r="K7476" s="1" t="str">
        <f t="shared" si="5185"/>
        <v>103</v>
      </c>
      <c r="L7476" s="1" t="str">
        <f t="shared" si="5186"/>
        <v>47</v>
      </c>
      <c r="M7476" s="1" t="str">
        <f t="shared" si="5191"/>
        <v>0</v>
      </c>
      <c r="N7476" s="1" t="str">
        <f t="shared" si="5191"/>
        <v>0</v>
      </c>
      <c r="O7476" s="1" t="str">
        <f t="shared" ref="O7476:O7480" si="5192">"4.81"</f>
        <v>4.81</v>
      </c>
    </row>
    <row r="7477" s="1" customFormat="1" spans="1:15">
      <c r="A7477" s="1" t="str">
        <f t="shared" si="5128"/>
        <v>202406</v>
      </c>
      <c r="B7477" s="1" t="str">
        <f t="shared" si="5129"/>
        <v>150525100</v>
      </c>
      <c r="C7477" s="1" t="str">
        <f>"1040681671"</f>
        <v>1040681671</v>
      </c>
      <c r="D7477" s="1" t="str">
        <f>"152326195409153326"</f>
        <v>152326195409153326</v>
      </c>
      <c r="E7477" s="1" t="s">
        <v>1382</v>
      </c>
      <c r="F7477" s="1" t="s">
        <v>16</v>
      </c>
      <c r="G7477" s="1" t="s">
        <v>19</v>
      </c>
      <c r="H7477" s="1" t="str">
        <f>"70"</f>
        <v>70</v>
      </c>
      <c r="I7477" s="1" t="str">
        <f>"152.88"</f>
        <v>152.88</v>
      </c>
      <c r="J7477" s="1" t="str">
        <f t="shared" ref="J7477:N7477" si="5193">"0"</f>
        <v>0</v>
      </c>
      <c r="K7477" s="1" t="str">
        <f t="shared" si="5185"/>
        <v>103</v>
      </c>
      <c r="L7477" s="1" t="str">
        <f t="shared" si="5186"/>
        <v>47</v>
      </c>
      <c r="M7477" s="1" t="str">
        <f t="shared" si="5193"/>
        <v>0</v>
      </c>
      <c r="N7477" s="1" t="str">
        <f t="shared" si="5193"/>
        <v>0</v>
      </c>
      <c r="O7477" s="1" t="str">
        <f>"2.88"</f>
        <v>2.88</v>
      </c>
    </row>
    <row r="7478" s="1" customFormat="1" spans="1:15">
      <c r="A7478" s="1" t="str">
        <f t="shared" si="5128"/>
        <v>202406</v>
      </c>
      <c r="B7478" s="1" t="str">
        <f t="shared" si="5129"/>
        <v>150525100</v>
      </c>
      <c r="C7478" s="1" t="str">
        <f>"1040681518"</f>
        <v>1040681518</v>
      </c>
      <c r="D7478" s="1" t="str">
        <f>"152326195601293812"</f>
        <v>152326195601293812</v>
      </c>
      <c r="E7478" s="1" t="s">
        <v>7201</v>
      </c>
      <c r="F7478" s="1" t="s">
        <v>25</v>
      </c>
      <c r="G7478" s="1" t="s">
        <v>19</v>
      </c>
      <c r="H7478" s="1" t="str">
        <f t="shared" si="5189"/>
        <v>68</v>
      </c>
      <c r="I7478" s="1" t="str">
        <f t="shared" si="5190"/>
        <v>154.81</v>
      </c>
      <c r="J7478" s="1" t="str">
        <f t="shared" ref="J7478:N7478" si="5194">"0"</f>
        <v>0</v>
      </c>
      <c r="K7478" s="1" t="str">
        <f t="shared" si="5185"/>
        <v>103</v>
      </c>
      <c r="L7478" s="1" t="str">
        <f t="shared" si="5186"/>
        <v>47</v>
      </c>
      <c r="M7478" s="1" t="str">
        <f t="shared" si="5194"/>
        <v>0</v>
      </c>
      <c r="N7478" s="1" t="str">
        <f t="shared" si="5194"/>
        <v>0</v>
      </c>
      <c r="O7478" s="1" t="str">
        <f t="shared" si="5192"/>
        <v>4.81</v>
      </c>
    </row>
    <row r="7479" s="1" customFormat="1" spans="1:15">
      <c r="A7479" s="1" t="str">
        <f t="shared" si="5128"/>
        <v>202406</v>
      </c>
      <c r="B7479" s="1" t="str">
        <f t="shared" si="5129"/>
        <v>150525100</v>
      </c>
      <c r="C7479" s="1" t="str">
        <f>"1040681523"</f>
        <v>1040681523</v>
      </c>
      <c r="D7479" s="1" t="str">
        <f>"152326195807063828"</f>
        <v>152326195807063828</v>
      </c>
      <c r="E7479" s="1" t="s">
        <v>7202</v>
      </c>
      <c r="F7479" s="1" t="s">
        <v>16</v>
      </c>
      <c r="G7479" s="1" t="s">
        <v>17</v>
      </c>
      <c r="H7479" s="1" t="str">
        <f>"66"</f>
        <v>66</v>
      </c>
      <c r="I7479" s="1" t="str">
        <f>"155.43"</f>
        <v>155.43</v>
      </c>
      <c r="J7479" s="1" t="str">
        <f t="shared" ref="J7479:N7479" si="5195">"0"</f>
        <v>0</v>
      </c>
      <c r="K7479" s="1" t="str">
        <f t="shared" si="5185"/>
        <v>103</v>
      </c>
      <c r="L7479" s="1" t="str">
        <f t="shared" si="5186"/>
        <v>47</v>
      </c>
      <c r="M7479" s="1" t="str">
        <f t="shared" si="5195"/>
        <v>0</v>
      </c>
      <c r="N7479" s="1" t="str">
        <f t="shared" si="5195"/>
        <v>0</v>
      </c>
      <c r="O7479" s="1" t="str">
        <f>"5.43"</f>
        <v>5.43</v>
      </c>
    </row>
    <row r="7480" s="1" customFormat="1" spans="1:15">
      <c r="A7480" s="1" t="str">
        <f t="shared" si="5128"/>
        <v>202406</v>
      </c>
      <c r="B7480" s="1" t="str">
        <f t="shared" si="5129"/>
        <v>150525100</v>
      </c>
      <c r="C7480" s="1" t="str">
        <f>"1040681609"</f>
        <v>1040681609</v>
      </c>
      <c r="D7480" s="1" t="str">
        <f>"152326195609033839"</f>
        <v>152326195609033839</v>
      </c>
      <c r="E7480" s="1" t="s">
        <v>7203</v>
      </c>
      <c r="F7480" s="1" t="s">
        <v>25</v>
      </c>
      <c r="G7480" s="1" t="s">
        <v>17</v>
      </c>
      <c r="H7480" s="1" t="str">
        <f t="shared" si="5189"/>
        <v>68</v>
      </c>
      <c r="I7480" s="1" t="str">
        <f t="shared" si="5190"/>
        <v>154.81</v>
      </c>
      <c r="J7480" s="1" t="str">
        <f t="shared" ref="J7480:N7480" si="5196">"0"</f>
        <v>0</v>
      </c>
      <c r="K7480" s="1" t="str">
        <f t="shared" si="5185"/>
        <v>103</v>
      </c>
      <c r="L7480" s="1" t="str">
        <f t="shared" si="5186"/>
        <v>47</v>
      </c>
      <c r="M7480" s="1" t="str">
        <f t="shared" si="5196"/>
        <v>0</v>
      </c>
      <c r="N7480" s="1" t="str">
        <f t="shared" si="5196"/>
        <v>0</v>
      </c>
      <c r="O7480" s="1" t="str">
        <f t="shared" si="5192"/>
        <v>4.81</v>
      </c>
    </row>
    <row r="7481" s="1" customFormat="1" spans="1:15">
      <c r="A7481" s="1" t="str">
        <f t="shared" si="5128"/>
        <v>202406</v>
      </c>
      <c r="B7481" s="1" t="str">
        <f t="shared" si="5129"/>
        <v>150525100</v>
      </c>
      <c r="C7481" s="1" t="str">
        <f>"1014612796"</f>
        <v>1014612796</v>
      </c>
      <c r="D7481" s="1" t="str">
        <f>"152326194011230913"</f>
        <v>152326194011230913</v>
      </c>
      <c r="E7481" s="1" t="s">
        <v>7204</v>
      </c>
      <c r="F7481" s="1" t="s">
        <v>25</v>
      </c>
      <c r="G7481" s="1" t="s">
        <v>19</v>
      </c>
      <c r="H7481" s="1" t="str">
        <f>"84"</f>
        <v>84</v>
      </c>
      <c r="I7481" s="1" t="str">
        <f>"1190"</f>
        <v>1190</v>
      </c>
      <c r="J7481" s="1" t="str">
        <f>"1020"</f>
        <v>1020</v>
      </c>
      <c r="K7481" s="1" t="str">
        <f>"721"</f>
        <v>721</v>
      </c>
      <c r="L7481" s="1" t="str">
        <f>"329"</f>
        <v>329</v>
      </c>
      <c r="M7481" s="1" t="str">
        <f t="shared" ref="M7481:O7481" si="5197">"0"</f>
        <v>0</v>
      </c>
      <c r="N7481" s="1" t="str">
        <f t="shared" si="5197"/>
        <v>0</v>
      </c>
      <c r="O7481" s="1" t="str">
        <f t="shared" si="5197"/>
        <v>0</v>
      </c>
    </row>
    <row r="7482" s="1" customFormat="1" spans="1:15">
      <c r="A7482" s="1" t="str">
        <f t="shared" si="5128"/>
        <v>202406</v>
      </c>
      <c r="B7482" s="1" t="str">
        <f t="shared" si="5129"/>
        <v>150525100</v>
      </c>
      <c r="C7482" s="1" t="str">
        <f>"1014612802"</f>
        <v>1014612802</v>
      </c>
      <c r="D7482" s="1" t="str">
        <f>"152326195107040916"</f>
        <v>152326195107040916</v>
      </c>
      <c r="E7482" s="1" t="s">
        <v>7205</v>
      </c>
      <c r="F7482" s="1" t="s">
        <v>25</v>
      </c>
      <c r="G7482" s="1" t="s">
        <v>19</v>
      </c>
      <c r="H7482" s="1" t="str">
        <f>"73"</f>
        <v>73</v>
      </c>
      <c r="I7482" s="1" t="str">
        <f t="shared" ref="I7482:I7484" si="5198">"160"</f>
        <v>160</v>
      </c>
      <c r="J7482" s="1" t="str">
        <f t="shared" ref="J7482:O7482" si="5199">"0"</f>
        <v>0</v>
      </c>
      <c r="K7482" s="1" t="str">
        <f t="shared" ref="K7482:K7494" si="5200">"103"</f>
        <v>103</v>
      </c>
      <c r="L7482" s="1" t="str">
        <f t="shared" ref="L7482:L7494" si="5201">"47"</f>
        <v>47</v>
      </c>
      <c r="M7482" s="1" t="str">
        <f t="shared" si="5199"/>
        <v>0</v>
      </c>
      <c r="N7482" s="1" t="str">
        <f t="shared" si="5199"/>
        <v>0</v>
      </c>
      <c r="O7482" s="1" t="str">
        <f t="shared" si="5199"/>
        <v>0</v>
      </c>
    </row>
    <row r="7483" s="1" customFormat="1" spans="1:15">
      <c r="A7483" s="1" t="str">
        <f t="shared" si="5128"/>
        <v>202406</v>
      </c>
      <c r="B7483" s="1" t="str">
        <f t="shared" si="5129"/>
        <v>150525100</v>
      </c>
      <c r="C7483" s="1" t="str">
        <f>"1014612806"</f>
        <v>1014612806</v>
      </c>
      <c r="D7483" s="1" t="s">
        <v>7206</v>
      </c>
      <c r="E7483" s="1" t="s">
        <v>7207</v>
      </c>
      <c r="F7483" s="1" t="s">
        <v>25</v>
      </c>
      <c r="G7483" s="1" t="s">
        <v>19</v>
      </c>
      <c r="H7483" s="1" t="str">
        <f>"78"</f>
        <v>78</v>
      </c>
      <c r="I7483" s="1" t="str">
        <f t="shared" si="5198"/>
        <v>160</v>
      </c>
      <c r="J7483" s="1" t="str">
        <f t="shared" ref="J7483:O7483" si="5202">"0"</f>
        <v>0</v>
      </c>
      <c r="K7483" s="1" t="str">
        <f t="shared" si="5200"/>
        <v>103</v>
      </c>
      <c r="L7483" s="1" t="str">
        <f t="shared" si="5201"/>
        <v>47</v>
      </c>
      <c r="M7483" s="1" t="str">
        <f t="shared" si="5202"/>
        <v>0</v>
      </c>
      <c r="N7483" s="1" t="str">
        <f t="shared" si="5202"/>
        <v>0</v>
      </c>
      <c r="O7483" s="1" t="str">
        <f t="shared" si="5202"/>
        <v>0</v>
      </c>
    </row>
    <row r="7484" s="1" customFormat="1" spans="1:15">
      <c r="A7484" s="1" t="str">
        <f t="shared" si="5128"/>
        <v>202406</v>
      </c>
      <c r="B7484" s="1" t="str">
        <f t="shared" si="5129"/>
        <v>150525100</v>
      </c>
      <c r="C7484" s="1" t="str">
        <f>"1014622513"</f>
        <v>1014622513</v>
      </c>
      <c r="D7484" s="1" t="str">
        <f>"152326195011023329"</f>
        <v>152326195011023329</v>
      </c>
      <c r="E7484" s="1" t="s">
        <v>7208</v>
      </c>
      <c r="F7484" s="1" t="s">
        <v>16</v>
      </c>
      <c r="G7484" s="1" t="s">
        <v>17</v>
      </c>
      <c r="H7484" s="1" t="str">
        <f>"74"</f>
        <v>74</v>
      </c>
      <c r="I7484" s="1" t="str">
        <f t="shared" si="5198"/>
        <v>160</v>
      </c>
      <c r="J7484" s="1" t="str">
        <f t="shared" ref="J7484:O7484" si="5203">"0"</f>
        <v>0</v>
      </c>
      <c r="K7484" s="1" t="str">
        <f t="shared" si="5200"/>
        <v>103</v>
      </c>
      <c r="L7484" s="1" t="str">
        <f t="shared" si="5201"/>
        <v>47</v>
      </c>
      <c r="M7484" s="1" t="str">
        <f t="shared" si="5203"/>
        <v>0</v>
      </c>
      <c r="N7484" s="1" t="str">
        <f t="shared" si="5203"/>
        <v>0</v>
      </c>
      <c r="O7484" s="1" t="str">
        <f t="shared" si="5203"/>
        <v>0</v>
      </c>
    </row>
    <row r="7485" s="1" customFormat="1" spans="1:15">
      <c r="A7485" s="1" t="str">
        <f t="shared" si="5128"/>
        <v>202406</v>
      </c>
      <c r="B7485" s="1" t="str">
        <f t="shared" si="5129"/>
        <v>150525100</v>
      </c>
      <c r="C7485" s="1" t="str">
        <f>"1014622518"</f>
        <v>1014622518</v>
      </c>
      <c r="D7485" s="1" t="str">
        <f>"152326193512113323"</f>
        <v>152326193512113323</v>
      </c>
      <c r="E7485" s="1" t="s">
        <v>7209</v>
      </c>
      <c r="F7485" s="1" t="s">
        <v>16</v>
      </c>
      <c r="G7485" s="1" t="s">
        <v>17</v>
      </c>
      <c r="H7485" s="1" t="str">
        <f>"89"</f>
        <v>89</v>
      </c>
      <c r="I7485" s="1" t="str">
        <f>"170"</f>
        <v>170</v>
      </c>
      <c r="J7485" s="1" t="str">
        <f t="shared" ref="J7485:O7485" si="5204">"0"</f>
        <v>0</v>
      </c>
      <c r="K7485" s="1" t="str">
        <f t="shared" si="5200"/>
        <v>103</v>
      </c>
      <c r="L7485" s="1" t="str">
        <f t="shared" si="5201"/>
        <v>47</v>
      </c>
      <c r="M7485" s="1" t="str">
        <f t="shared" si="5204"/>
        <v>0</v>
      </c>
      <c r="N7485" s="1" t="str">
        <f t="shared" si="5204"/>
        <v>0</v>
      </c>
      <c r="O7485" s="1" t="str">
        <f t="shared" si="5204"/>
        <v>0</v>
      </c>
    </row>
    <row r="7486" s="1" customFormat="1" spans="1:15">
      <c r="A7486" s="1" t="str">
        <f t="shared" si="5128"/>
        <v>202406</v>
      </c>
      <c r="B7486" s="1" t="str">
        <f t="shared" si="5129"/>
        <v>150525100</v>
      </c>
      <c r="C7486" s="1" t="str">
        <f>"1014623899"</f>
        <v>1014623899</v>
      </c>
      <c r="D7486" s="1" t="str">
        <f>"152326194711240661"</f>
        <v>152326194711240661</v>
      </c>
      <c r="E7486" s="1" t="s">
        <v>7210</v>
      </c>
      <c r="F7486" s="1" t="s">
        <v>16</v>
      </c>
      <c r="G7486" s="1" t="s">
        <v>17</v>
      </c>
      <c r="H7486" s="1" t="str">
        <f t="shared" ref="H7486:H7489" si="5205">"77"</f>
        <v>77</v>
      </c>
      <c r="I7486" s="1" t="str">
        <f t="shared" ref="I7486:I7493" si="5206">"160"</f>
        <v>160</v>
      </c>
      <c r="J7486" s="1" t="str">
        <f t="shared" ref="J7486:O7486" si="5207">"0"</f>
        <v>0</v>
      </c>
      <c r="K7486" s="1" t="str">
        <f t="shared" si="5200"/>
        <v>103</v>
      </c>
      <c r="L7486" s="1" t="str">
        <f t="shared" si="5201"/>
        <v>47</v>
      </c>
      <c r="M7486" s="1" t="str">
        <f t="shared" si="5207"/>
        <v>0</v>
      </c>
      <c r="N7486" s="1" t="str">
        <f t="shared" si="5207"/>
        <v>0</v>
      </c>
      <c r="O7486" s="1" t="str">
        <f t="shared" si="5207"/>
        <v>0</v>
      </c>
    </row>
    <row r="7487" s="1" customFormat="1" spans="1:15">
      <c r="A7487" s="1" t="str">
        <f t="shared" si="5128"/>
        <v>202406</v>
      </c>
      <c r="B7487" s="1" t="str">
        <f t="shared" si="5129"/>
        <v>150525100</v>
      </c>
      <c r="C7487" s="1" t="str">
        <f>"1014623904"</f>
        <v>1014623904</v>
      </c>
      <c r="D7487" s="1" t="str">
        <f>"152326194410280678"</f>
        <v>152326194410280678</v>
      </c>
      <c r="E7487" s="1" t="s">
        <v>7211</v>
      </c>
      <c r="F7487" s="1" t="s">
        <v>25</v>
      </c>
      <c r="G7487" s="1" t="s">
        <v>17</v>
      </c>
      <c r="H7487" s="1" t="str">
        <f>"80"</f>
        <v>80</v>
      </c>
      <c r="I7487" s="1" t="str">
        <f t="shared" si="5206"/>
        <v>160</v>
      </c>
      <c r="J7487" s="1" t="str">
        <f t="shared" ref="J7487:O7487" si="5208">"0"</f>
        <v>0</v>
      </c>
      <c r="K7487" s="1" t="str">
        <f t="shared" si="5200"/>
        <v>103</v>
      </c>
      <c r="L7487" s="1" t="str">
        <f t="shared" si="5201"/>
        <v>47</v>
      </c>
      <c r="M7487" s="1" t="str">
        <f t="shared" si="5208"/>
        <v>0</v>
      </c>
      <c r="N7487" s="1" t="str">
        <f t="shared" si="5208"/>
        <v>0</v>
      </c>
      <c r="O7487" s="1" t="str">
        <f t="shared" si="5208"/>
        <v>0</v>
      </c>
    </row>
    <row r="7488" s="1" customFormat="1" spans="1:15">
      <c r="A7488" s="1" t="str">
        <f t="shared" si="5128"/>
        <v>202406</v>
      </c>
      <c r="B7488" s="1" t="str">
        <f t="shared" si="5129"/>
        <v>150525100</v>
      </c>
      <c r="C7488" s="1" t="str">
        <f>"1014624390"</f>
        <v>1014624390</v>
      </c>
      <c r="D7488" s="1" t="str">
        <f>"152326194703100917"</f>
        <v>152326194703100917</v>
      </c>
      <c r="E7488" s="1" t="s">
        <v>7212</v>
      </c>
      <c r="F7488" s="1" t="s">
        <v>25</v>
      </c>
      <c r="G7488" s="1" t="s">
        <v>19</v>
      </c>
      <c r="H7488" s="1" t="str">
        <f t="shared" si="5205"/>
        <v>77</v>
      </c>
      <c r="I7488" s="1" t="str">
        <f t="shared" si="5206"/>
        <v>160</v>
      </c>
      <c r="J7488" s="1" t="str">
        <f t="shared" ref="J7488:O7488" si="5209">"0"</f>
        <v>0</v>
      </c>
      <c r="K7488" s="1" t="str">
        <f t="shared" si="5200"/>
        <v>103</v>
      </c>
      <c r="L7488" s="1" t="str">
        <f t="shared" si="5201"/>
        <v>47</v>
      </c>
      <c r="M7488" s="1" t="str">
        <f t="shared" si="5209"/>
        <v>0</v>
      </c>
      <c r="N7488" s="1" t="str">
        <f t="shared" si="5209"/>
        <v>0</v>
      </c>
      <c r="O7488" s="1" t="str">
        <f t="shared" si="5209"/>
        <v>0</v>
      </c>
    </row>
    <row r="7489" s="1" customFormat="1" spans="1:15">
      <c r="A7489" s="1" t="str">
        <f t="shared" si="5128"/>
        <v>202406</v>
      </c>
      <c r="B7489" s="1" t="str">
        <f t="shared" si="5129"/>
        <v>150525100</v>
      </c>
      <c r="C7489" s="1" t="str">
        <f>"1014624394"</f>
        <v>1014624394</v>
      </c>
      <c r="D7489" s="1" t="str">
        <f>"152326194707270921"</f>
        <v>152326194707270921</v>
      </c>
      <c r="E7489" s="1" t="s">
        <v>7213</v>
      </c>
      <c r="F7489" s="1" t="s">
        <v>16</v>
      </c>
      <c r="G7489" s="1" t="s">
        <v>19</v>
      </c>
      <c r="H7489" s="1" t="str">
        <f t="shared" si="5205"/>
        <v>77</v>
      </c>
      <c r="I7489" s="1" t="str">
        <f t="shared" si="5206"/>
        <v>160</v>
      </c>
      <c r="J7489" s="1" t="str">
        <f t="shared" ref="J7489:O7489" si="5210">"0"</f>
        <v>0</v>
      </c>
      <c r="K7489" s="1" t="str">
        <f t="shared" si="5200"/>
        <v>103</v>
      </c>
      <c r="L7489" s="1" t="str">
        <f t="shared" si="5201"/>
        <v>47</v>
      </c>
      <c r="M7489" s="1" t="str">
        <f t="shared" si="5210"/>
        <v>0</v>
      </c>
      <c r="N7489" s="1" t="str">
        <f t="shared" si="5210"/>
        <v>0</v>
      </c>
      <c r="O7489" s="1" t="str">
        <f t="shared" si="5210"/>
        <v>0</v>
      </c>
    </row>
    <row r="7490" s="1" customFormat="1" spans="1:15">
      <c r="A7490" s="1" t="str">
        <f t="shared" ref="A7490:A7553" si="5211">"202406"</f>
        <v>202406</v>
      </c>
      <c r="B7490" s="1" t="str">
        <f t="shared" ref="B7490:B7553" si="5212">"150525100"</f>
        <v>150525100</v>
      </c>
      <c r="C7490" s="1" t="str">
        <f>"1014619370"</f>
        <v>1014619370</v>
      </c>
      <c r="D7490" s="1" t="str">
        <f>"152326194909190671"</f>
        <v>152326194909190671</v>
      </c>
      <c r="E7490" s="1" t="s">
        <v>7214</v>
      </c>
      <c r="F7490" s="1" t="s">
        <v>25</v>
      </c>
      <c r="G7490" s="1" t="s">
        <v>17</v>
      </c>
      <c r="H7490" s="1" t="str">
        <f>"75"</f>
        <v>75</v>
      </c>
      <c r="I7490" s="1" t="str">
        <f t="shared" si="5206"/>
        <v>160</v>
      </c>
      <c r="J7490" s="1" t="str">
        <f t="shared" ref="J7490:O7490" si="5213">"0"</f>
        <v>0</v>
      </c>
      <c r="K7490" s="1" t="str">
        <f t="shared" si="5200"/>
        <v>103</v>
      </c>
      <c r="L7490" s="1" t="str">
        <f t="shared" si="5201"/>
        <v>47</v>
      </c>
      <c r="M7490" s="1" t="str">
        <f t="shared" si="5213"/>
        <v>0</v>
      </c>
      <c r="N7490" s="1" t="str">
        <f t="shared" si="5213"/>
        <v>0</v>
      </c>
      <c r="O7490" s="1" t="str">
        <f t="shared" si="5213"/>
        <v>0</v>
      </c>
    </row>
    <row r="7491" s="1" customFormat="1" spans="1:15">
      <c r="A7491" s="1" t="str">
        <f t="shared" si="5211"/>
        <v>202406</v>
      </c>
      <c r="B7491" s="1" t="str">
        <f t="shared" si="5212"/>
        <v>150525100</v>
      </c>
      <c r="C7491" s="1" t="str">
        <f>"1014619926"</f>
        <v>1014619926</v>
      </c>
      <c r="D7491" s="1" t="str">
        <f>"152326195012140703"</f>
        <v>152326195012140703</v>
      </c>
      <c r="E7491" s="1" t="s">
        <v>2356</v>
      </c>
      <c r="F7491" s="1" t="s">
        <v>16</v>
      </c>
      <c r="G7491" s="1" t="s">
        <v>17</v>
      </c>
      <c r="H7491" s="1" t="str">
        <f>"74"</f>
        <v>74</v>
      </c>
      <c r="I7491" s="1" t="str">
        <f t="shared" si="5206"/>
        <v>160</v>
      </c>
      <c r="J7491" s="1" t="str">
        <f t="shared" ref="J7491:O7491" si="5214">"0"</f>
        <v>0</v>
      </c>
      <c r="K7491" s="1" t="str">
        <f t="shared" si="5200"/>
        <v>103</v>
      </c>
      <c r="L7491" s="1" t="str">
        <f t="shared" si="5201"/>
        <v>47</v>
      </c>
      <c r="M7491" s="1" t="str">
        <f t="shared" si="5214"/>
        <v>0</v>
      </c>
      <c r="N7491" s="1" t="str">
        <f t="shared" si="5214"/>
        <v>0</v>
      </c>
      <c r="O7491" s="1" t="str">
        <f t="shared" si="5214"/>
        <v>0</v>
      </c>
    </row>
    <row r="7492" s="1" customFormat="1" spans="1:15">
      <c r="A7492" s="1" t="str">
        <f t="shared" si="5211"/>
        <v>202406</v>
      </c>
      <c r="B7492" s="1" t="str">
        <f t="shared" si="5212"/>
        <v>150525100</v>
      </c>
      <c r="C7492" s="1" t="str">
        <f>"1014623384"</f>
        <v>1014623384</v>
      </c>
      <c r="D7492" s="1" t="str">
        <f>"152326194808123082"</f>
        <v>152326194808123082</v>
      </c>
      <c r="E7492" s="1" t="s">
        <v>7215</v>
      </c>
      <c r="F7492" s="1" t="s">
        <v>16</v>
      </c>
      <c r="G7492" s="1" t="s">
        <v>19</v>
      </c>
      <c r="H7492" s="1" t="str">
        <f>"76"</f>
        <v>76</v>
      </c>
      <c r="I7492" s="1" t="str">
        <f t="shared" si="5206"/>
        <v>160</v>
      </c>
      <c r="J7492" s="1" t="str">
        <f t="shared" ref="J7492:O7492" si="5215">"0"</f>
        <v>0</v>
      </c>
      <c r="K7492" s="1" t="str">
        <f t="shared" si="5200"/>
        <v>103</v>
      </c>
      <c r="L7492" s="1" t="str">
        <f t="shared" si="5201"/>
        <v>47</v>
      </c>
      <c r="M7492" s="1" t="str">
        <f t="shared" si="5215"/>
        <v>0</v>
      </c>
      <c r="N7492" s="1" t="str">
        <f t="shared" si="5215"/>
        <v>0</v>
      </c>
      <c r="O7492" s="1" t="str">
        <f t="shared" si="5215"/>
        <v>0</v>
      </c>
    </row>
    <row r="7493" s="1" customFormat="1" spans="1:15">
      <c r="A7493" s="1" t="str">
        <f t="shared" si="5211"/>
        <v>202406</v>
      </c>
      <c r="B7493" s="1" t="str">
        <f t="shared" si="5212"/>
        <v>150525100</v>
      </c>
      <c r="C7493" s="1" t="str">
        <f>"1014623401"</f>
        <v>1014623401</v>
      </c>
      <c r="D7493" s="1" t="str">
        <f>"152326194912283828"</f>
        <v>152326194912283828</v>
      </c>
      <c r="E7493" s="1" t="s">
        <v>6273</v>
      </c>
      <c r="F7493" s="1" t="s">
        <v>16</v>
      </c>
      <c r="G7493" s="1" t="s">
        <v>19</v>
      </c>
      <c r="H7493" s="1" t="str">
        <f>"75"</f>
        <v>75</v>
      </c>
      <c r="I7493" s="1" t="str">
        <f t="shared" si="5206"/>
        <v>160</v>
      </c>
      <c r="J7493" s="1" t="str">
        <f t="shared" ref="J7493:O7493" si="5216">"0"</f>
        <v>0</v>
      </c>
      <c r="K7493" s="1" t="str">
        <f t="shared" si="5200"/>
        <v>103</v>
      </c>
      <c r="L7493" s="1" t="str">
        <f t="shared" si="5201"/>
        <v>47</v>
      </c>
      <c r="M7493" s="1" t="str">
        <f t="shared" si="5216"/>
        <v>0</v>
      </c>
      <c r="N7493" s="1" t="str">
        <f t="shared" si="5216"/>
        <v>0</v>
      </c>
      <c r="O7493" s="1" t="str">
        <f t="shared" si="5216"/>
        <v>0</v>
      </c>
    </row>
    <row r="7494" s="1" customFormat="1" spans="1:15">
      <c r="A7494" s="1" t="str">
        <f t="shared" si="5211"/>
        <v>202406</v>
      </c>
      <c r="B7494" s="1" t="str">
        <f t="shared" si="5212"/>
        <v>150525100</v>
      </c>
      <c r="C7494" s="1" t="str">
        <f>"1014629327"</f>
        <v>1014629327</v>
      </c>
      <c r="D7494" s="1" t="str">
        <f>"152326193911173884"</f>
        <v>152326193911173884</v>
      </c>
      <c r="E7494" s="1" t="s">
        <v>498</v>
      </c>
      <c r="F7494" s="1" t="s">
        <v>16</v>
      </c>
      <c r="G7494" s="1" t="s">
        <v>19</v>
      </c>
      <c r="H7494" s="1" t="str">
        <f>"85"</f>
        <v>85</v>
      </c>
      <c r="I7494" s="1" t="str">
        <f>"170"</f>
        <v>170</v>
      </c>
      <c r="J7494" s="1" t="str">
        <f t="shared" ref="J7494:O7494" si="5217">"0"</f>
        <v>0</v>
      </c>
      <c r="K7494" s="1" t="str">
        <f t="shared" si="5200"/>
        <v>103</v>
      </c>
      <c r="L7494" s="1" t="str">
        <f t="shared" si="5201"/>
        <v>47</v>
      </c>
      <c r="M7494" s="1" t="str">
        <f t="shared" si="5217"/>
        <v>0</v>
      </c>
      <c r="N7494" s="1" t="str">
        <f t="shared" si="5217"/>
        <v>0</v>
      </c>
      <c r="O7494" s="1" t="str">
        <f t="shared" si="5217"/>
        <v>0</v>
      </c>
    </row>
    <row r="7495" s="1" customFormat="1" spans="1:15">
      <c r="A7495" s="1" t="str">
        <f t="shared" si="5211"/>
        <v>202406</v>
      </c>
      <c r="B7495" s="1" t="str">
        <f t="shared" si="5212"/>
        <v>150525100</v>
      </c>
      <c r="C7495" s="1" t="str">
        <f>"1014629417"</f>
        <v>1014629417</v>
      </c>
      <c r="D7495" s="1" t="str">
        <f>"152326194604253811"</f>
        <v>152326194604253811</v>
      </c>
      <c r="E7495" s="1" t="s">
        <v>7216</v>
      </c>
      <c r="F7495" s="1" t="s">
        <v>25</v>
      </c>
      <c r="G7495" s="1" t="s">
        <v>19</v>
      </c>
      <c r="H7495" s="1" t="str">
        <f>"78"</f>
        <v>78</v>
      </c>
      <c r="I7495" s="1" t="str">
        <f>"1800"</f>
        <v>1800</v>
      </c>
      <c r="J7495" s="1" t="str">
        <f t="shared" ref="J7495:O7495" si="5218">"0"</f>
        <v>0</v>
      </c>
      <c r="K7495" s="1" t="str">
        <f t="shared" si="5218"/>
        <v>0</v>
      </c>
      <c r="L7495" s="1" t="str">
        <f t="shared" si="5218"/>
        <v>0</v>
      </c>
      <c r="M7495" s="1" t="str">
        <f t="shared" si="5218"/>
        <v>0</v>
      </c>
      <c r="N7495" s="1" t="str">
        <f t="shared" si="5218"/>
        <v>0</v>
      </c>
      <c r="O7495" s="1" t="str">
        <f t="shared" si="5218"/>
        <v>0</v>
      </c>
    </row>
    <row r="7496" s="1" customFormat="1" spans="1:15">
      <c r="A7496" s="1" t="str">
        <f t="shared" si="5211"/>
        <v>202406</v>
      </c>
      <c r="B7496" s="1" t="str">
        <f t="shared" si="5212"/>
        <v>150525100</v>
      </c>
      <c r="C7496" s="1" t="str">
        <f>"1014629436"</f>
        <v>1014629436</v>
      </c>
      <c r="D7496" s="1" t="str">
        <f>"152326194811193815"</f>
        <v>152326194811193815</v>
      </c>
      <c r="E7496" s="1" t="s">
        <v>7217</v>
      </c>
      <c r="F7496" s="1" t="s">
        <v>25</v>
      </c>
      <c r="G7496" s="1" t="s">
        <v>19</v>
      </c>
      <c r="H7496" s="1" t="str">
        <f>"76"</f>
        <v>76</v>
      </c>
      <c r="I7496" s="1" t="str">
        <f>"160"</f>
        <v>160</v>
      </c>
      <c r="J7496" s="1" t="str">
        <f t="shared" ref="J7496:O7496" si="5219">"0"</f>
        <v>0</v>
      </c>
      <c r="K7496" s="1" t="str">
        <f t="shared" ref="K7496:K7559" si="5220">"103"</f>
        <v>103</v>
      </c>
      <c r="L7496" s="1" t="str">
        <f t="shared" ref="L7496:L7559" si="5221">"47"</f>
        <v>47</v>
      </c>
      <c r="M7496" s="1" t="str">
        <f t="shared" si="5219"/>
        <v>0</v>
      </c>
      <c r="N7496" s="1" t="str">
        <f t="shared" si="5219"/>
        <v>0</v>
      </c>
      <c r="O7496" s="1" t="str">
        <f t="shared" si="5219"/>
        <v>0</v>
      </c>
    </row>
    <row r="7497" s="1" customFormat="1" spans="1:15">
      <c r="A7497" s="1" t="str">
        <f t="shared" si="5211"/>
        <v>202406</v>
      </c>
      <c r="B7497" s="1" t="str">
        <f t="shared" si="5212"/>
        <v>150525100</v>
      </c>
      <c r="C7497" s="1" t="str">
        <f>"1014588960"</f>
        <v>1014588960</v>
      </c>
      <c r="D7497" s="1" t="str">
        <f>"152326195708160411"</f>
        <v>152326195708160411</v>
      </c>
      <c r="E7497" s="1" t="s">
        <v>7218</v>
      </c>
      <c r="F7497" s="1" t="s">
        <v>25</v>
      </c>
      <c r="G7497" s="1" t="s">
        <v>17</v>
      </c>
      <c r="H7497" s="1" t="str">
        <f>"67"</f>
        <v>67</v>
      </c>
      <c r="I7497" s="1" t="str">
        <f>"156.08"</f>
        <v>156.08</v>
      </c>
      <c r="J7497" s="1" t="str">
        <f t="shared" ref="J7497:N7497" si="5222">"0"</f>
        <v>0</v>
      </c>
      <c r="K7497" s="1" t="str">
        <f t="shared" si="5220"/>
        <v>103</v>
      </c>
      <c r="L7497" s="1" t="str">
        <f t="shared" si="5221"/>
        <v>47</v>
      </c>
      <c r="M7497" s="1" t="str">
        <f t="shared" si="5222"/>
        <v>0</v>
      </c>
      <c r="N7497" s="1" t="str">
        <f t="shared" si="5222"/>
        <v>0</v>
      </c>
      <c r="O7497" s="1" t="str">
        <f>"6.08"</f>
        <v>6.08</v>
      </c>
    </row>
    <row r="7498" s="1" customFormat="1" spans="1:15">
      <c r="A7498" s="1" t="str">
        <f t="shared" si="5211"/>
        <v>202406</v>
      </c>
      <c r="B7498" s="1" t="str">
        <f t="shared" si="5212"/>
        <v>150525100</v>
      </c>
      <c r="C7498" s="1" t="str">
        <f>"1014588965"</f>
        <v>1014588965</v>
      </c>
      <c r="D7498" s="1" t="str">
        <f>"152326196003140423"</f>
        <v>152326196003140423</v>
      </c>
      <c r="E7498" s="1" t="s">
        <v>4324</v>
      </c>
      <c r="F7498" s="1" t="s">
        <v>16</v>
      </c>
      <c r="G7498" s="1" t="s">
        <v>17</v>
      </c>
      <c r="H7498" s="1" t="str">
        <f>"64"</f>
        <v>64</v>
      </c>
      <c r="I7498" s="1" t="str">
        <f>"159.2"</f>
        <v>159.2</v>
      </c>
      <c r="J7498" s="1" t="str">
        <f t="shared" ref="J7498:N7498" si="5223">"0"</f>
        <v>0</v>
      </c>
      <c r="K7498" s="1" t="str">
        <f t="shared" si="5220"/>
        <v>103</v>
      </c>
      <c r="L7498" s="1" t="str">
        <f t="shared" si="5221"/>
        <v>47</v>
      </c>
      <c r="M7498" s="1" t="str">
        <f t="shared" si="5223"/>
        <v>0</v>
      </c>
      <c r="N7498" s="1" t="str">
        <f t="shared" si="5223"/>
        <v>0</v>
      </c>
      <c r="O7498" s="1" t="str">
        <f>"9.2"</f>
        <v>9.2</v>
      </c>
    </row>
    <row r="7499" s="1" customFormat="1" spans="1:15">
      <c r="A7499" s="1" t="str">
        <f t="shared" si="5211"/>
        <v>202406</v>
      </c>
      <c r="B7499" s="1" t="str">
        <f t="shared" si="5212"/>
        <v>150525100</v>
      </c>
      <c r="C7499" s="1" t="str">
        <f>"1014612827"</f>
        <v>1014612827</v>
      </c>
      <c r="D7499" s="1" t="str">
        <f>"152326194005270425"</f>
        <v>152326194005270425</v>
      </c>
      <c r="E7499" s="1" t="s">
        <v>7219</v>
      </c>
      <c r="F7499" s="1" t="s">
        <v>16</v>
      </c>
      <c r="G7499" s="1" t="s">
        <v>17</v>
      </c>
      <c r="H7499" s="1" t="str">
        <f>"84"</f>
        <v>84</v>
      </c>
      <c r="I7499" s="1" t="str">
        <f t="shared" ref="I7499:I7502" si="5224">"170"</f>
        <v>170</v>
      </c>
      <c r="J7499" s="1" t="str">
        <f t="shared" ref="J7499:O7499" si="5225">"0"</f>
        <v>0</v>
      </c>
      <c r="K7499" s="1" t="str">
        <f t="shared" si="5220"/>
        <v>103</v>
      </c>
      <c r="L7499" s="1" t="str">
        <f t="shared" si="5221"/>
        <v>47</v>
      </c>
      <c r="M7499" s="1" t="str">
        <f t="shared" si="5225"/>
        <v>0</v>
      </c>
      <c r="N7499" s="1" t="str">
        <f t="shared" si="5225"/>
        <v>0</v>
      </c>
      <c r="O7499" s="1" t="str">
        <f t="shared" si="5225"/>
        <v>0</v>
      </c>
    </row>
    <row r="7500" s="1" customFormat="1" spans="1:15">
      <c r="A7500" s="1" t="str">
        <f t="shared" si="5211"/>
        <v>202406</v>
      </c>
      <c r="B7500" s="1" t="str">
        <f t="shared" si="5212"/>
        <v>150525100</v>
      </c>
      <c r="C7500" s="1" t="str">
        <f>"1014613112"</f>
        <v>1014613112</v>
      </c>
      <c r="D7500" s="1" t="s">
        <v>7220</v>
      </c>
      <c r="E7500" s="1" t="s">
        <v>7221</v>
      </c>
      <c r="F7500" s="1" t="s">
        <v>25</v>
      </c>
      <c r="G7500" s="1" t="s">
        <v>17</v>
      </c>
      <c r="H7500" s="1" t="str">
        <f>"75"</f>
        <v>75</v>
      </c>
      <c r="I7500" s="1" t="str">
        <f t="shared" ref="I7500:I7506" si="5226">"160"</f>
        <v>160</v>
      </c>
      <c r="J7500" s="1" t="str">
        <f t="shared" ref="J7500:O7500" si="5227">"0"</f>
        <v>0</v>
      </c>
      <c r="K7500" s="1" t="str">
        <f t="shared" si="5220"/>
        <v>103</v>
      </c>
      <c r="L7500" s="1" t="str">
        <f t="shared" si="5221"/>
        <v>47</v>
      </c>
      <c r="M7500" s="1" t="str">
        <f t="shared" si="5227"/>
        <v>0</v>
      </c>
      <c r="N7500" s="1" t="str">
        <f t="shared" si="5227"/>
        <v>0</v>
      </c>
      <c r="O7500" s="1" t="str">
        <f t="shared" si="5227"/>
        <v>0</v>
      </c>
    </row>
    <row r="7501" s="1" customFormat="1" spans="1:15">
      <c r="A7501" s="1" t="str">
        <f t="shared" si="5211"/>
        <v>202406</v>
      </c>
      <c r="B7501" s="1" t="str">
        <f t="shared" si="5212"/>
        <v>150525100</v>
      </c>
      <c r="C7501" s="1" t="str">
        <f>"1014622164"</f>
        <v>1014622164</v>
      </c>
      <c r="D7501" s="1" t="str">
        <f>"152326194104026110"</f>
        <v>152326194104026110</v>
      </c>
      <c r="E7501" s="1" t="s">
        <v>7222</v>
      </c>
      <c r="F7501" s="1" t="s">
        <v>25</v>
      </c>
      <c r="G7501" s="1" t="s">
        <v>17</v>
      </c>
      <c r="H7501" s="1" t="str">
        <f>"83"</f>
        <v>83</v>
      </c>
      <c r="I7501" s="1" t="str">
        <f t="shared" si="5224"/>
        <v>170</v>
      </c>
      <c r="J7501" s="1" t="str">
        <f t="shared" ref="J7501:O7501" si="5228">"0"</f>
        <v>0</v>
      </c>
      <c r="K7501" s="1" t="str">
        <f t="shared" si="5220"/>
        <v>103</v>
      </c>
      <c r="L7501" s="1" t="str">
        <f t="shared" si="5221"/>
        <v>47</v>
      </c>
      <c r="M7501" s="1" t="str">
        <f t="shared" si="5228"/>
        <v>0</v>
      </c>
      <c r="N7501" s="1" t="str">
        <f t="shared" si="5228"/>
        <v>0</v>
      </c>
      <c r="O7501" s="1" t="str">
        <f t="shared" si="5228"/>
        <v>0</v>
      </c>
    </row>
    <row r="7502" s="1" customFormat="1" spans="1:15">
      <c r="A7502" s="1" t="str">
        <f t="shared" si="5211"/>
        <v>202406</v>
      </c>
      <c r="B7502" s="1" t="str">
        <f t="shared" si="5212"/>
        <v>150525100</v>
      </c>
      <c r="C7502" s="1" t="str">
        <f>"1014622556"</f>
        <v>1014622556</v>
      </c>
      <c r="D7502" s="1" t="str">
        <f>"152326193606090660"</f>
        <v>152326193606090660</v>
      </c>
      <c r="E7502" s="1" t="s">
        <v>6274</v>
      </c>
      <c r="F7502" s="1" t="s">
        <v>16</v>
      </c>
      <c r="G7502" s="1" t="s">
        <v>19</v>
      </c>
      <c r="H7502" s="1" t="str">
        <f>"88"</f>
        <v>88</v>
      </c>
      <c r="I7502" s="1" t="str">
        <f t="shared" si="5224"/>
        <v>170</v>
      </c>
      <c r="J7502" s="1" t="str">
        <f t="shared" ref="J7502:O7502" si="5229">"0"</f>
        <v>0</v>
      </c>
      <c r="K7502" s="1" t="str">
        <f t="shared" si="5220"/>
        <v>103</v>
      </c>
      <c r="L7502" s="1" t="str">
        <f t="shared" si="5221"/>
        <v>47</v>
      </c>
      <c r="M7502" s="1" t="str">
        <f t="shared" si="5229"/>
        <v>0</v>
      </c>
      <c r="N7502" s="1" t="str">
        <f t="shared" si="5229"/>
        <v>0</v>
      </c>
      <c r="O7502" s="1" t="str">
        <f t="shared" si="5229"/>
        <v>0</v>
      </c>
    </row>
    <row r="7503" s="1" customFormat="1" spans="1:15">
      <c r="A7503" s="1" t="str">
        <f t="shared" si="5211"/>
        <v>202406</v>
      </c>
      <c r="B7503" s="1" t="str">
        <f t="shared" si="5212"/>
        <v>150525100</v>
      </c>
      <c r="C7503" s="1" t="str">
        <f>"1014623936"</f>
        <v>1014623936</v>
      </c>
      <c r="D7503" s="1" t="str">
        <f>"152326194509170663"</f>
        <v>152326194509170663</v>
      </c>
      <c r="E7503" s="1" t="s">
        <v>7223</v>
      </c>
      <c r="F7503" s="1" t="s">
        <v>16</v>
      </c>
      <c r="G7503" s="1" t="s">
        <v>17</v>
      </c>
      <c r="H7503" s="1" t="str">
        <f>"79"</f>
        <v>79</v>
      </c>
      <c r="I7503" s="1" t="str">
        <f t="shared" si="5226"/>
        <v>160</v>
      </c>
      <c r="J7503" s="1" t="str">
        <f t="shared" ref="J7503:O7503" si="5230">"0"</f>
        <v>0</v>
      </c>
      <c r="K7503" s="1" t="str">
        <f t="shared" si="5220"/>
        <v>103</v>
      </c>
      <c r="L7503" s="1" t="str">
        <f t="shared" si="5221"/>
        <v>47</v>
      </c>
      <c r="M7503" s="1" t="str">
        <f t="shared" si="5230"/>
        <v>0</v>
      </c>
      <c r="N7503" s="1" t="str">
        <f t="shared" si="5230"/>
        <v>0</v>
      </c>
      <c r="O7503" s="1" t="str">
        <f t="shared" si="5230"/>
        <v>0</v>
      </c>
    </row>
    <row r="7504" s="1" customFormat="1" spans="1:15">
      <c r="A7504" s="1" t="str">
        <f t="shared" si="5211"/>
        <v>202406</v>
      </c>
      <c r="B7504" s="1" t="str">
        <f t="shared" si="5212"/>
        <v>150525100</v>
      </c>
      <c r="C7504" s="1" t="str">
        <f>"1014623941"</f>
        <v>1014623941</v>
      </c>
      <c r="D7504" s="1" t="str">
        <f>"152326194810210679"</f>
        <v>152326194810210679</v>
      </c>
      <c r="E7504" s="1" t="s">
        <v>471</v>
      </c>
      <c r="F7504" s="1" t="s">
        <v>25</v>
      </c>
      <c r="G7504" s="1" t="s">
        <v>17</v>
      </c>
      <c r="H7504" s="1" t="str">
        <f>"76"</f>
        <v>76</v>
      </c>
      <c r="I7504" s="1" t="str">
        <f t="shared" si="5226"/>
        <v>160</v>
      </c>
      <c r="J7504" s="1" t="str">
        <f t="shared" ref="J7504:O7504" si="5231">"0"</f>
        <v>0</v>
      </c>
      <c r="K7504" s="1" t="str">
        <f t="shared" si="5220"/>
        <v>103</v>
      </c>
      <c r="L7504" s="1" t="str">
        <f t="shared" si="5221"/>
        <v>47</v>
      </c>
      <c r="M7504" s="1" t="str">
        <f t="shared" si="5231"/>
        <v>0</v>
      </c>
      <c r="N7504" s="1" t="str">
        <f t="shared" si="5231"/>
        <v>0</v>
      </c>
      <c r="O7504" s="1" t="str">
        <f t="shared" si="5231"/>
        <v>0</v>
      </c>
    </row>
    <row r="7505" s="1" customFormat="1" spans="1:15">
      <c r="A7505" s="1" t="str">
        <f t="shared" si="5211"/>
        <v>202406</v>
      </c>
      <c r="B7505" s="1" t="str">
        <f t="shared" si="5212"/>
        <v>150525100</v>
      </c>
      <c r="C7505" s="1" t="str">
        <f>"1014624416"</f>
        <v>1014624416</v>
      </c>
      <c r="D7505" s="1" t="str">
        <f>"152326195011280667"</f>
        <v>152326195011280667</v>
      </c>
      <c r="E7505" s="1" t="s">
        <v>7224</v>
      </c>
      <c r="F7505" s="1" t="s">
        <v>16</v>
      </c>
      <c r="G7505" s="1" t="s">
        <v>17</v>
      </c>
      <c r="H7505" s="1" t="str">
        <f>"74"</f>
        <v>74</v>
      </c>
      <c r="I7505" s="1" t="str">
        <f t="shared" si="5226"/>
        <v>160</v>
      </c>
      <c r="J7505" s="1" t="str">
        <f t="shared" ref="J7505:O7505" si="5232">"0"</f>
        <v>0</v>
      </c>
      <c r="K7505" s="1" t="str">
        <f t="shared" si="5220"/>
        <v>103</v>
      </c>
      <c r="L7505" s="1" t="str">
        <f t="shared" si="5221"/>
        <v>47</v>
      </c>
      <c r="M7505" s="1" t="str">
        <f t="shared" si="5232"/>
        <v>0</v>
      </c>
      <c r="N7505" s="1" t="str">
        <f t="shared" si="5232"/>
        <v>0</v>
      </c>
      <c r="O7505" s="1" t="str">
        <f t="shared" si="5232"/>
        <v>0</v>
      </c>
    </row>
    <row r="7506" s="1" customFormat="1" spans="1:15">
      <c r="A7506" s="1" t="str">
        <f t="shared" si="5211"/>
        <v>202406</v>
      </c>
      <c r="B7506" s="1" t="str">
        <f t="shared" si="5212"/>
        <v>150525100</v>
      </c>
      <c r="C7506" s="1" t="str">
        <f>"1014624427"</f>
        <v>1014624427</v>
      </c>
      <c r="D7506" s="1" t="str">
        <f>"152326194801080665"</f>
        <v>152326194801080665</v>
      </c>
      <c r="E7506" s="1" t="s">
        <v>1005</v>
      </c>
      <c r="F7506" s="1" t="s">
        <v>16</v>
      </c>
      <c r="G7506" s="1" t="s">
        <v>17</v>
      </c>
      <c r="H7506" s="1" t="str">
        <f>"76"</f>
        <v>76</v>
      </c>
      <c r="I7506" s="1" t="str">
        <f t="shared" si="5226"/>
        <v>160</v>
      </c>
      <c r="J7506" s="1" t="str">
        <f t="shared" ref="J7506:O7506" si="5233">"0"</f>
        <v>0</v>
      </c>
      <c r="K7506" s="1" t="str">
        <f t="shared" si="5220"/>
        <v>103</v>
      </c>
      <c r="L7506" s="1" t="str">
        <f t="shared" si="5221"/>
        <v>47</v>
      </c>
      <c r="M7506" s="1" t="str">
        <f t="shared" si="5233"/>
        <v>0</v>
      </c>
      <c r="N7506" s="1" t="str">
        <f t="shared" si="5233"/>
        <v>0</v>
      </c>
      <c r="O7506" s="1" t="str">
        <f t="shared" si="5233"/>
        <v>0</v>
      </c>
    </row>
    <row r="7507" s="1" customFormat="1" spans="1:15">
      <c r="A7507" s="1" t="str">
        <f t="shared" si="5211"/>
        <v>202406</v>
      </c>
      <c r="B7507" s="1" t="str">
        <f t="shared" si="5212"/>
        <v>150525100</v>
      </c>
      <c r="C7507" s="1" t="str">
        <f>"1014630127"</f>
        <v>1014630127</v>
      </c>
      <c r="D7507" s="1" t="str">
        <f>"152326193810043829"</f>
        <v>152326193810043829</v>
      </c>
      <c r="E7507" s="1" t="s">
        <v>820</v>
      </c>
      <c r="F7507" s="1" t="s">
        <v>16</v>
      </c>
      <c r="G7507" s="1" t="s">
        <v>17</v>
      </c>
      <c r="H7507" s="1" t="str">
        <f>"86"</f>
        <v>86</v>
      </c>
      <c r="I7507" s="1" t="str">
        <f>"170"</f>
        <v>170</v>
      </c>
      <c r="J7507" s="1" t="str">
        <f t="shared" ref="J7507:O7507" si="5234">"0"</f>
        <v>0</v>
      </c>
      <c r="K7507" s="1" t="str">
        <f t="shared" si="5220"/>
        <v>103</v>
      </c>
      <c r="L7507" s="1" t="str">
        <f t="shared" si="5221"/>
        <v>47</v>
      </c>
      <c r="M7507" s="1" t="str">
        <f t="shared" si="5234"/>
        <v>0</v>
      </c>
      <c r="N7507" s="1" t="str">
        <f t="shared" si="5234"/>
        <v>0</v>
      </c>
      <c r="O7507" s="1" t="str">
        <f t="shared" si="5234"/>
        <v>0</v>
      </c>
    </row>
    <row r="7508" s="1" customFormat="1" spans="1:15">
      <c r="A7508" s="1" t="str">
        <f t="shared" si="5211"/>
        <v>202406</v>
      </c>
      <c r="B7508" s="1" t="str">
        <f t="shared" si="5212"/>
        <v>150525100</v>
      </c>
      <c r="C7508" s="1" t="str">
        <f>"1014630163"</f>
        <v>1014630163</v>
      </c>
      <c r="D7508" s="1" t="str">
        <f>"152326194907260410"</f>
        <v>152326194907260410</v>
      </c>
      <c r="E7508" s="1" t="s">
        <v>7225</v>
      </c>
      <c r="F7508" s="1" t="s">
        <v>25</v>
      </c>
      <c r="G7508" s="1" t="s">
        <v>17</v>
      </c>
      <c r="H7508" s="1" t="str">
        <f>"75"</f>
        <v>75</v>
      </c>
      <c r="I7508" s="1" t="str">
        <f t="shared" ref="I7508:I7511" si="5235">"160"</f>
        <v>160</v>
      </c>
      <c r="J7508" s="1" t="str">
        <f t="shared" ref="J7508:O7508" si="5236">"0"</f>
        <v>0</v>
      </c>
      <c r="K7508" s="1" t="str">
        <f t="shared" si="5220"/>
        <v>103</v>
      </c>
      <c r="L7508" s="1" t="str">
        <f t="shared" si="5221"/>
        <v>47</v>
      </c>
      <c r="M7508" s="1" t="str">
        <f t="shared" si="5236"/>
        <v>0</v>
      </c>
      <c r="N7508" s="1" t="str">
        <f t="shared" si="5236"/>
        <v>0</v>
      </c>
      <c r="O7508" s="1" t="str">
        <f t="shared" si="5236"/>
        <v>0</v>
      </c>
    </row>
    <row r="7509" s="1" customFormat="1" spans="1:15">
      <c r="A7509" s="1" t="str">
        <f t="shared" si="5211"/>
        <v>202406</v>
      </c>
      <c r="B7509" s="1" t="str">
        <f t="shared" si="5212"/>
        <v>150525100</v>
      </c>
      <c r="C7509" s="1" t="str">
        <f>"1014629988"</f>
        <v>1014629988</v>
      </c>
      <c r="D7509" s="1" t="str">
        <f>"152326195109093827"</f>
        <v>152326195109093827</v>
      </c>
      <c r="E7509" s="1" t="s">
        <v>7226</v>
      </c>
      <c r="F7509" s="1" t="s">
        <v>16</v>
      </c>
      <c r="G7509" s="1" t="s">
        <v>17</v>
      </c>
      <c r="H7509" s="1" t="str">
        <f>"73"</f>
        <v>73</v>
      </c>
      <c r="I7509" s="1" t="str">
        <f t="shared" si="5235"/>
        <v>160</v>
      </c>
      <c r="J7509" s="1" t="str">
        <f t="shared" ref="J7509:O7509" si="5237">"0"</f>
        <v>0</v>
      </c>
      <c r="K7509" s="1" t="str">
        <f t="shared" si="5220"/>
        <v>103</v>
      </c>
      <c r="L7509" s="1" t="str">
        <f t="shared" si="5221"/>
        <v>47</v>
      </c>
      <c r="M7509" s="1" t="str">
        <f t="shared" si="5237"/>
        <v>0</v>
      </c>
      <c r="N7509" s="1" t="str">
        <f t="shared" si="5237"/>
        <v>0</v>
      </c>
      <c r="O7509" s="1" t="str">
        <f t="shared" si="5237"/>
        <v>0</v>
      </c>
    </row>
    <row r="7510" s="1" customFormat="1" spans="1:15">
      <c r="A7510" s="1" t="str">
        <f t="shared" si="5211"/>
        <v>202406</v>
      </c>
      <c r="B7510" s="1" t="str">
        <f t="shared" si="5212"/>
        <v>150525100</v>
      </c>
      <c r="C7510" s="1" t="str">
        <f>"1014629992"</f>
        <v>1014629992</v>
      </c>
      <c r="D7510" s="1" t="str">
        <f>"152326194801290021"</f>
        <v>152326194801290021</v>
      </c>
      <c r="E7510" s="1" t="s">
        <v>6482</v>
      </c>
      <c r="F7510" s="1" t="s">
        <v>16</v>
      </c>
      <c r="G7510" s="1" t="s">
        <v>17</v>
      </c>
      <c r="H7510" s="1" t="str">
        <f>"76"</f>
        <v>76</v>
      </c>
      <c r="I7510" s="1" t="str">
        <f t="shared" si="5235"/>
        <v>160</v>
      </c>
      <c r="J7510" s="1" t="str">
        <f t="shared" ref="J7510:O7510" si="5238">"0"</f>
        <v>0</v>
      </c>
      <c r="K7510" s="1" t="str">
        <f t="shared" si="5220"/>
        <v>103</v>
      </c>
      <c r="L7510" s="1" t="str">
        <f t="shared" si="5221"/>
        <v>47</v>
      </c>
      <c r="M7510" s="1" t="str">
        <f t="shared" si="5238"/>
        <v>0</v>
      </c>
      <c r="N7510" s="1" t="str">
        <f t="shared" si="5238"/>
        <v>0</v>
      </c>
      <c r="O7510" s="1" t="str">
        <f t="shared" si="5238"/>
        <v>0</v>
      </c>
    </row>
    <row r="7511" s="1" customFormat="1" spans="1:15">
      <c r="A7511" s="1" t="str">
        <f t="shared" si="5211"/>
        <v>202406</v>
      </c>
      <c r="B7511" s="1" t="str">
        <f t="shared" si="5212"/>
        <v>150525100</v>
      </c>
      <c r="C7511" s="1" t="str">
        <f>"1014629995"</f>
        <v>1014629995</v>
      </c>
      <c r="D7511" s="1" t="str">
        <f>"152326195108170026"</f>
        <v>152326195108170026</v>
      </c>
      <c r="E7511" s="1" t="s">
        <v>3344</v>
      </c>
      <c r="F7511" s="1" t="s">
        <v>16</v>
      </c>
      <c r="G7511" s="1" t="s">
        <v>17</v>
      </c>
      <c r="H7511" s="1" t="str">
        <f t="shared" ref="H7511:H7519" si="5239">"73"</f>
        <v>73</v>
      </c>
      <c r="I7511" s="1" t="str">
        <f t="shared" si="5235"/>
        <v>160</v>
      </c>
      <c r="J7511" s="1" t="str">
        <f t="shared" ref="J7511:O7511" si="5240">"0"</f>
        <v>0</v>
      </c>
      <c r="K7511" s="1" t="str">
        <f t="shared" si="5220"/>
        <v>103</v>
      </c>
      <c r="L7511" s="1" t="str">
        <f t="shared" si="5221"/>
        <v>47</v>
      </c>
      <c r="M7511" s="1" t="str">
        <f t="shared" si="5240"/>
        <v>0</v>
      </c>
      <c r="N7511" s="1" t="str">
        <f t="shared" si="5240"/>
        <v>0</v>
      </c>
      <c r="O7511" s="1" t="str">
        <f t="shared" si="5240"/>
        <v>0</v>
      </c>
    </row>
    <row r="7512" s="1" customFormat="1" spans="1:15">
      <c r="A7512" s="1" t="str">
        <f t="shared" si="5211"/>
        <v>202406</v>
      </c>
      <c r="B7512" s="1" t="str">
        <f t="shared" si="5212"/>
        <v>150525100</v>
      </c>
      <c r="C7512" s="1" t="str">
        <f>"1014588998"</f>
        <v>1014588998</v>
      </c>
      <c r="D7512" s="1" t="str">
        <f>"152326195705220415"</f>
        <v>152326195705220415</v>
      </c>
      <c r="E7512" s="1" t="s">
        <v>7227</v>
      </c>
      <c r="F7512" s="1" t="s">
        <v>25</v>
      </c>
      <c r="G7512" s="1" t="s">
        <v>17</v>
      </c>
      <c r="H7512" s="1" t="str">
        <f>"67"</f>
        <v>67</v>
      </c>
      <c r="I7512" s="1" t="str">
        <f>"156.06"</f>
        <v>156.06</v>
      </c>
      <c r="J7512" s="1" t="str">
        <f t="shared" ref="J7512:N7512" si="5241">"0"</f>
        <v>0</v>
      </c>
      <c r="K7512" s="1" t="str">
        <f t="shared" si="5220"/>
        <v>103</v>
      </c>
      <c r="L7512" s="1" t="str">
        <f t="shared" si="5221"/>
        <v>47</v>
      </c>
      <c r="M7512" s="1" t="str">
        <f t="shared" si="5241"/>
        <v>0</v>
      </c>
      <c r="N7512" s="1" t="str">
        <f t="shared" si="5241"/>
        <v>0</v>
      </c>
      <c r="O7512" s="1" t="str">
        <f>"6.06"</f>
        <v>6.06</v>
      </c>
    </row>
    <row r="7513" s="1" customFormat="1" spans="1:15">
      <c r="A7513" s="1" t="str">
        <f t="shared" si="5211"/>
        <v>202406</v>
      </c>
      <c r="B7513" s="1" t="str">
        <f t="shared" si="5212"/>
        <v>150525100</v>
      </c>
      <c r="C7513" s="1" t="str">
        <f>"1014589023"</f>
        <v>1014589023</v>
      </c>
      <c r="D7513" s="1" t="str">
        <f>"152326195411300428"</f>
        <v>152326195411300428</v>
      </c>
      <c r="E7513" s="1" t="s">
        <v>2005</v>
      </c>
      <c r="F7513" s="1" t="s">
        <v>16</v>
      </c>
      <c r="G7513" s="1" t="s">
        <v>17</v>
      </c>
      <c r="H7513" s="1" t="str">
        <f>"70"</f>
        <v>70</v>
      </c>
      <c r="I7513" s="1" t="str">
        <f>"154.15"</f>
        <v>154.15</v>
      </c>
      <c r="J7513" s="1" t="str">
        <f t="shared" ref="J7513:N7513" si="5242">"0"</f>
        <v>0</v>
      </c>
      <c r="K7513" s="1" t="str">
        <f t="shared" si="5220"/>
        <v>103</v>
      </c>
      <c r="L7513" s="1" t="str">
        <f t="shared" si="5221"/>
        <v>47</v>
      </c>
      <c r="M7513" s="1" t="str">
        <f t="shared" si="5242"/>
        <v>0</v>
      </c>
      <c r="N7513" s="1" t="str">
        <f t="shared" si="5242"/>
        <v>0</v>
      </c>
      <c r="O7513" s="1" t="str">
        <f>"4.15"</f>
        <v>4.15</v>
      </c>
    </row>
    <row r="7514" s="1" customFormat="1" spans="1:15">
      <c r="A7514" s="1" t="str">
        <f t="shared" si="5211"/>
        <v>202406</v>
      </c>
      <c r="B7514" s="1" t="str">
        <f t="shared" si="5212"/>
        <v>150525100</v>
      </c>
      <c r="C7514" s="1" t="str">
        <f>"1014589046"</f>
        <v>1014589046</v>
      </c>
      <c r="D7514" s="1" t="s">
        <v>7228</v>
      </c>
      <c r="E7514" s="1" t="s">
        <v>7229</v>
      </c>
      <c r="F7514" s="1" t="s">
        <v>25</v>
      </c>
      <c r="G7514" s="1" t="s">
        <v>17</v>
      </c>
      <c r="H7514" s="1" t="str">
        <f>"72"</f>
        <v>72</v>
      </c>
      <c r="I7514" s="1" t="str">
        <f>"162.15"</f>
        <v>162.15</v>
      </c>
      <c r="J7514" s="1" t="str">
        <f t="shared" ref="J7514:N7514" si="5243">"0"</f>
        <v>0</v>
      </c>
      <c r="K7514" s="1" t="str">
        <f t="shared" si="5220"/>
        <v>103</v>
      </c>
      <c r="L7514" s="1" t="str">
        <f t="shared" si="5221"/>
        <v>47</v>
      </c>
      <c r="M7514" s="1" t="str">
        <f t="shared" si="5243"/>
        <v>0</v>
      </c>
      <c r="N7514" s="1" t="str">
        <f t="shared" si="5243"/>
        <v>0</v>
      </c>
      <c r="O7514" s="1" t="str">
        <f>"2.15"</f>
        <v>2.15</v>
      </c>
    </row>
    <row r="7515" s="1" customFormat="1" spans="1:15">
      <c r="A7515" s="1" t="str">
        <f t="shared" si="5211"/>
        <v>202406</v>
      </c>
      <c r="B7515" s="1" t="str">
        <f t="shared" si="5212"/>
        <v>150525100</v>
      </c>
      <c r="C7515" s="1" t="str">
        <f>"1014622211"</f>
        <v>1014622211</v>
      </c>
      <c r="D7515" s="1" t="str">
        <f>"152326195111150675"</f>
        <v>152326195111150675</v>
      </c>
      <c r="E7515" s="1" t="s">
        <v>7230</v>
      </c>
      <c r="F7515" s="1" t="s">
        <v>25</v>
      </c>
      <c r="G7515" s="1" t="s">
        <v>17</v>
      </c>
      <c r="H7515" s="1" t="str">
        <f t="shared" si="5239"/>
        <v>73</v>
      </c>
      <c r="I7515" s="1" t="str">
        <f t="shared" ref="I7515:I7521" si="5244">"160"</f>
        <v>160</v>
      </c>
      <c r="J7515" s="1" t="str">
        <f t="shared" ref="J7515:O7515" si="5245">"0"</f>
        <v>0</v>
      </c>
      <c r="K7515" s="1" t="str">
        <f t="shared" si="5220"/>
        <v>103</v>
      </c>
      <c r="L7515" s="1" t="str">
        <f t="shared" si="5221"/>
        <v>47</v>
      </c>
      <c r="M7515" s="1" t="str">
        <f t="shared" si="5245"/>
        <v>0</v>
      </c>
      <c r="N7515" s="1" t="str">
        <f t="shared" si="5245"/>
        <v>0</v>
      </c>
      <c r="O7515" s="1" t="str">
        <f t="shared" si="5245"/>
        <v>0</v>
      </c>
    </row>
    <row r="7516" s="1" customFormat="1" spans="1:15">
      <c r="A7516" s="1" t="str">
        <f t="shared" si="5211"/>
        <v>202406</v>
      </c>
      <c r="B7516" s="1" t="str">
        <f t="shared" si="5212"/>
        <v>150525100</v>
      </c>
      <c r="C7516" s="1" t="str">
        <f>"1014622216"</f>
        <v>1014622216</v>
      </c>
      <c r="D7516" s="1" t="str">
        <f>"152326195110060678"</f>
        <v>152326195110060678</v>
      </c>
      <c r="E7516" s="1" t="s">
        <v>7231</v>
      </c>
      <c r="F7516" s="1" t="s">
        <v>25</v>
      </c>
      <c r="G7516" s="1" t="s">
        <v>17</v>
      </c>
      <c r="H7516" s="1" t="str">
        <f t="shared" si="5239"/>
        <v>73</v>
      </c>
      <c r="I7516" s="1" t="str">
        <f t="shared" si="5244"/>
        <v>160</v>
      </c>
      <c r="J7516" s="1" t="str">
        <f t="shared" ref="J7516:O7516" si="5246">"0"</f>
        <v>0</v>
      </c>
      <c r="K7516" s="1" t="str">
        <f t="shared" si="5220"/>
        <v>103</v>
      </c>
      <c r="L7516" s="1" t="str">
        <f t="shared" si="5221"/>
        <v>47</v>
      </c>
      <c r="M7516" s="1" t="str">
        <f t="shared" si="5246"/>
        <v>0</v>
      </c>
      <c r="N7516" s="1" t="str">
        <f t="shared" si="5246"/>
        <v>0</v>
      </c>
      <c r="O7516" s="1" t="str">
        <f t="shared" si="5246"/>
        <v>0</v>
      </c>
    </row>
    <row r="7517" s="1" customFormat="1" spans="1:15">
      <c r="A7517" s="1" t="str">
        <f t="shared" si="5211"/>
        <v>202406</v>
      </c>
      <c r="B7517" s="1" t="str">
        <f t="shared" si="5212"/>
        <v>150525100</v>
      </c>
      <c r="C7517" s="1" t="str">
        <f>"1014622606"</f>
        <v>1014622606</v>
      </c>
      <c r="D7517" s="1" t="str">
        <f>"152326195112090678"</f>
        <v>152326195112090678</v>
      </c>
      <c r="E7517" s="1" t="s">
        <v>7232</v>
      </c>
      <c r="F7517" s="1" t="s">
        <v>25</v>
      </c>
      <c r="G7517" s="1" t="s">
        <v>17</v>
      </c>
      <c r="H7517" s="1" t="str">
        <f t="shared" si="5239"/>
        <v>73</v>
      </c>
      <c r="I7517" s="1" t="str">
        <f t="shared" si="5244"/>
        <v>160</v>
      </c>
      <c r="J7517" s="1" t="str">
        <f t="shared" ref="J7517:O7517" si="5247">"0"</f>
        <v>0</v>
      </c>
      <c r="K7517" s="1" t="str">
        <f t="shared" si="5220"/>
        <v>103</v>
      </c>
      <c r="L7517" s="1" t="str">
        <f t="shared" si="5221"/>
        <v>47</v>
      </c>
      <c r="M7517" s="1" t="str">
        <f t="shared" si="5247"/>
        <v>0</v>
      </c>
      <c r="N7517" s="1" t="str">
        <f t="shared" si="5247"/>
        <v>0</v>
      </c>
      <c r="O7517" s="1" t="str">
        <f t="shared" si="5247"/>
        <v>0</v>
      </c>
    </row>
    <row r="7518" s="1" customFormat="1" spans="1:15">
      <c r="A7518" s="1" t="str">
        <f t="shared" si="5211"/>
        <v>202406</v>
      </c>
      <c r="B7518" s="1" t="str">
        <f t="shared" si="5212"/>
        <v>150525100</v>
      </c>
      <c r="C7518" s="1" t="str">
        <f>"1014622609"</f>
        <v>1014622609</v>
      </c>
      <c r="D7518" s="1" t="str">
        <f>"152326195107150672"</f>
        <v>152326195107150672</v>
      </c>
      <c r="E7518" s="1" t="s">
        <v>7233</v>
      </c>
      <c r="F7518" s="1" t="s">
        <v>25</v>
      </c>
      <c r="G7518" s="1" t="s">
        <v>17</v>
      </c>
      <c r="H7518" s="1" t="str">
        <f t="shared" si="5239"/>
        <v>73</v>
      </c>
      <c r="I7518" s="1" t="str">
        <f t="shared" si="5244"/>
        <v>160</v>
      </c>
      <c r="J7518" s="1" t="str">
        <f t="shared" ref="J7518:O7518" si="5248">"0"</f>
        <v>0</v>
      </c>
      <c r="K7518" s="1" t="str">
        <f t="shared" si="5220"/>
        <v>103</v>
      </c>
      <c r="L7518" s="1" t="str">
        <f t="shared" si="5221"/>
        <v>47</v>
      </c>
      <c r="M7518" s="1" t="str">
        <f t="shared" si="5248"/>
        <v>0</v>
      </c>
      <c r="N7518" s="1" t="str">
        <f t="shared" si="5248"/>
        <v>0</v>
      </c>
      <c r="O7518" s="1" t="str">
        <f t="shared" si="5248"/>
        <v>0</v>
      </c>
    </row>
    <row r="7519" s="1" customFormat="1" spans="1:15">
      <c r="A7519" s="1" t="str">
        <f t="shared" si="5211"/>
        <v>202406</v>
      </c>
      <c r="B7519" s="1" t="str">
        <f t="shared" si="5212"/>
        <v>150525100</v>
      </c>
      <c r="C7519" s="1" t="str">
        <f>"1014622612"</f>
        <v>1014622612</v>
      </c>
      <c r="D7519" s="1" t="str">
        <f>"152326195105290671"</f>
        <v>152326195105290671</v>
      </c>
      <c r="E7519" s="1" t="s">
        <v>7234</v>
      </c>
      <c r="F7519" s="1" t="s">
        <v>25</v>
      </c>
      <c r="G7519" s="1" t="s">
        <v>17</v>
      </c>
      <c r="H7519" s="1" t="str">
        <f t="shared" si="5239"/>
        <v>73</v>
      </c>
      <c r="I7519" s="1" t="str">
        <f t="shared" si="5244"/>
        <v>160</v>
      </c>
      <c r="J7519" s="1" t="str">
        <f t="shared" ref="J7519:O7519" si="5249">"0"</f>
        <v>0</v>
      </c>
      <c r="K7519" s="1" t="str">
        <f t="shared" si="5220"/>
        <v>103</v>
      </c>
      <c r="L7519" s="1" t="str">
        <f t="shared" si="5221"/>
        <v>47</v>
      </c>
      <c r="M7519" s="1" t="str">
        <f t="shared" si="5249"/>
        <v>0</v>
      </c>
      <c r="N7519" s="1" t="str">
        <f t="shared" si="5249"/>
        <v>0</v>
      </c>
      <c r="O7519" s="1" t="str">
        <f t="shared" si="5249"/>
        <v>0</v>
      </c>
    </row>
    <row r="7520" s="1" customFormat="1" spans="1:15">
      <c r="A7520" s="1" t="str">
        <f t="shared" si="5211"/>
        <v>202406</v>
      </c>
      <c r="B7520" s="1" t="str">
        <f t="shared" si="5212"/>
        <v>150525100</v>
      </c>
      <c r="C7520" s="1" t="str">
        <f>"1014623994"</f>
        <v>1014623994</v>
      </c>
      <c r="D7520" s="1" t="str">
        <f>"152326194608170669"</f>
        <v>152326194608170669</v>
      </c>
      <c r="E7520" s="1" t="s">
        <v>7235</v>
      </c>
      <c r="F7520" s="1" t="s">
        <v>16</v>
      </c>
      <c r="G7520" s="1" t="s">
        <v>17</v>
      </c>
      <c r="H7520" s="1" t="str">
        <f>"78"</f>
        <v>78</v>
      </c>
      <c r="I7520" s="1" t="str">
        <f t="shared" si="5244"/>
        <v>160</v>
      </c>
      <c r="J7520" s="1" t="str">
        <f t="shared" ref="J7520:O7520" si="5250">"0"</f>
        <v>0</v>
      </c>
      <c r="K7520" s="1" t="str">
        <f t="shared" si="5220"/>
        <v>103</v>
      </c>
      <c r="L7520" s="1" t="str">
        <f t="shared" si="5221"/>
        <v>47</v>
      </c>
      <c r="M7520" s="1" t="str">
        <f t="shared" si="5250"/>
        <v>0</v>
      </c>
      <c r="N7520" s="1" t="str">
        <f t="shared" si="5250"/>
        <v>0</v>
      </c>
      <c r="O7520" s="1" t="str">
        <f t="shared" si="5250"/>
        <v>0</v>
      </c>
    </row>
    <row r="7521" s="1" customFormat="1" spans="1:15">
      <c r="A7521" s="1" t="str">
        <f t="shared" si="5211"/>
        <v>202406</v>
      </c>
      <c r="B7521" s="1" t="str">
        <f t="shared" si="5212"/>
        <v>150525100</v>
      </c>
      <c r="C7521" s="1" t="str">
        <f>"1014624464"</f>
        <v>1014624464</v>
      </c>
      <c r="D7521" s="1" t="str">
        <f>"152326195107020915"</f>
        <v>152326195107020915</v>
      </c>
      <c r="E7521" s="1" t="s">
        <v>7236</v>
      </c>
      <c r="F7521" s="1" t="s">
        <v>25</v>
      </c>
      <c r="G7521" s="1" t="s">
        <v>19</v>
      </c>
      <c r="H7521" s="1" t="str">
        <f>"73"</f>
        <v>73</v>
      </c>
      <c r="I7521" s="1" t="str">
        <f t="shared" si="5244"/>
        <v>160</v>
      </c>
      <c r="J7521" s="1" t="str">
        <f t="shared" ref="J7521:O7521" si="5251">"0"</f>
        <v>0</v>
      </c>
      <c r="K7521" s="1" t="str">
        <f t="shared" si="5220"/>
        <v>103</v>
      </c>
      <c r="L7521" s="1" t="str">
        <f t="shared" si="5221"/>
        <v>47</v>
      </c>
      <c r="M7521" s="1" t="str">
        <f t="shared" si="5251"/>
        <v>0</v>
      </c>
      <c r="N7521" s="1" t="str">
        <f t="shared" si="5251"/>
        <v>0</v>
      </c>
      <c r="O7521" s="1" t="str">
        <f t="shared" si="5251"/>
        <v>0</v>
      </c>
    </row>
    <row r="7522" s="1" customFormat="1" spans="1:15">
      <c r="A7522" s="1" t="str">
        <f t="shared" si="5211"/>
        <v>202406</v>
      </c>
      <c r="B7522" s="1" t="str">
        <f t="shared" si="5212"/>
        <v>150525100</v>
      </c>
      <c r="C7522" s="1" t="str">
        <f>"1014624494"</f>
        <v>1014624494</v>
      </c>
      <c r="D7522" s="1" t="str">
        <f>"152326193611060669"</f>
        <v>152326193611060669</v>
      </c>
      <c r="E7522" s="1" t="s">
        <v>582</v>
      </c>
      <c r="F7522" s="1" t="s">
        <v>16</v>
      </c>
      <c r="G7522" s="1" t="s">
        <v>17</v>
      </c>
      <c r="H7522" s="1" t="str">
        <f>"88"</f>
        <v>88</v>
      </c>
      <c r="I7522" s="1" t="str">
        <f>"170"</f>
        <v>170</v>
      </c>
      <c r="J7522" s="1" t="str">
        <f t="shared" ref="J7522:O7522" si="5252">"0"</f>
        <v>0</v>
      </c>
      <c r="K7522" s="1" t="str">
        <f t="shared" si="5220"/>
        <v>103</v>
      </c>
      <c r="L7522" s="1" t="str">
        <f t="shared" si="5221"/>
        <v>47</v>
      </c>
      <c r="M7522" s="1" t="str">
        <f t="shared" si="5252"/>
        <v>0</v>
      </c>
      <c r="N7522" s="1" t="str">
        <f t="shared" si="5252"/>
        <v>0</v>
      </c>
      <c r="O7522" s="1" t="str">
        <f t="shared" si="5252"/>
        <v>0</v>
      </c>
    </row>
    <row r="7523" s="1" customFormat="1" spans="1:15">
      <c r="A7523" s="1" t="str">
        <f t="shared" si="5211"/>
        <v>202406</v>
      </c>
      <c r="B7523" s="1" t="str">
        <f t="shared" si="5212"/>
        <v>150525100</v>
      </c>
      <c r="C7523" s="1" t="str">
        <f>"1014619453"</f>
        <v>1014619453</v>
      </c>
      <c r="D7523" s="1" t="str">
        <f>"152326194912270699"</f>
        <v>152326194912270699</v>
      </c>
      <c r="E7523" s="1" t="s">
        <v>5211</v>
      </c>
      <c r="F7523" s="1" t="s">
        <v>25</v>
      </c>
      <c r="G7523" s="1" t="s">
        <v>17</v>
      </c>
      <c r="H7523" s="1" t="str">
        <f>"75"</f>
        <v>75</v>
      </c>
      <c r="I7523" s="1" t="str">
        <f t="shared" ref="I7523:I7533" si="5253">"160"</f>
        <v>160</v>
      </c>
      <c r="J7523" s="1" t="str">
        <f t="shared" ref="J7523:O7523" si="5254">"0"</f>
        <v>0</v>
      </c>
      <c r="K7523" s="1" t="str">
        <f t="shared" si="5220"/>
        <v>103</v>
      </c>
      <c r="L7523" s="1" t="str">
        <f t="shared" si="5221"/>
        <v>47</v>
      </c>
      <c r="M7523" s="1" t="str">
        <f t="shared" si="5254"/>
        <v>0</v>
      </c>
      <c r="N7523" s="1" t="str">
        <f t="shared" si="5254"/>
        <v>0</v>
      </c>
      <c r="O7523" s="1" t="str">
        <f t="shared" si="5254"/>
        <v>0</v>
      </c>
    </row>
    <row r="7524" s="1" customFormat="1" spans="1:15">
      <c r="A7524" s="1" t="str">
        <f t="shared" si="5211"/>
        <v>202406</v>
      </c>
      <c r="B7524" s="1" t="str">
        <f t="shared" si="5212"/>
        <v>150525100</v>
      </c>
      <c r="C7524" s="1" t="str">
        <f>"1014619472"</f>
        <v>1014619472</v>
      </c>
      <c r="D7524" s="1" t="str">
        <f>"152326195008096375"</f>
        <v>152326195008096375</v>
      </c>
      <c r="E7524" s="1" t="s">
        <v>7237</v>
      </c>
      <c r="F7524" s="1" t="s">
        <v>25</v>
      </c>
      <c r="G7524" s="1" t="s">
        <v>17</v>
      </c>
      <c r="H7524" s="1" t="str">
        <f t="shared" ref="H7524:H7528" si="5255">"74"</f>
        <v>74</v>
      </c>
      <c r="I7524" s="1" t="str">
        <f t="shared" si="5253"/>
        <v>160</v>
      </c>
      <c r="J7524" s="1" t="str">
        <f t="shared" ref="J7524:O7524" si="5256">"0"</f>
        <v>0</v>
      </c>
      <c r="K7524" s="1" t="str">
        <f t="shared" si="5220"/>
        <v>103</v>
      </c>
      <c r="L7524" s="1" t="str">
        <f t="shared" si="5221"/>
        <v>47</v>
      </c>
      <c r="M7524" s="1" t="str">
        <f t="shared" si="5256"/>
        <v>0</v>
      </c>
      <c r="N7524" s="1" t="str">
        <f t="shared" si="5256"/>
        <v>0</v>
      </c>
      <c r="O7524" s="1" t="str">
        <f t="shared" si="5256"/>
        <v>0</v>
      </c>
    </row>
    <row r="7525" s="1" customFormat="1" spans="1:15">
      <c r="A7525" s="1" t="str">
        <f t="shared" si="5211"/>
        <v>202406</v>
      </c>
      <c r="B7525" s="1" t="str">
        <f t="shared" si="5212"/>
        <v>150525100</v>
      </c>
      <c r="C7525" s="1" t="str">
        <f>"1014619475"</f>
        <v>1014619475</v>
      </c>
      <c r="D7525" s="1" t="str">
        <f>"152326194411256370"</f>
        <v>152326194411256370</v>
      </c>
      <c r="E7525" s="1" t="s">
        <v>7238</v>
      </c>
      <c r="F7525" s="1" t="s">
        <v>25</v>
      </c>
      <c r="G7525" s="1" t="s">
        <v>17</v>
      </c>
      <c r="H7525" s="1" t="str">
        <f>"80"</f>
        <v>80</v>
      </c>
      <c r="I7525" s="1" t="str">
        <f t="shared" si="5253"/>
        <v>160</v>
      </c>
      <c r="J7525" s="1" t="str">
        <f t="shared" ref="J7525:O7525" si="5257">"0"</f>
        <v>0</v>
      </c>
      <c r="K7525" s="1" t="str">
        <f t="shared" si="5220"/>
        <v>103</v>
      </c>
      <c r="L7525" s="1" t="str">
        <f t="shared" si="5221"/>
        <v>47</v>
      </c>
      <c r="M7525" s="1" t="str">
        <f t="shared" si="5257"/>
        <v>0</v>
      </c>
      <c r="N7525" s="1" t="str">
        <f t="shared" si="5257"/>
        <v>0</v>
      </c>
      <c r="O7525" s="1" t="str">
        <f t="shared" si="5257"/>
        <v>0</v>
      </c>
    </row>
    <row r="7526" s="1" customFormat="1" spans="1:15">
      <c r="A7526" s="1" t="str">
        <f t="shared" si="5211"/>
        <v>202406</v>
      </c>
      <c r="B7526" s="1" t="str">
        <f t="shared" si="5212"/>
        <v>150525100</v>
      </c>
      <c r="C7526" s="1" t="str">
        <f>"1014622987"</f>
        <v>1014622987</v>
      </c>
      <c r="D7526" s="1" t="s">
        <v>7239</v>
      </c>
      <c r="E7526" s="1" t="s">
        <v>7240</v>
      </c>
      <c r="F7526" s="1" t="s">
        <v>16</v>
      </c>
      <c r="G7526" s="1" t="s">
        <v>17</v>
      </c>
      <c r="H7526" s="1" t="str">
        <f>"76"</f>
        <v>76</v>
      </c>
      <c r="I7526" s="1" t="str">
        <f t="shared" si="5253"/>
        <v>160</v>
      </c>
      <c r="J7526" s="1" t="str">
        <f t="shared" ref="J7526:O7526" si="5258">"0"</f>
        <v>0</v>
      </c>
      <c r="K7526" s="1" t="str">
        <f t="shared" si="5220"/>
        <v>103</v>
      </c>
      <c r="L7526" s="1" t="str">
        <f t="shared" si="5221"/>
        <v>47</v>
      </c>
      <c r="M7526" s="1" t="str">
        <f t="shared" si="5258"/>
        <v>0</v>
      </c>
      <c r="N7526" s="1" t="str">
        <f t="shared" si="5258"/>
        <v>0</v>
      </c>
      <c r="O7526" s="1" t="str">
        <f t="shared" si="5258"/>
        <v>0</v>
      </c>
    </row>
    <row r="7527" s="1" customFormat="1" spans="1:15">
      <c r="A7527" s="1" t="str">
        <f t="shared" si="5211"/>
        <v>202406</v>
      </c>
      <c r="B7527" s="1" t="str">
        <f t="shared" si="5212"/>
        <v>150525100</v>
      </c>
      <c r="C7527" s="1" t="str">
        <f>"1014622991"</f>
        <v>1014622991</v>
      </c>
      <c r="D7527" s="1" t="str">
        <f>"152326195006170420"</f>
        <v>152326195006170420</v>
      </c>
      <c r="E7527" s="1" t="s">
        <v>7241</v>
      </c>
      <c r="F7527" s="1" t="s">
        <v>16</v>
      </c>
      <c r="G7527" s="1" t="s">
        <v>17</v>
      </c>
      <c r="H7527" s="1" t="str">
        <f t="shared" si="5255"/>
        <v>74</v>
      </c>
      <c r="I7527" s="1" t="str">
        <f t="shared" si="5253"/>
        <v>160</v>
      </c>
      <c r="J7527" s="1" t="str">
        <f t="shared" ref="J7527:O7527" si="5259">"0"</f>
        <v>0</v>
      </c>
      <c r="K7527" s="1" t="str">
        <f t="shared" si="5220"/>
        <v>103</v>
      </c>
      <c r="L7527" s="1" t="str">
        <f t="shared" si="5221"/>
        <v>47</v>
      </c>
      <c r="M7527" s="1" t="str">
        <f t="shared" si="5259"/>
        <v>0</v>
      </c>
      <c r="N7527" s="1" t="str">
        <f t="shared" si="5259"/>
        <v>0</v>
      </c>
      <c r="O7527" s="1" t="str">
        <f t="shared" si="5259"/>
        <v>0</v>
      </c>
    </row>
    <row r="7528" s="1" customFormat="1" spans="1:15">
      <c r="A7528" s="1" t="str">
        <f t="shared" si="5211"/>
        <v>202406</v>
      </c>
      <c r="B7528" s="1" t="str">
        <f t="shared" si="5212"/>
        <v>150525100</v>
      </c>
      <c r="C7528" s="1" t="str">
        <f>"1014623479"</f>
        <v>1014623479</v>
      </c>
      <c r="D7528" s="1" t="str">
        <f>"152326195010113824"</f>
        <v>152326195010113824</v>
      </c>
      <c r="E7528" s="1" t="s">
        <v>7242</v>
      </c>
      <c r="F7528" s="1" t="s">
        <v>16</v>
      </c>
      <c r="G7528" s="1" t="s">
        <v>19</v>
      </c>
      <c r="H7528" s="1" t="str">
        <f t="shared" si="5255"/>
        <v>74</v>
      </c>
      <c r="I7528" s="1" t="str">
        <f t="shared" si="5253"/>
        <v>160</v>
      </c>
      <c r="J7528" s="1" t="str">
        <f t="shared" ref="J7528:O7528" si="5260">"0"</f>
        <v>0</v>
      </c>
      <c r="K7528" s="1" t="str">
        <f t="shared" si="5220"/>
        <v>103</v>
      </c>
      <c r="L7528" s="1" t="str">
        <f t="shared" si="5221"/>
        <v>47</v>
      </c>
      <c r="M7528" s="1" t="str">
        <f t="shared" si="5260"/>
        <v>0</v>
      </c>
      <c r="N7528" s="1" t="str">
        <f t="shared" si="5260"/>
        <v>0</v>
      </c>
      <c r="O7528" s="1" t="str">
        <f t="shared" si="5260"/>
        <v>0</v>
      </c>
    </row>
    <row r="7529" s="1" customFormat="1" spans="1:15">
      <c r="A7529" s="1" t="str">
        <f t="shared" si="5211"/>
        <v>202406</v>
      </c>
      <c r="B7529" s="1" t="str">
        <f t="shared" si="5212"/>
        <v>150525100</v>
      </c>
      <c r="C7529" s="1" t="str">
        <f>"1014623480"</f>
        <v>1014623480</v>
      </c>
      <c r="D7529" s="1" t="str">
        <f>"152326194505083829"</f>
        <v>152326194505083829</v>
      </c>
      <c r="E7529" s="1" t="s">
        <v>7243</v>
      </c>
      <c r="F7529" s="1" t="s">
        <v>16</v>
      </c>
      <c r="G7529" s="1" t="s">
        <v>19</v>
      </c>
      <c r="H7529" s="1" t="str">
        <f>"79"</f>
        <v>79</v>
      </c>
      <c r="I7529" s="1" t="str">
        <f t="shared" si="5253"/>
        <v>160</v>
      </c>
      <c r="J7529" s="1" t="str">
        <f t="shared" ref="J7529:O7529" si="5261">"0"</f>
        <v>0</v>
      </c>
      <c r="K7529" s="1" t="str">
        <f t="shared" si="5220"/>
        <v>103</v>
      </c>
      <c r="L7529" s="1" t="str">
        <f t="shared" si="5221"/>
        <v>47</v>
      </c>
      <c r="M7529" s="1" t="str">
        <f t="shared" si="5261"/>
        <v>0</v>
      </c>
      <c r="N7529" s="1" t="str">
        <f t="shared" si="5261"/>
        <v>0</v>
      </c>
      <c r="O7529" s="1" t="str">
        <f t="shared" si="5261"/>
        <v>0</v>
      </c>
    </row>
    <row r="7530" s="1" customFormat="1" spans="1:15">
      <c r="A7530" s="1" t="str">
        <f t="shared" si="5211"/>
        <v>202406</v>
      </c>
      <c r="B7530" s="1" t="str">
        <f t="shared" si="5212"/>
        <v>150525100</v>
      </c>
      <c r="C7530" s="1" t="str">
        <f>"1014623485"</f>
        <v>1014623485</v>
      </c>
      <c r="D7530" s="1" t="str">
        <f>"152326194811053820"</f>
        <v>152326194811053820</v>
      </c>
      <c r="E7530" s="1" t="s">
        <v>7244</v>
      </c>
      <c r="F7530" s="1" t="s">
        <v>16</v>
      </c>
      <c r="G7530" s="1" t="s">
        <v>19</v>
      </c>
      <c r="H7530" s="1" t="str">
        <f t="shared" ref="H7530:H7533" si="5262">"76"</f>
        <v>76</v>
      </c>
      <c r="I7530" s="1" t="str">
        <f t="shared" si="5253"/>
        <v>160</v>
      </c>
      <c r="J7530" s="1" t="str">
        <f t="shared" ref="J7530:O7530" si="5263">"0"</f>
        <v>0</v>
      </c>
      <c r="K7530" s="1" t="str">
        <f t="shared" si="5220"/>
        <v>103</v>
      </c>
      <c r="L7530" s="1" t="str">
        <f t="shared" si="5221"/>
        <v>47</v>
      </c>
      <c r="M7530" s="1" t="str">
        <f t="shared" si="5263"/>
        <v>0</v>
      </c>
      <c r="N7530" s="1" t="str">
        <f t="shared" si="5263"/>
        <v>0</v>
      </c>
      <c r="O7530" s="1" t="str">
        <f t="shared" si="5263"/>
        <v>0</v>
      </c>
    </row>
    <row r="7531" s="1" customFormat="1" spans="1:15">
      <c r="A7531" s="1" t="str">
        <f t="shared" si="5211"/>
        <v>202406</v>
      </c>
      <c r="B7531" s="1" t="str">
        <f t="shared" si="5212"/>
        <v>150525100</v>
      </c>
      <c r="C7531" s="1" t="str">
        <f>"1014629646"</f>
        <v>1014629646</v>
      </c>
      <c r="D7531" s="1" t="str">
        <f>"152326195009040023"</f>
        <v>152326195009040023</v>
      </c>
      <c r="E7531" s="1" t="s">
        <v>1945</v>
      </c>
      <c r="F7531" s="1" t="s">
        <v>16</v>
      </c>
      <c r="G7531" s="1" t="s">
        <v>17</v>
      </c>
      <c r="H7531" s="1" t="str">
        <f>"74"</f>
        <v>74</v>
      </c>
      <c r="I7531" s="1" t="str">
        <f t="shared" si="5253"/>
        <v>160</v>
      </c>
      <c r="J7531" s="1" t="str">
        <f t="shared" ref="J7531:O7531" si="5264">"0"</f>
        <v>0</v>
      </c>
      <c r="K7531" s="1" t="str">
        <f t="shared" si="5220"/>
        <v>103</v>
      </c>
      <c r="L7531" s="1" t="str">
        <f t="shared" si="5221"/>
        <v>47</v>
      </c>
      <c r="M7531" s="1" t="str">
        <f t="shared" si="5264"/>
        <v>0</v>
      </c>
      <c r="N7531" s="1" t="str">
        <f t="shared" si="5264"/>
        <v>0</v>
      </c>
      <c r="O7531" s="1" t="str">
        <f t="shared" si="5264"/>
        <v>0</v>
      </c>
    </row>
    <row r="7532" s="1" customFormat="1" spans="1:15">
      <c r="A7532" s="1" t="str">
        <f t="shared" si="5211"/>
        <v>202406</v>
      </c>
      <c r="B7532" s="1" t="str">
        <f t="shared" si="5212"/>
        <v>150525100</v>
      </c>
      <c r="C7532" s="1" t="str">
        <f>"1014629664"</f>
        <v>1014629664</v>
      </c>
      <c r="D7532" s="1" t="str">
        <f>"152326194803120026"</f>
        <v>152326194803120026</v>
      </c>
      <c r="E7532" s="1" t="s">
        <v>6901</v>
      </c>
      <c r="F7532" s="1" t="s">
        <v>16</v>
      </c>
      <c r="G7532" s="1" t="s">
        <v>17</v>
      </c>
      <c r="H7532" s="1" t="str">
        <f t="shared" si="5262"/>
        <v>76</v>
      </c>
      <c r="I7532" s="1" t="str">
        <f t="shared" si="5253"/>
        <v>160</v>
      </c>
      <c r="J7532" s="1" t="str">
        <f t="shared" ref="J7532:O7532" si="5265">"0"</f>
        <v>0</v>
      </c>
      <c r="K7532" s="1" t="str">
        <f t="shared" si="5220"/>
        <v>103</v>
      </c>
      <c r="L7532" s="1" t="str">
        <f t="shared" si="5221"/>
        <v>47</v>
      </c>
      <c r="M7532" s="1" t="str">
        <f t="shared" si="5265"/>
        <v>0</v>
      </c>
      <c r="N7532" s="1" t="str">
        <f t="shared" si="5265"/>
        <v>0</v>
      </c>
      <c r="O7532" s="1" t="str">
        <f t="shared" si="5265"/>
        <v>0</v>
      </c>
    </row>
    <row r="7533" s="1" customFormat="1" spans="1:15">
      <c r="A7533" s="1" t="str">
        <f t="shared" si="5211"/>
        <v>202406</v>
      </c>
      <c r="B7533" s="1" t="str">
        <f t="shared" si="5212"/>
        <v>150525100</v>
      </c>
      <c r="C7533" s="1" t="str">
        <f>"1014629671"</f>
        <v>1014629671</v>
      </c>
      <c r="D7533" s="1" t="str">
        <f>"152326194807260026"</f>
        <v>152326194807260026</v>
      </c>
      <c r="E7533" s="1" t="s">
        <v>7245</v>
      </c>
      <c r="F7533" s="1" t="s">
        <v>16</v>
      </c>
      <c r="G7533" s="1" t="s">
        <v>17</v>
      </c>
      <c r="H7533" s="1" t="str">
        <f t="shared" si="5262"/>
        <v>76</v>
      </c>
      <c r="I7533" s="1" t="str">
        <f t="shared" si="5253"/>
        <v>160</v>
      </c>
      <c r="J7533" s="1" t="str">
        <f t="shared" ref="J7533:O7533" si="5266">"0"</f>
        <v>0</v>
      </c>
      <c r="K7533" s="1" t="str">
        <f t="shared" si="5220"/>
        <v>103</v>
      </c>
      <c r="L7533" s="1" t="str">
        <f t="shared" si="5221"/>
        <v>47</v>
      </c>
      <c r="M7533" s="1" t="str">
        <f t="shared" si="5266"/>
        <v>0</v>
      </c>
      <c r="N7533" s="1" t="str">
        <f t="shared" si="5266"/>
        <v>0</v>
      </c>
      <c r="O7533" s="1" t="str">
        <f t="shared" si="5266"/>
        <v>0</v>
      </c>
    </row>
    <row r="7534" s="1" customFormat="1" spans="1:15">
      <c r="A7534" s="1" t="str">
        <f t="shared" si="5211"/>
        <v>202406</v>
      </c>
      <c r="B7534" s="1" t="str">
        <f t="shared" si="5212"/>
        <v>150525100</v>
      </c>
      <c r="C7534" s="1" t="str">
        <f>"1014629679"</f>
        <v>1014629679</v>
      </c>
      <c r="D7534" s="1" t="str">
        <f>"152326194306280029"</f>
        <v>152326194306280029</v>
      </c>
      <c r="E7534" s="1" t="s">
        <v>80</v>
      </c>
      <c r="F7534" s="1" t="s">
        <v>16</v>
      </c>
      <c r="G7534" s="1" t="s">
        <v>17</v>
      </c>
      <c r="H7534" s="1" t="str">
        <f>"81"</f>
        <v>81</v>
      </c>
      <c r="I7534" s="1" t="str">
        <f>"170"</f>
        <v>170</v>
      </c>
      <c r="J7534" s="1" t="str">
        <f t="shared" ref="J7534:O7534" si="5267">"0"</f>
        <v>0</v>
      </c>
      <c r="K7534" s="1" t="str">
        <f t="shared" si="5220"/>
        <v>103</v>
      </c>
      <c r="L7534" s="1" t="str">
        <f t="shared" si="5221"/>
        <v>47</v>
      </c>
      <c r="M7534" s="1" t="str">
        <f t="shared" si="5267"/>
        <v>0</v>
      </c>
      <c r="N7534" s="1" t="str">
        <f t="shared" si="5267"/>
        <v>0</v>
      </c>
      <c r="O7534" s="1" t="str">
        <f t="shared" si="5267"/>
        <v>0</v>
      </c>
    </row>
    <row r="7535" s="1" customFormat="1" spans="1:15">
      <c r="A7535" s="1" t="str">
        <f t="shared" si="5211"/>
        <v>202406</v>
      </c>
      <c r="B7535" s="1" t="str">
        <f t="shared" si="5212"/>
        <v>150525100</v>
      </c>
      <c r="C7535" s="1" t="str">
        <f>"1014589055"</f>
        <v>1014589055</v>
      </c>
      <c r="D7535" s="1" t="str">
        <f>"152326196109150419"</f>
        <v>152326196109150419</v>
      </c>
      <c r="E7535" s="1" t="s">
        <v>7246</v>
      </c>
      <c r="F7535" s="1" t="s">
        <v>25</v>
      </c>
      <c r="G7535" s="1" t="s">
        <v>17</v>
      </c>
      <c r="H7535" s="1" t="str">
        <f>"63"</f>
        <v>63</v>
      </c>
      <c r="I7535" s="1" t="str">
        <f>"161.11"</f>
        <v>161.11</v>
      </c>
      <c r="J7535" s="1" t="str">
        <f t="shared" ref="J7535:N7535" si="5268">"0"</f>
        <v>0</v>
      </c>
      <c r="K7535" s="1" t="str">
        <f t="shared" si="5220"/>
        <v>103</v>
      </c>
      <c r="L7535" s="1" t="str">
        <f t="shared" si="5221"/>
        <v>47</v>
      </c>
      <c r="M7535" s="1" t="str">
        <f t="shared" si="5268"/>
        <v>0</v>
      </c>
      <c r="N7535" s="1" t="str">
        <f t="shared" si="5268"/>
        <v>0</v>
      </c>
      <c r="O7535" s="1" t="str">
        <f>"11.11"</f>
        <v>11.11</v>
      </c>
    </row>
    <row r="7536" s="1" customFormat="1" spans="1:15">
      <c r="A7536" s="1" t="str">
        <f t="shared" si="5211"/>
        <v>202406</v>
      </c>
      <c r="B7536" s="1" t="str">
        <f t="shared" si="5212"/>
        <v>150525100</v>
      </c>
      <c r="C7536" s="1" t="str">
        <f>"1014589064"</f>
        <v>1014589064</v>
      </c>
      <c r="D7536" s="1" t="str">
        <f>"152326195304220422"</f>
        <v>152326195304220422</v>
      </c>
      <c r="E7536" s="1" t="s">
        <v>7247</v>
      </c>
      <c r="F7536" s="1" t="s">
        <v>16</v>
      </c>
      <c r="G7536" s="1" t="s">
        <v>17</v>
      </c>
      <c r="H7536" s="1" t="str">
        <f>"71"</f>
        <v>71</v>
      </c>
      <c r="I7536" s="1" t="str">
        <f>"163.16"</f>
        <v>163.16</v>
      </c>
      <c r="J7536" s="1" t="str">
        <f t="shared" ref="J7536:N7536" si="5269">"0"</f>
        <v>0</v>
      </c>
      <c r="K7536" s="1" t="str">
        <f t="shared" si="5220"/>
        <v>103</v>
      </c>
      <c r="L7536" s="1" t="str">
        <f t="shared" si="5221"/>
        <v>47</v>
      </c>
      <c r="M7536" s="1" t="str">
        <f t="shared" si="5269"/>
        <v>0</v>
      </c>
      <c r="N7536" s="1" t="str">
        <f t="shared" si="5269"/>
        <v>0</v>
      </c>
      <c r="O7536" s="1" t="str">
        <f>"3.16"</f>
        <v>3.16</v>
      </c>
    </row>
    <row r="7537" s="1" customFormat="1" spans="1:15">
      <c r="A7537" s="1" t="str">
        <f t="shared" si="5211"/>
        <v>202406</v>
      </c>
      <c r="B7537" s="1" t="str">
        <f t="shared" si="5212"/>
        <v>150525100</v>
      </c>
      <c r="C7537" s="1" t="str">
        <f>"1014612982"</f>
        <v>1014612982</v>
      </c>
      <c r="D7537" s="1" t="str">
        <f>"152326194608010921"</f>
        <v>152326194608010921</v>
      </c>
      <c r="E7537" s="1" t="s">
        <v>7248</v>
      </c>
      <c r="F7537" s="1" t="s">
        <v>16</v>
      </c>
      <c r="G7537" s="1" t="s">
        <v>19</v>
      </c>
      <c r="H7537" s="1" t="str">
        <f>"78"</f>
        <v>78</v>
      </c>
      <c r="I7537" s="1" t="str">
        <f t="shared" ref="I7537:I7545" si="5270">"160"</f>
        <v>160</v>
      </c>
      <c r="J7537" s="1" t="str">
        <f t="shared" ref="J7537:O7537" si="5271">"0"</f>
        <v>0</v>
      </c>
      <c r="K7537" s="1" t="str">
        <f t="shared" si="5220"/>
        <v>103</v>
      </c>
      <c r="L7537" s="1" t="str">
        <f t="shared" si="5221"/>
        <v>47</v>
      </c>
      <c r="M7537" s="1" t="str">
        <f t="shared" si="5271"/>
        <v>0</v>
      </c>
      <c r="N7537" s="1" t="str">
        <f t="shared" si="5271"/>
        <v>0</v>
      </c>
      <c r="O7537" s="1" t="str">
        <f t="shared" si="5271"/>
        <v>0</v>
      </c>
    </row>
    <row r="7538" s="1" customFormat="1" spans="1:15">
      <c r="A7538" s="1" t="str">
        <f t="shared" si="5211"/>
        <v>202406</v>
      </c>
      <c r="B7538" s="1" t="str">
        <f t="shared" si="5212"/>
        <v>150525100</v>
      </c>
      <c r="C7538" s="1" t="str">
        <f>"1014612988"</f>
        <v>1014612988</v>
      </c>
      <c r="D7538" s="1" t="str">
        <f>"152326194105060927"</f>
        <v>152326194105060927</v>
      </c>
      <c r="E7538" s="1" t="s">
        <v>7249</v>
      </c>
      <c r="F7538" s="1" t="s">
        <v>16</v>
      </c>
      <c r="G7538" s="1" t="s">
        <v>19</v>
      </c>
      <c r="H7538" s="1" t="str">
        <f>"83"</f>
        <v>83</v>
      </c>
      <c r="I7538" s="1" t="str">
        <f>"170"</f>
        <v>170</v>
      </c>
      <c r="J7538" s="1" t="str">
        <f t="shared" ref="J7538:O7538" si="5272">"0"</f>
        <v>0</v>
      </c>
      <c r="K7538" s="1" t="str">
        <f t="shared" si="5220"/>
        <v>103</v>
      </c>
      <c r="L7538" s="1" t="str">
        <f t="shared" si="5221"/>
        <v>47</v>
      </c>
      <c r="M7538" s="1" t="str">
        <f t="shared" si="5272"/>
        <v>0</v>
      </c>
      <c r="N7538" s="1" t="str">
        <f t="shared" si="5272"/>
        <v>0</v>
      </c>
      <c r="O7538" s="1" t="str">
        <f t="shared" si="5272"/>
        <v>0</v>
      </c>
    </row>
    <row r="7539" s="1" customFormat="1" spans="1:15">
      <c r="A7539" s="1" t="str">
        <f t="shared" si="5211"/>
        <v>202406</v>
      </c>
      <c r="B7539" s="1" t="str">
        <f t="shared" si="5212"/>
        <v>150525100</v>
      </c>
      <c r="C7539" s="1" t="str">
        <f>"1014613274"</f>
        <v>1014613274</v>
      </c>
      <c r="D7539" s="1" t="str">
        <f>"152326194901060426"</f>
        <v>152326194901060426</v>
      </c>
      <c r="E7539" s="1" t="s">
        <v>505</v>
      </c>
      <c r="F7539" s="1" t="s">
        <v>16</v>
      </c>
      <c r="G7539" s="1" t="s">
        <v>17</v>
      </c>
      <c r="H7539" s="1" t="str">
        <f>"76"</f>
        <v>76</v>
      </c>
      <c r="I7539" s="1" t="str">
        <f t="shared" si="5270"/>
        <v>160</v>
      </c>
      <c r="J7539" s="1" t="str">
        <f t="shared" ref="J7539:O7539" si="5273">"0"</f>
        <v>0</v>
      </c>
      <c r="K7539" s="1" t="str">
        <f t="shared" si="5220"/>
        <v>103</v>
      </c>
      <c r="L7539" s="1" t="str">
        <f t="shared" si="5221"/>
        <v>47</v>
      </c>
      <c r="M7539" s="1" t="str">
        <f t="shared" si="5273"/>
        <v>0</v>
      </c>
      <c r="N7539" s="1" t="str">
        <f t="shared" si="5273"/>
        <v>0</v>
      </c>
      <c r="O7539" s="1" t="str">
        <f t="shared" si="5273"/>
        <v>0</v>
      </c>
    </row>
    <row r="7540" s="1" customFormat="1" spans="1:15">
      <c r="A7540" s="1" t="str">
        <f t="shared" si="5211"/>
        <v>202406</v>
      </c>
      <c r="B7540" s="1" t="str">
        <f t="shared" si="5212"/>
        <v>150525100</v>
      </c>
      <c r="C7540" s="1" t="str">
        <f>"1014621935"</f>
        <v>1014621935</v>
      </c>
      <c r="D7540" s="1" t="str">
        <f>"152326194702270674"</f>
        <v>152326194702270674</v>
      </c>
      <c r="E7540" s="1" t="s">
        <v>7250</v>
      </c>
      <c r="F7540" s="1" t="s">
        <v>25</v>
      </c>
      <c r="G7540" s="1" t="s">
        <v>96</v>
      </c>
      <c r="H7540" s="1" t="str">
        <f>"77"</f>
        <v>77</v>
      </c>
      <c r="I7540" s="1" t="str">
        <f t="shared" si="5270"/>
        <v>160</v>
      </c>
      <c r="J7540" s="1" t="str">
        <f t="shared" ref="J7540:O7540" si="5274">"0"</f>
        <v>0</v>
      </c>
      <c r="K7540" s="1" t="str">
        <f t="shared" si="5220"/>
        <v>103</v>
      </c>
      <c r="L7540" s="1" t="str">
        <f t="shared" si="5221"/>
        <v>47</v>
      </c>
      <c r="M7540" s="1" t="str">
        <f t="shared" si="5274"/>
        <v>0</v>
      </c>
      <c r="N7540" s="1" t="str">
        <f t="shared" si="5274"/>
        <v>0</v>
      </c>
      <c r="O7540" s="1" t="str">
        <f t="shared" si="5274"/>
        <v>0</v>
      </c>
    </row>
    <row r="7541" s="1" customFormat="1" spans="1:15">
      <c r="A7541" s="1" t="str">
        <f t="shared" si="5211"/>
        <v>202406</v>
      </c>
      <c r="B7541" s="1" t="str">
        <f t="shared" si="5212"/>
        <v>150525100</v>
      </c>
      <c r="C7541" s="1" t="str">
        <f>"1014622306"</f>
        <v>1014622306</v>
      </c>
      <c r="D7541" s="1" t="str">
        <f>"152326194911220665"</f>
        <v>152326194911220665</v>
      </c>
      <c r="E7541" s="1" t="s">
        <v>1818</v>
      </c>
      <c r="F7541" s="1" t="s">
        <v>16</v>
      </c>
      <c r="G7541" s="1" t="s">
        <v>17</v>
      </c>
      <c r="H7541" s="1" t="str">
        <f t="shared" ref="H7541:H7543" si="5275">"75"</f>
        <v>75</v>
      </c>
      <c r="I7541" s="1" t="str">
        <f t="shared" si="5270"/>
        <v>160</v>
      </c>
      <c r="J7541" s="1" t="str">
        <f t="shared" ref="J7541:O7541" si="5276">"0"</f>
        <v>0</v>
      </c>
      <c r="K7541" s="1" t="str">
        <f t="shared" si="5220"/>
        <v>103</v>
      </c>
      <c r="L7541" s="1" t="str">
        <f t="shared" si="5221"/>
        <v>47</v>
      </c>
      <c r="M7541" s="1" t="str">
        <f t="shared" si="5276"/>
        <v>0</v>
      </c>
      <c r="N7541" s="1" t="str">
        <f t="shared" si="5276"/>
        <v>0</v>
      </c>
      <c r="O7541" s="1" t="str">
        <f t="shared" si="5276"/>
        <v>0</v>
      </c>
    </row>
    <row r="7542" s="1" customFormat="1" spans="1:15">
      <c r="A7542" s="1" t="str">
        <f t="shared" si="5211"/>
        <v>202406</v>
      </c>
      <c r="B7542" s="1" t="str">
        <f t="shared" si="5212"/>
        <v>150525100</v>
      </c>
      <c r="C7542" s="1" t="str">
        <f>"1014622312"</f>
        <v>1014622312</v>
      </c>
      <c r="D7542" s="1" t="str">
        <f>"152326194903150660"</f>
        <v>152326194903150660</v>
      </c>
      <c r="E7542" s="1" t="s">
        <v>226</v>
      </c>
      <c r="F7542" s="1" t="s">
        <v>16</v>
      </c>
      <c r="G7542" s="1" t="s">
        <v>17</v>
      </c>
      <c r="H7542" s="1" t="str">
        <f t="shared" si="5275"/>
        <v>75</v>
      </c>
      <c r="I7542" s="1" t="str">
        <f t="shared" si="5270"/>
        <v>160</v>
      </c>
      <c r="J7542" s="1" t="str">
        <f t="shared" ref="J7542:O7542" si="5277">"0"</f>
        <v>0</v>
      </c>
      <c r="K7542" s="1" t="str">
        <f t="shared" si="5220"/>
        <v>103</v>
      </c>
      <c r="L7542" s="1" t="str">
        <f t="shared" si="5221"/>
        <v>47</v>
      </c>
      <c r="M7542" s="1" t="str">
        <f t="shared" si="5277"/>
        <v>0</v>
      </c>
      <c r="N7542" s="1" t="str">
        <f t="shared" si="5277"/>
        <v>0</v>
      </c>
      <c r="O7542" s="1" t="str">
        <f t="shared" si="5277"/>
        <v>0</v>
      </c>
    </row>
    <row r="7543" s="1" customFormat="1" spans="1:15">
      <c r="A7543" s="1" t="str">
        <f t="shared" si="5211"/>
        <v>202406</v>
      </c>
      <c r="B7543" s="1" t="str">
        <f t="shared" si="5212"/>
        <v>150525100</v>
      </c>
      <c r="C7543" s="1" t="str">
        <f>"1014622715"</f>
        <v>1014622715</v>
      </c>
      <c r="D7543" s="1" t="str">
        <f>"152326194905043324"</f>
        <v>152326194905043324</v>
      </c>
      <c r="E7543" s="1" t="s">
        <v>7251</v>
      </c>
      <c r="F7543" s="1" t="s">
        <v>16</v>
      </c>
      <c r="G7543" s="1" t="s">
        <v>17</v>
      </c>
      <c r="H7543" s="1" t="str">
        <f t="shared" si="5275"/>
        <v>75</v>
      </c>
      <c r="I7543" s="1" t="str">
        <f t="shared" si="5270"/>
        <v>160</v>
      </c>
      <c r="J7543" s="1" t="str">
        <f t="shared" ref="J7543:O7543" si="5278">"0"</f>
        <v>0</v>
      </c>
      <c r="K7543" s="1" t="str">
        <f t="shared" si="5220"/>
        <v>103</v>
      </c>
      <c r="L7543" s="1" t="str">
        <f t="shared" si="5221"/>
        <v>47</v>
      </c>
      <c r="M7543" s="1" t="str">
        <f t="shared" si="5278"/>
        <v>0</v>
      </c>
      <c r="N7543" s="1" t="str">
        <f t="shared" si="5278"/>
        <v>0</v>
      </c>
      <c r="O7543" s="1" t="str">
        <f t="shared" si="5278"/>
        <v>0</v>
      </c>
    </row>
    <row r="7544" s="1" customFormat="1" spans="1:15">
      <c r="A7544" s="1" t="str">
        <f t="shared" si="5211"/>
        <v>202406</v>
      </c>
      <c r="B7544" s="1" t="str">
        <f t="shared" si="5212"/>
        <v>150525100</v>
      </c>
      <c r="C7544" s="1" t="str">
        <f>"1014622716"</f>
        <v>1014622716</v>
      </c>
      <c r="D7544" s="1" t="str">
        <f>"152326195101253347"</f>
        <v>152326195101253347</v>
      </c>
      <c r="E7544" s="1" t="s">
        <v>4657</v>
      </c>
      <c r="F7544" s="1" t="s">
        <v>16</v>
      </c>
      <c r="G7544" s="1" t="s">
        <v>17</v>
      </c>
      <c r="H7544" s="1" t="str">
        <f>"73"</f>
        <v>73</v>
      </c>
      <c r="I7544" s="1" t="str">
        <f t="shared" si="5270"/>
        <v>160</v>
      </c>
      <c r="J7544" s="1" t="str">
        <f t="shared" ref="J7544:O7544" si="5279">"0"</f>
        <v>0</v>
      </c>
      <c r="K7544" s="1" t="str">
        <f t="shared" si="5220"/>
        <v>103</v>
      </c>
      <c r="L7544" s="1" t="str">
        <f t="shared" si="5221"/>
        <v>47</v>
      </c>
      <c r="M7544" s="1" t="str">
        <f t="shared" si="5279"/>
        <v>0</v>
      </c>
      <c r="N7544" s="1" t="str">
        <f t="shared" si="5279"/>
        <v>0</v>
      </c>
      <c r="O7544" s="1" t="str">
        <f t="shared" si="5279"/>
        <v>0</v>
      </c>
    </row>
    <row r="7545" s="1" customFormat="1" spans="1:15">
      <c r="A7545" s="1" t="str">
        <f t="shared" si="5211"/>
        <v>202406</v>
      </c>
      <c r="B7545" s="1" t="str">
        <f t="shared" si="5212"/>
        <v>150525100</v>
      </c>
      <c r="C7545" s="1" t="str">
        <f>"1014622722"</f>
        <v>1014622722</v>
      </c>
      <c r="D7545" s="1" t="str">
        <f>"152326195109133323"</f>
        <v>152326195109133323</v>
      </c>
      <c r="E7545" s="1" t="s">
        <v>7252</v>
      </c>
      <c r="F7545" s="1" t="s">
        <v>16</v>
      </c>
      <c r="G7545" s="1" t="s">
        <v>17</v>
      </c>
      <c r="H7545" s="1" t="str">
        <f>"73"</f>
        <v>73</v>
      </c>
      <c r="I7545" s="1" t="str">
        <f t="shared" si="5270"/>
        <v>160</v>
      </c>
      <c r="J7545" s="1" t="str">
        <f t="shared" ref="J7545:O7545" si="5280">"0"</f>
        <v>0</v>
      </c>
      <c r="K7545" s="1" t="str">
        <f t="shared" si="5220"/>
        <v>103</v>
      </c>
      <c r="L7545" s="1" t="str">
        <f t="shared" si="5221"/>
        <v>47</v>
      </c>
      <c r="M7545" s="1" t="str">
        <f t="shared" si="5280"/>
        <v>0</v>
      </c>
      <c r="N7545" s="1" t="str">
        <f t="shared" si="5280"/>
        <v>0</v>
      </c>
      <c r="O7545" s="1" t="str">
        <f t="shared" si="5280"/>
        <v>0</v>
      </c>
    </row>
    <row r="7546" s="1" customFormat="1" spans="1:15">
      <c r="A7546" s="1" t="str">
        <f t="shared" si="5211"/>
        <v>202406</v>
      </c>
      <c r="B7546" s="1" t="str">
        <f t="shared" si="5212"/>
        <v>150525100</v>
      </c>
      <c r="C7546" s="1" t="str">
        <f>"1014624066"</f>
        <v>1014624066</v>
      </c>
      <c r="D7546" s="1" t="str">
        <f>"152326194401103098"</f>
        <v>152326194401103098</v>
      </c>
      <c r="E7546" s="1" t="s">
        <v>7253</v>
      </c>
      <c r="F7546" s="1" t="s">
        <v>25</v>
      </c>
      <c r="G7546" s="1" t="s">
        <v>17</v>
      </c>
      <c r="H7546" s="1" t="str">
        <f>"80"</f>
        <v>80</v>
      </c>
      <c r="I7546" s="1" t="str">
        <f t="shared" ref="I7546:I7551" si="5281">"170"</f>
        <v>170</v>
      </c>
      <c r="J7546" s="1" t="str">
        <f t="shared" ref="J7546:O7546" si="5282">"0"</f>
        <v>0</v>
      </c>
      <c r="K7546" s="1" t="str">
        <f t="shared" si="5220"/>
        <v>103</v>
      </c>
      <c r="L7546" s="1" t="str">
        <f t="shared" si="5221"/>
        <v>47</v>
      </c>
      <c r="M7546" s="1" t="str">
        <f t="shared" si="5282"/>
        <v>0</v>
      </c>
      <c r="N7546" s="1" t="str">
        <f t="shared" si="5282"/>
        <v>0</v>
      </c>
      <c r="O7546" s="1" t="str">
        <f t="shared" si="5282"/>
        <v>0</v>
      </c>
    </row>
    <row r="7547" s="1" customFormat="1" spans="1:15">
      <c r="A7547" s="1" t="str">
        <f t="shared" si="5211"/>
        <v>202406</v>
      </c>
      <c r="B7547" s="1" t="str">
        <f t="shared" si="5212"/>
        <v>150525100</v>
      </c>
      <c r="C7547" s="1" t="str">
        <f>"1014624076"</f>
        <v>1014624076</v>
      </c>
      <c r="D7547" s="1" t="str">
        <f>"152326194806033083"</f>
        <v>152326194806033083</v>
      </c>
      <c r="E7547" s="1" t="s">
        <v>7254</v>
      </c>
      <c r="F7547" s="1" t="s">
        <v>16</v>
      </c>
      <c r="G7547" s="1" t="s">
        <v>17</v>
      </c>
      <c r="H7547" s="1" t="str">
        <f>"76"</f>
        <v>76</v>
      </c>
      <c r="I7547" s="1" t="str">
        <f t="shared" ref="I7547:I7549" si="5283">"160"</f>
        <v>160</v>
      </c>
      <c r="J7547" s="1" t="str">
        <f t="shared" ref="J7547:O7547" si="5284">"0"</f>
        <v>0</v>
      </c>
      <c r="K7547" s="1" t="str">
        <f t="shared" si="5220"/>
        <v>103</v>
      </c>
      <c r="L7547" s="1" t="str">
        <f t="shared" si="5221"/>
        <v>47</v>
      </c>
      <c r="M7547" s="1" t="str">
        <f t="shared" si="5284"/>
        <v>0</v>
      </c>
      <c r="N7547" s="1" t="str">
        <f t="shared" si="5284"/>
        <v>0</v>
      </c>
      <c r="O7547" s="1" t="str">
        <f t="shared" si="5284"/>
        <v>0</v>
      </c>
    </row>
    <row r="7548" s="1" customFormat="1" spans="1:15">
      <c r="A7548" s="1" t="str">
        <f t="shared" si="5211"/>
        <v>202406</v>
      </c>
      <c r="B7548" s="1" t="str">
        <f t="shared" si="5212"/>
        <v>150525100</v>
      </c>
      <c r="C7548" s="1" t="str">
        <f>"1014624587"</f>
        <v>1014624587</v>
      </c>
      <c r="D7548" s="1" t="str">
        <f>"152326194611030923"</f>
        <v>152326194611030923</v>
      </c>
      <c r="E7548" s="1" t="s">
        <v>7255</v>
      </c>
      <c r="F7548" s="1" t="s">
        <v>16</v>
      </c>
      <c r="G7548" s="1" t="s">
        <v>19</v>
      </c>
      <c r="H7548" s="1" t="str">
        <f>"78"</f>
        <v>78</v>
      </c>
      <c r="I7548" s="1" t="str">
        <f t="shared" si="5283"/>
        <v>160</v>
      </c>
      <c r="J7548" s="1" t="str">
        <f t="shared" ref="J7548:O7548" si="5285">"0"</f>
        <v>0</v>
      </c>
      <c r="K7548" s="1" t="str">
        <f t="shared" si="5220"/>
        <v>103</v>
      </c>
      <c r="L7548" s="1" t="str">
        <f t="shared" si="5221"/>
        <v>47</v>
      </c>
      <c r="M7548" s="1" t="str">
        <f t="shared" si="5285"/>
        <v>0</v>
      </c>
      <c r="N7548" s="1" t="str">
        <f t="shared" si="5285"/>
        <v>0</v>
      </c>
      <c r="O7548" s="1" t="str">
        <f t="shared" si="5285"/>
        <v>0</v>
      </c>
    </row>
    <row r="7549" s="1" customFormat="1" spans="1:15">
      <c r="A7549" s="1" t="str">
        <f t="shared" si="5211"/>
        <v>202406</v>
      </c>
      <c r="B7549" s="1" t="str">
        <f t="shared" si="5212"/>
        <v>150525100</v>
      </c>
      <c r="C7549" s="1" t="str">
        <f>"1014619552"</f>
        <v>1014619552</v>
      </c>
      <c r="D7549" s="1" t="str">
        <f>"152326194708200669"</f>
        <v>152326194708200669</v>
      </c>
      <c r="E7549" s="1" t="s">
        <v>7256</v>
      </c>
      <c r="F7549" s="1" t="s">
        <v>16</v>
      </c>
      <c r="G7549" s="1" t="s">
        <v>17</v>
      </c>
      <c r="H7549" s="1" t="str">
        <f>"77"</f>
        <v>77</v>
      </c>
      <c r="I7549" s="1" t="str">
        <f t="shared" si="5283"/>
        <v>160</v>
      </c>
      <c r="J7549" s="1" t="str">
        <f t="shared" ref="J7549:O7549" si="5286">"0"</f>
        <v>0</v>
      </c>
      <c r="K7549" s="1" t="str">
        <f t="shared" si="5220"/>
        <v>103</v>
      </c>
      <c r="L7549" s="1" t="str">
        <f t="shared" si="5221"/>
        <v>47</v>
      </c>
      <c r="M7549" s="1" t="str">
        <f t="shared" si="5286"/>
        <v>0</v>
      </c>
      <c r="N7549" s="1" t="str">
        <f t="shared" si="5286"/>
        <v>0</v>
      </c>
      <c r="O7549" s="1" t="str">
        <f t="shared" si="5286"/>
        <v>0</v>
      </c>
    </row>
    <row r="7550" s="1" customFormat="1" spans="1:15">
      <c r="A7550" s="1" t="str">
        <f t="shared" si="5211"/>
        <v>202406</v>
      </c>
      <c r="B7550" s="1" t="str">
        <f t="shared" si="5212"/>
        <v>150525100</v>
      </c>
      <c r="C7550" s="1" t="str">
        <f>"1014619559"</f>
        <v>1014619559</v>
      </c>
      <c r="D7550" s="1" t="str">
        <f>"152326194310260661"</f>
        <v>152326194310260661</v>
      </c>
      <c r="E7550" s="1" t="s">
        <v>2229</v>
      </c>
      <c r="F7550" s="1" t="s">
        <v>16</v>
      </c>
      <c r="G7550" s="1" t="s">
        <v>17</v>
      </c>
      <c r="H7550" s="1" t="str">
        <f>"81"</f>
        <v>81</v>
      </c>
      <c r="I7550" s="1" t="str">
        <f t="shared" si="5281"/>
        <v>170</v>
      </c>
      <c r="J7550" s="1" t="str">
        <f t="shared" ref="J7550:O7550" si="5287">"0"</f>
        <v>0</v>
      </c>
      <c r="K7550" s="1" t="str">
        <f t="shared" si="5220"/>
        <v>103</v>
      </c>
      <c r="L7550" s="1" t="str">
        <f t="shared" si="5221"/>
        <v>47</v>
      </c>
      <c r="M7550" s="1" t="str">
        <f t="shared" si="5287"/>
        <v>0</v>
      </c>
      <c r="N7550" s="1" t="str">
        <f t="shared" si="5287"/>
        <v>0</v>
      </c>
      <c r="O7550" s="1" t="str">
        <f t="shared" si="5287"/>
        <v>0</v>
      </c>
    </row>
    <row r="7551" s="1" customFormat="1" spans="1:15">
      <c r="A7551" s="1" t="str">
        <f t="shared" si="5211"/>
        <v>202406</v>
      </c>
      <c r="B7551" s="1" t="str">
        <f t="shared" si="5212"/>
        <v>150525100</v>
      </c>
      <c r="C7551" s="1" t="str">
        <f>"1014619566"</f>
        <v>1014619566</v>
      </c>
      <c r="D7551" s="1" t="str">
        <f>"152326193212076380"</f>
        <v>152326193212076380</v>
      </c>
      <c r="E7551" s="1" t="s">
        <v>7257</v>
      </c>
      <c r="F7551" s="1" t="s">
        <v>16</v>
      </c>
      <c r="G7551" s="1" t="s">
        <v>17</v>
      </c>
      <c r="H7551" s="1" t="str">
        <f>"92"</f>
        <v>92</v>
      </c>
      <c r="I7551" s="1" t="str">
        <f t="shared" si="5281"/>
        <v>170</v>
      </c>
      <c r="J7551" s="1" t="str">
        <f t="shared" ref="J7551:O7551" si="5288">"0"</f>
        <v>0</v>
      </c>
      <c r="K7551" s="1" t="str">
        <f t="shared" si="5220"/>
        <v>103</v>
      </c>
      <c r="L7551" s="1" t="str">
        <f t="shared" si="5221"/>
        <v>47</v>
      </c>
      <c r="M7551" s="1" t="str">
        <f t="shared" si="5288"/>
        <v>0</v>
      </c>
      <c r="N7551" s="1" t="str">
        <f t="shared" si="5288"/>
        <v>0</v>
      </c>
      <c r="O7551" s="1" t="str">
        <f t="shared" si="5288"/>
        <v>0</v>
      </c>
    </row>
    <row r="7552" s="1" customFormat="1" spans="1:15">
      <c r="A7552" s="1" t="str">
        <f t="shared" si="5211"/>
        <v>202406</v>
      </c>
      <c r="B7552" s="1" t="str">
        <f t="shared" si="5212"/>
        <v>150525100</v>
      </c>
      <c r="C7552" s="1" t="str">
        <f>"1014619727"</f>
        <v>1014619727</v>
      </c>
      <c r="D7552" s="1" t="str">
        <f>"152326194906273826"</f>
        <v>152326194906273826</v>
      </c>
      <c r="E7552" s="1" t="s">
        <v>7258</v>
      </c>
      <c r="F7552" s="1" t="s">
        <v>16</v>
      </c>
      <c r="G7552" s="1" t="s">
        <v>19</v>
      </c>
      <c r="H7552" s="1" t="str">
        <f>"75"</f>
        <v>75</v>
      </c>
      <c r="I7552" s="1" t="str">
        <f t="shared" ref="I7552:I7557" si="5289">"160"</f>
        <v>160</v>
      </c>
      <c r="J7552" s="1" t="str">
        <f t="shared" ref="J7552:O7552" si="5290">"0"</f>
        <v>0</v>
      </c>
      <c r="K7552" s="1" t="str">
        <f t="shared" si="5220"/>
        <v>103</v>
      </c>
      <c r="L7552" s="1" t="str">
        <f t="shared" si="5221"/>
        <v>47</v>
      </c>
      <c r="M7552" s="1" t="str">
        <f t="shared" si="5290"/>
        <v>0</v>
      </c>
      <c r="N7552" s="1" t="str">
        <f t="shared" si="5290"/>
        <v>0</v>
      </c>
      <c r="O7552" s="1" t="str">
        <f t="shared" si="5290"/>
        <v>0</v>
      </c>
    </row>
    <row r="7553" s="1" customFormat="1" spans="1:15">
      <c r="A7553" s="1" t="str">
        <f t="shared" si="5211"/>
        <v>202406</v>
      </c>
      <c r="B7553" s="1" t="str">
        <f t="shared" si="5212"/>
        <v>150525100</v>
      </c>
      <c r="C7553" s="1" t="str">
        <f>"1014619728"</f>
        <v>1014619728</v>
      </c>
      <c r="D7553" s="1" t="str">
        <f>"152326194812140424"</f>
        <v>152326194812140424</v>
      </c>
      <c r="E7553" s="1" t="s">
        <v>7259</v>
      </c>
      <c r="F7553" s="1" t="s">
        <v>16</v>
      </c>
      <c r="G7553" s="1" t="s">
        <v>19</v>
      </c>
      <c r="H7553" s="1" t="str">
        <f>"76"</f>
        <v>76</v>
      </c>
      <c r="I7553" s="1" t="str">
        <f t="shared" si="5289"/>
        <v>160</v>
      </c>
      <c r="J7553" s="1" t="str">
        <f t="shared" ref="J7553:O7553" si="5291">"0"</f>
        <v>0</v>
      </c>
      <c r="K7553" s="1" t="str">
        <f t="shared" si="5220"/>
        <v>103</v>
      </c>
      <c r="L7553" s="1" t="str">
        <f t="shared" si="5221"/>
        <v>47</v>
      </c>
      <c r="M7553" s="1" t="str">
        <f t="shared" si="5291"/>
        <v>0</v>
      </c>
      <c r="N7553" s="1" t="str">
        <f t="shared" si="5291"/>
        <v>0</v>
      </c>
      <c r="O7553" s="1" t="str">
        <f t="shared" si="5291"/>
        <v>0</v>
      </c>
    </row>
    <row r="7554" s="1" customFormat="1" spans="1:15">
      <c r="A7554" s="1" t="str">
        <f t="shared" ref="A7554:A7617" si="5292">"202406"</f>
        <v>202406</v>
      </c>
      <c r="B7554" s="1" t="str">
        <f t="shared" ref="B7554:B7617" si="5293">"150525100"</f>
        <v>150525100</v>
      </c>
      <c r="C7554" s="1" t="str">
        <f>"1014629599"</f>
        <v>1014629599</v>
      </c>
      <c r="D7554" s="1" t="str">
        <f>"152326194004150026"</f>
        <v>152326194004150026</v>
      </c>
      <c r="E7554" s="1" t="s">
        <v>7260</v>
      </c>
      <c r="F7554" s="1" t="s">
        <v>16</v>
      </c>
      <c r="G7554" s="1" t="s">
        <v>17</v>
      </c>
      <c r="H7554" s="1" t="str">
        <f>"84"</f>
        <v>84</v>
      </c>
      <c r="I7554" s="1" t="str">
        <f t="shared" ref="I7554:I7558" si="5294">"170"</f>
        <v>170</v>
      </c>
      <c r="J7554" s="1" t="str">
        <f t="shared" ref="J7554:O7554" si="5295">"0"</f>
        <v>0</v>
      </c>
      <c r="K7554" s="1" t="str">
        <f t="shared" si="5220"/>
        <v>103</v>
      </c>
      <c r="L7554" s="1" t="str">
        <f t="shared" si="5221"/>
        <v>47</v>
      </c>
      <c r="M7554" s="1" t="str">
        <f t="shared" si="5295"/>
        <v>0</v>
      </c>
      <c r="N7554" s="1" t="str">
        <f t="shared" si="5295"/>
        <v>0</v>
      </c>
      <c r="O7554" s="1" t="str">
        <f t="shared" si="5295"/>
        <v>0</v>
      </c>
    </row>
    <row r="7555" s="1" customFormat="1" spans="1:15">
      <c r="A7555" s="1" t="str">
        <f t="shared" si="5292"/>
        <v>202406</v>
      </c>
      <c r="B7555" s="1" t="str">
        <f t="shared" si="5293"/>
        <v>150525100</v>
      </c>
      <c r="C7555" s="1" t="str">
        <f>"1014629615"</f>
        <v>1014629615</v>
      </c>
      <c r="D7555" s="1" t="str">
        <f>"152326194403100026"</f>
        <v>152326194403100026</v>
      </c>
      <c r="E7555" s="1" t="s">
        <v>7261</v>
      </c>
      <c r="F7555" s="1" t="s">
        <v>16</v>
      </c>
      <c r="G7555" s="1" t="s">
        <v>17</v>
      </c>
      <c r="H7555" s="1" t="str">
        <f>"80"</f>
        <v>80</v>
      </c>
      <c r="I7555" s="1" t="str">
        <f t="shared" si="5294"/>
        <v>170</v>
      </c>
      <c r="J7555" s="1" t="str">
        <f t="shared" ref="J7555:O7555" si="5296">"0"</f>
        <v>0</v>
      </c>
      <c r="K7555" s="1" t="str">
        <f t="shared" si="5220"/>
        <v>103</v>
      </c>
      <c r="L7555" s="1" t="str">
        <f t="shared" si="5221"/>
        <v>47</v>
      </c>
      <c r="M7555" s="1" t="str">
        <f t="shared" si="5296"/>
        <v>0</v>
      </c>
      <c r="N7555" s="1" t="str">
        <f t="shared" si="5296"/>
        <v>0</v>
      </c>
      <c r="O7555" s="1" t="str">
        <f t="shared" si="5296"/>
        <v>0</v>
      </c>
    </row>
    <row r="7556" s="1" customFormat="1" spans="1:15">
      <c r="A7556" s="1" t="str">
        <f t="shared" si="5292"/>
        <v>202406</v>
      </c>
      <c r="B7556" s="1" t="str">
        <f t="shared" si="5293"/>
        <v>150525100</v>
      </c>
      <c r="C7556" s="1" t="str">
        <f>"1014629622"</f>
        <v>1014629622</v>
      </c>
      <c r="D7556" s="1" t="str">
        <f>"152326195104060663"</f>
        <v>152326195104060663</v>
      </c>
      <c r="E7556" s="1" t="s">
        <v>7262</v>
      </c>
      <c r="F7556" s="1" t="s">
        <v>16</v>
      </c>
      <c r="G7556" s="1" t="s">
        <v>96</v>
      </c>
      <c r="H7556" s="1" t="str">
        <f t="shared" ref="H7556:H7560" si="5297">"73"</f>
        <v>73</v>
      </c>
      <c r="I7556" s="1" t="str">
        <f t="shared" si="5289"/>
        <v>160</v>
      </c>
      <c r="J7556" s="1" t="str">
        <f t="shared" ref="J7556:O7556" si="5298">"0"</f>
        <v>0</v>
      </c>
      <c r="K7556" s="1" t="str">
        <f t="shared" si="5220"/>
        <v>103</v>
      </c>
      <c r="L7556" s="1" t="str">
        <f t="shared" si="5221"/>
        <v>47</v>
      </c>
      <c r="M7556" s="1" t="str">
        <f t="shared" si="5298"/>
        <v>0</v>
      </c>
      <c r="N7556" s="1" t="str">
        <f t="shared" si="5298"/>
        <v>0</v>
      </c>
      <c r="O7556" s="1" t="str">
        <f t="shared" si="5298"/>
        <v>0</v>
      </c>
    </row>
    <row r="7557" s="1" customFormat="1" spans="1:15">
      <c r="A7557" s="1" t="str">
        <f t="shared" si="5292"/>
        <v>202406</v>
      </c>
      <c r="B7557" s="1" t="str">
        <f t="shared" si="5293"/>
        <v>150525100</v>
      </c>
      <c r="C7557" s="1" t="str">
        <f>"1014623594"</f>
        <v>1014623594</v>
      </c>
      <c r="D7557" s="1" t="str">
        <f>"152326195109110412"</f>
        <v>152326195109110412</v>
      </c>
      <c r="E7557" s="1" t="s">
        <v>7263</v>
      </c>
      <c r="F7557" s="1" t="s">
        <v>25</v>
      </c>
      <c r="G7557" s="1" t="s">
        <v>17</v>
      </c>
      <c r="H7557" s="1" t="str">
        <f t="shared" si="5297"/>
        <v>73</v>
      </c>
      <c r="I7557" s="1" t="str">
        <f t="shared" si="5289"/>
        <v>160</v>
      </c>
      <c r="J7557" s="1" t="str">
        <f t="shared" ref="J7557:O7557" si="5299">"0"</f>
        <v>0</v>
      </c>
      <c r="K7557" s="1" t="str">
        <f t="shared" si="5220"/>
        <v>103</v>
      </c>
      <c r="L7557" s="1" t="str">
        <f t="shared" si="5221"/>
        <v>47</v>
      </c>
      <c r="M7557" s="1" t="str">
        <f t="shared" si="5299"/>
        <v>0</v>
      </c>
      <c r="N7557" s="1" t="str">
        <f t="shared" si="5299"/>
        <v>0</v>
      </c>
      <c r="O7557" s="1" t="str">
        <f t="shared" si="5299"/>
        <v>0</v>
      </c>
    </row>
    <row r="7558" s="1" customFormat="1" spans="1:15">
      <c r="A7558" s="1" t="str">
        <f t="shared" si="5292"/>
        <v>202406</v>
      </c>
      <c r="B7558" s="1" t="str">
        <f t="shared" si="5293"/>
        <v>150525100</v>
      </c>
      <c r="C7558" s="1" t="str">
        <f>"1014630025"</f>
        <v>1014630025</v>
      </c>
      <c r="D7558" s="1" t="str">
        <f>"152326193502200677"</f>
        <v>152326193502200677</v>
      </c>
      <c r="E7558" s="1" t="s">
        <v>7264</v>
      </c>
      <c r="F7558" s="1" t="s">
        <v>25</v>
      </c>
      <c r="G7558" s="1" t="s">
        <v>17</v>
      </c>
      <c r="H7558" s="1" t="str">
        <f>"89"</f>
        <v>89</v>
      </c>
      <c r="I7558" s="1" t="str">
        <f t="shared" si="5294"/>
        <v>170</v>
      </c>
      <c r="J7558" s="1" t="str">
        <f t="shared" ref="J7558:O7558" si="5300">"0"</f>
        <v>0</v>
      </c>
      <c r="K7558" s="1" t="str">
        <f t="shared" si="5220"/>
        <v>103</v>
      </c>
      <c r="L7558" s="1" t="str">
        <f t="shared" si="5221"/>
        <v>47</v>
      </c>
      <c r="M7558" s="1" t="str">
        <f t="shared" si="5300"/>
        <v>0</v>
      </c>
      <c r="N7558" s="1" t="str">
        <f t="shared" si="5300"/>
        <v>0</v>
      </c>
      <c r="O7558" s="1" t="str">
        <f t="shared" si="5300"/>
        <v>0</v>
      </c>
    </row>
    <row r="7559" s="1" customFormat="1" spans="1:15">
      <c r="A7559" s="1" t="str">
        <f t="shared" si="5292"/>
        <v>202406</v>
      </c>
      <c r="B7559" s="1" t="str">
        <f t="shared" si="5293"/>
        <v>150525100</v>
      </c>
      <c r="C7559" s="1" t="str">
        <f>"1014630051"</f>
        <v>1014630051</v>
      </c>
      <c r="D7559" s="1" t="str">
        <f>"152326194712093077"</f>
        <v>152326194712093077</v>
      </c>
      <c r="E7559" s="1" t="s">
        <v>7265</v>
      </c>
      <c r="F7559" s="1" t="s">
        <v>25</v>
      </c>
      <c r="G7559" s="1" t="s">
        <v>17</v>
      </c>
      <c r="H7559" s="1" t="str">
        <f>"77"</f>
        <v>77</v>
      </c>
      <c r="I7559" s="1" t="str">
        <f t="shared" ref="I7559:I7564" si="5301">"160"</f>
        <v>160</v>
      </c>
      <c r="J7559" s="1" t="str">
        <f t="shared" ref="J7559:O7559" si="5302">"0"</f>
        <v>0</v>
      </c>
      <c r="K7559" s="1" t="str">
        <f t="shared" si="5220"/>
        <v>103</v>
      </c>
      <c r="L7559" s="1" t="str">
        <f t="shared" si="5221"/>
        <v>47</v>
      </c>
      <c r="M7559" s="1" t="str">
        <f t="shared" si="5302"/>
        <v>0</v>
      </c>
      <c r="N7559" s="1" t="str">
        <f t="shared" si="5302"/>
        <v>0</v>
      </c>
      <c r="O7559" s="1" t="str">
        <f t="shared" si="5302"/>
        <v>0</v>
      </c>
    </row>
    <row r="7560" s="1" customFormat="1" spans="1:15">
      <c r="A7560" s="1" t="str">
        <f t="shared" si="5292"/>
        <v>202406</v>
      </c>
      <c r="B7560" s="1" t="str">
        <f t="shared" si="5293"/>
        <v>150525100</v>
      </c>
      <c r="C7560" s="1" t="str">
        <f>"1014630070"</f>
        <v>1014630070</v>
      </c>
      <c r="D7560" s="1" t="str">
        <f>"152326195110160660"</f>
        <v>152326195110160660</v>
      </c>
      <c r="E7560" s="1" t="s">
        <v>7266</v>
      </c>
      <c r="F7560" s="1" t="s">
        <v>16</v>
      </c>
      <c r="G7560" s="1" t="s">
        <v>17</v>
      </c>
      <c r="H7560" s="1" t="str">
        <f t="shared" si="5297"/>
        <v>73</v>
      </c>
      <c r="I7560" s="1" t="str">
        <f t="shared" si="5301"/>
        <v>160</v>
      </c>
      <c r="J7560" s="1" t="str">
        <f t="shared" ref="J7560:O7560" si="5303">"0"</f>
        <v>0</v>
      </c>
      <c r="K7560" s="1" t="str">
        <f t="shared" ref="K7560:K7564" si="5304">"103"</f>
        <v>103</v>
      </c>
      <c r="L7560" s="1" t="str">
        <f t="shared" ref="L7560:L7564" si="5305">"47"</f>
        <v>47</v>
      </c>
      <c r="M7560" s="1" t="str">
        <f t="shared" si="5303"/>
        <v>0</v>
      </c>
      <c r="N7560" s="1" t="str">
        <f t="shared" si="5303"/>
        <v>0</v>
      </c>
      <c r="O7560" s="1" t="str">
        <f t="shared" si="5303"/>
        <v>0</v>
      </c>
    </row>
    <row r="7561" s="1" customFormat="1" spans="1:15">
      <c r="A7561" s="1" t="str">
        <f t="shared" si="5292"/>
        <v>202406</v>
      </c>
      <c r="B7561" s="1" t="str">
        <f t="shared" si="5293"/>
        <v>150525100</v>
      </c>
      <c r="C7561" s="1" t="str">
        <f>"1014612915"</f>
        <v>1014612915</v>
      </c>
      <c r="D7561" s="1" t="str">
        <f>"152326195009120920"</f>
        <v>152326195009120920</v>
      </c>
      <c r="E7561" s="1" t="s">
        <v>7267</v>
      </c>
      <c r="F7561" s="1" t="s">
        <v>16</v>
      </c>
      <c r="G7561" s="1" t="s">
        <v>19</v>
      </c>
      <c r="H7561" s="1" t="str">
        <f>"74"</f>
        <v>74</v>
      </c>
      <c r="I7561" s="1" t="str">
        <f t="shared" si="5301"/>
        <v>160</v>
      </c>
      <c r="J7561" s="1" t="str">
        <f t="shared" ref="J7561:O7561" si="5306">"0"</f>
        <v>0</v>
      </c>
      <c r="K7561" s="1" t="str">
        <f t="shared" si="5304"/>
        <v>103</v>
      </c>
      <c r="L7561" s="1" t="str">
        <f t="shared" si="5305"/>
        <v>47</v>
      </c>
      <c r="M7561" s="1" t="str">
        <f t="shared" si="5306"/>
        <v>0</v>
      </c>
      <c r="N7561" s="1" t="str">
        <f t="shared" si="5306"/>
        <v>0</v>
      </c>
      <c r="O7561" s="1" t="str">
        <f t="shared" si="5306"/>
        <v>0</v>
      </c>
    </row>
    <row r="7562" s="1" customFormat="1" spans="1:15">
      <c r="A7562" s="1" t="str">
        <f t="shared" si="5292"/>
        <v>202406</v>
      </c>
      <c r="B7562" s="1" t="str">
        <f t="shared" si="5293"/>
        <v>150525100</v>
      </c>
      <c r="C7562" s="1" t="str">
        <f>"1014613197"</f>
        <v>1014613197</v>
      </c>
      <c r="D7562" s="1" t="str">
        <f>"152326195103030913"</f>
        <v>152326195103030913</v>
      </c>
      <c r="E7562" s="1" t="s">
        <v>7268</v>
      </c>
      <c r="F7562" s="1" t="s">
        <v>25</v>
      </c>
      <c r="G7562" s="1" t="s">
        <v>19</v>
      </c>
      <c r="H7562" s="1" t="str">
        <f>"73"</f>
        <v>73</v>
      </c>
      <c r="I7562" s="1" t="str">
        <f t="shared" si="5301"/>
        <v>160</v>
      </c>
      <c r="J7562" s="1" t="str">
        <f t="shared" ref="J7562:O7562" si="5307">"0"</f>
        <v>0</v>
      </c>
      <c r="K7562" s="1" t="str">
        <f t="shared" si="5304"/>
        <v>103</v>
      </c>
      <c r="L7562" s="1" t="str">
        <f t="shared" si="5305"/>
        <v>47</v>
      </c>
      <c r="M7562" s="1" t="str">
        <f t="shared" si="5307"/>
        <v>0</v>
      </c>
      <c r="N7562" s="1" t="str">
        <f t="shared" si="5307"/>
        <v>0</v>
      </c>
      <c r="O7562" s="1" t="str">
        <f t="shared" si="5307"/>
        <v>0</v>
      </c>
    </row>
    <row r="7563" s="1" customFormat="1" spans="1:15">
      <c r="A7563" s="1" t="str">
        <f t="shared" si="5292"/>
        <v>202406</v>
      </c>
      <c r="B7563" s="1" t="str">
        <f t="shared" si="5293"/>
        <v>150525100</v>
      </c>
      <c r="C7563" s="1" t="str">
        <f>"1014621871"</f>
        <v>1014621871</v>
      </c>
      <c r="D7563" s="1" t="str">
        <f>"152326194610273317"</f>
        <v>152326194610273317</v>
      </c>
      <c r="E7563" s="1" t="s">
        <v>7269</v>
      </c>
      <c r="F7563" s="1" t="s">
        <v>25</v>
      </c>
      <c r="G7563" s="1" t="s">
        <v>17</v>
      </c>
      <c r="H7563" s="1" t="str">
        <f>"78"</f>
        <v>78</v>
      </c>
      <c r="I7563" s="1" t="str">
        <f t="shared" si="5301"/>
        <v>160</v>
      </c>
      <c r="J7563" s="1" t="str">
        <f t="shared" ref="J7563:O7563" si="5308">"0"</f>
        <v>0</v>
      </c>
      <c r="K7563" s="1" t="str">
        <f t="shared" si="5304"/>
        <v>103</v>
      </c>
      <c r="L7563" s="1" t="str">
        <f t="shared" si="5305"/>
        <v>47</v>
      </c>
      <c r="M7563" s="1" t="str">
        <f t="shared" si="5308"/>
        <v>0</v>
      </c>
      <c r="N7563" s="1" t="str">
        <f t="shared" si="5308"/>
        <v>0</v>
      </c>
      <c r="O7563" s="1" t="str">
        <f t="shared" si="5308"/>
        <v>0</v>
      </c>
    </row>
    <row r="7564" s="1" customFormat="1" spans="1:15">
      <c r="A7564" s="1" t="str">
        <f t="shared" si="5292"/>
        <v>202406</v>
      </c>
      <c r="B7564" s="1" t="str">
        <f t="shared" si="5293"/>
        <v>150525100</v>
      </c>
      <c r="C7564" s="1" t="str">
        <f>"1014622244"</f>
        <v>1014622244</v>
      </c>
      <c r="D7564" s="1" t="str">
        <f>"152326194708020422"</f>
        <v>152326194708020422</v>
      </c>
      <c r="E7564" s="1" t="s">
        <v>1107</v>
      </c>
      <c r="F7564" s="1" t="s">
        <v>16</v>
      </c>
      <c r="G7564" s="1" t="s">
        <v>17</v>
      </c>
      <c r="H7564" s="1" t="str">
        <f t="shared" ref="H7564:H7569" si="5309">"77"</f>
        <v>77</v>
      </c>
      <c r="I7564" s="1" t="str">
        <f t="shared" si="5301"/>
        <v>160</v>
      </c>
      <c r="J7564" s="1" t="str">
        <f t="shared" ref="J7564:O7564" si="5310">"0"</f>
        <v>0</v>
      </c>
      <c r="K7564" s="1" t="str">
        <f t="shared" si="5304"/>
        <v>103</v>
      </c>
      <c r="L7564" s="1" t="str">
        <f t="shared" si="5305"/>
        <v>47</v>
      </c>
      <c r="M7564" s="1" t="str">
        <f t="shared" si="5310"/>
        <v>0</v>
      </c>
      <c r="N7564" s="1" t="str">
        <f t="shared" si="5310"/>
        <v>0</v>
      </c>
      <c r="O7564" s="1" t="str">
        <f t="shared" si="5310"/>
        <v>0</v>
      </c>
    </row>
    <row r="7565" s="1" customFormat="1" spans="1:15">
      <c r="A7565" s="1" t="str">
        <f t="shared" si="5292"/>
        <v>202406</v>
      </c>
      <c r="B7565" s="1" t="str">
        <f t="shared" si="5293"/>
        <v>150525100</v>
      </c>
      <c r="C7565" s="1" t="str">
        <f>"1014622245"</f>
        <v>1014622245</v>
      </c>
      <c r="D7565" s="1" t="str">
        <f>"152326194310080425"</f>
        <v>152326194310080425</v>
      </c>
      <c r="E7565" s="1" t="s">
        <v>7270</v>
      </c>
      <c r="F7565" s="1" t="s">
        <v>16</v>
      </c>
      <c r="G7565" s="1" t="s">
        <v>17</v>
      </c>
      <c r="H7565" s="1" t="str">
        <f>"81"</f>
        <v>81</v>
      </c>
      <c r="I7565" s="1" t="str">
        <f>"1020"</f>
        <v>1020</v>
      </c>
      <c r="J7565" s="1" t="str">
        <f>"850"</f>
        <v>850</v>
      </c>
      <c r="K7565" s="1" t="str">
        <f>"618"</f>
        <v>618</v>
      </c>
      <c r="L7565" s="1" t="str">
        <f>"282"</f>
        <v>282</v>
      </c>
      <c r="M7565" s="1" t="str">
        <f t="shared" ref="M7565:O7565" si="5311">"0"</f>
        <v>0</v>
      </c>
      <c r="N7565" s="1" t="str">
        <f t="shared" si="5311"/>
        <v>0</v>
      </c>
      <c r="O7565" s="1" t="str">
        <f t="shared" si="5311"/>
        <v>0</v>
      </c>
    </row>
    <row r="7566" s="1" customFormat="1" spans="1:15">
      <c r="A7566" s="1" t="str">
        <f t="shared" si="5292"/>
        <v>202406</v>
      </c>
      <c r="B7566" s="1" t="str">
        <f t="shared" si="5293"/>
        <v>150525100</v>
      </c>
      <c r="C7566" s="1" t="str">
        <f>"1014622254"</f>
        <v>1014622254</v>
      </c>
      <c r="D7566" s="1" t="str">
        <f>"152326194702100421"</f>
        <v>152326194702100421</v>
      </c>
      <c r="E7566" s="1" t="s">
        <v>7271</v>
      </c>
      <c r="F7566" s="1" t="s">
        <v>16</v>
      </c>
      <c r="G7566" s="1" t="s">
        <v>17</v>
      </c>
      <c r="H7566" s="1" t="str">
        <f t="shared" si="5309"/>
        <v>77</v>
      </c>
      <c r="I7566" s="1" t="str">
        <f t="shared" ref="I7566:I7570" si="5312">"160"</f>
        <v>160</v>
      </c>
      <c r="J7566" s="1" t="str">
        <f t="shared" ref="J7566:O7566" si="5313">"0"</f>
        <v>0</v>
      </c>
      <c r="K7566" s="1" t="str">
        <f t="shared" ref="K7566:K7625" si="5314">"103"</f>
        <v>103</v>
      </c>
      <c r="L7566" s="1" t="str">
        <f t="shared" ref="L7566:L7625" si="5315">"47"</f>
        <v>47</v>
      </c>
      <c r="M7566" s="1" t="str">
        <f t="shared" si="5313"/>
        <v>0</v>
      </c>
      <c r="N7566" s="1" t="str">
        <f t="shared" si="5313"/>
        <v>0</v>
      </c>
      <c r="O7566" s="1" t="str">
        <f t="shared" si="5313"/>
        <v>0</v>
      </c>
    </row>
    <row r="7567" s="1" customFormat="1" spans="1:15">
      <c r="A7567" s="1" t="str">
        <f t="shared" si="5292"/>
        <v>202406</v>
      </c>
      <c r="B7567" s="1" t="str">
        <f t="shared" si="5293"/>
        <v>150525100</v>
      </c>
      <c r="C7567" s="1" t="str">
        <f>"1014622266"</f>
        <v>1014622266</v>
      </c>
      <c r="D7567" s="1" t="str">
        <f>"152326194705270661"</f>
        <v>152326194705270661</v>
      </c>
      <c r="E7567" s="1" t="s">
        <v>7272</v>
      </c>
      <c r="F7567" s="1" t="s">
        <v>16</v>
      </c>
      <c r="G7567" s="1" t="s">
        <v>17</v>
      </c>
      <c r="H7567" s="1" t="str">
        <f t="shared" si="5309"/>
        <v>77</v>
      </c>
      <c r="I7567" s="1" t="str">
        <f t="shared" si="5312"/>
        <v>160</v>
      </c>
      <c r="J7567" s="1" t="str">
        <f t="shared" ref="J7567:O7567" si="5316">"0"</f>
        <v>0</v>
      </c>
      <c r="K7567" s="1" t="str">
        <f t="shared" si="5314"/>
        <v>103</v>
      </c>
      <c r="L7567" s="1" t="str">
        <f t="shared" si="5315"/>
        <v>47</v>
      </c>
      <c r="M7567" s="1" t="str">
        <f t="shared" si="5316"/>
        <v>0</v>
      </c>
      <c r="N7567" s="1" t="str">
        <f t="shared" si="5316"/>
        <v>0</v>
      </c>
      <c r="O7567" s="1" t="str">
        <f t="shared" si="5316"/>
        <v>0</v>
      </c>
    </row>
    <row r="7568" s="1" customFormat="1" spans="1:15">
      <c r="A7568" s="1" t="str">
        <f t="shared" si="5292"/>
        <v>202406</v>
      </c>
      <c r="B7568" s="1" t="str">
        <f t="shared" si="5293"/>
        <v>150525100</v>
      </c>
      <c r="C7568" s="1" t="str">
        <f>"1014622637"</f>
        <v>1014622637</v>
      </c>
      <c r="D7568" s="1" t="str">
        <f>"152326194704010673"</f>
        <v>152326194704010673</v>
      </c>
      <c r="E7568" s="1" t="s">
        <v>7273</v>
      </c>
      <c r="F7568" s="1" t="s">
        <v>25</v>
      </c>
      <c r="G7568" s="1" t="s">
        <v>17</v>
      </c>
      <c r="H7568" s="1" t="str">
        <f t="shared" si="5309"/>
        <v>77</v>
      </c>
      <c r="I7568" s="1" t="str">
        <f t="shared" si="5312"/>
        <v>160</v>
      </c>
      <c r="J7568" s="1" t="str">
        <f t="shared" ref="J7568:O7568" si="5317">"0"</f>
        <v>0</v>
      </c>
      <c r="K7568" s="1" t="str">
        <f t="shared" si="5314"/>
        <v>103</v>
      </c>
      <c r="L7568" s="1" t="str">
        <f t="shared" si="5315"/>
        <v>47</v>
      </c>
      <c r="M7568" s="1" t="str">
        <f t="shared" si="5317"/>
        <v>0</v>
      </c>
      <c r="N7568" s="1" t="str">
        <f t="shared" si="5317"/>
        <v>0</v>
      </c>
      <c r="O7568" s="1" t="str">
        <f t="shared" si="5317"/>
        <v>0</v>
      </c>
    </row>
    <row r="7569" s="1" customFormat="1" spans="1:15">
      <c r="A7569" s="1" t="str">
        <f t="shared" si="5292"/>
        <v>202406</v>
      </c>
      <c r="B7569" s="1" t="str">
        <f t="shared" si="5293"/>
        <v>150525100</v>
      </c>
      <c r="C7569" s="1" t="str">
        <f>"1014622639"</f>
        <v>1014622639</v>
      </c>
      <c r="D7569" s="1" t="str">
        <f>"152326194703250675"</f>
        <v>152326194703250675</v>
      </c>
      <c r="E7569" s="1" t="s">
        <v>6161</v>
      </c>
      <c r="F7569" s="1" t="s">
        <v>25</v>
      </c>
      <c r="G7569" s="1" t="s">
        <v>17</v>
      </c>
      <c r="H7569" s="1" t="str">
        <f t="shared" si="5309"/>
        <v>77</v>
      </c>
      <c r="I7569" s="1" t="str">
        <f t="shared" si="5312"/>
        <v>160</v>
      </c>
      <c r="J7569" s="1" t="str">
        <f t="shared" ref="J7569:O7569" si="5318">"0"</f>
        <v>0</v>
      </c>
      <c r="K7569" s="1" t="str">
        <f t="shared" si="5314"/>
        <v>103</v>
      </c>
      <c r="L7569" s="1" t="str">
        <f t="shared" si="5315"/>
        <v>47</v>
      </c>
      <c r="M7569" s="1" t="str">
        <f t="shared" si="5318"/>
        <v>0</v>
      </c>
      <c r="N7569" s="1" t="str">
        <f t="shared" si="5318"/>
        <v>0</v>
      </c>
      <c r="O7569" s="1" t="str">
        <f t="shared" si="5318"/>
        <v>0</v>
      </c>
    </row>
    <row r="7570" s="1" customFormat="1" spans="1:15">
      <c r="A7570" s="1" t="str">
        <f t="shared" si="5292"/>
        <v>202406</v>
      </c>
      <c r="B7570" s="1" t="str">
        <f t="shared" si="5293"/>
        <v>150525100</v>
      </c>
      <c r="C7570" s="1" t="str">
        <f>"1014622656"</f>
        <v>1014622656</v>
      </c>
      <c r="D7570" s="1" t="str">
        <f>"152326195109010665"</f>
        <v>152326195109010665</v>
      </c>
      <c r="E7570" s="1" t="s">
        <v>7274</v>
      </c>
      <c r="F7570" s="1" t="s">
        <v>16</v>
      </c>
      <c r="G7570" s="1" t="s">
        <v>17</v>
      </c>
      <c r="H7570" s="1" t="str">
        <f>"73"</f>
        <v>73</v>
      </c>
      <c r="I7570" s="1" t="str">
        <f t="shared" si="5312"/>
        <v>160</v>
      </c>
      <c r="J7570" s="1" t="str">
        <f t="shared" ref="J7570:O7570" si="5319">"0"</f>
        <v>0</v>
      </c>
      <c r="K7570" s="1" t="str">
        <f t="shared" si="5314"/>
        <v>103</v>
      </c>
      <c r="L7570" s="1" t="str">
        <f t="shared" si="5315"/>
        <v>47</v>
      </c>
      <c r="M7570" s="1" t="str">
        <f t="shared" si="5319"/>
        <v>0</v>
      </c>
      <c r="N7570" s="1" t="str">
        <f t="shared" si="5319"/>
        <v>0</v>
      </c>
      <c r="O7570" s="1" t="str">
        <f t="shared" si="5319"/>
        <v>0</v>
      </c>
    </row>
    <row r="7571" s="1" customFormat="1" spans="1:15">
      <c r="A7571" s="1" t="str">
        <f t="shared" si="5292"/>
        <v>202406</v>
      </c>
      <c r="B7571" s="1" t="str">
        <f t="shared" si="5293"/>
        <v>150525100</v>
      </c>
      <c r="C7571" s="1" t="str">
        <f>"1014622659"</f>
        <v>1014622659</v>
      </c>
      <c r="D7571" s="1" t="str">
        <f>"152326194402250663"</f>
        <v>152326194402250663</v>
      </c>
      <c r="E7571" s="1" t="s">
        <v>7275</v>
      </c>
      <c r="F7571" s="1" t="s">
        <v>16</v>
      </c>
      <c r="G7571" s="1" t="s">
        <v>17</v>
      </c>
      <c r="H7571" s="1" t="str">
        <f>"80"</f>
        <v>80</v>
      </c>
      <c r="I7571" s="1" t="str">
        <f>"170"</f>
        <v>170</v>
      </c>
      <c r="J7571" s="1" t="str">
        <f t="shared" ref="J7571:O7571" si="5320">"0"</f>
        <v>0</v>
      </c>
      <c r="K7571" s="1" t="str">
        <f t="shared" si="5314"/>
        <v>103</v>
      </c>
      <c r="L7571" s="1" t="str">
        <f t="shared" si="5315"/>
        <v>47</v>
      </c>
      <c r="M7571" s="1" t="str">
        <f t="shared" si="5320"/>
        <v>0</v>
      </c>
      <c r="N7571" s="1" t="str">
        <f t="shared" si="5320"/>
        <v>0</v>
      </c>
      <c r="O7571" s="1" t="str">
        <f t="shared" si="5320"/>
        <v>0</v>
      </c>
    </row>
    <row r="7572" s="1" customFormat="1" spans="1:15">
      <c r="A7572" s="1" t="str">
        <f t="shared" si="5292"/>
        <v>202406</v>
      </c>
      <c r="B7572" s="1" t="str">
        <f t="shared" si="5293"/>
        <v>150525100</v>
      </c>
      <c r="C7572" s="1" t="str">
        <f>"1014619483"</f>
        <v>1014619483</v>
      </c>
      <c r="D7572" s="1" t="str">
        <f>"152326195109280411"</f>
        <v>152326195109280411</v>
      </c>
      <c r="E7572" s="1" t="s">
        <v>7276</v>
      </c>
      <c r="F7572" s="1" t="s">
        <v>25</v>
      </c>
      <c r="G7572" s="1" t="s">
        <v>17</v>
      </c>
      <c r="H7572" s="1" t="str">
        <f>"73"</f>
        <v>73</v>
      </c>
      <c r="I7572" s="1" t="str">
        <f t="shared" ref="I7572:I7583" si="5321">"160"</f>
        <v>160</v>
      </c>
      <c r="J7572" s="1" t="str">
        <f t="shared" ref="J7572:O7572" si="5322">"0"</f>
        <v>0</v>
      </c>
      <c r="K7572" s="1" t="str">
        <f t="shared" si="5314"/>
        <v>103</v>
      </c>
      <c r="L7572" s="1" t="str">
        <f t="shared" si="5315"/>
        <v>47</v>
      </c>
      <c r="M7572" s="1" t="str">
        <f t="shared" si="5322"/>
        <v>0</v>
      </c>
      <c r="N7572" s="1" t="str">
        <f t="shared" si="5322"/>
        <v>0</v>
      </c>
      <c r="O7572" s="1" t="str">
        <f t="shared" si="5322"/>
        <v>0</v>
      </c>
    </row>
    <row r="7573" s="1" customFormat="1" spans="1:15">
      <c r="A7573" s="1" t="str">
        <f t="shared" si="5292"/>
        <v>202406</v>
      </c>
      <c r="B7573" s="1" t="str">
        <f t="shared" si="5293"/>
        <v>150525100</v>
      </c>
      <c r="C7573" s="1" t="str">
        <f>"1014619642"</f>
        <v>1014619642</v>
      </c>
      <c r="D7573" s="1" t="str">
        <f>"152326194509153089"</f>
        <v>152326194509153089</v>
      </c>
      <c r="E7573" s="1" t="s">
        <v>7277</v>
      </c>
      <c r="F7573" s="1" t="s">
        <v>16</v>
      </c>
      <c r="G7573" s="1" t="s">
        <v>17</v>
      </c>
      <c r="H7573" s="1" t="str">
        <f>"79"</f>
        <v>79</v>
      </c>
      <c r="I7573" s="1" t="str">
        <f t="shared" si="5321"/>
        <v>160</v>
      </c>
      <c r="J7573" s="1" t="str">
        <f t="shared" ref="J7573:O7573" si="5323">"0"</f>
        <v>0</v>
      </c>
      <c r="K7573" s="1" t="str">
        <f t="shared" si="5314"/>
        <v>103</v>
      </c>
      <c r="L7573" s="1" t="str">
        <f t="shared" si="5315"/>
        <v>47</v>
      </c>
      <c r="M7573" s="1" t="str">
        <f t="shared" si="5323"/>
        <v>0</v>
      </c>
      <c r="N7573" s="1" t="str">
        <f t="shared" si="5323"/>
        <v>0</v>
      </c>
      <c r="O7573" s="1" t="str">
        <f t="shared" si="5323"/>
        <v>0</v>
      </c>
    </row>
    <row r="7574" s="1" customFormat="1" spans="1:15">
      <c r="A7574" s="1" t="str">
        <f t="shared" si="5292"/>
        <v>202406</v>
      </c>
      <c r="B7574" s="1" t="str">
        <f t="shared" si="5293"/>
        <v>150525100</v>
      </c>
      <c r="C7574" s="1" t="str">
        <f>"1014629964"</f>
        <v>1014629964</v>
      </c>
      <c r="D7574" s="1" t="s">
        <v>7278</v>
      </c>
      <c r="E7574" s="1" t="s">
        <v>7279</v>
      </c>
      <c r="F7574" s="1" t="s">
        <v>16</v>
      </c>
      <c r="G7574" s="1" t="s">
        <v>19</v>
      </c>
      <c r="H7574" s="1" t="str">
        <f>"81"</f>
        <v>81</v>
      </c>
      <c r="I7574" s="1" t="str">
        <f>"170"</f>
        <v>170</v>
      </c>
      <c r="J7574" s="1" t="str">
        <f t="shared" ref="J7574:O7574" si="5324">"0"</f>
        <v>0</v>
      </c>
      <c r="K7574" s="1" t="str">
        <f t="shared" si="5314"/>
        <v>103</v>
      </c>
      <c r="L7574" s="1" t="str">
        <f t="shared" si="5315"/>
        <v>47</v>
      </c>
      <c r="M7574" s="1" t="str">
        <f t="shared" si="5324"/>
        <v>0</v>
      </c>
      <c r="N7574" s="1" t="str">
        <f t="shared" si="5324"/>
        <v>0</v>
      </c>
      <c r="O7574" s="1" t="str">
        <f t="shared" si="5324"/>
        <v>0</v>
      </c>
    </row>
    <row r="7575" s="1" customFormat="1" spans="1:15">
      <c r="A7575" s="1" t="str">
        <f t="shared" si="5292"/>
        <v>202406</v>
      </c>
      <c r="B7575" s="1" t="str">
        <f t="shared" si="5293"/>
        <v>150525100</v>
      </c>
      <c r="C7575" s="1" t="str">
        <f>"1014623008"</f>
        <v>1014623008</v>
      </c>
      <c r="D7575" s="1" t="s">
        <v>7280</v>
      </c>
      <c r="E7575" s="1" t="s">
        <v>7281</v>
      </c>
      <c r="F7575" s="1" t="s">
        <v>16</v>
      </c>
      <c r="G7575" s="1" t="s">
        <v>17</v>
      </c>
      <c r="H7575" s="1" t="str">
        <f>"75"</f>
        <v>75</v>
      </c>
      <c r="I7575" s="1" t="str">
        <f t="shared" si="5321"/>
        <v>160</v>
      </c>
      <c r="J7575" s="1" t="str">
        <f t="shared" ref="J7575:O7575" si="5325">"0"</f>
        <v>0</v>
      </c>
      <c r="K7575" s="1" t="str">
        <f t="shared" si="5314"/>
        <v>103</v>
      </c>
      <c r="L7575" s="1" t="str">
        <f t="shared" si="5315"/>
        <v>47</v>
      </c>
      <c r="M7575" s="1" t="str">
        <f t="shared" si="5325"/>
        <v>0</v>
      </c>
      <c r="N7575" s="1" t="str">
        <f t="shared" si="5325"/>
        <v>0</v>
      </c>
      <c r="O7575" s="1" t="str">
        <f t="shared" si="5325"/>
        <v>0</v>
      </c>
    </row>
    <row r="7576" s="1" customFormat="1" spans="1:15">
      <c r="A7576" s="1" t="str">
        <f t="shared" si="5292"/>
        <v>202406</v>
      </c>
      <c r="B7576" s="1" t="str">
        <f t="shared" si="5293"/>
        <v>150525100</v>
      </c>
      <c r="C7576" s="1" t="str">
        <f>"1014623020"</f>
        <v>1014623020</v>
      </c>
      <c r="D7576" s="1" t="str">
        <f>"152326194412100028"</f>
        <v>152326194412100028</v>
      </c>
      <c r="E7576" s="1" t="s">
        <v>619</v>
      </c>
      <c r="F7576" s="1" t="s">
        <v>16</v>
      </c>
      <c r="G7576" s="1" t="s">
        <v>17</v>
      </c>
      <c r="H7576" s="1" t="str">
        <f>"80"</f>
        <v>80</v>
      </c>
      <c r="I7576" s="1" t="str">
        <f t="shared" si="5321"/>
        <v>160</v>
      </c>
      <c r="J7576" s="1" t="str">
        <f t="shared" ref="J7576:O7576" si="5326">"0"</f>
        <v>0</v>
      </c>
      <c r="K7576" s="1" t="str">
        <f t="shared" si="5314"/>
        <v>103</v>
      </c>
      <c r="L7576" s="1" t="str">
        <f t="shared" si="5315"/>
        <v>47</v>
      </c>
      <c r="M7576" s="1" t="str">
        <f t="shared" si="5326"/>
        <v>0</v>
      </c>
      <c r="N7576" s="1" t="str">
        <f t="shared" si="5326"/>
        <v>0</v>
      </c>
      <c r="O7576" s="1" t="str">
        <f t="shared" si="5326"/>
        <v>0</v>
      </c>
    </row>
    <row r="7577" s="1" customFormat="1" spans="1:15">
      <c r="A7577" s="1" t="str">
        <f t="shared" si="5292"/>
        <v>202406</v>
      </c>
      <c r="B7577" s="1" t="str">
        <f t="shared" si="5293"/>
        <v>150525100</v>
      </c>
      <c r="C7577" s="1" t="str">
        <f>"1014623027"</f>
        <v>1014623027</v>
      </c>
      <c r="D7577" s="1" t="str">
        <f>"152326195111020045"</f>
        <v>152326195111020045</v>
      </c>
      <c r="E7577" s="1" t="s">
        <v>6213</v>
      </c>
      <c r="F7577" s="1" t="s">
        <v>16</v>
      </c>
      <c r="G7577" s="1" t="s">
        <v>17</v>
      </c>
      <c r="H7577" s="1" t="str">
        <f t="shared" ref="H7577:H7581" si="5327">"73"</f>
        <v>73</v>
      </c>
      <c r="I7577" s="1" t="str">
        <f t="shared" si="5321"/>
        <v>160</v>
      </c>
      <c r="J7577" s="1" t="str">
        <f t="shared" ref="J7577:O7577" si="5328">"0"</f>
        <v>0</v>
      </c>
      <c r="K7577" s="1" t="str">
        <f t="shared" si="5314"/>
        <v>103</v>
      </c>
      <c r="L7577" s="1" t="str">
        <f t="shared" si="5315"/>
        <v>47</v>
      </c>
      <c r="M7577" s="1" t="str">
        <f t="shared" si="5328"/>
        <v>0</v>
      </c>
      <c r="N7577" s="1" t="str">
        <f t="shared" si="5328"/>
        <v>0</v>
      </c>
      <c r="O7577" s="1" t="str">
        <f t="shared" si="5328"/>
        <v>0</v>
      </c>
    </row>
    <row r="7578" s="1" customFormat="1" spans="1:15">
      <c r="A7578" s="1" t="str">
        <f t="shared" si="5292"/>
        <v>202406</v>
      </c>
      <c r="B7578" s="1" t="str">
        <f t="shared" si="5293"/>
        <v>150525100</v>
      </c>
      <c r="C7578" s="1" t="str">
        <f>"1014623522"</f>
        <v>1014623522</v>
      </c>
      <c r="D7578" s="1" t="str">
        <f>"152326194411290421"</f>
        <v>152326194411290421</v>
      </c>
      <c r="E7578" s="1" t="s">
        <v>4247</v>
      </c>
      <c r="F7578" s="1" t="s">
        <v>16</v>
      </c>
      <c r="G7578" s="1" t="s">
        <v>17</v>
      </c>
      <c r="H7578" s="1" t="str">
        <f>"80"</f>
        <v>80</v>
      </c>
      <c r="I7578" s="1" t="str">
        <f t="shared" si="5321"/>
        <v>160</v>
      </c>
      <c r="J7578" s="1" t="str">
        <f t="shared" ref="J7578:O7578" si="5329">"0"</f>
        <v>0</v>
      </c>
      <c r="K7578" s="1" t="str">
        <f t="shared" si="5314"/>
        <v>103</v>
      </c>
      <c r="L7578" s="1" t="str">
        <f t="shared" si="5315"/>
        <v>47</v>
      </c>
      <c r="M7578" s="1" t="str">
        <f t="shared" si="5329"/>
        <v>0</v>
      </c>
      <c r="N7578" s="1" t="str">
        <f t="shared" si="5329"/>
        <v>0</v>
      </c>
      <c r="O7578" s="1" t="str">
        <f t="shared" si="5329"/>
        <v>0</v>
      </c>
    </row>
    <row r="7579" s="1" customFormat="1" spans="1:15">
      <c r="A7579" s="1" t="str">
        <f t="shared" si="5292"/>
        <v>202406</v>
      </c>
      <c r="B7579" s="1" t="str">
        <f t="shared" si="5293"/>
        <v>150525100</v>
      </c>
      <c r="C7579" s="1" t="str">
        <f>"1014623542"</f>
        <v>1014623542</v>
      </c>
      <c r="D7579" s="1" t="str">
        <f>"152326194911063823"</f>
        <v>152326194911063823</v>
      </c>
      <c r="E7579" s="1" t="s">
        <v>7282</v>
      </c>
      <c r="F7579" s="1" t="s">
        <v>16</v>
      </c>
      <c r="G7579" s="1" t="s">
        <v>19</v>
      </c>
      <c r="H7579" s="1" t="str">
        <f>"75"</f>
        <v>75</v>
      </c>
      <c r="I7579" s="1" t="str">
        <f t="shared" si="5321"/>
        <v>160</v>
      </c>
      <c r="J7579" s="1" t="str">
        <f t="shared" ref="J7579:O7579" si="5330">"0"</f>
        <v>0</v>
      </c>
      <c r="K7579" s="1" t="str">
        <f t="shared" si="5314"/>
        <v>103</v>
      </c>
      <c r="L7579" s="1" t="str">
        <f t="shared" si="5315"/>
        <v>47</v>
      </c>
      <c r="M7579" s="1" t="str">
        <f t="shared" si="5330"/>
        <v>0</v>
      </c>
      <c r="N7579" s="1" t="str">
        <f t="shared" si="5330"/>
        <v>0</v>
      </c>
      <c r="O7579" s="1" t="str">
        <f t="shared" si="5330"/>
        <v>0</v>
      </c>
    </row>
    <row r="7580" s="1" customFormat="1" spans="1:15">
      <c r="A7580" s="1" t="str">
        <f t="shared" si="5292"/>
        <v>202406</v>
      </c>
      <c r="B7580" s="1" t="str">
        <f t="shared" si="5293"/>
        <v>150525100</v>
      </c>
      <c r="C7580" s="1" t="str">
        <f>"1014629443"</f>
        <v>1014629443</v>
      </c>
      <c r="D7580" s="1" t="str">
        <f>"152326195110213822"</f>
        <v>152326195110213822</v>
      </c>
      <c r="E7580" s="1" t="s">
        <v>7283</v>
      </c>
      <c r="F7580" s="1" t="s">
        <v>16</v>
      </c>
      <c r="G7580" s="1" t="s">
        <v>19</v>
      </c>
      <c r="H7580" s="1" t="str">
        <f t="shared" si="5327"/>
        <v>73</v>
      </c>
      <c r="I7580" s="1" t="str">
        <f t="shared" si="5321"/>
        <v>160</v>
      </c>
      <c r="J7580" s="1" t="str">
        <f t="shared" ref="J7580:O7580" si="5331">"0"</f>
        <v>0</v>
      </c>
      <c r="K7580" s="1" t="str">
        <f t="shared" si="5314"/>
        <v>103</v>
      </c>
      <c r="L7580" s="1" t="str">
        <f t="shared" si="5315"/>
        <v>47</v>
      </c>
      <c r="M7580" s="1" t="str">
        <f t="shared" si="5331"/>
        <v>0</v>
      </c>
      <c r="N7580" s="1" t="str">
        <f t="shared" si="5331"/>
        <v>0</v>
      </c>
      <c r="O7580" s="1" t="str">
        <f t="shared" si="5331"/>
        <v>0</v>
      </c>
    </row>
    <row r="7581" s="1" customFormat="1" spans="1:15">
      <c r="A7581" s="1" t="str">
        <f t="shared" si="5292"/>
        <v>202406</v>
      </c>
      <c r="B7581" s="1" t="str">
        <f t="shared" si="5293"/>
        <v>150525100</v>
      </c>
      <c r="C7581" s="1" t="str">
        <f>"1014629447"</f>
        <v>1014629447</v>
      </c>
      <c r="D7581" s="1" t="str">
        <f>"152326195111213824"</f>
        <v>152326195111213824</v>
      </c>
      <c r="E7581" s="1" t="s">
        <v>6007</v>
      </c>
      <c r="F7581" s="1" t="s">
        <v>16</v>
      </c>
      <c r="G7581" s="1" t="s">
        <v>19</v>
      </c>
      <c r="H7581" s="1" t="str">
        <f t="shared" si="5327"/>
        <v>73</v>
      </c>
      <c r="I7581" s="1" t="str">
        <f t="shared" si="5321"/>
        <v>160</v>
      </c>
      <c r="J7581" s="1" t="str">
        <f t="shared" ref="J7581:O7581" si="5332">"0"</f>
        <v>0</v>
      </c>
      <c r="K7581" s="1" t="str">
        <f t="shared" si="5314"/>
        <v>103</v>
      </c>
      <c r="L7581" s="1" t="str">
        <f t="shared" si="5315"/>
        <v>47</v>
      </c>
      <c r="M7581" s="1" t="str">
        <f t="shared" si="5332"/>
        <v>0</v>
      </c>
      <c r="N7581" s="1" t="str">
        <f t="shared" si="5332"/>
        <v>0</v>
      </c>
      <c r="O7581" s="1" t="str">
        <f t="shared" si="5332"/>
        <v>0</v>
      </c>
    </row>
    <row r="7582" s="1" customFormat="1" spans="1:15">
      <c r="A7582" s="1" t="str">
        <f t="shared" si="5292"/>
        <v>202406</v>
      </c>
      <c r="B7582" s="1" t="str">
        <f t="shared" si="5293"/>
        <v>150525100</v>
      </c>
      <c r="C7582" s="1" t="str">
        <f>"1014629457"</f>
        <v>1014629457</v>
      </c>
      <c r="D7582" s="1" t="str">
        <f>"152326194712023829"</f>
        <v>152326194712023829</v>
      </c>
      <c r="E7582" s="1" t="s">
        <v>7284</v>
      </c>
      <c r="F7582" s="1" t="s">
        <v>16</v>
      </c>
      <c r="G7582" s="1" t="s">
        <v>19</v>
      </c>
      <c r="H7582" s="1" t="str">
        <f>"77"</f>
        <v>77</v>
      </c>
      <c r="I7582" s="1" t="str">
        <f t="shared" si="5321"/>
        <v>160</v>
      </c>
      <c r="J7582" s="1" t="str">
        <f t="shared" ref="J7582:O7582" si="5333">"0"</f>
        <v>0</v>
      </c>
      <c r="K7582" s="1" t="str">
        <f t="shared" si="5314"/>
        <v>103</v>
      </c>
      <c r="L7582" s="1" t="str">
        <f t="shared" si="5315"/>
        <v>47</v>
      </c>
      <c r="M7582" s="1" t="str">
        <f t="shared" si="5333"/>
        <v>0</v>
      </c>
      <c r="N7582" s="1" t="str">
        <f t="shared" si="5333"/>
        <v>0</v>
      </c>
      <c r="O7582" s="1" t="str">
        <f t="shared" si="5333"/>
        <v>0</v>
      </c>
    </row>
    <row r="7583" s="1" customFormat="1" spans="1:15">
      <c r="A7583" s="1" t="str">
        <f t="shared" si="5292"/>
        <v>202406</v>
      </c>
      <c r="B7583" s="1" t="str">
        <f t="shared" si="5293"/>
        <v>150525100</v>
      </c>
      <c r="C7583" s="1" t="str">
        <f>"1014629480"</f>
        <v>1014629480</v>
      </c>
      <c r="D7583" s="1" t="str">
        <f>"152326194508193812"</f>
        <v>152326194508193812</v>
      </c>
      <c r="E7583" s="1" t="s">
        <v>7285</v>
      </c>
      <c r="F7583" s="1" t="s">
        <v>25</v>
      </c>
      <c r="G7583" s="1" t="s">
        <v>19</v>
      </c>
      <c r="H7583" s="1" t="str">
        <f>"79"</f>
        <v>79</v>
      </c>
      <c r="I7583" s="1" t="str">
        <f t="shared" si="5321"/>
        <v>160</v>
      </c>
      <c r="J7583" s="1" t="str">
        <f t="shared" ref="J7583:O7583" si="5334">"0"</f>
        <v>0</v>
      </c>
      <c r="K7583" s="1" t="str">
        <f t="shared" si="5314"/>
        <v>103</v>
      </c>
      <c r="L7583" s="1" t="str">
        <f t="shared" si="5315"/>
        <v>47</v>
      </c>
      <c r="M7583" s="1" t="str">
        <f t="shared" si="5334"/>
        <v>0</v>
      </c>
      <c r="N7583" s="1" t="str">
        <f t="shared" si="5334"/>
        <v>0</v>
      </c>
      <c r="O7583" s="1" t="str">
        <f t="shared" si="5334"/>
        <v>0</v>
      </c>
    </row>
    <row r="7584" s="1" customFormat="1" spans="1:15">
      <c r="A7584" s="1" t="str">
        <f t="shared" si="5292"/>
        <v>202406</v>
      </c>
      <c r="B7584" s="1" t="str">
        <f t="shared" si="5293"/>
        <v>150525100</v>
      </c>
      <c r="C7584" s="1" t="str">
        <f>"1014629500"</f>
        <v>1014629500</v>
      </c>
      <c r="D7584" s="1" t="str">
        <f>"152326192811100026"</f>
        <v>152326192811100026</v>
      </c>
      <c r="E7584" s="1" t="s">
        <v>7286</v>
      </c>
      <c r="F7584" s="1" t="s">
        <v>16</v>
      </c>
      <c r="G7584" s="1" t="s">
        <v>17</v>
      </c>
      <c r="H7584" s="1" t="str">
        <f>"96"</f>
        <v>96</v>
      </c>
      <c r="I7584" s="1" t="str">
        <f>"170"</f>
        <v>170</v>
      </c>
      <c r="J7584" s="1" t="str">
        <f t="shared" ref="J7584:O7584" si="5335">"0"</f>
        <v>0</v>
      </c>
      <c r="K7584" s="1" t="str">
        <f t="shared" si="5314"/>
        <v>103</v>
      </c>
      <c r="L7584" s="1" t="str">
        <f t="shared" si="5315"/>
        <v>47</v>
      </c>
      <c r="M7584" s="1" t="str">
        <f t="shared" si="5335"/>
        <v>0</v>
      </c>
      <c r="N7584" s="1" t="str">
        <f t="shared" si="5335"/>
        <v>0</v>
      </c>
      <c r="O7584" s="1" t="str">
        <f t="shared" si="5335"/>
        <v>0</v>
      </c>
    </row>
    <row r="7585" s="1" customFormat="1" spans="1:15">
      <c r="A7585" s="1" t="str">
        <f t="shared" si="5292"/>
        <v>202406</v>
      </c>
      <c r="B7585" s="1" t="str">
        <f t="shared" si="5293"/>
        <v>150525100</v>
      </c>
      <c r="C7585" s="1" t="str">
        <f>"1014629554"</f>
        <v>1014629554</v>
      </c>
      <c r="D7585" s="1" t="str">
        <f>"152326194705273088"</f>
        <v>152326194705273088</v>
      </c>
      <c r="E7585" s="1" t="s">
        <v>7287</v>
      </c>
      <c r="F7585" s="1" t="s">
        <v>16</v>
      </c>
      <c r="G7585" s="1" t="s">
        <v>17</v>
      </c>
      <c r="H7585" s="1" t="str">
        <f>"77"</f>
        <v>77</v>
      </c>
      <c r="I7585" s="1" t="str">
        <f t="shared" ref="I7585:I7588" si="5336">"160"</f>
        <v>160</v>
      </c>
      <c r="J7585" s="1" t="str">
        <f t="shared" ref="J7585:O7585" si="5337">"0"</f>
        <v>0</v>
      </c>
      <c r="K7585" s="1" t="str">
        <f t="shared" si="5314"/>
        <v>103</v>
      </c>
      <c r="L7585" s="1" t="str">
        <f t="shared" si="5315"/>
        <v>47</v>
      </c>
      <c r="M7585" s="1" t="str">
        <f t="shared" si="5337"/>
        <v>0</v>
      </c>
      <c r="N7585" s="1" t="str">
        <f t="shared" si="5337"/>
        <v>0</v>
      </c>
      <c r="O7585" s="1" t="str">
        <f t="shared" si="5337"/>
        <v>0</v>
      </c>
    </row>
    <row r="7586" s="1" customFormat="1" spans="1:15">
      <c r="A7586" s="1" t="str">
        <f t="shared" si="5292"/>
        <v>202406</v>
      </c>
      <c r="B7586" s="1" t="str">
        <f t="shared" si="5293"/>
        <v>150525100</v>
      </c>
      <c r="C7586" s="1" t="str">
        <f>"1014589085"</f>
        <v>1014589085</v>
      </c>
      <c r="D7586" s="1" t="str">
        <f>"152326195401170420"</f>
        <v>152326195401170420</v>
      </c>
      <c r="E7586" s="1" t="s">
        <v>7288</v>
      </c>
      <c r="F7586" s="1" t="s">
        <v>16</v>
      </c>
      <c r="G7586" s="1" t="s">
        <v>17</v>
      </c>
      <c r="H7586" s="1" t="str">
        <f>"70"</f>
        <v>70</v>
      </c>
      <c r="I7586" s="1" t="str">
        <f>"164.15"</f>
        <v>164.15</v>
      </c>
      <c r="J7586" s="1" t="str">
        <f t="shared" ref="J7586:N7586" si="5338">"0"</f>
        <v>0</v>
      </c>
      <c r="K7586" s="1" t="str">
        <f t="shared" si="5314"/>
        <v>103</v>
      </c>
      <c r="L7586" s="1" t="str">
        <f t="shared" si="5315"/>
        <v>47</v>
      </c>
      <c r="M7586" s="1" t="str">
        <f t="shared" si="5338"/>
        <v>0</v>
      </c>
      <c r="N7586" s="1" t="str">
        <f t="shared" si="5338"/>
        <v>0</v>
      </c>
      <c r="O7586" s="1" t="str">
        <f>"4.15"</f>
        <v>4.15</v>
      </c>
    </row>
    <row r="7587" s="1" customFormat="1" spans="1:15">
      <c r="A7587" s="1" t="str">
        <f t="shared" si="5292"/>
        <v>202406</v>
      </c>
      <c r="B7587" s="1" t="str">
        <f t="shared" si="5293"/>
        <v>150525100</v>
      </c>
      <c r="C7587" s="1" t="str">
        <f>"1014612953"</f>
        <v>1014612953</v>
      </c>
      <c r="D7587" s="1" t="str">
        <f>"152326194808200420"</f>
        <v>152326194808200420</v>
      </c>
      <c r="E7587" s="1" t="s">
        <v>7289</v>
      </c>
      <c r="F7587" s="1" t="s">
        <v>16</v>
      </c>
      <c r="G7587" s="1" t="s">
        <v>19</v>
      </c>
      <c r="H7587" s="1" t="str">
        <f>"76"</f>
        <v>76</v>
      </c>
      <c r="I7587" s="1" t="str">
        <f t="shared" si="5336"/>
        <v>160</v>
      </c>
      <c r="J7587" s="1" t="str">
        <f t="shared" ref="J7587:O7587" si="5339">"0"</f>
        <v>0</v>
      </c>
      <c r="K7587" s="1" t="str">
        <f t="shared" si="5314"/>
        <v>103</v>
      </c>
      <c r="L7587" s="1" t="str">
        <f t="shared" si="5315"/>
        <v>47</v>
      </c>
      <c r="M7587" s="1" t="str">
        <f t="shared" si="5339"/>
        <v>0</v>
      </c>
      <c r="N7587" s="1" t="str">
        <f t="shared" si="5339"/>
        <v>0</v>
      </c>
      <c r="O7587" s="1" t="str">
        <f t="shared" si="5339"/>
        <v>0</v>
      </c>
    </row>
    <row r="7588" s="1" customFormat="1" spans="1:15">
      <c r="A7588" s="1" t="str">
        <f t="shared" si="5292"/>
        <v>202406</v>
      </c>
      <c r="B7588" s="1" t="str">
        <f t="shared" si="5293"/>
        <v>150525100</v>
      </c>
      <c r="C7588" s="1" t="str">
        <f>"1014612955"</f>
        <v>1014612955</v>
      </c>
      <c r="D7588" s="1" t="s">
        <v>7290</v>
      </c>
      <c r="E7588" s="1" t="s">
        <v>7291</v>
      </c>
      <c r="F7588" s="1" t="s">
        <v>16</v>
      </c>
      <c r="G7588" s="1" t="s">
        <v>19</v>
      </c>
      <c r="H7588" s="1" t="str">
        <f>"78"</f>
        <v>78</v>
      </c>
      <c r="I7588" s="1" t="str">
        <f t="shared" si="5336"/>
        <v>160</v>
      </c>
      <c r="J7588" s="1" t="str">
        <f t="shared" ref="J7588:O7588" si="5340">"0"</f>
        <v>0</v>
      </c>
      <c r="K7588" s="1" t="str">
        <f t="shared" si="5314"/>
        <v>103</v>
      </c>
      <c r="L7588" s="1" t="str">
        <f t="shared" si="5315"/>
        <v>47</v>
      </c>
      <c r="M7588" s="1" t="str">
        <f t="shared" si="5340"/>
        <v>0</v>
      </c>
      <c r="N7588" s="1" t="str">
        <f t="shared" si="5340"/>
        <v>0</v>
      </c>
      <c r="O7588" s="1" t="str">
        <f t="shared" si="5340"/>
        <v>0</v>
      </c>
    </row>
    <row r="7589" s="1" customFormat="1" spans="1:15">
      <c r="A7589" s="1" t="str">
        <f t="shared" si="5292"/>
        <v>202406</v>
      </c>
      <c r="B7589" s="1" t="str">
        <f t="shared" si="5293"/>
        <v>150525100</v>
      </c>
      <c r="C7589" s="1" t="str">
        <f>"1014613238"</f>
        <v>1014613238</v>
      </c>
      <c r="D7589" s="1" t="str">
        <f>"152326194112260425"</f>
        <v>152326194112260425</v>
      </c>
      <c r="E7589" s="1" t="s">
        <v>7292</v>
      </c>
      <c r="F7589" s="1" t="s">
        <v>16</v>
      </c>
      <c r="G7589" s="1" t="s">
        <v>17</v>
      </c>
      <c r="H7589" s="1" t="str">
        <f>"83"</f>
        <v>83</v>
      </c>
      <c r="I7589" s="1" t="str">
        <f>"170"</f>
        <v>170</v>
      </c>
      <c r="J7589" s="1" t="str">
        <f t="shared" ref="J7589:O7589" si="5341">"0"</f>
        <v>0</v>
      </c>
      <c r="K7589" s="1" t="str">
        <f t="shared" si="5314"/>
        <v>103</v>
      </c>
      <c r="L7589" s="1" t="str">
        <f t="shared" si="5315"/>
        <v>47</v>
      </c>
      <c r="M7589" s="1" t="str">
        <f t="shared" si="5341"/>
        <v>0</v>
      </c>
      <c r="N7589" s="1" t="str">
        <f t="shared" si="5341"/>
        <v>0</v>
      </c>
      <c r="O7589" s="1" t="str">
        <f t="shared" si="5341"/>
        <v>0</v>
      </c>
    </row>
    <row r="7590" s="1" customFormat="1" spans="1:15">
      <c r="A7590" s="1" t="str">
        <f t="shared" si="5292"/>
        <v>202406</v>
      </c>
      <c r="B7590" s="1" t="str">
        <f t="shared" si="5293"/>
        <v>150525100</v>
      </c>
      <c r="C7590" s="1" t="str">
        <f>"1014621876"</f>
        <v>1014621876</v>
      </c>
      <c r="D7590" s="1" t="s">
        <v>7293</v>
      </c>
      <c r="E7590" s="1" t="s">
        <v>7294</v>
      </c>
      <c r="F7590" s="1" t="s">
        <v>25</v>
      </c>
      <c r="G7590" s="1" t="s">
        <v>17</v>
      </c>
      <c r="H7590" s="1" t="str">
        <f>"82"</f>
        <v>82</v>
      </c>
      <c r="I7590" s="1" t="str">
        <f>"170"</f>
        <v>170</v>
      </c>
      <c r="J7590" s="1" t="str">
        <f t="shared" ref="J7590:O7590" si="5342">"0"</f>
        <v>0</v>
      </c>
      <c r="K7590" s="1" t="str">
        <f t="shared" si="5314"/>
        <v>103</v>
      </c>
      <c r="L7590" s="1" t="str">
        <f t="shared" si="5315"/>
        <v>47</v>
      </c>
      <c r="M7590" s="1" t="str">
        <f t="shared" si="5342"/>
        <v>0</v>
      </c>
      <c r="N7590" s="1" t="str">
        <f t="shared" si="5342"/>
        <v>0</v>
      </c>
      <c r="O7590" s="1" t="str">
        <f t="shared" si="5342"/>
        <v>0</v>
      </c>
    </row>
    <row r="7591" s="1" customFormat="1" spans="1:15">
      <c r="A7591" s="1" t="str">
        <f t="shared" si="5292"/>
        <v>202406</v>
      </c>
      <c r="B7591" s="1" t="str">
        <f t="shared" si="5293"/>
        <v>150525100</v>
      </c>
      <c r="C7591" s="1" t="str">
        <f>"1014624037"</f>
        <v>1014624037</v>
      </c>
      <c r="D7591" s="1" t="str">
        <f>"152326194504273081"</f>
        <v>152326194504273081</v>
      </c>
      <c r="E7591" s="1" t="s">
        <v>1252</v>
      </c>
      <c r="F7591" s="1" t="s">
        <v>16</v>
      </c>
      <c r="G7591" s="1" t="s">
        <v>17</v>
      </c>
      <c r="H7591" s="1" t="str">
        <f>"79"</f>
        <v>79</v>
      </c>
      <c r="I7591" s="1" t="str">
        <f t="shared" ref="I7591:I7598" si="5343">"160"</f>
        <v>160</v>
      </c>
      <c r="J7591" s="1" t="str">
        <f t="shared" ref="J7591:O7591" si="5344">"0"</f>
        <v>0</v>
      </c>
      <c r="K7591" s="1" t="str">
        <f t="shared" si="5314"/>
        <v>103</v>
      </c>
      <c r="L7591" s="1" t="str">
        <f t="shared" si="5315"/>
        <v>47</v>
      </c>
      <c r="M7591" s="1" t="str">
        <f t="shared" si="5344"/>
        <v>0</v>
      </c>
      <c r="N7591" s="1" t="str">
        <f t="shared" si="5344"/>
        <v>0</v>
      </c>
      <c r="O7591" s="1" t="str">
        <f t="shared" si="5344"/>
        <v>0</v>
      </c>
    </row>
    <row r="7592" s="1" customFormat="1" spans="1:15">
      <c r="A7592" s="1" t="str">
        <f t="shared" si="5292"/>
        <v>202406</v>
      </c>
      <c r="B7592" s="1" t="str">
        <f t="shared" si="5293"/>
        <v>150525100</v>
      </c>
      <c r="C7592" s="1" t="str">
        <f>"1014624063"</f>
        <v>1014624063</v>
      </c>
      <c r="D7592" s="1" t="str">
        <f>"152326194901293115"</f>
        <v>152326194901293115</v>
      </c>
      <c r="E7592" s="1" t="s">
        <v>7295</v>
      </c>
      <c r="F7592" s="1" t="s">
        <v>25</v>
      </c>
      <c r="G7592" s="1" t="s">
        <v>17</v>
      </c>
      <c r="H7592" s="1" t="str">
        <f>"75"</f>
        <v>75</v>
      </c>
      <c r="I7592" s="1" t="str">
        <f t="shared" si="5343"/>
        <v>160</v>
      </c>
      <c r="J7592" s="1" t="str">
        <f t="shared" ref="J7592:O7592" si="5345">"0"</f>
        <v>0</v>
      </c>
      <c r="K7592" s="1" t="str">
        <f t="shared" si="5314"/>
        <v>103</v>
      </c>
      <c r="L7592" s="1" t="str">
        <f t="shared" si="5315"/>
        <v>47</v>
      </c>
      <c r="M7592" s="1" t="str">
        <f t="shared" si="5345"/>
        <v>0</v>
      </c>
      <c r="N7592" s="1" t="str">
        <f t="shared" si="5345"/>
        <v>0</v>
      </c>
      <c r="O7592" s="1" t="str">
        <f t="shared" si="5345"/>
        <v>0</v>
      </c>
    </row>
    <row r="7593" s="1" customFormat="1" spans="1:15">
      <c r="A7593" s="1" t="str">
        <f t="shared" si="5292"/>
        <v>202406</v>
      </c>
      <c r="B7593" s="1" t="str">
        <f t="shared" si="5293"/>
        <v>150525100</v>
      </c>
      <c r="C7593" s="1" t="str">
        <f>"1014619532"</f>
        <v>1014619532</v>
      </c>
      <c r="D7593" s="1" t="str">
        <f>"152326194910040670"</f>
        <v>152326194910040670</v>
      </c>
      <c r="E7593" s="1" t="s">
        <v>7296</v>
      </c>
      <c r="F7593" s="1" t="s">
        <v>25</v>
      </c>
      <c r="G7593" s="1" t="s">
        <v>96</v>
      </c>
      <c r="H7593" s="1" t="str">
        <f>"75"</f>
        <v>75</v>
      </c>
      <c r="I7593" s="1" t="str">
        <f t="shared" si="5343"/>
        <v>160</v>
      </c>
      <c r="J7593" s="1" t="str">
        <f t="shared" ref="J7593:O7593" si="5346">"0"</f>
        <v>0</v>
      </c>
      <c r="K7593" s="1" t="str">
        <f t="shared" si="5314"/>
        <v>103</v>
      </c>
      <c r="L7593" s="1" t="str">
        <f t="shared" si="5315"/>
        <v>47</v>
      </c>
      <c r="M7593" s="1" t="str">
        <f t="shared" si="5346"/>
        <v>0</v>
      </c>
      <c r="N7593" s="1" t="str">
        <f t="shared" si="5346"/>
        <v>0</v>
      </c>
      <c r="O7593" s="1" t="str">
        <f t="shared" si="5346"/>
        <v>0</v>
      </c>
    </row>
    <row r="7594" s="1" customFormat="1" spans="1:15">
      <c r="A7594" s="1" t="str">
        <f t="shared" si="5292"/>
        <v>202406</v>
      </c>
      <c r="B7594" s="1" t="str">
        <f t="shared" si="5293"/>
        <v>150525100</v>
      </c>
      <c r="C7594" s="1" t="str">
        <f>"1014619533"</f>
        <v>1014619533</v>
      </c>
      <c r="D7594" s="1" t="str">
        <f>"152326194901010672"</f>
        <v>152326194901010672</v>
      </c>
      <c r="E7594" s="1" t="s">
        <v>7297</v>
      </c>
      <c r="F7594" s="1" t="s">
        <v>25</v>
      </c>
      <c r="G7594" s="1" t="s">
        <v>96</v>
      </c>
      <c r="H7594" s="1" t="str">
        <f>"76"</f>
        <v>76</v>
      </c>
      <c r="I7594" s="1" t="str">
        <f t="shared" si="5343"/>
        <v>160</v>
      </c>
      <c r="J7594" s="1" t="str">
        <f t="shared" ref="J7594:O7594" si="5347">"0"</f>
        <v>0</v>
      </c>
      <c r="K7594" s="1" t="str">
        <f t="shared" si="5314"/>
        <v>103</v>
      </c>
      <c r="L7594" s="1" t="str">
        <f t="shared" si="5315"/>
        <v>47</v>
      </c>
      <c r="M7594" s="1" t="str">
        <f t="shared" si="5347"/>
        <v>0</v>
      </c>
      <c r="N7594" s="1" t="str">
        <f t="shared" si="5347"/>
        <v>0</v>
      </c>
      <c r="O7594" s="1" t="str">
        <f t="shared" si="5347"/>
        <v>0</v>
      </c>
    </row>
    <row r="7595" s="1" customFormat="1" spans="1:15">
      <c r="A7595" s="1" t="str">
        <f t="shared" si="5292"/>
        <v>202406</v>
      </c>
      <c r="B7595" s="1" t="str">
        <f t="shared" si="5293"/>
        <v>150525100</v>
      </c>
      <c r="C7595" s="1" t="str">
        <f>"1014619681"</f>
        <v>1014619681</v>
      </c>
      <c r="D7595" s="1" t="str">
        <f>"152326194811160677"</f>
        <v>152326194811160677</v>
      </c>
      <c r="E7595" s="1" t="s">
        <v>7298</v>
      </c>
      <c r="F7595" s="1" t="s">
        <v>25</v>
      </c>
      <c r="G7595" s="1" t="s">
        <v>17</v>
      </c>
      <c r="H7595" s="1" t="str">
        <f>"76"</f>
        <v>76</v>
      </c>
      <c r="I7595" s="1" t="str">
        <f t="shared" si="5343"/>
        <v>160</v>
      </c>
      <c r="J7595" s="1" t="str">
        <f t="shared" ref="J7595:O7595" si="5348">"0"</f>
        <v>0</v>
      </c>
      <c r="K7595" s="1" t="str">
        <f t="shared" si="5314"/>
        <v>103</v>
      </c>
      <c r="L7595" s="1" t="str">
        <f t="shared" si="5315"/>
        <v>47</v>
      </c>
      <c r="M7595" s="1" t="str">
        <f t="shared" si="5348"/>
        <v>0</v>
      </c>
      <c r="N7595" s="1" t="str">
        <f t="shared" si="5348"/>
        <v>0</v>
      </c>
      <c r="O7595" s="1" t="str">
        <f t="shared" si="5348"/>
        <v>0</v>
      </c>
    </row>
    <row r="7596" s="1" customFormat="1" spans="1:15">
      <c r="A7596" s="1" t="str">
        <f t="shared" si="5292"/>
        <v>202406</v>
      </c>
      <c r="B7596" s="1" t="str">
        <f t="shared" si="5293"/>
        <v>150525100</v>
      </c>
      <c r="C7596" s="1" t="str">
        <f>"1014619694"</f>
        <v>1014619694</v>
      </c>
      <c r="D7596" s="1" t="s">
        <v>7299</v>
      </c>
      <c r="E7596" s="1" t="s">
        <v>7300</v>
      </c>
      <c r="F7596" s="1" t="s">
        <v>16</v>
      </c>
      <c r="G7596" s="1" t="s">
        <v>19</v>
      </c>
      <c r="H7596" s="1" t="str">
        <f>"79"</f>
        <v>79</v>
      </c>
      <c r="I7596" s="1" t="str">
        <f t="shared" si="5343"/>
        <v>160</v>
      </c>
      <c r="J7596" s="1" t="str">
        <f t="shared" ref="J7596:O7596" si="5349">"0"</f>
        <v>0</v>
      </c>
      <c r="K7596" s="1" t="str">
        <f t="shared" si="5314"/>
        <v>103</v>
      </c>
      <c r="L7596" s="1" t="str">
        <f t="shared" si="5315"/>
        <v>47</v>
      </c>
      <c r="M7596" s="1" t="str">
        <f t="shared" si="5349"/>
        <v>0</v>
      </c>
      <c r="N7596" s="1" t="str">
        <f t="shared" si="5349"/>
        <v>0</v>
      </c>
      <c r="O7596" s="1" t="str">
        <f t="shared" si="5349"/>
        <v>0</v>
      </c>
    </row>
    <row r="7597" s="1" customFormat="1" spans="1:15">
      <c r="A7597" s="1" t="str">
        <f t="shared" si="5292"/>
        <v>202406</v>
      </c>
      <c r="B7597" s="1" t="str">
        <f t="shared" si="5293"/>
        <v>150525100</v>
      </c>
      <c r="C7597" s="1" t="str">
        <f>"1014623043"</f>
        <v>1014623043</v>
      </c>
      <c r="D7597" s="1" t="str">
        <f>"152326195101250429"</f>
        <v>152326195101250429</v>
      </c>
      <c r="E7597" s="1" t="s">
        <v>3239</v>
      </c>
      <c r="F7597" s="1" t="s">
        <v>16</v>
      </c>
      <c r="G7597" s="1" t="s">
        <v>17</v>
      </c>
      <c r="H7597" s="1" t="str">
        <f>"73"</f>
        <v>73</v>
      </c>
      <c r="I7597" s="1" t="str">
        <f t="shared" si="5343"/>
        <v>160</v>
      </c>
      <c r="J7597" s="1" t="str">
        <f t="shared" ref="J7597:O7597" si="5350">"0"</f>
        <v>0</v>
      </c>
      <c r="K7597" s="1" t="str">
        <f t="shared" si="5314"/>
        <v>103</v>
      </c>
      <c r="L7597" s="1" t="str">
        <f t="shared" si="5315"/>
        <v>47</v>
      </c>
      <c r="M7597" s="1" t="str">
        <f t="shared" si="5350"/>
        <v>0</v>
      </c>
      <c r="N7597" s="1" t="str">
        <f t="shared" si="5350"/>
        <v>0</v>
      </c>
      <c r="O7597" s="1" t="str">
        <f t="shared" si="5350"/>
        <v>0</v>
      </c>
    </row>
    <row r="7598" s="1" customFormat="1" spans="1:15">
      <c r="A7598" s="1" t="str">
        <f t="shared" si="5292"/>
        <v>202406</v>
      </c>
      <c r="B7598" s="1" t="str">
        <f t="shared" si="5293"/>
        <v>150525100</v>
      </c>
      <c r="C7598" s="1" t="str">
        <f>"1014623046"</f>
        <v>1014623046</v>
      </c>
      <c r="D7598" s="1" t="str">
        <f>"152326194906080426"</f>
        <v>152326194906080426</v>
      </c>
      <c r="E7598" s="1" t="s">
        <v>7301</v>
      </c>
      <c r="F7598" s="1" t="s">
        <v>16</v>
      </c>
      <c r="G7598" s="1" t="s">
        <v>17</v>
      </c>
      <c r="H7598" s="1" t="str">
        <f>"75"</f>
        <v>75</v>
      </c>
      <c r="I7598" s="1" t="str">
        <f t="shared" si="5343"/>
        <v>160</v>
      </c>
      <c r="J7598" s="1" t="str">
        <f t="shared" ref="J7598:O7598" si="5351">"0"</f>
        <v>0</v>
      </c>
      <c r="K7598" s="1" t="str">
        <f t="shared" si="5314"/>
        <v>103</v>
      </c>
      <c r="L7598" s="1" t="str">
        <f t="shared" si="5315"/>
        <v>47</v>
      </c>
      <c r="M7598" s="1" t="str">
        <f t="shared" si="5351"/>
        <v>0</v>
      </c>
      <c r="N7598" s="1" t="str">
        <f t="shared" si="5351"/>
        <v>0</v>
      </c>
      <c r="O7598" s="1" t="str">
        <f t="shared" si="5351"/>
        <v>0</v>
      </c>
    </row>
    <row r="7599" s="1" customFormat="1" spans="1:15">
      <c r="A7599" s="1" t="str">
        <f t="shared" si="5292"/>
        <v>202406</v>
      </c>
      <c r="B7599" s="1" t="str">
        <f t="shared" si="5293"/>
        <v>150525100</v>
      </c>
      <c r="C7599" s="1" t="str">
        <f>"1014623058"</f>
        <v>1014623058</v>
      </c>
      <c r="D7599" s="1" t="str">
        <f>"152326194304030421"</f>
        <v>152326194304030421</v>
      </c>
      <c r="E7599" s="1" t="s">
        <v>5919</v>
      </c>
      <c r="F7599" s="1" t="s">
        <v>16</v>
      </c>
      <c r="G7599" s="1" t="s">
        <v>17</v>
      </c>
      <c r="H7599" s="1" t="str">
        <f>"81"</f>
        <v>81</v>
      </c>
      <c r="I7599" s="1" t="str">
        <f t="shared" ref="I7599:I7602" si="5352">"170"</f>
        <v>170</v>
      </c>
      <c r="J7599" s="1" t="str">
        <f t="shared" ref="J7599:O7599" si="5353">"0"</f>
        <v>0</v>
      </c>
      <c r="K7599" s="1" t="str">
        <f t="shared" si="5314"/>
        <v>103</v>
      </c>
      <c r="L7599" s="1" t="str">
        <f t="shared" si="5315"/>
        <v>47</v>
      </c>
      <c r="M7599" s="1" t="str">
        <f t="shared" si="5353"/>
        <v>0</v>
      </c>
      <c r="N7599" s="1" t="str">
        <f t="shared" si="5353"/>
        <v>0</v>
      </c>
      <c r="O7599" s="1" t="str">
        <f t="shared" si="5353"/>
        <v>0</v>
      </c>
    </row>
    <row r="7600" s="1" customFormat="1" spans="1:15">
      <c r="A7600" s="1" t="str">
        <f t="shared" si="5292"/>
        <v>202406</v>
      </c>
      <c r="B7600" s="1" t="str">
        <f t="shared" si="5293"/>
        <v>150525100</v>
      </c>
      <c r="C7600" s="1" t="str">
        <f>"1014629212"</f>
        <v>1014629212</v>
      </c>
      <c r="D7600" s="1" t="str">
        <f>"152326193806023083"</f>
        <v>152326193806023083</v>
      </c>
      <c r="E7600" s="1" t="s">
        <v>7302</v>
      </c>
      <c r="F7600" s="1" t="s">
        <v>16</v>
      </c>
      <c r="G7600" s="1" t="s">
        <v>17</v>
      </c>
      <c r="H7600" s="1" t="str">
        <f>"86"</f>
        <v>86</v>
      </c>
      <c r="I7600" s="1" t="str">
        <f t="shared" si="5352"/>
        <v>170</v>
      </c>
      <c r="J7600" s="1" t="str">
        <f t="shared" ref="J7600:O7600" si="5354">"0"</f>
        <v>0</v>
      </c>
      <c r="K7600" s="1" t="str">
        <f t="shared" si="5314"/>
        <v>103</v>
      </c>
      <c r="L7600" s="1" t="str">
        <f t="shared" si="5315"/>
        <v>47</v>
      </c>
      <c r="M7600" s="1" t="str">
        <f t="shared" si="5354"/>
        <v>0</v>
      </c>
      <c r="N7600" s="1" t="str">
        <f t="shared" si="5354"/>
        <v>0</v>
      </c>
      <c r="O7600" s="1" t="str">
        <f t="shared" si="5354"/>
        <v>0</v>
      </c>
    </row>
    <row r="7601" s="1" customFormat="1" spans="1:15">
      <c r="A7601" s="1" t="str">
        <f t="shared" si="5292"/>
        <v>202406</v>
      </c>
      <c r="B7601" s="1" t="str">
        <f t="shared" si="5293"/>
        <v>150525100</v>
      </c>
      <c r="C7601" s="1" t="str">
        <f>"1014629237"</f>
        <v>1014629237</v>
      </c>
      <c r="D7601" s="1" t="str">
        <f>"152326195001173825"</f>
        <v>152326195001173825</v>
      </c>
      <c r="E7601" s="1" t="s">
        <v>7303</v>
      </c>
      <c r="F7601" s="1" t="s">
        <v>16</v>
      </c>
      <c r="G7601" s="1" t="s">
        <v>17</v>
      </c>
      <c r="H7601" s="1" t="str">
        <f>"74"</f>
        <v>74</v>
      </c>
      <c r="I7601" s="1" t="str">
        <f>"160"</f>
        <v>160</v>
      </c>
      <c r="J7601" s="1" t="str">
        <f t="shared" ref="J7601:O7601" si="5355">"0"</f>
        <v>0</v>
      </c>
      <c r="K7601" s="1" t="str">
        <f t="shared" si="5314"/>
        <v>103</v>
      </c>
      <c r="L7601" s="1" t="str">
        <f t="shared" si="5315"/>
        <v>47</v>
      </c>
      <c r="M7601" s="1" t="str">
        <f t="shared" si="5355"/>
        <v>0</v>
      </c>
      <c r="N7601" s="1" t="str">
        <f t="shared" si="5355"/>
        <v>0</v>
      </c>
      <c r="O7601" s="1" t="str">
        <f t="shared" si="5355"/>
        <v>0</v>
      </c>
    </row>
    <row r="7602" s="1" customFormat="1" spans="1:15">
      <c r="A7602" s="1" t="str">
        <f t="shared" si="5292"/>
        <v>202406</v>
      </c>
      <c r="B7602" s="1" t="str">
        <f t="shared" si="5293"/>
        <v>150525100</v>
      </c>
      <c r="C7602" s="1" t="str">
        <f>"1014629292"</f>
        <v>1014629292</v>
      </c>
      <c r="D7602" s="1" t="str">
        <f>"152326194310193817"</f>
        <v>152326194310193817</v>
      </c>
      <c r="E7602" s="1" t="s">
        <v>7304</v>
      </c>
      <c r="F7602" s="1" t="s">
        <v>25</v>
      </c>
      <c r="G7602" s="1" t="s">
        <v>17</v>
      </c>
      <c r="H7602" s="1" t="str">
        <f>"81"</f>
        <v>81</v>
      </c>
      <c r="I7602" s="1" t="str">
        <f t="shared" si="5352"/>
        <v>170</v>
      </c>
      <c r="J7602" s="1" t="str">
        <f t="shared" ref="J7602:O7602" si="5356">"0"</f>
        <v>0</v>
      </c>
      <c r="K7602" s="1" t="str">
        <f t="shared" si="5314"/>
        <v>103</v>
      </c>
      <c r="L7602" s="1" t="str">
        <f t="shared" si="5315"/>
        <v>47</v>
      </c>
      <c r="M7602" s="1" t="str">
        <f t="shared" si="5356"/>
        <v>0</v>
      </c>
      <c r="N7602" s="1" t="str">
        <f t="shared" si="5356"/>
        <v>0</v>
      </c>
      <c r="O7602" s="1" t="str">
        <f t="shared" si="5356"/>
        <v>0</v>
      </c>
    </row>
    <row r="7603" s="1" customFormat="1" spans="1:15">
      <c r="A7603" s="1" t="str">
        <f t="shared" si="5292"/>
        <v>202406</v>
      </c>
      <c r="B7603" s="1" t="str">
        <f t="shared" si="5293"/>
        <v>150525100</v>
      </c>
      <c r="C7603" s="1" t="str">
        <f>"1014589130"</f>
        <v>1014589130</v>
      </c>
      <c r="D7603" s="1" t="str">
        <f>"152326196212100444"</f>
        <v>152326196212100444</v>
      </c>
      <c r="E7603" s="1" t="s">
        <v>7305</v>
      </c>
      <c r="F7603" s="1" t="s">
        <v>16</v>
      </c>
      <c r="G7603" s="1" t="s">
        <v>17</v>
      </c>
      <c r="H7603" s="1" t="str">
        <f>"62"</f>
        <v>62</v>
      </c>
      <c r="I7603" s="1" t="str">
        <f>"163.21"</f>
        <v>163.21</v>
      </c>
      <c r="J7603" s="1" t="str">
        <f t="shared" ref="J7603:N7603" si="5357">"0"</f>
        <v>0</v>
      </c>
      <c r="K7603" s="1" t="str">
        <f t="shared" si="5314"/>
        <v>103</v>
      </c>
      <c r="L7603" s="1" t="str">
        <f t="shared" si="5315"/>
        <v>47</v>
      </c>
      <c r="M7603" s="1" t="str">
        <f t="shared" si="5357"/>
        <v>0</v>
      </c>
      <c r="N7603" s="1" t="str">
        <f t="shared" si="5357"/>
        <v>0</v>
      </c>
      <c r="O7603" s="1" t="str">
        <f>"13.21"</f>
        <v>13.21</v>
      </c>
    </row>
    <row r="7604" s="1" customFormat="1" spans="1:15">
      <c r="A7604" s="1" t="str">
        <f t="shared" si="5292"/>
        <v>202406</v>
      </c>
      <c r="B7604" s="1" t="str">
        <f t="shared" si="5293"/>
        <v>150525100</v>
      </c>
      <c r="C7604" s="1" t="str">
        <f>"1014589141"</f>
        <v>1014589141</v>
      </c>
      <c r="D7604" s="1" t="str">
        <f>"152326196009090420"</f>
        <v>152326196009090420</v>
      </c>
      <c r="E7604" s="1" t="s">
        <v>7306</v>
      </c>
      <c r="F7604" s="1" t="s">
        <v>16</v>
      </c>
      <c r="G7604" s="1" t="s">
        <v>17</v>
      </c>
      <c r="H7604" s="1" t="str">
        <f>"64"</f>
        <v>64</v>
      </c>
      <c r="I7604" s="1" t="str">
        <f>"159.26"</f>
        <v>159.26</v>
      </c>
      <c r="J7604" s="1" t="str">
        <f t="shared" ref="J7604:N7604" si="5358">"0"</f>
        <v>0</v>
      </c>
      <c r="K7604" s="1" t="str">
        <f t="shared" si="5314"/>
        <v>103</v>
      </c>
      <c r="L7604" s="1" t="str">
        <f t="shared" si="5315"/>
        <v>47</v>
      </c>
      <c r="M7604" s="1" t="str">
        <f t="shared" si="5358"/>
        <v>0</v>
      </c>
      <c r="N7604" s="1" t="str">
        <f t="shared" si="5358"/>
        <v>0</v>
      </c>
      <c r="O7604" s="1" t="str">
        <f>"9.26"</f>
        <v>9.26</v>
      </c>
    </row>
    <row r="7605" s="1" customFormat="1" spans="1:15">
      <c r="A7605" s="1" t="str">
        <f t="shared" si="5292"/>
        <v>202406</v>
      </c>
      <c r="B7605" s="1" t="str">
        <f t="shared" si="5293"/>
        <v>150525100</v>
      </c>
      <c r="C7605" s="1" t="str">
        <f>"1014589151"</f>
        <v>1014589151</v>
      </c>
      <c r="D7605" s="1" t="str">
        <f>"152326195706290423"</f>
        <v>152326195706290423</v>
      </c>
      <c r="E7605" s="1" t="s">
        <v>192</v>
      </c>
      <c r="F7605" s="1" t="s">
        <v>16</v>
      </c>
      <c r="G7605" s="1" t="s">
        <v>17</v>
      </c>
      <c r="H7605" s="1" t="str">
        <f>"67"</f>
        <v>67</v>
      </c>
      <c r="I7605" s="1" t="str">
        <f>"156.07"</f>
        <v>156.07</v>
      </c>
      <c r="J7605" s="1" t="str">
        <f t="shared" ref="J7605:N7605" si="5359">"0"</f>
        <v>0</v>
      </c>
      <c r="K7605" s="1" t="str">
        <f t="shared" si="5314"/>
        <v>103</v>
      </c>
      <c r="L7605" s="1" t="str">
        <f t="shared" si="5315"/>
        <v>47</v>
      </c>
      <c r="M7605" s="1" t="str">
        <f t="shared" si="5359"/>
        <v>0</v>
      </c>
      <c r="N7605" s="1" t="str">
        <f t="shared" si="5359"/>
        <v>0</v>
      </c>
      <c r="O7605" s="1" t="str">
        <f>"6.07"</f>
        <v>6.07</v>
      </c>
    </row>
    <row r="7606" s="1" customFormat="1" spans="1:15">
      <c r="A7606" s="1" t="str">
        <f t="shared" si="5292"/>
        <v>202406</v>
      </c>
      <c r="B7606" s="1" t="str">
        <f t="shared" si="5293"/>
        <v>150525100</v>
      </c>
      <c r="C7606" s="1" t="str">
        <f>"1014589170"</f>
        <v>1014589170</v>
      </c>
      <c r="D7606" s="1" t="str">
        <f>"152326196304100417"</f>
        <v>152326196304100417</v>
      </c>
      <c r="E7606" s="1" t="s">
        <v>7307</v>
      </c>
      <c r="F7606" s="1" t="s">
        <v>25</v>
      </c>
      <c r="G7606" s="1" t="s">
        <v>17</v>
      </c>
      <c r="H7606" s="1" t="str">
        <f>"61"</f>
        <v>61</v>
      </c>
      <c r="I7606" s="1" t="str">
        <f>"164.98"</f>
        <v>164.98</v>
      </c>
      <c r="J7606" s="1" t="str">
        <f t="shared" ref="J7606:N7606" si="5360">"0"</f>
        <v>0</v>
      </c>
      <c r="K7606" s="1" t="str">
        <f t="shared" si="5314"/>
        <v>103</v>
      </c>
      <c r="L7606" s="1" t="str">
        <f t="shared" si="5315"/>
        <v>47</v>
      </c>
      <c r="M7606" s="1" t="str">
        <f t="shared" si="5360"/>
        <v>0</v>
      </c>
      <c r="N7606" s="1" t="str">
        <f t="shared" si="5360"/>
        <v>0</v>
      </c>
      <c r="O7606" s="1" t="str">
        <f>"14.98"</f>
        <v>14.98</v>
      </c>
    </row>
    <row r="7607" s="1" customFormat="1" spans="1:15">
      <c r="A7607" s="1" t="str">
        <f t="shared" si="5292"/>
        <v>202406</v>
      </c>
      <c r="B7607" s="1" t="str">
        <f t="shared" si="5293"/>
        <v>150525100</v>
      </c>
      <c r="C7607" s="1" t="str">
        <f>"1014589171"</f>
        <v>1014589171</v>
      </c>
      <c r="D7607" s="1" t="s">
        <v>7308</v>
      </c>
      <c r="E7607" s="1" t="s">
        <v>7309</v>
      </c>
      <c r="F7607" s="1" t="s">
        <v>25</v>
      </c>
      <c r="G7607" s="1" t="s">
        <v>17</v>
      </c>
      <c r="H7607" s="1" t="str">
        <f>"69"</f>
        <v>69</v>
      </c>
      <c r="I7607" s="1" t="str">
        <f>"155.1"</f>
        <v>155.1</v>
      </c>
      <c r="J7607" s="1" t="str">
        <f t="shared" ref="J7607:N7607" si="5361">"0"</f>
        <v>0</v>
      </c>
      <c r="K7607" s="1" t="str">
        <f t="shared" si="5314"/>
        <v>103</v>
      </c>
      <c r="L7607" s="1" t="str">
        <f t="shared" si="5315"/>
        <v>47</v>
      </c>
      <c r="M7607" s="1" t="str">
        <f t="shared" si="5361"/>
        <v>0</v>
      </c>
      <c r="N7607" s="1" t="str">
        <f t="shared" si="5361"/>
        <v>0</v>
      </c>
      <c r="O7607" s="1" t="str">
        <f>"5.1"</f>
        <v>5.1</v>
      </c>
    </row>
    <row r="7608" s="1" customFormat="1" spans="1:15">
      <c r="A7608" s="1" t="str">
        <f t="shared" si="5292"/>
        <v>202406</v>
      </c>
      <c r="B7608" s="1" t="str">
        <f t="shared" si="5293"/>
        <v>150525100</v>
      </c>
      <c r="C7608" s="1" t="str">
        <f>"1014589174"</f>
        <v>1014589174</v>
      </c>
      <c r="D7608" s="1" t="str">
        <f>"152326195509140418"</f>
        <v>152326195509140418</v>
      </c>
      <c r="E7608" s="1" t="s">
        <v>7310</v>
      </c>
      <c r="F7608" s="1" t="s">
        <v>25</v>
      </c>
      <c r="G7608" s="1" t="s">
        <v>17</v>
      </c>
      <c r="H7608" s="1" t="str">
        <f>"69"</f>
        <v>69</v>
      </c>
      <c r="I7608" s="1" t="str">
        <f>"155.1"</f>
        <v>155.1</v>
      </c>
      <c r="J7608" s="1" t="str">
        <f t="shared" ref="J7608:N7608" si="5362">"0"</f>
        <v>0</v>
      </c>
      <c r="K7608" s="1" t="str">
        <f t="shared" si="5314"/>
        <v>103</v>
      </c>
      <c r="L7608" s="1" t="str">
        <f t="shared" si="5315"/>
        <v>47</v>
      </c>
      <c r="M7608" s="1" t="str">
        <f t="shared" si="5362"/>
        <v>0</v>
      </c>
      <c r="N7608" s="1" t="str">
        <f t="shared" si="5362"/>
        <v>0</v>
      </c>
      <c r="O7608" s="1" t="str">
        <f>"5.1"</f>
        <v>5.1</v>
      </c>
    </row>
    <row r="7609" s="1" customFormat="1" spans="1:15">
      <c r="A7609" s="1" t="str">
        <f t="shared" si="5292"/>
        <v>202406</v>
      </c>
      <c r="B7609" s="1" t="str">
        <f t="shared" si="5293"/>
        <v>150525100</v>
      </c>
      <c r="C7609" s="1" t="str">
        <f>"1014613017"</f>
        <v>1014613017</v>
      </c>
      <c r="D7609" s="1" t="str">
        <f>"152326194910010922"</f>
        <v>152326194910010922</v>
      </c>
      <c r="E7609" s="1" t="s">
        <v>7311</v>
      </c>
      <c r="F7609" s="1" t="s">
        <v>16</v>
      </c>
      <c r="G7609" s="1" t="s">
        <v>19</v>
      </c>
      <c r="H7609" s="1" t="str">
        <f>"75"</f>
        <v>75</v>
      </c>
      <c r="I7609" s="1" t="str">
        <f t="shared" ref="I7609:I7612" si="5363">"160"</f>
        <v>160</v>
      </c>
      <c r="J7609" s="1" t="str">
        <f t="shared" ref="J7609:O7609" si="5364">"0"</f>
        <v>0</v>
      </c>
      <c r="K7609" s="1" t="str">
        <f t="shared" si="5314"/>
        <v>103</v>
      </c>
      <c r="L7609" s="1" t="str">
        <f t="shared" si="5315"/>
        <v>47</v>
      </c>
      <c r="M7609" s="1" t="str">
        <f t="shared" si="5364"/>
        <v>0</v>
      </c>
      <c r="N7609" s="1" t="str">
        <f t="shared" si="5364"/>
        <v>0</v>
      </c>
      <c r="O7609" s="1" t="str">
        <f t="shared" si="5364"/>
        <v>0</v>
      </c>
    </row>
    <row r="7610" s="1" customFormat="1" spans="1:15">
      <c r="A7610" s="1" t="str">
        <f t="shared" si="5292"/>
        <v>202406</v>
      </c>
      <c r="B7610" s="1" t="str">
        <f t="shared" si="5293"/>
        <v>150525100</v>
      </c>
      <c r="C7610" s="1" t="str">
        <f>"1014621946"</f>
        <v>1014621946</v>
      </c>
      <c r="D7610" s="1" t="str">
        <f>"152326194811240677"</f>
        <v>152326194811240677</v>
      </c>
      <c r="E7610" s="1" t="s">
        <v>3854</v>
      </c>
      <c r="F7610" s="1" t="s">
        <v>25</v>
      </c>
      <c r="G7610" s="1" t="s">
        <v>19</v>
      </c>
      <c r="H7610" s="1" t="str">
        <f>"76"</f>
        <v>76</v>
      </c>
      <c r="I7610" s="1" t="str">
        <f t="shared" si="5363"/>
        <v>160</v>
      </c>
      <c r="J7610" s="1" t="str">
        <f t="shared" ref="J7610:O7610" si="5365">"0"</f>
        <v>0</v>
      </c>
      <c r="K7610" s="1" t="str">
        <f t="shared" si="5314"/>
        <v>103</v>
      </c>
      <c r="L7610" s="1" t="str">
        <f t="shared" si="5315"/>
        <v>47</v>
      </c>
      <c r="M7610" s="1" t="str">
        <f t="shared" si="5365"/>
        <v>0</v>
      </c>
      <c r="N7610" s="1" t="str">
        <f t="shared" si="5365"/>
        <v>0</v>
      </c>
      <c r="O7610" s="1" t="str">
        <f t="shared" si="5365"/>
        <v>0</v>
      </c>
    </row>
    <row r="7611" s="1" customFormat="1" spans="1:15">
      <c r="A7611" s="1" t="str">
        <f t="shared" si="5292"/>
        <v>202406</v>
      </c>
      <c r="B7611" s="1" t="str">
        <f t="shared" si="5293"/>
        <v>150525100</v>
      </c>
      <c r="C7611" s="1" t="str">
        <f>"1014622726"</f>
        <v>1014622726</v>
      </c>
      <c r="D7611" s="1" t="str">
        <f>"152326195012243323"</f>
        <v>152326195012243323</v>
      </c>
      <c r="E7611" s="1" t="s">
        <v>7312</v>
      </c>
      <c r="F7611" s="1" t="s">
        <v>16</v>
      </c>
      <c r="G7611" s="1" t="s">
        <v>19</v>
      </c>
      <c r="H7611" s="1" t="str">
        <f>"74"</f>
        <v>74</v>
      </c>
      <c r="I7611" s="1" t="str">
        <f t="shared" si="5363"/>
        <v>160</v>
      </c>
      <c r="J7611" s="1" t="str">
        <f t="shared" ref="J7611:O7611" si="5366">"0"</f>
        <v>0</v>
      </c>
      <c r="K7611" s="1" t="str">
        <f t="shared" si="5314"/>
        <v>103</v>
      </c>
      <c r="L7611" s="1" t="str">
        <f t="shared" si="5315"/>
        <v>47</v>
      </c>
      <c r="M7611" s="1" t="str">
        <f t="shared" si="5366"/>
        <v>0</v>
      </c>
      <c r="N7611" s="1" t="str">
        <f t="shared" si="5366"/>
        <v>0</v>
      </c>
      <c r="O7611" s="1" t="str">
        <f t="shared" si="5366"/>
        <v>0</v>
      </c>
    </row>
    <row r="7612" s="1" customFormat="1" spans="1:15">
      <c r="A7612" s="1" t="str">
        <f t="shared" si="5292"/>
        <v>202406</v>
      </c>
      <c r="B7612" s="1" t="str">
        <f t="shared" si="5293"/>
        <v>150525100</v>
      </c>
      <c r="C7612" s="1" t="str">
        <f>"1014624596"</f>
        <v>1014624596</v>
      </c>
      <c r="D7612" s="1" t="str">
        <f>"152326194806050924"</f>
        <v>152326194806050924</v>
      </c>
      <c r="E7612" s="1" t="s">
        <v>7313</v>
      </c>
      <c r="F7612" s="1" t="s">
        <v>16</v>
      </c>
      <c r="G7612" s="1" t="s">
        <v>19</v>
      </c>
      <c r="H7612" s="1" t="str">
        <f>"76"</f>
        <v>76</v>
      </c>
      <c r="I7612" s="1" t="str">
        <f t="shared" si="5363"/>
        <v>160</v>
      </c>
      <c r="J7612" s="1" t="str">
        <f t="shared" ref="J7612:O7612" si="5367">"0"</f>
        <v>0</v>
      </c>
      <c r="K7612" s="1" t="str">
        <f t="shared" si="5314"/>
        <v>103</v>
      </c>
      <c r="L7612" s="1" t="str">
        <f t="shared" si="5315"/>
        <v>47</v>
      </c>
      <c r="M7612" s="1" t="str">
        <f t="shared" si="5367"/>
        <v>0</v>
      </c>
      <c r="N7612" s="1" t="str">
        <f t="shared" si="5367"/>
        <v>0</v>
      </c>
      <c r="O7612" s="1" t="str">
        <f t="shared" si="5367"/>
        <v>0</v>
      </c>
    </row>
    <row r="7613" s="1" customFormat="1" spans="1:15">
      <c r="A7613" s="1" t="str">
        <f t="shared" si="5292"/>
        <v>202406</v>
      </c>
      <c r="B7613" s="1" t="str">
        <f t="shared" si="5293"/>
        <v>150525100</v>
      </c>
      <c r="C7613" s="1" t="str">
        <f>"1014624618"</f>
        <v>1014624618</v>
      </c>
      <c r="D7613" s="1" t="s">
        <v>7314</v>
      </c>
      <c r="E7613" s="1" t="s">
        <v>7315</v>
      </c>
      <c r="F7613" s="1" t="s">
        <v>16</v>
      </c>
      <c r="G7613" s="1" t="s">
        <v>19</v>
      </c>
      <c r="H7613" s="1" t="str">
        <f>"83"</f>
        <v>83</v>
      </c>
      <c r="I7613" s="1" t="str">
        <f>"170"</f>
        <v>170</v>
      </c>
      <c r="J7613" s="1" t="str">
        <f t="shared" ref="J7613:O7613" si="5368">"0"</f>
        <v>0</v>
      </c>
      <c r="K7613" s="1" t="str">
        <f t="shared" si="5314"/>
        <v>103</v>
      </c>
      <c r="L7613" s="1" t="str">
        <f t="shared" si="5315"/>
        <v>47</v>
      </c>
      <c r="M7613" s="1" t="str">
        <f t="shared" si="5368"/>
        <v>0</v>
      </c>
      <c r="N7613" s="1" t="str">
        <f t="shared" si="5368"/>
        <v>0</v>
      </c>
      <c r="O7613" s="1" t="str">
        <f t="shared" si="5368"/>
        <v>0</v>
      </c>
    </row>
    <row r="7614" s="1" customFormat="1" spans="1:15">
      <c r="A7614" s="1" t="str">
        <f t="shared" si="5292"/>
        <v>202406</v>
      </c>
      <c r="B7614" s="1" t="str">
        <f t="shared" si="5293"/>
        <v>150525100</v>
      </c>
      <c r="C7614" s="1" t="str">
        <f>"1014629244"</f>
        <v>1014629244</v>
      </c>
      <c r="D7614" s="1" t="str">
        <f>"152326195101310022"</f>
        <v>152326195101310022</v>
      </c>
      <c r="E7614" s="1" t="s">
        <v>7316</v>
      </c>
      <c r="F7614" s="1" t="s">
        <v>16</v>
      </c>
      <c r="G7614" s="1" t="s">
        <v>19</v>
      </c>
      <c r="H7614" s="1" t="str">
        <f>"73"</f>
        <v>73</v>
      </c>
      <c r="I7614" s="1" t="str">
        <f t="shared" ref="I7614:I7622" si="5369">"160"</f>
        <v>160</v>
      </c>
      <c r="J7614" s="1" t="str">
        <f t="shared" ref="J7614:O7614" si="5370">"0"</f>
        <v>0</v>
      </c>
      <c r="K7614" s="1" t="str">
        <f t="shared" si="5314"/>
        <v>103</v>
      </c>
      <c r="L7614" s="1" t="str">
        <f t="shared" si="5315"/>
        <v>47</v>
      </c>
      <c r="M7614" s="1" t="str">
        <f t="shared" si="5370"/>
        <v>0</v>
      </c>
      <c r="N7614" s="1" t="str">
        <f t="shared" si="5370"/>
        <v>0</v>
      </c>
      <c r="O7614" s="1" t="str">
        <f t="shared" si="5370"/>
        <v>0</v>
      </c>
    </row>
    <row r="7615" s="1" customFormat="1" spans="1:15">
      <c r="A7615" s="1" t="str">
        <f t="shared" si="5292"/>
        <v>202406</v>
      </c>
      <c r="B7615" s="1" t="str">
        <f t="shared" si="5293"/>
        <v>150525100</v>
      </c>
      <c r="C7615" s="1" t="str">
        <f>"1014619755"</f>
        <v>1014619755</v>
      </c>
      <c r="D7615" s="1" t="str">
        <f>"152326193906200411"</f>
        <v>152326193906200411</v>
      </c>
      <c r="E7615" s="1" t="s">
        <v>7317</v>
      </c>
      <c r="F7615" s="1" t="s">
        <v>25</v>
      </c>
      <c r="G7615" s="1" t="s">
        <v>17</v>
      </c>
      <c r="H7615" s="1" t="str">
        <f>"85"</f>
        <v>85</v>
      </c>
      <c r="I7615" s="1" t="str">
        <f>"170"</f>
        <v>170</v>
      </c>
      <c r="J7615" s="1" t="str">
        <f t="shared" ref="J7615:O7615" si="5371">"0"</f>
        <v>0</v>
      </c>
      <c r="K7615" s="1" t="str">
        <f t="shared" si="5314"/>
        <v>103</v>
      </c>
      <c r="L7615" s="1" t="str">
        <f t="shared" si="5315"/>
        <v>47</v>
      </c>
      <c r="M7615" s="1" t="str">
        <f t="shared" si="5371"/>
        <v>0</v>
      </c>
      <c r="N7615" s="1" t="str">
        <f t="shared" si="5371"/>
        <v>0</v>
      </c>
      <c r="O7615" s="1" t="str">
        <f t="shared" si="5371"/>
        <v>0</v>
      </c>
    </row>
    <row r="7616" s="1" customFormat="1" spans="1:15">
      <c r="A7616" s="1" t="str">
        <f t="shared" si="5292"/>
        <v>202406</v>
      </c>
      <c r="B7616" s="1" t="str">
        <f t="shared" si="5293"/>
        <v>150525100</v>
      </c>
      <c r="C7616" s="1" t="str">
        <f>"1014619757"</f>
        <v>1014619757</v>
      </c>
      <c r="D7616" s="1" t="str">
        <f>"152326194702100413"</f>
        <v>152326194702100413</v>
      </c>
      <c r="E7616" s="1" t="s">
        <v>7318</v>
      </c>
      <c r="F7616" s="1" t="s">
        <v>25</v>
      </c>
      <c r="G7616" s="1" t="s">
        <v>17</v>
      </c>
      <c r="H7616" s="1" t="str">
        <f>"77"</f>
        <v>77</v>
      </c>
      <c r="I7616" s="1" t="str">
        <f t="shared" si="5369"/>
        <v>160</v>
      </c>
      <c r="J7616" s="1" t="str">
        <f t="shared" ref="J7616:O7616" si="5372">"0"</f>
        <v>0</v>
      </c>
      <c r="K7616" s="1" t="str">
        <f t="shared" si="5314"/>
        <v>103</v>
      </c>
      <c r="L7616" s="1" t="str">
        <f t="shared" si="5315"/>
        <v>47</v>
      </c>
      <c r="M7616" s="1" t="str">
        <f t="shared" si="5372"/>
        <v>0</v>
      </c>
      <c r="N7616" s="1" t="str">
        <f t="shared" si="5372"/>
        <v>0</v>
      </c>
      <c r="O7616" s="1" t="str">
        <f t="shared" si="5372"/>
        <v>0</v>
      </c>
    </row>
    <row r="7617" s="1" customFormat="1" spans="1:15">
      <c r="A7617" s="1" t="str">
        <f t="shared" si="5292"/>
        <v>202406</v>
      </c>
      <c r="B7617" s="1" t="str">
        <f t="shared" si="5293"/>
        <v>150525100</v>
      </c>
      <c r="C7617" s="1" t="str">
        <f>"1014623101"</f>
        <v>1014623101</v>
      </c>
      <c r="D7617" s="1" t="str">
        <f>"152326195104170424"</f>
        <v>152326195104170424</v>
      </c>
      <c r="E7617" s="1" t="s">
        <v>134</v>
      </c>
      <c r="F7617" s="1" t="s">
        <v>16</v>
      </c>
      <c r="G7617" s="1" t="s">
        <v>17</v>
      </c>
      <c r="H7617" s="1" t="str">
        <f>"73"</f>
        <v>73</v>
      </c>
      <c r="I7617" s="1" t="str">
        <f t="shared" si="5369"/>
        <v>160</v>
      </c>
      <c r="J7617" s="1" t="str">
        <f t="shared" ref="J7617:O7617" si="5373">"0"</f>
        <v>0</v>
      </c>
      <c r="K7617" s="1" t="str">
        <f t="shared" si="5314"/>
        <v>103</v>
      </c>
      <c r="L7617" s="1" t="str">
        <f t="shared" si="5315"/>
        <v>47</v>
      </c>
      <c r="M7617" s="1" t="str">
        <f t="shared" si="5373"/>
        <v>0</v>
      </c>
      <c r="N7617" s="1" t="str">
        <f t="shared" si="5373"/>
        <v>0</v>
      </c>
      <c r="O7617" s="1" t="str">
        <f t="shared" si="5373"/>
        <v>0</v>
      </c>
    </row>
    <row r="7618" s="1" customFormat="1" spans="1:15">
      <c r="A7618" s="1" t="str">
        <f t="shared" ref="A7618:A7681" si="5374">"202406"</f>
        <v>202406</v>
      </c>
      <c r="B7618" s="1" t="str">
        <f t="shared" ref="B7618:B7681" si="5375">"150525100"</f>
        <v>150525100</v>
      </c>
      <c r="C7618" s="1" t="str">
        <f>"1014623113"</f>
        <v>1014623113</v>
      </c>
      <c r="D7618" s="1" t="str">
        <f>"152326194903170426"</f>
        <v>152326194903170426</v>
      </c>
      <c r="E7618" s="1" t="s">
        <v>7319</v>
      </c>
      <c r="F7618" s="1" t="s">
        <v>16</v>
      </c>
      <c r="G7618" s="1" t="s">
        <v>17</v>
      </c>
      <c r="H7618" s="1" t="str">
        <f>"75"</f>
        <v>75</v>
      </c>
      <c r="I7618" s="1" t="str">
        <f t="shared" si="5369"/>
        <v>160</v>
      </c>
      <c r="J7618" s="1" t="str">
        <f t="shared" ref="J7618:O7618" si="5376">"0"</f>
        <v>0</v>
      </c>
      <c r="K7618" s="1" t="str">
        <f t="shared" si="5314"/>
        <v>103</v>
      </c>
      <c r="L7618" s="1" t="str">
        <f t="shared" si="5315"/>
        <v>47</v>
      </c>
      <c r="M7618" s="1" t="str">
        <f t="shared" si="5376"/>
        <v>0</v>
      </c>
      <c r="N7618" s="1" t="str">
        <f t="shared" si="5376"/>
        <v>0</v>
      </c>
      <c r="O7618" s="1" t="str">
        <f t="shared" si="5376"/>
        <v>0</v>
      </c>
    </row>
    <row r="7619" s="1" customFormat="1" spans="1:15">
      <c r="A7619" s="1" t="str">
        <f t="shared" si="5374"/>
        <v>202406</v>
      </c>
      <c r="B7619" s="1" t="str">
        <f t="shared" si="5375"/>
        <v>150525100</v>
      </c>
      <c r="C7619" s="1" t="str">
        <f>"1014623119"</f>
        <v>1014623119</v>
      </c>
      <c r="D7619" s="1" t="str">
        <f>"152326194803230428"</f>
        <v>152326194803230428</v>
      </c>
      <c r="E7619" s="1" t="s">
        <v>7320</v>
      </c>
      <c r="F7619" s="1" t="s">
        <v>16</v>
      </c>
      <c r="G7619" s="1" t="s">
        <v>17</v>
      </c>
      <c r="H7619" s="1" t="str">
        <f>"76"</f>
        <v>76</v>
      </c>
      <c r="I7619" s="1" t="str">
        <f t="shared" si="5369"/>
        <v>160</v>
      </c>
      <c r="J7619" s="1" t="str">
        <f t="shared" ref="J7619:O7619" si="5377">"0"</f>
        <v>0</v>
      </c>
      <c r="K7619" s="1" t="str">
        <f t="shared" si="5314"/>
        <v>103</v>
      </c>
      <c r="L7619" s="1" t="str">
        <f t="shared" si="5315"/>
        <v>47</v>
      </c>
      <c r="M7619" s="1" t="str">
        <f t="shared" si="5377"/>
        <v>0</v>
      </c>
      <c r="N7619" s="1" t="str">
        <f t="shared" si="5377"/>
        <v>0</v>
      </c>
      <c r="O7619" s="1" t="str">
        <f t="shared" si="5377"/>
        <v>0</v>
      </c>
    </row>
    <row r="7620" s="1" customFormat="1" spans="1:15">
      <c r="A7620" s="1" t="str">
        <f t="shared" si="5374"/>
        <v>202406</v>
      </c>
      <c r="B7620" s="1" t="str">
        <f t="shared" si="5375"/>
        <v>150525100</v>
      </c>
      <c r="C7620" s="1" t="str">
        <f>"1014623610"</f>
        <v>1014623610</v>
      </c>
      <c r="D7620" s="1" t="str">
        <f>"152326195003080411"</f>
        <v>152326195003080411</v>
      </c>
      <c r="E7620" s="1" t="s">
        <v>7321</v>
      </c>
      <c r="F7620" s="1" t="s">
        <v>25</v>
      </c>
      <c r="G7620" s="1" t="s">
        <v>17</v>
      </c>
      <c r="H7620" s="1" t="str">
        <f>"74"</f>
        <v>74</v>
      </c>
      <c r="I7620" s="1" t="str">
        <f t="shared" si="5369"/>
        <v>160</v>
      </c>
      <c r="J7620" s="1" t="str">
        <f t="shared" ref="J7620:O7620" si="5378">"0"</f>
        <v>0</v>
      </c>
      <c r="K7620" s="1" t="str">
        <f t="shared" si="5314"/>
        <v>103</v>
      </c>
      <c r="L7620" s="1" t="str">
        <f t="shared" si="5315"/>
        <v>47</v>
      </c>
      <c r="M7620" s="1" t="str">
        <f t="shared" si="5378"/>
        <v>0</v>
      </c>
      <c r="N7620" s="1" t="str">
        <f t="shared" si="5378"/>
        <v>0</v>
      </c>
      <c r="O7620" s="1" t="str">
        <f t="shared" si="5378"/>
        <v>0</v>
      </c>
    </row>
    <row r="7621" s="1" customFormat="1" spans="1:15">
      <c r="A7621" s="1" t="str">
        <f t="shared" si="5374"/>
        <v>202406</v>
      </c>
      <c r="B7621" s="1" t="str">
        <f t="shared" si="5375"/>
        <v>150525100</v>
      </c>
      <c r="C7621" s="1" t="str">
        <f>"1014629743"</f>
        <v>1014629743</v>
      </c>
      <c r="D7621" s="1" t="str">
        <f>"152326195010113867"</f>
        <v>152326195010113867</v>
      </c>
      <c r="E7621" s="1" t="s">
        <v>7322</v>
      </c>
      <c r="F7621" s="1" t="s">
        <v>16</v>
      </c>
      <c r="G7621" s="1" t="s">
        <v>17</v>
      </c>
      <c r="H7621" s="1" t="str">
        <f>"74"</f>
        <v>74</v>
      </c>
      <c r="I7621" s="1" t="str">
        <f t="shared" si="5369"/>
        <v>160</v>
      </c>
      <c r="J7621" s="1" t="str">
        <f t="shared" ref="J7621:O7621" si="5379">"0"</f>
        <v>0</v>
      </c>
      <c r="K7621" s="1" t="str">
        <f t="shared" si="5314"/>
        <v>103</v>
      </c>
      <c r="L7621" s="1" t="str">
        <f t="shared" si="5315"/>
        <v>47</v>
      </c>
      <c r="M7621" s="1" t="str">
        <f t="shared" si="5379"/>
        <v>0</v>
      </c>
      <c r="N7621" s="1" t="str">
        <f t="shared" si="5379"/>
        <v>0</v>
      </c>
      <c r="O7621" s="1" t="str">
        <f t="shared" si="5379"/>
        <v>0</v>
      </c>
    </row>
    <row r="7622" s="1" customFormat="1" spans="1:15">
      <c r="A7622" s="1" t="str">
        <f t="shared" si="5374"/>
        <v>202406</v>
      </c>
      <c r="B7622" s="1" t="str">
        <f t="shared" si="5375"/>
        <v>150525100</v>
      </c>
      <c r="C7622" s="1" t="str">
        <f>"1014629754"</f>
        <v>1014629754</v>
      </c>
      <c r="D7622" s="1" t="s">
        <v>7323</v>
      </c>
      <c r="E7622" s="1" t="s">
        <v>7324</v>
      </c>
      <c r="F7622" s="1" t="s">
        <v>25</v>
      </c>
      <c r="G7622" s="1" t="s">
        <v>17</v>
      </c>
      <c r="H7622" s="1" t="str">
        <f>"73"</f>
        <v>73</v>
      </c>
      <c r="I7622" s="1" t="str">
        <f t="shared" si="5369"/>
        <v>160</v>
      </c>
      <c r="J7622" s="1" t="str">
        <f t="shared" ref="J7622:O7622" si="5380">"0"</f>
        <v>0</v>
      </c>
      <c r="K7622" s="1" t="str">
        <f t="shared" si="5314"/>
        <v>103</v>
      </c>
      <c r="L7622" s="1" t="str">
        <f t="shared" si="5315"/>
        <v>47</v>
      </c>
      <c r="M7622" s="1" t="str">
        <f t="shared" si="5380"/>
        <v>0</v>
      </c>
      <c r="N7622" s="1" t="str">
        <f t="shared" si="5380"/>
        <v>0</v>
      </c>
      <c r="O7622" s="1" t="str">
        <f t="shared" si="5380"/>
        <v>0</v>
      </c>
    </row>
    <row r="7623" s="1" customFormat="1" spans="1:15">
      <c r="A7623" s="1" t="str">
        <f t="shared" si="5374"/>
        <v>202406</v>
      </c>
      <c r="B7623" s="1" t="str">
        <f t="shared" si="5375"/>
        <v>150525100</v>
      </c>
      <c r="C7623" s="1" t="str">
        <f>"1014629782"</f>
        <v>1014629782</v>
      </c>
      <c r="D7623" s="1" t="str">
        <f>"152326193807093083"</f>
        <v>152326193807093083</v>
      </c>
      <c r="E7623" s="1" t="s">
        <v>7325</v>
      </c>
      <c r="F7623" s="1" t="s">
        <v>16</v>
      </c>
      <c r="G7623" s="1" t="s">
        <v>17</v>
      </c>
      <c r="H7623" s="1" t="str">
        <f>"86"</f>
        <v>86</v>
      </c>
      <c r="I7623" s="1" t="str">
        <f>"170"</f>
        <v>170</v>
      </c>
      <c r="J7623" s="1" t="str">
        <f t="shared" ref="J7623:O7623" si="5381">"0"</f>
        <v>0</v>
      </c>
      <c r="K7623" s="1" t="str">
        <f t="shared" si="5314"/>
        <v>103</v>
      </c>
      <c r="L7623" s="1" t="str">
        <f t="shared" si="5315"/>
        <v>47</v>
      </c>
      <c r="M7623" s="1" t="str">
        <f t="shared" si="5381"/>
        <v>0</v>
      </c>
      <c r="N7623" s="1" t="str">
        <f t="shared" si="5381"/>
        <v>0</v>
      </c>
      <c r="O7623" s="1" t="str">
        <f t="shared" si="5381"/>
        <v>0</v>
      </c>
    </row>
    <row r="7624" s="1" customFormat="1" spans="1:15">
      <c r="A7624" s="1" t="str">
        <f t="shared" si="5374"/>
        <v>202406</v>
      </c>
      <c r="B7624" s="1" t="str">
        <f t="shared" si="5375"/>
        <v>150525100</v>
      </c>
      <c r="C7624" s="1" t="str">
        <f>"1014629857"</f>
        <v>1014629857</v>
      </c>
      <c r="D7624" s="1" t="str">
        <f>"152326194102193089"</f>
        <v>152326194102193089</v>
      </c>
      <c r="E7624" s="1" t="s">
        <v>7326</v>
      </c>
      <c r="F7624" s="1" t="s">
        <v>16</v>
      </c>
      <c r="G7624" s="1" t="s">
        <v>17</v>
      </c>
      <c r="H7624" s="1" t="str">
        <f>"83"</f>
        <v>83</v>
      </c>
      <c r="I7624" s="1" t="str">
        <f>"170"</f>
        <v>170</v>
      </c>
      <c r="J7624" s="1" t="str">
        <f t="shared" ref="J7624:O7624" si="5382">"0"</f>
        <v>0</v>
      </c>
      <c r="K7624" s="1" t="str">
        <f t="shared" si="5314"/>
        <v>103</v>
      </c>
      <c r="L7624" s="1" t="str">
        <f t="shared" si="5315"/>
        <v>47</v>
      </c>
      <c r="M7624" s="1" t="str">
        <f t="shared" si="5382"/>
        <v>0</v>
      </c>
      <c r="N7624" s="1" t="str">
        <f t="shared" si="5382"/>
        <v>0</v>
      </c>
      <c r="O7624" s="1" t="str">
        <f t="shared" si="5382"/>
        <v>0</v>
      </c>
    </row>
    <row r="7625" s="1" customFormat="1" spans="1:15">
      <c r="A7625" s="1" t="str">
        <f t="shared" si="5374"/>
        <v>202406</v>
      </c>
      <c r="B7625" s="1" t="str">
        <f t="shared" si="5375"/>
        <v>150525100</v>
      </c>
      <c r="C7625" s="1" t="str">
        <f>"1014629863"</f>
        <v>1014629863</v>
      </c>
      <c r="D7625" s="1" t="str">
        <f>"152326194908153078"</f>
        <v>152326194908153078</v>
      </c>
      <c r="E7625" s="1" t="s">
        <v>7327</v>
      </c>
      <c r="F7625" s="1" t="s">
        <v>25</v>
      </c>
      <c r="G7625" s="1" t="s">
        <v>17</v>
      </c>
      <c r="H7625" s="1" t="str">
        <f>"75"</f>
        <v>75</v>
      </c>
      <c r="I7625" s="1" t="str">
        <f t="shared" ref="I7625:I7638" si="5383">"160"</f>
        <v>160</v>
      </c>
      <c r="J7625" s="1" t="str">
        <f t="shared" ref="J7625:O7625" si="5384">"0"</f>
        <v>0</v>
      </c>
      <c r="K7625" s="1" t="str">
        <f t="shared" si="5314"/>
        <v>103</v>
      </c>
      <c r="L7625" s="1" t="str">
        <f t="shared" si="5315"/>
        <v>47</v>
      </c>
      <c r="M7625" s="1" t="str">
        <f t="shared" si="5384"/>
        <v>0</v>
      </c>
      <c r="N7625" s="1" t="str">
        <f t="shared" si="5384"/>
        <v>0</v>
      </c>
      <c r="O7625" s="1" t="str">
        <f t="shared" si="5384"/>
        <v>0</v>
      </c>
    </row>
    <row r="7626" s="1" customFormat="1" spans="1:15">
      <c r="A7626" s="1" t="str">
        <f t="shared" si="5374"/>
        <v>202406</v>
      </c>
      <c r="B7626" s="1" t="str">
        <f t="shared" si="5375"/>
        <v>150525100</v>
      </c>
      <c r="C7626" s="1" t="str">
        <f>"1014629883"</f>
        <v>1014629883</v>
      </c>
      <c r="D7626" s="1" t="str">
        <f>"152326194902263815"</f>
        <v>152326194902263815</v>
      </c>
      <c r="E7626" s="1" t="s">
        <v>7134</v>
      </c>
      <c r="F7626" s="1" t="s">
        <v>25</v>
      </c>
      <c r="G7626" s="1" t="s">
        <v>96</v>
      </c>
      <c r="H7626" s="1" t="str">
        <f>"75"</f>
        <v>75</v>
      </c>
      <c r="I7626" s="1" t="str">
        <f>"1740"</f>
        <v>1740</v>
      </c>
      <c r="J7626" s="1" t="str">
        <f t="shared" ref="J7626:O7626" si="5385">"0"</f>
        <v>0</v>
      </c>
      <c r="K7626" s="1" t="str">
        <f t="shared" si="5385"/>
        <v>0</v>
      </c>
      <c r="L7626" s="1" t="str">
        <f t="shared" si="5385"/>
        <v>0</v>
      </c>
      <c r="M7626" s="1" t="str">
        <f t="shared" si="5385"/>
        <v>0</v>
      </c>
      <c r="N7626" s="1" t="str">
        <f t="shared" si="5385"/>
        <v>0</v>
      </c>
      <c r="O7626" s="1" t="str">
        <f t="shared" si="5385"/>
        <v>0</v>
      </c>
    </row>
    <row r="7627" s="1" customFormat="1" spans="1:15">
      <c r="A7627" s="1" t="str">
        <f t="shared" si="5374"/>
        <v>202406</v>
      </c>
      <c r="B7627" s="1" t="str">
        <f t="shared" si="5375"/>
        <v>150525100</v>
      </c>
      <c r="C7627" s="1" t="str">
        <f>"1014589200"</f>
        <v>1014589200</v>
      </c>
      <c r="D7627" s="1" t="str">
        <f>"152326195511290423"</f>
        <v>152326195511290423</v>
      </c>
      <c r="E7627" s="1" t="s">
        <v>7328</v>
      </c>
      <c r="F7627" s="1" t="s">
        <v>16</v>
      </c>
      <c r="G7627" s="1" t="s">
        <v>17</v>
      </c>
      <c r="H7627" s="1" t="str">
        <f>"69"</f>
        <v>69</v>
      </c>
      <c r="I7627" s="1" t="str">
        <f>"155.1"</f>
        <v>155.1</v>
      </c>
      <c r="J7627" s="1" t="str">
        <f t="shared" ref="J7627:N7627" si="5386">"0"</f>
        <v>0</v>
      </c>
      <c r="K7627" s="1" t="str">
        <f t="shared" ref="K7627:K7640" si="5387">"103"</f>
        <v>103</v>
      </c>
      <c r="L7627" s="1" t="str">
        <f t="shared" ref="L7627:L7640" si="5388">"47"</f>
        <v>47</v>
      </c>
      <c r="M7627" s="1" t="str">
        <f t="shared" si="5386"/>
        <v>0</v>
      </c>
      <c r="N7627" s="1" t="str">
        <f t="shared" si="5386"/>
        <v>0</v>
      </c>
      <c r="O7627" s="1" t="str">
        <f>"5.1"</f>
        <v>5.1</v>
      </c>
    </row>
    <row r="7628" s="1" customFormat="1" spans="1:15">
      <c r="A7628" s="1" t="str">
        <f t="shared" si="5374"/>
        <v>202406</v>
      </c>
      <c r="B7628" s="1" t="str">
        <f t="shared" si="5375"/>
        <v>150525100</v>
      </c>
      <c r="C7628" s="1" t="str">
        <f>"1014589210"</f>
        <v>1014589210</v>
      </c>
      <c r="D7628" s="1" t="str">
        <f>"152326195901010423"</f>
        <v>152326195901010423</v>
      </c>
      <c r="E7628" s="1" t="s">
        <v>7329</v>
      </c>
      <c r="F7628" s="1" t="s">
        <v>16</v>
      </c>
      <c r="G7628" s="1" t="s">
        <v>17</v>
      </c>
      <c r="H7628" s="1" t="str">
        <f>"66"</f>
        <v>66</v>
      </c>
      <c r="I7628" s="1" t="str">
        <f>"158.11"</f>
        <v>158.11</v>
      </c>
      <c r="J7628" s="1" t="str">
        <f t="shared" ref="J7628:N7628" si="5389">"0"</f>
        <v>0</v>
      </c>
      <c r="K7628" s="1" t="str">
        <f t="shared" si="5387"/>
        <v>103</v>
      </c>
      <c r="L7628" s="1" t="str">
        <f t="shared" si="5388"/>
        <v>47</v>
      </c>
      <c r="M7628" s="1" t="str">
        <f t="shared" si="5389"/>
        <v>0</v>
      </c>
      <c r="N7628" s="1" t="str">
        <f t="shared" si="5389"/>
        <v>0</v>
      </c>
      <c r="O7628" s="1" t="str">
        <f>"8.11"</f>
        <v>8.11</v>
      </c>
    </row>
    <row r="7629" s="1" customFormat="1" spans="1:15">
      <c r="A7629" s="1" t="str">
        <f t="shared" si="5374"/>
        <v>202406</v>
      </c>
      <c r="B7629" s="1" t="str">
        <f t="shared" si="5375"/>
        <v>150525100</v>
      </c>
      <c r="C7629" s="1" t="str">
        <f>"1014624868"</f>
        <v>1014624868</v>
      </c>
      <c r="D7629" s="1" t="str">
        <f>"152326195103153817"</f>
        <v>152326195103153817</v>
      </c>
      <c r="E7629" s="1" t="s">
        <v>7330</v>
      </c>
      <c r="F7629" s="1" t="s">
        <v>25</v>
      </c>
      <c r="G7629" s="1" t="s">
        <v>17</v>
      </c>
      <c r="H7629" s="1" t="str">
        <f>"73"</f>
        <v>73</v>
      </c>
      <c r="I7629" s="1" t="str">
        <f t="shared" si="5383"/>
        <v>160</v>
      </c>
      <c r="J7629" s="1" t="str">
        <f t="shared" ref="J7629:O7629" si="5390">"0"</f>
        <v>0</v>
      </c>
      <c r="K7629" s="1" t="str">
        <f t="shared" si="5387"/>
        <v>103</v>
      </c>
      <c r="L7629" s="1" t="str">
        <f t="shared" si="5388"/>
        <v>47</v>
      </c>
      <c r="M7629" s="1" t="str">
        <f t="shared" si="5390"/>
        <v>0</v>
      </c>
      <c r="N7629" s="1" t="str">
        <f t="shared" si="5390"/>
        <v>0</v>
      </c>
      <c r="O7629" s="1" t="str">
        <f t="shared" si="5390"/>
        <v>0</v>
      </c>
    </row>
    <row r="7630" s="1" customFormat="1" spans="1:15">
      <c r="A7630" s="1" t="str">
        <f t="shared" si="5374"/>
        <v>202406</v>
      </c>
      <c r="B7630" s="1" t="str">
        <f t="shared" si="5375"/>
        <v>150525100</v>
      </c>
      <c r="C7630" s="1" t="str">
        <f>"1014624870"</f>
        <v>1014624870</v>
      </c>
      <c r="D7630" s="1" t="str">
        <f>"152326194607123334"</f>
        <v>152326194607123334</v>
      </c>
      <c r="E7630" s="1" t="s">
        <v>7331</v>
      </c>
      <c r="F7630" s="1" t="s">
        <v>25</v>
      </c>
      <c r="G7630" s="1" t="s">
        <v>17</v>
      </c>
      <c r="H7630" s="1" t="str">
        <f>"78"</f>
        <v>78</v>
      </c>
      <c r="I7630" s="1" t="str">
        <f t="shared" si="5383"/>
        <v>160</v>
      </c>
      <c r="J7630" s="1" t="str">
        <f t="shared" ref="J7630:O7630" si="5391">"0"</f>
        <v>0</v>
      </c>
      <c r="K7630" s="1" t="str">
        <f t="shared" si="5387"/>
        <v>103</v>
      </c>
      <c r="L7630" s="1" t="str">
        <f t="shared" si="5388"/>
        <v>47</v>
      </c>
      <c r="M7630" s="1" t="str">
        <f t="shared" si="5391"/>
        <v>0</v>
      </c>
      <c r="N7630" s="1" t="str">
        <f t="shared" si="5391"/>
        <v>0</v>
      </c>
      <c r="O7630" s="1" t="str">
        <f t="shared" si="5391"/>
        <v>0</v>
      </c>
    </row>
    <row r="7631" s="1" customFormat="1" spans="1:15">
      <c r="A7631" s="1" t="str">
        <f t="shared" si="5374"/>
        <v>202406</v>
      </c>
      <c r="B7631" s="1" t="str">
        <f t="shared" si="5375"/>
        <v>150525100</v>
      </c>
      <c r="C7631" s="1" t="str">
        <f>"1014624872"</f>
        <v>1014624872</v>
      </c>
      <c r="D7631" s="1" t="str">
        <f>"152326195011210415"</f>
        <v>152326195011210415</v>
      </c>
      <c r="E7631" s="1" t="s">
        <v>6492</v>
      </c>
      <c r="F7631" s="1" t="s">
        <v>25</v>
      </c>
      <c r="G7631" s="1" t="s">
        <v>17</v>
      </c>
      <c r="H7631" s="1" t="str">
        <f>"74"</f>
        <v>74</v>
      </c>
      <c r="I7631" s="1" t="str">
        <f t="shared" si="5383"/>
        <v>160</v>
      </c>
      <c r="J7631" s="1" t="str">
        <f t="shared" ref="J7631:O7631" si="5392">"0"</f>
        <v>0</v>
      </c>
      <c r="K7631" s="1" t="str">
        <f t="shared" si="5387"/>
        <v>103</v>
      </c>
      <c r="L7631" s="1" t="str">
        <f t="shared" si="5388"/>
        <v>47</v>
      </c>
      <c r="M7631" s="1" t="str">
        <f t="shared" si="5392"/>
        <v>0</v>
      </c>
      <c r="N7631" s="1" t="str">
        <f t="shared" si="5392"/>
        <v>0</v>
      </c>
      <c r="O7631" s="1" t="str">
        <f t="shared" si="5392"/>
        <v>0</v>
      </c>
    </row>
    <row r="7632" s="1" customFormat="1" spans="1:15">
      <c r="A7632" s="1" t="str">
        <f t="shared" si="5374"/>
        <v>202406</v>
      </c>
      <c r="B7632" s="1" t="str">
        <f t="shared" si="5375"/>
        <v>150525100</v>
      </c>
      <c r="C7632" s="1" t="str">
        <f>"1014624879"</f>
        <v>1014624879</v>
      </c>
      <c r="D7632" s="1" t="s">
        <v>7332</v>
      </c>
      <c r="E7632" s="1" t="s">
        <v>7333</v>
      </c>
      <c r="F7632" s="1" t="s">
        <v>25</v>
      </c>
      <c r="G7632" s="1" t="s">
        <v>17</v>
      </c>
      <c r="H7632" s="1" t="str">
        <f>"76"</f>
        <v>76</v>
      </c>
      <c r="I7632" s="1" t="str">
        <f t="shared" si="5383"/>
        <v>160</v>
      </c>
      <c r="J7632" s="1" t="str">
        <f t="shared" ref="J7632:O7632" si="5393">"0"</f>
        <v>0</v>
      </c>
      <c r="K7632" s="1" t="str">
        <f t="shared" si="5387"/>
        <v>103</v>
      </c>
      <c r="L7632" s="1" t="str">
        <f t="shared" si="5388"/>
        <v>47</v>
      </c>
      <c r="M7632" s="1" t="str">
        <f t="shared" si="5393"/>
        <v>0</v>
      </c>
      <c r="N7632" s="1" t="str">
        <f t="shared" si="5393"/>
        <v>0</v>
      </c>
      <c r="O7632" s="1" t="str">
        <f t="shared" si="5393"/>
        <v>0</v>
      </c>
    </row>
    <row r="7633" s="1" customFormat="1" spans="1:15">
      <c r="A7633" s="1" t="str">
        <f t="shared" si="5374"/>
        <v>202406</v>
      </c>
      <c r="B7633" s="1" t="str">
        <f t="shared" si="5375"/>
        <v>150525100</v>
      </c>
      <c r="C7633" s="1" t="str">
        <f>"1014624882"</f>
        <v>1014624882</v>
      </c>
      <c r="D7633" s="1" t="str">
        <f>"152326195109270416"</f>
        <v>152326195109270416</v>
      </c>
      <c r="E7633" s="1" t="s">
        <v>7334</v>
      </c>
      <c r="F7633" s="1" t="s">
        <v>25</v>
      </c>
      <c r="G7633" s="1" t="s">
        <v>17</v>
      </c>
      <c r="H7633" s="1" t="str">
        <f t="shared" ref="H7633:H7636" si="5394">"73"</f>
        <v>73</v>
      </c>
      <c r="I7633" s="1" t="str">
        <f t="shared" si="5383"/>
        <v>160</v>
      </c>
      <c r="J7633" s="1" t="str">
        <f t="shared" ref="J7633:O7633" si="5395">"0"</f>
        <v>0</v>
      </c>
      <c r="K7633" s="1" t="str">
        <f t="shared" si="5387"/>
        <v>103</v>
      </c>
      <c r="L7633" s="1" t="str">
        <f t="shared" si="5388"/>
        <v>47</v>
      </c>
      <c r="M7633" s="1" t="str">
        <f t="shared" si="5395"/>
        <v>0</v>
      </c>
      <c r="N7633" s="1" t="str">
        <f t="shared" si="5395"/>
        <v>0</v>
      </c>
      <c r="O7633" s="1" t="str">
        <f t="shared" si="5395"/>
        <v>0</v>
      </c>
    </row>
    <row r="7634" s="1" customFormat="1" spans="1:15">
      <c r="A7634" s="1" t="str">
        <f t="shared" si="5374"/>
        <v>202406</v>
      </c>
      <c r="B7634" s="1" t="str">
        <f t="shared" si="5375"/>
        <v>150525100</v>
      </c>
      <c r="C7634" s="1" t="str">
        <f>"1014625337"</f>
        <v>1014625337</v>
      </c>
      <c r="D7634" s="1" t="str">
        <f>"152326194812213814"</f>
        <v>152326194812213814</v>
      </c>
      <c r="E7634" s="1" t="s">
        <v>6679</v>
      </c>
      <c r="F7634" s="1" t="s">
        <v>25</v>
      </c>
      <c r="G7634" s="1" t="s">
        <v>17</v>
      </c>
      <c r="H7634" s="1" t="str">
        <f>"76"</f>
        <v>76</v>
      </c>
      <c r="I7634" s="1" t="str">
        <f t="shared" si="5383"/>
        <v>160</v>
      </c>
      <c r="J7634" s="1" t="str">
        <f t="shared" ref="J7634:O7634" si="5396">"0"</f>
        <v>0</v>
      </c>
      <c r="K7634" s="1" t="str">
        <f t="shared" si="5387"/>
        <v>103</v>
      </c>
      <c r="L7634" s="1" t="str">
        <f t="shared" si="5388"/>
        <v>47</v>
      </c>
      <c r="M7634" s="1" t="str">
        <f t="shared" si="5396"/>
        <v>0</v>
      </c>
      <c r="N7634" s="1" t="str">
        <f t="shared" si="5396"/>
        <v>0</v>
      </c>
      <c r="O7634" s="1" t="str">
        <f t="shared" si="5396"/>
        <v>0</v>
      </c>
    </row>
    <row r="7635" s="1" customFormat="1" spans="1:15">
      <c r="A7635" s="1" t="str">
        <f t="shared" si="5374"/>
        <v>202406</v>
      </c>
      <c r="B7635" s="1" t="str">
        <f t="shared" si="5375"/>
        <v>150525100</v>
      </c>
      <c r="C7635" s="1" t="str">
        <f>"1014624830"</f>
        <v>1014624830</v>
      </c>
      <c r="D7635" s="1" t="s">
        <v>7335</v>
      </c>
      <c r="E7635" s="1" t="s">
        <v>7336</v>
      </c>
      <c r="F7635" s="1" t="s">
        <v>16</v>
      </c>
      <c r="G7635" s="1" t="s">
        <v>17</v>
      </c>
      <c r="H7635" s="1" t="str">
        <f t="shared" si="5394"/>
        <v>73</v>
      </c>
      <c r="I7635" s="1" t="str">
        <f t="shared" si="5383"/>
        <v>160</v>
      </c>
      <c r="J7635" s="1" t="str">
        <f t="shared" ref="J7635:O7635" si="5397">"0"</f>
        <v>0</v>
      </c>
      <c r="K7635" s="1" t="str">
        <f t="shared" si="5387"/>
        <v>103</v>
      </c>
      <c r="L7635" s="1" t="str">
        <f t="shared" si="5388"/>
        <v>47</v>
      </c>
      <c r="M7635" s="1" t="str">
        <f t="shared" si="5397"/>
        <v>0</v>
      </c>
      <c r="N7635" s="1" t="str">
        <f t="shared" si="5397"/>
        <v>0</v>
      </c>
      <c r="O7635" s="1" t="str">
        <f t="shared" si="5397"/>
        <v>0</v>
      </c>
    </row>
    <row r="7636" s="1" customFormat="1" spans="1:15">
      <c r="A7636" s="1" t="str">
        <f t="shared" si="5374"/>
        <v>202406</v>
      </c>
      <c r="B7636" s="1" t="str">
        <f t="shared" si="5375"/>
        <v>150525100</v>
      </c>
      <c r="C7636" s="1" t="str">
        <f>"1014625309"</f>
        <v>1014625309</v>
      </c>
      <c r="D7636" s="1" t="str">
        <f>"152326195101083325"</f>
        <v>152326195101083325</v>
      </c>
      <c r="E7636" s="1" t="s">
        <v>7337</v>
      </c>
      <c r="F7636" s="1" t="s">
        <v>16</v>
      </c>
      <c r="G7636" s="1" t="s">
        <v>19</v>
      </c>
      <c r="H7636" s="1" t="str">
        <f t="shared" si="5394"/>
        <v>73</v>
      </c>
      <c r="I7636" s="1" t="str">
        <f t="shared" si="5383"/>
        <v>160</v>
      </c>
      <c r="J7636" s="1" t="str">
        <f t="shared" ref="J7636:O7636" si="5398">"0"</f>
        <v>0</v>
      </c>
      <c r="K7636" s="1" t="str">
        <f t="shared" si="5387"/>
        <v>103</v>
      </c>
      <c r="L7636" s="1" t="str">
        <f t="shared" si="5388"/>
        <v>47</v>
      </c>
      <c r="M7636" s="1" t="str">
        <f t="shared" si="5398"/>
        <v>0</v>
      </c>
      <c r="N7636" s="1" t="str">
        <f t="shared" si="5398"/>
        <v>0</v>
      </c>
      <c r="O7636" s="1" t="str">
        <f t="shared" si="5398"/>
        <v>0</v>
      </c>
    </row>
    <row r="7637" s="1" customFormat="1" spans="1:15">
      <c r="A7637" s="1" t="str">
        <f t="shared" si="5374"/>
        <v>202406</v>
      </c>
      <c r="B7637" s="1" t="str">
        <f t="shared" si="5375"/>
        <v>150525100</v>
      </c>
      <c r="C7637" s="1" t="str">
        <f>"1014624901"</f>
        <v>1014624901</v>
      </c>
      <c r="D7637" s="1" t="str">
        <f>"152326194901250414"</f>
        <v>152326194901250414</v>
      </c>
      <c r="E7637" s="1" t="s">
        <v>5835</v>
      </c>
      <c r="F7637" s="1" t="s">
        <v>25</v>
      </c>
      <c r="G7637" s="1" t="s">
        <v>17</v>
      </c>
      <c r="H7637" s="1" t="str">
        <f>"75"</f>
        <v>75</v>
      </c>
      <c r="I7637" s="1" t="str">
        <f t="shared" si="5383"/>
        <v>160</v>
      </c>
      <c r="J7637" s="1" t="str">
        <f t="shared" ref="J7637:O7637" si="5399">"0"</f>
        <v>0</v>
      </c>
      <c r="K7637" s="1" t="str">
        <f t="shared" si="5387"/>
        <v>103</v>
      </c>
      <c r="L7637" s="1" t="str">
        <f t="shared" si="5388"/>
        <v>47</v>
      </c>
      <c r="M7637" s="1" t="str">
        <f t="shared" si="5399"/>
        <v>0</v>
      </c>
      <c r="N7637" s="1" t="str">
        <f t="shared" si="5399"/>
        <v>0</v>
      </c>
      <c r="O7637" s="1" t="str">
        <f t="shared" si="5399"/>
        <v>0</v>
      </c>
    </row>
    <row r="7638" s="1" customFormat="1" spans="1:15">
      <c r="A7638" s="1" t="str">
        <f t="shared" si="5374"/>
        <v>202406</v>
      </c>
      <c r="B7638" s="1" t="str">
        <f t="shared" si="5375"/>
        <v>150525100</v>
      </c>
      <c r="C7638" s="1" t="str">
        <f>"1014624905"</f>
        <v>1014624905</v>
      </c>
      <c r="D7638" s="1" t="str">
        <f>"152326195112200435"</f>
        <v>152326195112200435</v>
      </c>
      <c r="E7638" s="1" t="s">
        <v>7338</v>
      </c>
      <c r="F7638" s="1" t="s">
        <v>25</v>
      </c>
      <c r="G7638" s="1" t="s">
        <v>17</v>
      </c>
      <c r="H7638" s="1" t="str">
        <f>"73"</f>
        <v>73</v>
      </c>
      <c r="I7638" s="1" t="str">
        <f t="shared" si="5383"/>
        <v>160</v>
      </c>
      <c r="J7638" s="1" t="str">
        <f t="shared" ref="J7638:O7638" si="5400">"0"</f>
        <v>0</v>
      </c>
      <c r="K7638" s="1" t="str">
        <f t="shared" si="5387"/>
        <v>103</v>
      </c>
      <c r="L7638" s="1" t="str">
        <f t="shared" si="5388"/>
        <v>47</v>
      </c>
      <c r="M7638" s="1" t="str">
        <f t="shared" si="5400"/>
        <v>0</v>
      </c>
      <c r="N7638" s="1" t="str">
        <f t="shared" si="5400"/>
        <v>0</v>
      </c>
      <c r="O7638" s="1" t="str">
        <f t="shared" si="5400"/>
        <v>0</v>
      </c>
    </row>
    <row r="7639" s="1" customFormat="1" spans="1:15">
      <c r="A7639" s="1" t="str">
        <f t="shared" si="5374"/>
        <v>202406</v>
      </c>
      <c r="B7639" s="1" t="str">
        <f t="shared" si="5375"/>
        <v>150525100</v>
      </c>
      <c r="C7639" s="1" t="str">
        <f>"1014625347"</f>
        <v>1014625347</v>
      </c>
      <c r="D7639" s="1" t="str">
        <f>"152326194308173817"</f>
        <v>152326194308173817</v>
      </c>
      <c r="E7639" s="1" t="s">
        <v>7339</v>
      </c>
      <c r="F7639" s="1" t="s">
        <v>25</v>
      </c>
      <c r="G7639" s="1" t="s">
        <v>17</v>
      </c>
      <c r="H7639" s="1" t="str">
        <f>"81"</f>
        <v>81</v>
      </c>
      <c r="I7639" s="1" t="str">
        <f t="shared" ref="I7639:I7643" si="5401">"170"</f>
        <v>170</v>
      </c>
      <c r="J7639" s="1" t="str">
        <f t="shared" ref="J7639:O7639" si="5402">"0"</f>
        <v>0</v>
      </c>
      <c r="K7639" s="1" t="str">
        <f t="shared" si="5387"/>
        <v>103</v>
      </c>
      <c r="L7639" s="1" t="str">
        <f t="shared" si="5388"/>
        <v>47</v>
      </c>
      <c r="M7639" s="1" t="str">
        <f t="shared" si="5402"/>
        <v>0</v>
      </c>
      <c r="N7639" s="1" t="str">
        <f t="shared" si="5402"/>
        <v>0</v>
      </c>
      <c r="O7639" s="1" t="str">
        <f t="shared" si="5402"/>
        <v>0</v>
      </c>
    </row>
    <row r="7640" s="1" customFormat="1" spans="1:15">
      <c r="A7640" s="1" t="str">
        <f t="shared" si="5374"/>
        <v>202406</v>
      </c>
      <c r="B7640" s="1" t="str">
        <f t="shared" si="5375"/>
        <v>150525100</v>
      </c>
      <c r="C7640" s="1" t="str">
        <f>"1014619049"</f>
        <v>1014619049</v>
      </c>
      <c r="D7640" s="1" t="str">
        <f>"152326194112240918"</f>
        <v>152326194112240918</v>
      </c>
      <c r="E7640" s="1" t="s">
        <v>7340</v>
      </c>
      <c r="F7640" s="1" t="s">
        <v>25</v>
      </c>
      <c r="G7640" s="1" t="s">
        <v>19</v>
      </c>
      <c r="H7640" s="1" t="str">
        <f>"83"</f>
        <v>83</v>
      </c>
      <c r="I7640" s="1" t="str">
        <f t="shared" si="5401"/>
        <v>170</v>
      </c>
      <c r="J7640" s="1" t="str">
        <f t="shared" ref="J7640:O7640" si="5403">"0"</f>
        <v>0</v>
      </c>
      <c r="K7640" s="1" t="str">
        <f t="shared" si="5387"/>
        <v>103</v>
      </c>
      <c r="L7640" s="1" t="str">
        <f t="shared" si="5388"/>
        <v>47</v>
      </c>
      <c r="M7640" s="1" t="str">
        <f t="shared" si="5403"/>
        <v>0</v>
      </c>
      <c r="N7640" s="1" t="str">
        <f t="shared" si="5403"/>
        <v>0</v>
      </c>
      <c r="O7640" s="1" t="str">
        <f t="shared" si="5403"/>
        <v>0</v>
      </c>
    </row>
    <row r="7641" s="1" customFormat="1" spans="1:15">
      <c r="A7641" s="1" t="str">
        <f t="shared" si="5374"/>
        <v>202406</v>
      </c>
      <c r="B7641" s="1" t="str">
        <f t="shared" si="5375"/>
        <v>150525100</v>
      </c>
      <c r="C7641" s="1" t="str">
        <f>"1014625392"</f>
        <v>1014625392</v>
      </c>
      <c r="D7641" s="1" t="str">
        <f>"152326194902050414"</f>
        <v>152326194902050414</v>
      </c>
      <c r="E7641" s="1" t="s">
        <v>7341</v>
      </c>
      <c r="F7641" s="1" t="s">
        <v>25</v>
      </c>
      <c r="G7641" s="1" t="s">
        <v>17</v>
      </c>
      <c r="H7641" s="1" t="str">
        <f>"75"</f>
        <v>75</v>
      </c>
      <c r="I7641" s="1" t="str">
        <f>"1600"</f>
        <v>1600</v>
      </c>
      <c r="J7641" s="1" t="str">
        <f>"1440"</f>
        <v>1440</v>
      </c>
      <c r="K7641" s="1" t="str">
        <f>"1030"</f>
        <v>1030</v>
      </c>
      <c r="L7641" s="1" t="str">
        <f>"470"</f>
        <v>470</v>
      </c>
      <c r="M7641" s="1" t="str">
        <f t="shared" ref="M7641:O7641" si="5404">"0"</f>
        <v>0</v>
      </c>
      <c r="N7641" s="1" t="str">
        <f t="shared" si="5404"/>
        <v>0</v>
      </c>
      <c r="O7641" s="1" t="str">
        <f t="shared" si="5404"/>
        <v>0</v>
      </c>
    </row>
    <row r="7642" s="1" customFormat="1" spans="1:15">
      <c r="A7642" s="1" t="str">
        <f t="shared" si="5374"/>
        <v>202406</v>
      </c>
      <c r="B7642" s="1" t="str">
        <f t="shared" si="5375"/>
        <v>150525100</v>
      </c>
      <c r="C7642" s="1" t="str">
        <f>"1014624937"</f>
        <v>1014624937</v>
      </c>
      <c r="D7642" s="1" t="str">
        <f>"152326195110253314"</f>
        <v>152326195110253314</v>
      </c>
      <c r="E7642" s="1" t="s">
        <v>7342</v>
      </c>
      <c r="F7642" s="1" t="s">
        <v>25</v>
      </c>
      <c r="G7642" s="1" t="s">
        <v>17</v>
      </c>
      <c r="H7642" s="1" t="str">
        <f>"73"</f>
        <v>73</v>
      </c>
      <c r="I7642" s="1" t="str">
        <f>"160"</f>
        <v>160</v>
      </c>
      <c r="J7642" s="1" t="str">
        <f t="shared" ref="J7642:O7642" si="5405">"0"</f>
        <v>0</v>
      </c>
      <c r="K7642" s="1" t="str">
        <f t="shared" ref="K7642:K7705" si="5406">"103"</f>
        <v>103</v>
      </c>
      <c r="L7642" s="1" t="str">
        <f t="shared" ref="L7642:L7705" si="5407">"47"</f>
        <v>47</v>
      </c>
      <c r="M7642" s="1" t="str">
        <f t="shared" si="5405"/>
        <v>0</v>
      </c>
      <c r="N7642" s="1" t="str">
        <f t="shared" si="5405"/>
        <v>0</v>
      </c>
      <c r="O7642" s="1" t="str">
        <f t="shared" si="5405"/>
        <v>0</v>
      </c>
    </row>
    <row r="7643" s="1" customFormat="1" spans="1:15">
      <c r="A7643" s="1" t="str">
        <f t="shared" si="5374"/>
        <v>202406</v>
      </c>
      <c r="B7643" s="1" t="str">
        <f t="shared" si="5375"/>
        <v>150525100</v>
      </c>
      <c r="C7643" s="1" t="str">
        <f>"1014625434"</f>
        <v>1014625434</v>
      </c>
      <c r="D7643" s="1" t="str">
        <f>"152326194308123318"</f>
        <v>152326194308123318</v>
      </c>
      <c r="E7643" s="1" t="s">
        <v>7343</v>
      </c>
      <c r="F7643" s="1" t="s">
        <v>25</v>
      </c>
      <c r="G7643" s="1" t="s">
        <v>19</v>
      </c>
      <c r="H7643" s="1" t="str">
        <f>"81"</f>
        <v>81</v>
      </c>
      <c r="I7643" s="1" t="str">
        <f t="shared" si="5401"/>
        <v>170</v>
      </c>
      <c r="J7643" s="1" t="str">
        <f t="shared" ref="J7643:O7643" si="5408">"0"</f>
        <v>0</v>
      </c>
      <c r="K7643" s="1" t="str">
        <f t="shared" si="5406"/>
        <v>103</v>
      </c>
      <c r="L7643" s="1" t="str">
        <f t="shared" si="5407"/>
        <v>47</v>
      </c>
      <c r="M7643" s="1" t="str">
        <f t="shared" si="5408"/>
        <v>0</v>
      </c>
      <c r="N7643" s="1" t="str">
        <f t="shared" si="5408"/>
        <v>0</v>
      </c>
      <c r="O7643" s="1" t="str">
        <f t="shared" si="5408"/>
        <v>0</v>
      </c>
    </row>
    <row r="7644" s="1" customFormat="1" spans="1:15">
      <c r="A7644" s="1" t="str">
        <f t="shared" si="5374"/>
        <v>202406</v>
      </c>
      <c r="B7644" s="1" t="str">
        <f t="shared" si="5375"/>
        <v>150525100</v>
      </c>
      <c r="C7644" s="1" t="str">
        <f>"1014641120"</f>
        <v>1014641120</v>
      </c>
      <c r="D7644" s="1" t="str">
        <f>"152326195709110424"</f>
        <v>152326195709110424</v>
      </c>
      <c r="E7644" s="1" t="s">
        <v>820</v>
      </c>
      <c r="F7644" s="1" t="s">
        <v>16</v>
      </c>
      <c r="G7644" s="1" t="s">
        <v>17</v>
      </c>
      <c r="H7644" s="1" t="str">
        <f>"67"</f>
        <v>67</v>
      </c>
      <c r="I7644" s="1" t="str">
        <f>"156.1"</f>
        <v>156.1</v>
      </c>
      <c r="J7644" s="1" t="str">
        <f t="shared" ref="J7644:N7644" si="5409">"0"</f>
        <v>0</v>
      </c>
      <c r="K7644" s="1" t="str">
        <f t="shared" si="5406"/>
        <v>103</v>
      </c>
      <c r="L7644" s="1" t="str">
        <f t="shared" si="5407"/>
        <v>47</v>
      </c>
      <c r="M7644" s="1" t="str">
        <f t="shared" si="5409"/>
        <v>0</v>
      </c>
      <c r="N7644" s="1" t="str">
        <f t="shared" si="5409"/>
        <v>0</v>
      </c>
      <c r="O7644" s="1" t="str">
        <f>"6.1"</f>
        <v>6.1</v>
      </c>
    </row>
    <row r="7645" s="1" customFormat="1" spans="1:15">
      <c r="A7645" s="1" t="str">
        <f t="shared" si="5374"/>
        <v>202406</v>
      </c>
      <c r="B7645" s="1" t="str">
        <f t="shared" si="5375"/>
        <v>150525100</v>
      </c>
      <c r="C7645" s="1" t="str">
        <f>"1014641127"</f>
        <v>1014641127</v>
      </c>
      <c r="D7645" s="1" t="str">
        <f>"152326195507050427"</f>
        <v>152326195507050427</v>
      </c>
      <c r="E7645" s="1" t="s">
        <v>7344</v>
      </c>
      <c r="F7645" s="1" t="s">
        <v>16</v>
      </c>
      <c r="G7645" s="1" t="s">
        <v>17</v>
      </c>
      <c r="H7645" s="1" t="str">
        <f>"69"</f>
        <v>69</v>
      </c>
      <c r="I7645" s="1" t="str">
        <f>"155.1"</f>
        <v>155.1</v>
      </c>
      <c r="J7645" s="1" t="str">
        <f t="shared" ref="J7645:N7645" si="5410">"0"</f>
        <v>0</v>
      </c>
      <c r="K7645" s="1" t="str">
        <f t="shared" si="5406"/>
        <v>103</v>
      </c>
      <c r="L7645" s="1" t="str">
        <f t="shared" si="5407"/>
        <v>47</v>
      </c>
      <c r="M7645" s="1" t="str">
        <f t="shared" si="5410"/>
        <v>0</v>
      </c>
      <c r="N7645" s="1" t="str">
        <f t="shared" si="5410"/>
        <v>0</v>
      </c>
      <c r="O7645" s="1" t="str">
        <f>"5.1"</f>
        <v>5.1</v>
      </c>
    </row>
    <row r="7646" s="1" customFormat="1" spans="1:15">
      <c r="A7646" s="1" t="str">
        <f t="shared" si="5374"/>
        <v>202406</v>
      </c>
      <c r="B7646" s="1" t="str">
        <f t="shared" si="5375"/>
        <v>150525100</v>
      </c>
      <c r="C7646" s="1" t="str">
        <f>"1014630175"</f>
        <v>1014630175</v>
      </c>
      <c r="D7646" s="1" t="str">
        <f>"152326194907023829"</f>
        <v>152326194907023829</v>
      </c>
      <c r="E7646" s="1" t="s">
        <v>7345</v>
      </c>
      <c r="F7646" s="1" t="s">
        <v>16</v>
      </c>
      <c r="G7646" s="1" t="s">
        <v>17</v>
      </c>
      <c r="H7646" s="1" t="str">
        <f>"75"</f>
        <v>75</v>
      </c>
      <c r="I7646" s="1" t="str">
        <f>"160"</f>
        <v>160</v>
      </c>
      <c r="J7646" s="1" t="str">
        <f t="shared" ref="J7646:O7646" si="5411">"0"</f>
        <v>0</v>
      </c>
      <c r="K7646" s="1" t="str">
        <f t="shared" si="5406"/>
        <v>103</v>
      </c>
      <c r="L7646" s="1" t="str">
        <f t="shared" si="5407"/>
        <v>47</v>
      </c>
      <c r="M7646" s="1" t="str">
        <f t="shared" si="5411"/>
        <v>0</v>
      </c>
      <c r="N7646" s="1" t="str">
        <f t="shared" si="5411"/>
        <v>0</v>
      </c>
      <c r="O7646" s="1" t="str">
        <f t="shared" si="5411"/>
        <v>0</v>
      </c>
    </row>
    <row r="7647" s="1" customFormat="1" spans="1:15">
      <c r="A7647" s="1" t="str">
        <f t="shared" si="5374"/>
        <v>202406</v>
      </c>
      <c r="B7647" s="1" t="str">
        <f t="shared" si="5375"/>
        <v>150525100</v>
      </c>
      <c r="C7647" s="1" t="str">
        <f>"1014624969"</f>
        <v>1014624969</v>
      </c>
      <c r="D7647" s="1" t="str">
        <f>"152326194404150674"</f>
        <v>152326194404150674</v>
      </c>
      <c r="E7647" s="1" t="s">
        <v>7346</v>
      </c>
      <c r="F7647" s="1" t="s">
        <v>25</v>
      </c>
      <c r="G7647" s="1" t="s">
        <v>17</v>
      </c>
      <c r="H7647" s="1" t="str">
        <f>"80"</f>
        <v>80</v>
      </c>
      <c r="I7647" s="1" t="str">
        <f t="shared" ref="I7647:I7649" si="5412">"170"</f>
        <v>170</v>
      </c>
      <c r="J7647" s="1" t="str">
        <f t="shared" ref="J7647:O7647" si="5413">"0"</f>
        <v>0</v>
      </c>
      <c r="K7647" s="1" t="str">
        <f t="shared" si="5406"/>
        <v>103</v>
      </c>
      <c r="L7647" s="1" t="str">
        <f t="shared" si="5407"/>
        <v>47</v>
      </c>
      <c r="M7647" s="1" t="str">
        <f t="shared" si="5413"/>
        <v>0</v>
      </c>
      <c r="N7647" s="1" t="str">
        <f t="shared" si="5413"/>
        <v>0</v>
      </c>
      <c r="O7647" s="1" t="str">
        <f t="shared" si="5413"/>
        <v>0</v>
      </c>
    </row>
    <row r="7648" s="1" customFormat="1" spans="1:15">
      <c r="A7648" s="1" t="str">
        <f t="shared" si="5374"/>
        <v>202406</v>
      </c>
      <c r="B7648" s="1" t="str">
        <f t="shared" si="5375"/>
        <v>150525100</v>
      </c>
      <c r="C7648" s="1" t="str">
        <f>"1014624990"</f>
        <v>1014624990</v>
      </c>
      <c r="D7648" s="1" t="str">
        <f>"152326193706260671"</f>
        <v>152326193706260671</v>
      </c>
      <c r="E7648" s="1" t="s">
        <v>7347</v>
      </c>
      <c r="F7648" s="1" t="s">
        <v>25</v>
      </c>
      <c r="G7648" s="1" t="s">
        <v>19</v>
      </c>
      <c r="H7648" s="1" t="str">
        <f>"87"</f>
        <v>87</v>
      </c>
      <c r="I7648" s="1" t="str">
        <f t="shared" si="5412"/>
        <v>170</v>
      </c>
      <c r="J7648" s="1" t="str">
        <f t="shared" ref="J7648:O7648" si="5414">"0"</f>
        <v>0</v>
      </c>
      <c r="K7648" s="1" t="str">
        <f t="shared" si="5406"/>
        <v>103</v>
      </c>
      <c r="L7648" s="1" t="str">
        <f t="shared" si="5407"/>
        <v>47</v>
      </c>
      <c r="M7648" s="1" t="str">
        <f t="shared" si="5414"/>
        <v>0</v>
      </c>
      <c r="N7648" s="1" t="str">
        <f t="shared" si="5414"/>
        <v>0</v>
      </c>
      <c r="O7648" s="1" t="str">
        <f t="shared" si="5414"/>
        <v>0</v>
      </c>
    </row>
    <row r="7649" s="1" customFormat="1" spans="1:15">
      <c r="A7649" s="1" t="str">
        <f t="shared" si="5374"/>
        <v>202406</v>
      </c>
      <c r="B7649" s="1" t="str">
        <f t="shared" si="5375"/>
        <v>150525100</v>
      </c>
      <c r="C7649" s="1" t="str">
        <f>"1014625469"</f>
        <v>1014625469</v>
      </c>
      <c r="D7649" s="1" t="str">
        <f>"152326194109103314"</f>
        <v>152326194109103314</v>
      </c>
      <c r="E7649" s="1" t="s">
        <v>7348</v>
      </c>
      <c r="F7649" s="1" t="s">
        <v>25</v>
      </c>
      <c r="G7649" s="1" t="s">
        <v>19</v>
      </c>
      <c r="H7649" s="1" t="str">
        <f>"83"</f>
        <v>83</v>
      </c>
      <c r="I7649" s="1" t="str">
        <f t="shared" si="5412"/>
        <v>170</v>
      </c>
      <c r="J7649" s="1" t="str">
        <f t="shared" ref="J7649:O7649" si="5415">"0"</f>
        <v>0</v>
      </c>
      <c r="K7649" s="1" t="str">
        <f t="shared" si="5406"/>
        <v>103</v>
      </c>
      <c r="L7649" s="1" t="str">
        <f t="shared" si="5407"/>
        <v>47</v>
      </c>
      <c r="M7649" s="1" t="str">
        <f t="shared" si="5415"/>
        <v>0</v>
      </c>
      <c r="N7649" s="1" t="str">
        <f t="shared" si="5415"/>
        <v>0</v>
      </c>
      <c r="O7649" s="1" t="str">
        <f t="shared" si="5415"/>
        <v>0</v>
      </c>
    </row>
    <row r="7650" s="1" customFormat="1" spans="1:15">
      <c r="A7650" s="1" t="str">
        <f t="shared" si="5374"/>
        <v>202406</v>
      </c>
      <c r="B7650" s="1" t="str">
        <f t="shared" si="5375"/>
        <v>150525100</v>
      </c>
      <c r="C7650" s="1" t="str">
        <f>"1014625483"</f>
        <v>1014625483</v>
      </c>
      <c r="D7650" s="1" t="str">
        <f>"152326195011273336"</f>
        <v>152326195011273336</v>
      </c>
      <c r="E7650" s="1" t="s">
        <v>7349</v>
      </c>
      <c r="F7650" s="1" t="s">
        <v>25</v>
      </c>
      <c r="G7650" s="1" t="s">
        <v>19</v>
      </c>
      <c r="H7650" s="1" t="str">
        <f>"74"</f>
        <v>74</v>
      </c>
      <c r="I7650" s="1" t="str">
        <f>"160"</f>
        <v>160</v>
      </c>
      <c r="J7650" s="1" t="str">
        <f t="shared" ref="J7650:O7650" si="5416">"0"</f>
        <v>0</v>
      </c>
      <c r="K7650" s="1" t="str">
        <f t="shared" si="5406"/>
        <v>103</v>
      </c>
      <c r="L7650" s="1" t="str">
        <f t="shared" si="5407"/>
        <v>47</v>
      </c>
      <c r="M7650" s="1" t="str">
        <f t="shared" si="5416"/>
        <v>0</v>
      </c>
      <c r="N7650" s="1" t="str">
        <f t="shared" si="5416"/>
        <v>0</v>
      </c>
      <c r="O7650" s="1" t="str">
        <f t="shared" si="5416"/>
        <v>0</v>
      </c>
    </row>
    <row r="7651" s="1" customFormat="1" spans="1:15">
      <c r="A7651" s="1" t="str">
        <f t="shared" si="5374"/>
        <v>202406</v>
      </c>
      <c r="B7651" s="1" t="str">
        <f t="shared" si="5375"/>
        <v>150525100</v>
      </c>
      <c r="C7651" s="1" t="str">
        <f>"1014660533"</f>
        <v>1014660533</v>
      </c>
      <c r="D7651" s="1" t="str">
        <f>"152326195812240024"</f>
        <v>152326195812240024</v>
      </c>
      <c r="E7651" s="1" t="s">
        <v>7350</v>
      </c>
      <c r="F7651" s="1" t="s">
        <v>16</v>
      </c>
      <c r="G7651" s="1" t="s">
        <v>19</v>
      </c>
      <c r="H7651" s="1" t="str">
        <f>"66"</f>
        <v>66</v>
      </c>
      <c r="I7651" s="1" t="str">
        <f>"209.32"</f>
        <v>209.32</v>
      </c>
      <c r="J7651" s="1" t="str">
        <f t="shared" ref="J7651:N7651" si="5417">"0"</f>
        <v>0</v>
      </c>
      <c r="K7651" s="1" t="str">
        <f t="shared" si="5406"/>
        <v>103</v>
      </c>
      <c r="L7651" s="1" t="str">
        <f t="shared" si="5407"/>
        <v>47</v>
      </c>
      <c r="M7651" s="1" t="str">
        <f t="shared" si="5417"/>
        <v>0</v>
      </c>
      <c r="N7651" s="1" t="str">
        <f t="shared" si="5417"/>
        <v>0</v>
      </c>
      <c r="O7651" s="1" t="str">
        <f>"59.32"</f>
        <v>59.32</v>
      </c>
    </row>
    <row r="7652" s="1" customFormat="1" spans="1:15">
      <c r="A7652" s="1" t="str">
        <f t="shared" si="5374"/>
        <v>202406</v>
      </c>
      <c r="B7652" s="1" t="str">
        <f t="shared" si="5375"/>
        <v>150525100</v>
      </c>
      <c r="C7652" s="1" t="str">
        <f>"1014641929"</f>
        <v>1014641929</v>
      </c>
      <c r="D7652" s="1" t="str">
        <f>"152326195904143811"</f>
        <v>152326195904143811</v>
      </c>
      <c r="E7652" s="1" t="s">
        <v>7351</v>
      </c>
      <c r="F7652" s="1" t="s">
        <v>25</v>
      </c>
      <c r="G7652" s="1" t="s">
        <v>17</v>
      </c>
      <c r="H7652" s="1" t="str">
        <f>"65"</f>
        <v>65</v>
      </c>
      <c r="I7652" s="1" t="str">
        <f>"158.2"</f>
        <v>158.2</v>
      </c>
      <c r="J7652" s="1" t="str">
        <f t="shared" ref="J7652:N7652" si="5418">"0"</f>
        <v>0</v>
      </c>
      <c r="K7652" s="1" t="str">
        <f t="shared" si="5406"/>
        <v>103</v>
      </c>
      <c r="L7652" s="1" t="str">
        <f t="shared" si="5407"/>
        <v>47</v>
      </c>
      <c r="M7652" s="1" t="str">
        <f t="shared" si="5418"/>
        <v>0</v>
      </c>
      <c r="N7652" s="1" t="str">
        <f t="shared" si="5418"/>
        <v>0</v>
      </c>
      <c r="O7652" s="1" t="str">
        <f>"8.2"</f>
        <v>8.2</v>
      </c>
    </row>
    <row r="7653" s="1" customFormat="1" spans="1:15">
      <c r="A7653" s="1" t="str">
        <f t="shared" si="5374"/>
        <v>202406</v>
      </c>
      <c r="B7653" s="1" t="str">
        <f t="shared" si="5375"/>
        <v>150525100</v>
      </c>
      <c r="C7653" s="1" t="str">
        <f>"1014660545"</f>
        <v>1014660545</v>
      </c>
      <c r="D7653" s="1" t="str">
        <f>"152326195609230429"</f>
        <v>152326195609230429</v>
      </c>
      <c r="E7653" s="1" t="s">
        <v>1414</v>
      </c>
      <c r="F7653" s="1" t="s">
        <v>16</v>
      </c>
      <c r="G7653" s="1" t="s">
        <v>17</v>
      </c>
      <c r="H7653" s="1" t="str">
        <f>"68"</f>
        <v>68</v>
      </c>
      <c r="I7653" s="1" t="str">
        <f>"157.52"</f>
        <v>157.52</v>
      </c>
      <c r="J7653" s="1" t="str">
        <f t="shared" ref="J7653:N7653" si="5419">"0"</f>
        <v>0</v>
      </c>
      <c r="K7653" s="1" t="str">
        <f t="shared" si="5406"/>
        <v>103</v>
      </c>
      <c r="L7653" s="1" t="str">
        <f t="shared" si="5407"/>
        <v>47</v>
      </c>
      <c r="M7653" s="1" t="str">
        <f t="shared" si="5419"/>
        <v>0</v>
      </c>
      <c r="N7653" s="1" t="str">
        <f t="shared" si="5419"/>
        <v>0</v>
      </c>
      <c r="O7653" s="1" t="str">
        <f>"7.52"</f>
        <v>7.52</v>
      </c>
    </row>
    <row r="7654" s="1" customFormat="1" spans="1:15">
      <c r="A7654" s="1" t="str">
        <f t="shared" si="5374"/>
        <v>202406</v>
      </c>
      <c r="B7654" s="1" t="str">
        <f t="shared" si="5375"/>
        <v>150525100</v>
      </c>
      <c r="C7654" s="1" t="str">
        <f>"1040681701"</f>
        <v>1040681701</v>
      </c>
      <c r="D7654" s="1" t="str">
        <f>"152326195405073310"</f>
        <v>152326195405073310</v>
      </c>
      <c r="E7654" s="1" t="s">
        <v>7352</v>
      </c>
      <c r="F7654" s="1" t="s">
        <v>25</v>
      </c>
      <c r="G7654" s="1" t="s">
        <v>19</v>
      </c>
      <c r="H7654" s="1" t="str">
        <f>"70"</f>
        <v>70</v>
      </c>
      <c r="I7654" s="1" t="str">
        <f>"163.82"</f>
        <v>163.82</v>
      </c>
      <c r="J7654" s="1" t="str">
        <f t="shared" ref="J7654:N7654" si="5420">"0"</f>
        <v>0</v>
      </c>
      <c r="K7654" s="1" t="str">
        <f t="shared" si="5406"/>
        <v>103</v>
      </c>
      <c r="L7654" s="1" t="str">
        <f t="shared" si="5407"/>
        <v>47</v>
      </c>
      <c r="M7654" s="1" t="str">
        <f t="shared" si="5420"/>
        <v>0</v>
      </c>
      <c r="N7654" s="1" t="str">
        <f t="shared" si="5420"/>
        <v>0</v>
      </c>
      <c r="O7654" s="1" t="str">
        <f>"3.82"</f>
        <v>3.82</v>
      </c>
    </row>
    <row r="7655" s="1" customFormat="1" spans="1:15">
      <c r="A7655" s="1" t="str">
        <f t="shared" si="5374"/>
        <v>202406</v>
      </c>
      <c r="B7655" s="1" t="str">
        <f t="shared" si="5375"/>
        <v>150525100</v>
      </c>
      <c r="C7655" s="1" t="str">
        <f>"1040681715"</f>
        <v>1040681715</v>
      </c>
      <c r="D7655" s="1" t="str">
        <f>"152326196002140421"</f>
        <v>152326196002140421</v>
      </c>
      <c r="E7655" s="1" t="s">
        <v>7353</v>
      </c>
      <c r="F7655" s="1" t="s">
        <v>16</v>
      </c>
      <c r="G7655" s="1" t="s">
        <v>17</v>
      </c>
      <c r="H7655" s="1" t="str">
        <f>"64"</f>
        <v>64</v>
      </c>
      <c r="I7655" s="1" t="str">
        <f>"157.91"</f>
        <v>157.91</v>
      </c>
      <c r="J7655" s="1" t="str">
        <f t="shared" ref="J7655:N7655" si="5421">"0"</f>
        <v>0</v>
      </c>
      <c r="K7655" s="1" t="str">
        <f t="shared" si="5406"/>
        <v>103</v>
      </c>
      <c r="L7655" s="1" t="str">
        <f t="shared" si="5407"/>
        <v>47</v>
      </c>
      <c r="M7655" s="1" t="str">
        <f t="shared" si="5421"/>
        <v>0</v>
      </c>
      <c r="N7655" s="1" t="str">
        <f t="shared" si="5421"/>
        <v>0</v>
      </c>
      <c r="O7655" s="1" t="str">
        <f>"7.91"</f>
        <v>7.91</v>
      </c>
    </row>
    <row r="7656" s="1" customFormat="1" spans="1:15">
      <c r="A7656" s="1" t="str">
        <f t="shared" si="5374"/>
        <v>202406</v>
      </c>
      <c r="B7656" s="1" t="str">
        <f t="shared" si="5375"/>
        <v>150525100</v>
      </c>
      <c r="C7656" s="1" t="str">
        <f>"1040681745"</f>
        <v>1040681745</v>
      </c>
      <c r="D7656" s="1" t="str">
        <f>"152326195703143313"</f>
        <v>152326195703143313</v>
      </c>
      <c r="E7656" s="1" t="s">
        <v>7354</v>
      </c>
      <c r="F7656" s="1" t="s">
        <v>25</v>
      </c>
      <c r="G7656" s="1" t="s">
        <v>19</v>
      </c>
      <c r="H7656" s="1" t="str">
        <f>"67"</f>
        <v>67</v>
      </c>
      <c r="I7656" s="1" t="str">
        <f>"154.87"</f>
        <v>154.87</v>
      </c>
      <c r="J7656" s="1" t="str">
        <f t="shared" ref="J7656:N7656" si="5422">"0"</f>
        <v>0</v>
      </c>
      <c r="K7656" s="1" t="str">
        <f t="shared" si="5406"/>
        <v>103</v>
      </c>
      <c r="L7656" s="1" t="str">
        <f t="shared" si="5407"/>
        <v>47</v>
      </c>
      <c r="M7656" s="1" t="str">
        <f t="shared" si="5422"/>
        <v>0</v>
      </c>
      <c r="N7656" s="1" t="str">
        <f t="shared" si="5422"/>
        <v>0</v>
      </c>
      <c r="O7656" s="1" t="str">
        <f>"4.87"</f>
        <v>4.87</v>
      </c>
    </row>
    <row r="7657" s="1" customFormat="1" spans="1:15">
      <c r="A7657" s="1" t="str">
        <f t="shared" si="5374"/>
        <v>202406</v>
      </c>
      <c r="B7657" s="1" t="str">
        <f t="shared" si="5375"/>
        <v>150525100</v>
      </c>
      <c r="C7657" s="1" t="str">
        <f>"1040681812"</f>
        <v>1040681812</v>
      </c>
      <c r="D7657" s="1" t="str">
        <f>"152326195908040668"</f>
        <v>152326195908040668</v>
      </c>
      <c r="E7657" s="1" t="s">
        <v>7355</v>
      </c>
      <c r="F7657" s="1" t="s">
        <v>16</v>
      </c>
      <c r="G7657" s="1" t="s">
        <v>17</v>
      </c>
      <c r="H7657" s="1" t="str">
        <f>"65"</f>
        <v>65</v>
      </c>
      <c r="I7657" s="1" t="str">
        <f>"156.91"</f>
        <v>156.91</v>
      </c>
      <c r="J7657" s="1" t="str">
        <f t="shared" ref="J7657:N7657" si="5423">"0"</f>
        <v>0</v>
      </c>
      <c r="K7657" s="1" t="str">
        <f t="shared" si="5406"/>
        <v>103</v>
      </c>
      <c r="L7657" s="1" t="str">
        <f t="shared" si="5407"/>
        <v>47</v>
      </c>
      <c r="M7657" s="1" t="str">
        <f t="shared" si="5423"/>
        <v>0</v>
      </c>
      <c r="N7657" s="1" t="str">
        <f t="shared" si="5423"/>
        <v>0</v>
      </c>
      <c r="O7657" s="1" t="str">
        <f>"6.91"</f>
        <v>6.91</v>
      </c>
    </row>
    <row r="7658" s="1" customFormat="1" spans="1:15">
      <c r="A7658" s="1" t="str">
        <f t="shared" si="5374"/>
        <v>202406</v>
      </c>
      <c r="B7658" s="1" t="str">
        <f t="shared" si="5375"/>
        <v>150525100</v>
      </c>
      <c r="C7658" s="1" t="str">
        <f>"1040681675"</f>
        <v>1040681675</v>
      </c>
      <c r="D7658" s="1" t="s">
        <v>7356</v>
      </c>
      <c r="E7658" s="1" t="s">
        <v>7357</v>
      </c>
      <c r="F7658" s="1" t="s">
        <v>16</v>
      </c>
      <c r="G7658" s="1" t="s">
        <v>19</v>
      </c>
      <c r="H7658" s="1" t="str">
        <f>"66"</f>
        <v>66</v>
      </c>
      <c r="I7658" s="1" t="str">
        <f>"155.92"</f>
        <v>155.92</v>
      </c>
      <c r="J7658" s="1" t="str">
        <f t="shared" ref="J7658:N7658" si="5424">"0"</f>
        <v>0</v>
      </c>
      <c r="K7658" s="1" t="str">
        <f t="shared" si="5406"/>
        <v>103</v>
      </c>
      <c r="L7658" s="1" t="str">
        <f t="shared" si="5407"/>
        <v>47</v>
      </c>
      <c r="M7658" s="1" t="str">
        <f t="shared" si="5424"/>
        <v>0</v>
      </c>
      <c r="N7658" s="1" t="str">
        <f t="shared" si="5424"/>
        <v>0</v>
      </c>
      <c r="O7658" s="1" t="str">
        <f>"5.92"</f>
        <v>5.92</v>
      </c>
    </row>
    <row r="7659" s="1" customFormat="1" spans="1:15">
      <c r="A7659" s="1" t="str">
        <f t="shared" si="5374"/>
        <v>202406</v>
      </c>
      <c r="B7659" s="1" t="str">
        <f t="shared" si="5375"/>
        <v>150525100</v>
      </c>
      <c r="C7659" s="1" t="str">
        <f>"1040681685"</f>
        <v>1040681685</v>
      </c>
      <c r="D7659" s="1" t="str">
        <f>"152326195801193322"</f>
        <v>152326195801193322</v>
      </c>
      <c r="E7659" s="1" t="s">
        <v>2279</v>
      </c>
      <c r="F7659" s="1" t="s">
        <v>16</v>
      </c>
      <c r="G7659" s="1" t="s">
        <v>17</v>
      </c>
      <c r="H7659" s="1" t="str">
        <f>"66"</f>
        <v>66</v>
      </c>
      <c r="I7659" s="1" t="str">
        <f>"155.84"</f>
        <v>155.84</v>
      </c>
      <c r="J7659" s="1" t="str">
        <f t="shared" ref="J7659:N7659" si="5425">"0"</f>
        <v>0</v>
      </c>
      <c r="K7659" s="1" t="str">
        <f t="shared" si="5406"/>
        <v>103</v>
      </c>
      <c r="L7659" s="1" t="str">
        <f t="shared" si="5407"/>
        <v>47</v>
      </c>
      <c r="M7659" s="1" t="str">
        <f t="shared" si="5425"/>
        <v>0</v>
      </c>
      <c r="N7659" s="1" t="str">
        <f t="shared" si="5425"/>
        <v>0</v>
      </c>
      <c r="O7659" s="1" t="str">
        <f>"5.84"</f>
        <v>5.84</v>
      </c>
    </row>
    <row r="7660" s="1" customFormat="1" spans="1:15">
      <c r="A7660" s="1" t="str">
        <f t="shared" si="5374"/>
        <v>202406</v>
      </c>
      <c r="B7660" s="1" t="str">
        <f t="shared" si="5375"/>
        <v>150525100</v>
      </c>
      <c r="C7660" s="1" t="str">
        <f>"1040681688"</f>
        <v>1040681688</v>
      </c>
      <c r="D7660" s="1" t="s">
        <v>7358</v>
      </c>
      <c r="E7660" s="1" t="s">
        <v>7359</v>
      </c>
      <c r="F7660" s="1" t="s">
        <v>16</v>
      </c>
      <c r="G7660" s="1" t="s">
        <v>19</v>
      </c>
      <c r="H7660" s="1" t="str">
        <f>"64"</f>
        <v>64</v>
      </c>
      <c r="I7660" s="1" t="str">
        <f>"157.92"</f>
        <v>157.92</v>
      </c>
      <c r="J7660" s="1" t="str">
        <f t="shared" ref="J7660:N7660" si="5426">"0"</f>
        <v>0</v>
      </c>
      <c r="K7660" s="1" t="str">
        <f t="shared" si="5406"/>
        <v>103</v>
      </c>
      <c r="L7660" s="1" t="str">
        <f t="shared" si="5407"/>
        <v>47</v>
      </c>
      <c r="M7660" s="1" t="str">
        <f t="shared" si="5426"/>
        <v>0</v>
      </c>
      <c r="N7660" s="1" t="str">
        <f t="shared" si="5426"/>
        <v>0</v>
      </c>
      <c r="O7660" s="1" t="str">
        <f>"7.92"</f>
        <v>7.92</v>
      </c>
    </row>
    <row r="7661" s="1" customFormat="1" spans="1:15">
      <c r="A7661" s="1" t="str">
        <f t="shared" si="5374"/>
        <v>202406</v>
      </c>
      <c r="B7661" s="1" t="str">
        <f t="shared" si="5375"/>
        <v>150525100</v>
      </c>
      <c r="C7661" s="1" t="str">
        <f>"1040681692"</f>
        <v>1040681692</v>
      </c>
      <c r="D7661" s="1" t="str">
        <f>"152326195905053316"</f>
        <v>152326195905053316</v>
      </c>
      <c r="E7661" s="1" t="s">
        <v>7360</v>
      </c>
      <c r="F7661" s="1" t="s">
        <v>25</v>
      </c>
      <c r="G7661" s="1" t="s">
        <v>19</v>
      </c>
      <c r="H7661" s="1" t="str">
        <f>"65"</f>
        <v>65</v>
      </c>
      <c r="I7661" s="1" t="str">
        <f>"156.9"</f>
        <v>156.9</v>
      </c>
      <c r="J7661" s="1" t="str">
        <f t="shared" ref="J7661:N7661" si="5427">"0"</f>
        <v>0</v>
      </c>
      <c r="K7661" s="1" t="str">
        <f t="shared" si="5406"/>
        <v>103</v>
      </c>
      <c r="L7661" s="1" t="str">
        <f t="shared" si="5407"/>
        <v>47</v>
      </c>
      <c r="M7661" s="1" t="str">
        <f t="shared" si="5427"/>
        <v>0</v>
      </c>
      <c r="N7661" s="1" t="str">
        <f t="shared" si="5427"/>
        <v>0</v>
      </c>
      <c r="O7661" s="1" t="str">
        <f>"6.9"</f>
        <v>6.9</v>
      </c>
    </row>
    <row r="7662" s="1" customFormat="1" spans="1:15">
      <c r="A7662" s="1" t="str">
        <f t="shared" si="5374"/>
        <v>202406</v>
      </c>
      <c r="B7662" s="1" t="str">
        <f t="shared" si="5375"/>
        <v>150525100</v>
      </c>
      <c r="C7662" s="1" t="str">
        <f>"1040681693"</f>
        <v>1040681693</v>
      </c>
      <c r="D7662" s="1" t="str">
        <f>"152326195507273313"</f>
        <v>152326195507273313</v>
      </c>
      <c r="E7662" s="1" t="s">
        <v>7361</v>
      </c>
      <c r="F7662" s="1" t="s">
        <v>25</v>
      </c>
      <c r="G7662" s="1" t="s">
        <v>19</v>
      </c>
      <c r="H7662" s="1" t="str">
        <f>"69"</f>
        <v>69</v>
      </c>
      <c r="I7662" s="1" t="str">
        <f>"153.89"</f>
        <v>153.89</v>
      </c>
      <c r="J7662" s="1" t="str">
        <f t="shared" ref="J7662:N7662" si="5428">"0"</f>
        <v>0</v>
      </c>
      <c r="K7662" s="1" t="str">
        <f t="shared" si="5406"/>
        <v>103</v>
      </c>
      <c r="L7662" s="1" t="str">
        <f t="shared" si="5407"/>
        <v>47</v>
      </c>
      <c r="M7662" s="1" t="str">
        <f t="shared" si="5428"/>
        <v>0</v>
      </c>
      <c r="N7662" s="1" t="str">
        <f t="shared" si="5428"/>
        <v>0</v>
      </c>
      <c r="O7662" s="1" t="str">
        <f>"3.89"</f>
        <v>3.89</v>
      </c>
    </row>
    <row r="7663" s="1" customFormat="1" spans="1:15">
      <c r="A7663" s="1" t="str">
        <f t="shared" si="5374"/>
        <v>202406</v>
      </c>
      <c r="B7663" s="1" t="str">
        <f t="shared" si="5375"/>
        <v>150525100</v>
      </c>
      <c r="C7663" s="1" t="str">
        <f>"1040681830"</f>
        <v>1040681830</v>
      </c>
      <c r="D7663" s="1" t="str">
        <f>"152326196212220411"</f>
        <v>152326196212220411</v>
      </c>
      <c r="E7663" s="1" t="s">
        <v>7362</v>
      </c>
      <c r="F7663" s="1" t="s">
        <v>25</v>
      </c>
      <c r="G7663" s="1" t="s">
        <v>17</v>
      </c>
      <c r="H7663" s="1" t="str">
        <f>"62"</f>
        <v>62</v>
      </c>
      <c r="I7663" s="1" t="str">
        <f>"161.89"</f>
        <v>161.89</v>
      </c>
      <c r="J7663" s="1" t="str">
        <f t="shared" ref="J7663:N7663" si="5429">"0"</f>
        <v>0</v>
      </c>
      <c r="K7663" s="1" t="str">
        <f t="shared" si="5406"/>
        <v>103</v>
      </c>
      <c r="L7663" s="1" t="str">
        <f t="shared" si="5407"/>
        <v>47</v>
      </c>
      <c r="M7663" s="1" t="str">
        <f t="shared" si="5429"/>
        <v>0</v>
      </c>
      <c r="N7663" s="1" t="str">
        <f t="shared" si="5429"/>
        <v>0</v>
      </c>
      <c r="O7663" s="1" t="str">
        <f>"11.89"</f>
        <v>11.89</v>
      </c>
    </row>
    <row r="7664" s="1" customFormat="1" spans="1:15">
      <c r="A7664" s="1" t="str">
        <f t="shared" si="5374"/>
        <v>202406</v>
      </c>
      <c r="B7664" s="1" t="str">
        <f t="shared" si="5375"/>
        <v>150525100</v>
      </c>
      <c r="C7664" s="1" t="str">
        <f>"1040682177"</f>
        <v>1040682177</v>
      </c>
      <c r="D7664" s="1" t="str">
        <f>"152326195711230425"</f>
        <v>152326195711230425</v>
      </c>
      <c r="E7664" s="1" t="s">
        <v>482</v>
      </c>
      <c r="F7664" s="1" t="s">
        <v>16</v>
      </c>
      <c r="G7664" s="1" t="s">
        <v>17</v>
      </c>
      <c r="H7664" s="1" t="str">
        <f>"67"</f>
        <v>67</v>
      </c>
      <c r="I7664" s="1" t="str">
        <f>"154.89"</f>
        <v>154.89</v>
      </c>
      <c r="J7664" s="1" t="str">
        <f t="shared" ref="J7664:N7664" si="5430">"0"</f>
        <v>0</v>
      </c>
      <c r="K7664" s="1" t="str">
        <f t="shared" si="5406"/>
        <v>103</v>
      </c>
      <c r="L7664" s="1" t="str">
        <f t="shared" si="5407"/>
        <v>47</v>
      </c>
      <c r="M7664" s="1" t="str">
        <f t="shared" si="5430"/>
        <v>0</v>
      </c>
      <c r="N7664" s="1" t="str">
        <f t="shared" si="5430"/>
        <v>0</v>
      </c>
      <c r="O7664" s="1" t="str">
        <f>"4.89"</f>
        <v>4.89</v>
      </c>
    </row>
    <row r="7665" s="1" customFormat="1" spans="1:15">
      <c r="A7665" s="1" t="str">
        <f t="shared" si="5374"/>
        <v>202406</v>
      </c>
      <c r="B7665" s="1" t="str">
        <f t="shared" si="5375"/>
        <v>150525100</v>
      </c>
      <c r="C7665" s="1" t="str">
        <f>"1040681949"</f>
        <v>1040681949</v>
      </c>
      <c r="D7665" s="1" t="str">
        <f>"152326195607203814"</f>
        <v>152326195607203814</v>
      </c>
      <c r="E7665" s="1" t="s">
        <v>7363</v>
      </c>
      <c r="F7665" s="1" t="s">
        <v>25</v>
      </c>
      <c r="G7665" s="1" t="s">
        <v>19</v>
      </c>
      <c r="H7665" s="1" t="str">
        <f>"68"</f>
        <v>68</v>
      </c>
      <c r="I7665" s="1" t="str">
        <f>"154.79"</f>
        <v>154.79</v>
      </c>
      <c r="J7665" s="1" t="str">
        <f t="shared" ref="J7665:N7665" si="5431">"0"</f>
        <v>0</v>
      </c>
      <c r="K7665" s="1" t="str">
        <f t="shared" si="5406"/>
        <v>103</v>
      </c>
      <c r="L7665" s="1" t="str">
        <f t="shared" si="5407"/>
        <v>47</v>
      </c>
      <c r="M7665" s="1" t="str">
        <f t="shared" si="5431"/>
        <v>0</v>
      </c>
      <c r="N7665" s="1" t="str">
        <f t="shared" si="5431"/>
        <v>0</v>
      </c>
      <c r="O7665" s="1" t="str">
        <f>"4.79"</f>
        <v>4.79</v>
      </c>
    </row>
    <row r="7666" s="1" customFormat="1" spans="1:15">
      <c r="A7666" s="1" t="str">
        <f t="shared" si="5374"/>
        <v>202406</v>
      </c>
      <c r="B7666" s="1" t="str">
        <f t="shared" si="5375"/>
        <v>150525100</v>
      </c>
      <c r="C7666" s="1" t="str">
        <f>"1040682026"</f>
        <v>1040682026</v>
      </c>
      <c r="D7666" s="1" t="str">
        <f>"152326195702140428"</f>
        <v>152326195702140428</v>
      </c>
      <c r="E7666" s="1" t="s">
        <v>7364</v>
      </c>
      <c r="F7666" s="1" t="s">
        <v>16</v>
      </c>
      <c r="G7666" s="1" t="s">
        <v>17</v>
      </c>
      <c r="H7666" s="1" t="str">
        <f>"67"</f>
        <v>67</v>
      </c>
      <c r="I7666" s="1" t="str">
        <f>"154.83"</f>
        <v>154.83</v>
      </c>
      <c r="J7666" s="1" t="str">
        <f t="shared" ref="J7666:N7666" si="5432">"0"</f>
        <v>0</v>
      </c>
      <c r="K7666" s="1" t="str">
        <f t="shared" si="5406"/>
        <v>103</v>
      </c>
      <c r="L7666" s="1" t="str">
        <f t="shared" si="5407"/>
        <v>47</v>
      </c>
      <c r="M7666" s="1" t="str">
        <f t="shared" si="5432"/>
        <v>0</v>
      </c>
      <c r="N7666" s="1" t="str">
        <f t="shared" si="5432"/>
        <v>0</v>
      </c>
      <c r="O7666" s="1" t="str">
        <f>"4.83"</f>
        <v>4.83</v>
      </c>
    </row>
    <row r="7667" s="1" customFormat="1" spans="1:15">
      <c r="A7667" s="1" t="str">
        <f t="shared" si="5374"/>
        <v>202406</v>
      </c>
      <c r="B7667" s="1" t="str">
        <f t="shared" si="5375"/>
        <v>150525100</v>
      </c>
      <c r="C7667" s="1" t="str">
        <f>"1040682036"</f>
        <v>1040682036</v>
      </c>
      <c r="D7667" s="1" t="str">
        <f>"152326195912213314"</f>
        <v>152326195912213314</v>
      </c>
      <c r="E7667" s="1" t="s">
        <v>7365</v>
      </c>
      <c r="F7667" s="1" t="s">
        <v>25</v>
      </c>
      <c r="G7667" s="1" t="s">
        <v>17</v>
      </c>
      <c r="H7667" s="1" t="str">
        <f>"65"</f>
        <v>65</v>
      </c>
      <c r="I7667" s="1" t="str">
        <f>"156.98"</f>
        <v>156.98</v>
      </c>
      <c r="J7667" s="1" t="str">
        <f t="shared" ref="J7667:N7667" si="5433">"0"</f>
        <v>0</v>
      </c>
      <c r="K7667" s="1" t="str">
        <f t="shared" si="5406"/>
        <v>103</v>
      </c>
      <c r="L7667" s="1" t="str">
        <f t="shared" si="5407"/>
        <v>47</v>
      </c>
      <c r="M7667" s="1" t="str">
        <f t="shared" si="5433"/>
        <v>0</v>
      </c>
      <c r="N7667" s="1" t="str">
        <f t="shared" si="5433"/>
        <v>0</v>
      </c>
      <c r="O7667" s="1" t="str">
        <f>"6.98"</f>
        <v>6.98</v>
      </c>
    </row>
    <row r="7668" s="1" customFormat="1" spans="1:15">
      <c r="A7668" s="1" t="str">
        <f t="shared" si="5374"/>
        <v>202406</v>
      </c>
      <c r="B7668" s="1" t="str">
        <f t="shared" si="5375"/>
        <v>150525100</v>
      </c>
      <c r="C7668" s="1" t="str">
        <f>"1040682038"</f>
        <v>1040682038</v>
      </c>
      <c r="D7668" s="1" t="str">
        <f>"152326195511293317"</f>
        <v>152326195511293317</v>
      </c>
      <c r="E7668" s="1" t="s">
        <v>7366</v>
      </c>
      <c r="F7668" s="1" t="s">
        <v>25</v>
      </c>
      <c r="G7668" s="1" t="s">
        <v>17</v>
      </c>
      <c r="H7668" s="1" t="str">
        <f>"69"</f>
        <v>69</v>
      </c>
      <c r="I7668" s="1" t="str">
        <f>"153.91"</f>
        <v>153.91</v>
      </c>
      <c r="J7668" s="1" t="str">
        <f t="shared" ref="J7668:N7668" si="5434">"0"</f>
        <v>0</v>
      </c>
      <c r="K7668" s="1" t="str">
        <f t="shared" si="5406"/>
        <v>103</v>
      </c>
      <c r="L7668" s="1" t="str">
        <f t="shared" si="5407"/>
        <v>47</v>
      </c>
      <c r="M7668" s="1" t="str">
        <f t="shared" si="5434"/>
        <v>0</v>
      </c>
      <c r="N7668" s="1" t="str">
        <f t="shared" si="5434"/>
        <v>0</v>
      </c>
      <c r="O7668" s="1" t="str">
        <f>"3.91"</f>
        <v>3.91</v>
      </c>
    </row>
    <row r="7669" s="1" customFormat="1" spans="1:15">
      <c r="A7669" s="1" t="str">
        <f t="shared" si="5374"/>
        <v>202406</v>
      </c>
      <c r="B7669" s="1" t="str">
        <f t="shared" si="5375"/>
        <v>150525100</v>
      </c>
      <c r="C7669" s="1" t="str">
        <f>"1040681886"</f>
        <v>1040681886</v>
      </c>
      <c r="D7669" s="1" t="str">
        <f>"152326195810063087"</f>
        <v>152326195810063087</v>
      </c>
      <c r="E7669" s="1" t="s">
        <v>827</v>
      </c>
      <c r="F7669" s="1" t="s">
        <v>16</v>
      </c>
      <c r="G7669" s="1" t="s">
        <v>19</v>
      </c>
      <c r="H7669" s="1" t="str">
        <f>"66"</f>
        <v>66</v>
      </c>
      <c r="I7669" s="1" t="str">
        <f>"155.91"</f>
        <v>155.91</v>
      </c>
      <c r="J7669" s="1" t="str">
        <f t="shared" ref="J7669:N7669" si="5435">"0"</f>
        <v>0</v>
      </c>
      <c r="K7669" s="1" t="str">
        <f t="shared" si="5406"/>
        <v>103</v>
      </c>
      <c r="L7669" s="1" t="str">
        <f t="shared" si="5407"/>
        <v>47</v>
      </c>
      <c r="M7669" s="1" t="str">
        <f t="shared" si="5435"/>
        <v>0</v>
      </c>
      <c r="N7669" s="1" t="str">
        <f t="shared" si="5435"/>
        <v>0</v>
      </c>
      <c r="O7669" s="1" t="str">
        <f>"5.91"</f>
        <v>5.91</v>
      </c>
    </row>
    <row r="7670" s="1" customFormat="1" spans="1:15">
      <c r="A7670" s="1" t="str">
        <f t="shared" si="5374"/>
        <v>202406</v>
      </c>
      <c r="B7670" s="1" t="str">
        <f t="shared" si="5375"/>
        <v>150525100</v>
      </c>
      <c r="C7670" s="1" t="str">
        <f>"1040682124"</f>
        <v>1040682124</v>
      </c>
      <c r="D7670" s="1" t="str">
        <f>"152326195605250684"</f>
        <v>152326195605250684</v>
      </c>
      <c r="E7670" s="1" t="s">
        <v>7367</v>
      </c>
      <c r="F7670" s="1" t="s">
        <v>16</v>
      </c>
      <c r="G7670" s="1" t="s">
        <v>17</v>
      </c>
      <c r="H7670" s="1" t="str">
        <f>"68"</f>
        <v>68</v>
      </c>
      <c r="I7670" s="1" t="str">
        <f>"154.84"</f>
        <v>154.84</v>
      </c>
      <c r="J7670" s="1" t="str">
        <f t="shared" ref="J7670:N7670" si="5436">"0"</f>
        <v>0</v>
      </c>
      <c r="K7670" s="1" t="str">
        <f t="shared" si="5406"/>
        <v>103</v>
      </c>
      <c r="L7670" s="1" t="str">
        <f t="shared" si="5407"/>
        <v>47</v>
      </c>
      <c r="M7670" s="1" t="str">
        <f t="shared" si="5436"/>
        <v>0</v>
      </c>
      <c r="N7670" s="1" t="str">
        <f t="shared" si="5436"/>
        <v>0</v>
      </c>
      <c r="O7670" s="1" t="str">
        <f>"4.84"</f>
        <v>4.84</v>
      </c>
    </row>
    <row r="7671" s="1" customFormat="1" spans="1:15">
      <c r="A7671" s="1" t="str">
        <f t="shared" si="5374"/>
        <v>202406</v>
      </c>
      <c r="B7671" s="1" t="str">
        <f t="shared" si="5375"/>
        <v>150525100</v>
      </c>
      <c r="C7671" s="1" t="str">
        <f>"1040682126"</f>
        <v>1040682126</v>
      </c>
      <c r="D7671" s="1" t="s">
        <v>7368</v>
      </c>
      <c r="E7671" s="1" t="s">
        <v>7369</v>
      </c>
      <c r="F7671" s="1" t="s">
        <v>16</v>
      </c>
      <c r="G7671" s="1" t="s">
        <v>17</v>
      </c>
      <c r="H7671" s="1" t="str">
        <f>"64"</f>
        <v>64</v>
      </c>
      <c r="I7671" s="1" t="str">
        <f>"157.93"</f>
        <v>157.93</v>
      </c>
      <c r="J7671" s="1" t="str">
        <f t="shared" ref="J7671:N7671" si="5437">"0"</f>
        <v>0</v>
      </c>
      <c r="K7671" s="1" t="str">
        <f t="shared" si="5406"/>
        <v>103</v>
      </c>
      <c r="L7671" s="1" t="str">
        <f t="shared" si="5407"/>
        <v>47</v>
      </c>
      <c r="M7671" s="1" t="str">
        <f t="shared" si="5437"/>
        <v>0</v>
      </c>
      <c r="N7671" s="1" t="str">
        <f t="shared" si="5437"/>
        <v>0</v>
      </c>
      <c r="O7671" s="1" t="str">
        <f>"7.93"</f>
        <v>7.93</v>
      </c>
    </row>
    <row r="7672" s="1" customFormat="1" spans="1:15">
      <c r="A7672" s="1" t="str">
        <f t="shared" si="5374"/>
        <v>202406</v>
      </c>
      <c r="B7672" s="1" t="str">
        <f t="shared" si="5375"/>
        <v>150525100</v>
      </c>
      <c r="C7672" s="1" t="str">
        <f>"1040682127"</f>
        <v>1040682127</v>
      </c>
      <c r="D7672" s="1" t="str">
        <f>"152326196302190674"</f>
        <v>152326196302190674</v>
      </c>
      <c r="E7672" s="1" t="s">
        <v>7370</v>
      </c>
      <c r="F7672" s="1" t="s">
        <v>25</v>
      </c>
      <c r="G7672" s="1" t="s">
        <v>17</v>
      </c>
      <c r="H7672" s="1" t="str">
        <f>"61"</f>
        <v>61</v>
      </c>
      <c r="I7672" s="1" t="str">
        <f>"163.63"</f>
        <v>163.63</v>
      </c>
      <c r="J7672" s="1" t="str">
        <f t="shared" ref="J7672:N7672" si="5438">"0"</f>
        <v>0</v>
      </c>
      <c r="K7672" s="1" t="str">
        <f t="shared" si="5406"/>
        <v>103</v>
      </c>
      <c r="L7672" s="1" t="str">
        <f t="shared" si="5407"/>
        <v>47</v>
      </c>
      <c r="M7672" s="1" t="str">
        <f t="shared" si="5438"/>
        <v>0</v>
      </c>
      <c r="N7672" s="1" t="str">
        <f t="shared" si="5438"/>
        <v>0</v>
      </c>
      <c r="O7672" s="1" t="str">
        <f>"13.63"</f>
        <v>13.63</v>
      </c>
    </row>
    <row r="7673" s="1" customFormat="1" spans="1:15">
      <c r="A7673" s="1" t="str">
        <f t="shared" si="5374"/>
        <v>202406</v>
      </c>
      <c r="B7673" s="1" t="str">
        <f t="shared" si="5375"/>
        <v>150525100</v>
      </c>
      <c r="C7673" s="1" t="str">
        <f>"1040682130"</f>
        <v>1040682130</v>
      </c>
      <c r="D7673" s="1" t="str">
        <f>"152326196208100660"</f>
        <v>152326196208100660</v>
      </c>
      <c r="E7673" s="1" t="s">
        <v>7371</v>
      </c>
      <c r="F7673" s="1" t="s">
        <v>16</v>
      </c>
      <c r="G7673" s="1" t="s">
        <v>19</v>
      </c>
      <c r="H7673" s="1" t="str">
        <f>"62"</f>
        <v>62</v>
      </c>
      <c r="I7673" s="1" t="str">
        <f>"164.32"</f>
        <v>164.32</v>
      </c>
      <c r="J7673" s="1" t="str">
        <f t="shared" ref="J7673:N7673" si="5439">"0"</f>
        <v>0</v>
      </c>
      <c r="K7673" s="1" t="str">
        <f t="shared" si="5406"/>
        <v>103</v>
      </c>
      <c r="L7673" s="1" t="str">
        <f t="shared" si="5407"/>
        <v>47</v>
      </c>
      <c r="M7673" s="1" t="str">
        <f t="shared" si="5439"/>
        <v>0</v>
      </c>
      <c r="N7673" s="1" t="str">
        <f t="shared" si="5439"/>
        <v>0</v>
      </c>
      <c r="O7673" s="1" t="str">
        <f>"14.32"</f>
        <v>14.32</v>
      </c>
    </row>
    <row r="7674" s="1" customFormat="1" spans="1:15">
      <c r="A7674" s="1" t="str">
        <f t="shared" si="5374"/>
        <v>202406</v>
      </c>
      <c r="B7674" s="1" t="str">
        <f t="shared" si="5375"/>
        <v>150525100</v>
      </c>
      <c r="C7674" s="1" t="str">
        <f>"1040681982"</f>
        <v>1040681982</v>
      </c>
      <c r="D7674" s="1" t="str">
        <f>"152326195802093825"</f>
        <v>152326195802093825</v>
      </c>
      <c r="E7674" s="1" t="s">
        <v>4867</v>
      </c>
      <c r="F7674" s="1" t="s">
        <v>16</v>
      </c>
      <c r="G7674" s="1" t="s">
        <v>17</v>
      </c>
      <c r="H7674" s="1" t="str">
        <f>"66"</f>
        <v>66</v>
      </c>
      <c r="I7674" s="1" t="str">
        <f>"155.85"</f>
        <v>155.85</v>
      </c>
      <c r="J7674" s="1" t="str">
        <f t="shared" ref="J7674:N7674" si="5440">"0"</f>
        <v>0</v>
      </c>
      <c r="K7674" s="1" t="str">
        <f t="shared" si="5406"/>
        <v>103</v>
      </c>
      <c r="L7674" s="1" t="str">
        <f t="shared" si="5407"/>
        <v>47</v>
      </c>
      <c r="M7674" s="1" t="str">
        <f t="shared" si="5440"/>
        <v>0</v>
      </c>
      <c r="N7674" s="1" t="str">
        <f t="shared" si="5440"/>
        <v>0</v>
      </c>
      <c r="O7674" s="1" t="str">
        <f>"5.85"</f>
        <v>5.85</v>
      </c>
    </row>
    <row r="7675" s="1" customFormat="1" spans="1:15">
      <c r="A7675" s="1" t="str">
        <f t="shared" si="5374"/>
        <v>202406</v>
      </c>
      <c r="B7675" s="1" t="str">
        <f t="shared" si="5375"/>
        <v>150525100</v>
      </c>
      <c r="C7675" s="1" t="str">
        <f>"1040682047"</f>
        <v>1040682047</v>
      </c>
      <c r="D7675" s="1" t="str">
        <f>"152326195703190910"</f>
        <v>152326195703190910</v>
      </c>
      <c r="E7675" s="1" t="s">
        <v>7372</v>
      </c>
      <c r="F7675" s="1" t="s">
        <v>25</v>
      </c>
      <c r="G7675" s="1" t="s">
        <v>19</v>
      </c>
      <c r="H7675" s="1" t="str">
        <f>"67"</f>
        <v>67</v>
      </c>
      <c r="I7675" s="1" t="str">
        <f>"154.84"</f>
        <v>154.84</v>
      </c>
      <c r="J7675" s="1" t="str">
        <f t="shared" ref="J7675:N7675" si="5441">"0"</f>
        <v>0</v>
      </c>
      <c r="K7675" s="1" t="str">
        <f t="shared" si="5406"/>
        <v>103</v>
      </c>
      <c r="L7675" s="1" t="str">
        <f t="shared" si="5407"/>
        <v>47</v>
      </c>
      <c r="M7675" s="1" t="str">
        <f t="shared" si="5441"/>
        <v>0</v>
      </c>
      <c r="N7675" s="1" t="str">
        <f t="shared" si="5441"/>
        <v>0</v>
      </c>
      <c r="O7675" s="1" t="str">
        <f>"4.84"</f>
        <v>4.84</v>
      </c>
    </row>
    <row r="7676" s="1" customFormat="1" spans="1:15">
      <c r="A7676" s="1" t="str">
        <f t="shared" si="5374"/>
        <v>202406</v>
      </c>
      <c r="B7676" s="1" t="str">
        <f t="shared" si="5375"/>
        <v>150525100</v>
      </c>
      <c r="C7676" s="1" t="str">
        <f>"1040682050"</f>
        <v>1040682050</v>
      </c>
      <c r="D7676" s="1" t="str">
        <f>"152326195701020926"</f>
        <v>152326195701020926</v>
      </c>
      <c r="E7676" s="1" t="s">
        <v>7373</v>
      </c>
      <c r="F7676" s="1" t="s">
        <v>16</v>
      </c>
      <c r="G7676" s="1" t="s">
        <v>19</v>
      </c>
      <c r="H7676" s="1" t="str">
        <f>"68"</f>
        <v>68</v>
      </c>
      <c r="I7676" s="1" t="str">
        <f>"154.83"</f>
        <v>154.83</v>
      </c>
      <c r="J7676" s="1" t="str">
        <f t="shared" ref="J7676:N7676" si="5442">"0"</f>
        <v>0</v>
      </c>
      <c r="K7676" s="1" t="str">
        <f t="shared" si="5406"/>
        <v>103</v>
      </c>
      <c r="L7676" s="1" t="str">
        <f t="shared" si="5407"/>
        <v>47</v>
      </c>
      <c r="M7676" s="1" t="str">
        <f t="shared" si="5442"/>
        <v>0</v>
      </c>
      <c r="N7676" s="1" t="str">
        <f t="shared" si="5442"/>
        <v>0</v>
      </c>
      <c r="O7676" s="1" t="str">
        <f>"4.83"</f>
        <v>4.83</v>
      </c>
    </row>
    <row r="7677" s="1" customFormat="1" spans="1:15">
      <c r="A7677" s="1" t="str">
        <f t="shared" si="5374"/>
        <v>202406</v>
      </c>
      <c r="B7677" s="1" t="str">
        <f t="shared" si="5375"/>
        <v>150525100</v>
      </c>
      <c r="C7677" s="1" t="str">
        <f>"1040682051"</f>
        <v>1040682051</v>
      </c>
      <c r="D7677" s="1" t="str">
        <f>"152326196304290919"</f>
        <v>152326196304290919</v>
      </c>
      <c r="E7677" s="1" t="s">
        <v>7374</v>
      </c>
      <c r="F7677" s="1" t="s">
        <v>25</v>
      </c>
      <c r="G7677" s="1" t="s">
        <v>19</v>
      </c>
      <c r="H7677" s="1" t="str">
        <f>"61"</f>
        <v>61</v>
      </c>
      <c r="I7677" s="1" t="str">
        <f>"163.64"</f>
        <v>163.64</v>
      </c>
      <c r="J7677" s="1" t="str">
        <f t="shared" ref="J7677:N7677" si="5443">"0"</f>
        <v>0</v>
      </c>
      <c r="K7677" s="1" t="str">
        <f t="shared" si="5406"/>
        <v>103</v>
      </c>
      <c r="L7677" s="1" t="str">
        <f t="shared" si="5407"/>
        <v>47</v>
      </c>
      <c r="M7677" s="1" t="str">
        <f t="shared" si="5443"/>
        <v>0</v>
      </c>
      <c r="N7677" s="1" t="str">
        <f t="shared" si="5443"/>
        <v>0</v>
      </c>
      <c r="O7677" s="1" t="str">
        <f>"13.64"</f>
        <v>13.64</v>
      </c>
    </row>
    <row r="7678" s="1" customFormat="1" spans="1:15">
      <c r="A7678" s="1" t="str">
        <f t="shared" si="5374"/>
        <v>202406</v>
      </c>
      <c r="B7678" s="1" t="str">
        <f t="shared" si="5375"/>
        <v>150525100</v>
      </c>
      <c r="C7678" s="1" t="str">
        <f>"1040682062"</f>
        <v>1040682062</v>
      </c>
      <c r="D7678" s="1" t="str">
        <f>"152326196004150914"</f>
        <v>152326196004150914</v>
      </c>
      <c r="E7678" s="1" t="s">
        <v>7375</v>
      </c>
      <c r="F7678" s="1" t="s">
        <v>25</v>
      </c>
      <c r="G7678" s="1" t="s">
        <v>19</v>
      </c>
      <c r="H7678" s="1" t="str">
        <f>"64"</f>
        <v>64</v>
      </c>
      <c r="I7678" s="1" t="str">
        <f>"157.93"</f>
        <v>157.93</v>
      </c>
      <c r="J7678" s="1" t="str">
        <f t="shared" ref="J7678:N7678" si="5444">"0"</f>
        <v>0</v>
      </c>
      <c r="K7678" s="1" t="str">
        <f t="shared" si="5406"/>
        <v>103</v>
      </c>
      <c r="L7678" s="1" t="str">
        <f t="shared" si="5407"/>
        <v>47</v>
      </c>
      <c r="M7678" s="1" t="str">
        <f t="shared" si="5444"/>
        <v>0</v>
      </c>
      <c r="N7678" s="1" t="str">
        <f t="shared" si="5444"/>
        <v>0</v>
      </c>
      <c r="O7678" s="1" t="str">
        <f>"7.93"</f>
        <v>7.93</v>
      </c>
    </row>
    <row r="7679" s="1" customFormat="1" spans="1:15">
      <c r="A7679" s="1" t="str">
        <f t="shared" si="5374"/>
        <v>202406</v>
      </c>
      <c r="B7679" s="1" t="str">
        <f t="shared" si="5375"/>
        <v>150525100</v>
      </c>
      <c r="C7679" s="1" t="str">
        <f>"1040682063"</f>
        <v>1040682063</v>
      </c>
      <c r="D7679" s="1" t="str">
        <f>"152326196006240921"</f>
        <v>152326196006240921</v>
      </c>
      <c r="E7679" s="1" t="s">
        <v>4466</v>
      </c>
      <c r="F7679" s="1" t="s">
        <v>16</v>
      </c>
      <c r="G7679" s="1" t="s">
        <v>19</v>
      </c>
      <c r="H7679" s="1" t="str">
        <f>"64"</f>
        <v>64</v>
      </c>
      <c r="I7679" s="1" t="str">
        <f>"157.95"</f>
        <v>157.95</v>
      </c>
      <c r="J7679" s="1" t="str">
        <f t="shared" ref="J7679:N7679" si="5445">"0"</f>
        <v>0</v>
      </c>
      <c r="K7679" s="1" t="str">
        <f t="shared" si="5406"/>
        <v>103</v>
      </c>
      <c r="L7679" s="1" t="str">
        <f t="shared" si="5407"/>
        <v>47</v>
      </c>
      <c r="M7679" s="1" t="str">
        <f t="shared" si="5445"/>
        <v>0</v>
      </c>
      <c r="N7679" s="1" t="str">
        <f t="shared" si="5445"/>
        <v>0</v>
      </c>
      <c r="O7679" s="1" t="str">
        <f>"7.95"</f>
        <v>7.95</v>
      </c>
    </row>
    <row r="7680" s="1" customFormat="1" spans="1:15">
      <c r="A7680" s="1" t="str">
        <f t="shared" si="5374"/>
        <v>202406</v>
      </c>
      <c r="B7680" s="1" t="str">
        <f t="shared" si="5375"/>
        <v>150525100</v>
      </c>
      <c r="C7680" s="1" t="str">
        <f>"1040682081"</f>
        <v>1040682081</v>
      </c>
      <c r="D7680" s="1" t="s">
        <v>7376</v>
      </c>
      <c r="E7680" s="1" t="s">
        <v>3332</v>
      </c>
      <c r="F7680" s="1" t="s">
        <v>16</v>
      </c>
      <c r="G7680" s="1" t="s">
        <v>19</v>
      </c>
      <c r="H7680" s="1" t="str">
        <f t="shared" ref="H7680:H7685" si="5446">"62"</f>
        <v>62</v>
      </c>
      <c r="I7680" s="1" t="str">
        <f>"161.84"</f>
        <v>161.84</v>
      </c>
      <c r="J7680" s="1" t="str">
        <f t="shared" ref="J7680:N7680" si="5447">"0"</f>
        <v>0</v>
      </c>
      <c r="K7680" s="1" t="str">
        <f t="shared" si="5406"/>
        <v>103</v>
      </c>
      <c r="L7680" s="1" t="str">
        <f t="shared" si="5407"/>
        <v>47</v>
      </c>
      <c r="M7680" s="1" t="str">
        <f t="shared" si="5447"/>
        <v>0</v>
      </c>
      <c r="N7680" s="1" t="str">
        <f t="shared" si="5447"/>
        <v>0</v>
      </c>
      <c r="O7680" s="1" t="str">
        <f>"11.84"</f>
        <v>11.84</v>
      </c>
    </row>
    <row r="7681" s="1" customFormat="1" spans="1:15">
      <c r="A7681" s="1" t="str">
        <f t="shared" si="5374"/>
        <v>202406</v>
      </c>
      <c r="B7681" s="1" t="str">
        <f t="shared" si="5375"/>
        <v>150525100</v>
      </c>
      <c r="C7681" s="1" t="str">
        <f>"1040682082"</f>
        <v>1040682082</v>
      </c>
      <c r="D7681" s="1" t="str">
        <f>"152326196305050917"</f>
        <v>152326196305050917</v>
      </c>
      <c r="E7681" s="1" t="s">
        <v>7377</v>
      </c>
      <c r="F7681" s="1" t="s">
        <v>25</v>
      </c>
      <c r="G7681" s="1" t="s">
        <v>19</v>
      </c>
      <c r="H7681" s="1" t="str">
        <f>"61"</f>
        <v>61</v>
      </c>
      <c r="I7681" s="1" t="str">
        <f>"163.66"</f>
        <v>163.66</v>
      </c>
      <c r="J7681" s="1" t="str">
        <f t="shared" ref="J7681:N7681" si="5448">"0"</f>
        <v>0</v>
      </c>
      <c r="K7681" s="1" t="str">
        <f t="shared" si="5406"/>
        <v>103</v>
      </c>
      <c r="L7681" s="1" t="str">
        <f t="shared" si="5407"/>
        <v>47</v>
      </c>
      <c r="M7681" s="1" t="str">
        <f t="shared" si="5448"/>
        <v>0</v>
      </c>
      <c r="N7681" s="1" t="str">
        <f t="shared" si="5448"/>
        <v>0</v>
      </c>
      <c r="O7681" s="1" t="str">
        <f>"13.66"</f>
        <v>13.66</v>
      </c>
    </row>
    <row r="7682" s="1" customFormat="1" spans="1:15">
      <c r="A7682" s="1" t="str">
        <f t="shared" ref="A7682:A7745" si="5449">"202406"</f>
        <v>202406</v>
      </c>
      <c r="B7682" s="1" t="str">
        <f t="shared" ref="B7682:B7745" si="5450">"150525100"</f>
        <v>150525100</v>
      </c>
      <c r="C7682" s="1" t="str">
        <f>"1040682090"</f>
        <v>1040682090</v>
      </c>
      <c r="D7682" s="1" t="str">
        <f>"152326196208110922"</f>
        <v>152326196208110922</v>
      </c>
      <c r="E7682" s="1" t="s">
        <v>1067</v>
      </c>
      <c r="F7682" s="1" t="s">
        <v>16</v>
      </c>
      <c r="G7682" s="1" t="s">
        <v>19</v>
      </c>
      <c r="H7682" s="1" t="str">
        <f t="shared" si="5446"/>
        <v>62</v>
      </c>
      <c r="I7682" s="1" t="str">
        <f>"161.52"</f>
        <v>161.52</v>
      </c>
      <c r="J7682" s="1" t="str">
        <f t="shared" ref="J7682:N7682" si="5451">"0"</f>
        <v>0</v>
      </c>
      <c r="K7682" s="1" t="str">
        <f t="shared" si="5406"/>
        <v>103</v>
      </c>
      <c r="L7682" s="1" t="str">
        <f t="shared" si="5407"/>
        <v>47</v>
      </c>
      <c r="M7682" s="1" t="str">
        <f t="shared" si="5451"/>
        <v>0</v>
      </c>
      <c r="N7682" s="1" t="str">
        <f t="shared" si="5451"/>
        <v>0</v>
      </c>
      <c r="O7682" s="1" t="str">
        <f>"11.52"</f>
        <v>11.52</v>
      </c>
    </row>
    <row r="7683" s="1" customFormat="1" spans="1:15">
      <c r="A7683" s="1" t="str">
        <f t="shared" si="5449"/>
        <v>202406</v>
      </c>
      <c r="B7683" s="1" t="str">
        <f t="shared" si="5450"/>
        <v>150525100</v>
      </c>
      <c r="C7683" s="1" t="str">
        <f>"1040682098"</f>
        <v>1040682098</v>
      </c>
      <c r="D7683" s="1" t="str">
        <f>"152326195904150421"</f>
        <v>152326195904150421</v>
      </c>
      <c r="E7683" s="1" t="s">
        <v>7378</v>
      </c>
      <c r="F7683" s="1" t="s">
        <v>16</v>
      </c>
      <c r="G7683" s="1" t="s">
        <v>17</v>
      </c>
      <c r="H7683" s="1" t="str">
        <f>"65"</f>
        <v>65</v>
      </c>
      <c r="I7683" s="1" t="str">
        <f>"156.89"</f>
        <v>156.89</v>
      </c>
      <c r="J7683" s="1" t="str">
        <f t="shared" ref="J7683:N7683" si="5452">"0"</f>
        <v>0</v>
      </c>
      <c r="K7683" s="1" t="str">
        <f t="shared" si="5406"/>
        <v>103</v>
      </c>
      <c r="L7683" s="1" t="str">
        <f t="shared" si="5407"/>
        <v>47</v>
      </c>
      <c r="M7683" s="1" t="str">
        <f t="shared" si="5452"/>
        <v>0</v>
      </c>
      <c r="N7683" s="1" t="str">
        <f t="shared" si="5452"/>
        <v>0</v>
      </c>
      <c r="O7683" s="1" t="str">
        <f>"6.89"</f>
        <v>6.89</v>
      </c>
    </row>
    <row r="7684" s="1" customFormat="1" spans="1:15">
      <c r="A7684" s="1" t="str">
        <f t="shared" si="5449"/>
        <v>202406</v>
      </c>
      <c r="B7684" s="1" t="str">
        <f t="shared" si="5450"/>
        <v>150525100</v>
      </c>
      <c r="C7684" s="1" t="str">
        <f>"1040682226"</f>
        <v>1040682226</v>
      </c>
      <c r="D7684" s="1" t="str">
        <f>"152326195607300411"</f>
        <v>152326195607300411</v>
      </c>
      <c r="E7684" s="1" t="s">
        <v>7379</v>
      </c>
      <c r="F7684" s="1" t="s">
        <v>25</v>
      </c>
      <c r="G7684" s="1" t="s">
        <v>17</v>
      </c>
      <c r="H7684" s="1" t="str">
        <f>"68"</f>
        <v>68</v>
      </c>
      <c r="I7684" s="1" t="str">
        <f>"154.84"</f>
        <v>154.84</v>
      </c>
      <c r="J7684" s="1" t="str">
        <f t="shared" ref="J7684:N7684" si="5453">"0"</f>
        <v>0</v>
      </c>
      <c r="K7684" s="1" t="str">
        <f t="shared" si="5406"/>
        <v>103</v>
      </c>
      <c r="L7684" s="1" t="str">
        <f t="shared" si="5407"/>
        <v>47</v>
      </c>
      <c r="M7684" s="1" t="str">
        <f t="shared" si="5453"/>
        <v>0</v>
      </c>
      <c r="N7684" s="1" t="str">
        <f t="shared" si="5453"/>
        <v>0</v>
      </c>
      <c r="O7684" s="1" t="str">
        <f>"4.84"</f>
        <v>4.84</v>
      </c>
    </row>
    <row r="7685" s="1" customFormat="1" spans="1:15">
      <c r="A7685" s="1" t="str">
        <f t="shared" si="5449"/>
        <v>202406</v>
      </c>
      <c r="B7685" s="1" t="str">
        <f t="shared" si="5450"/>
        <v>150525100</v>
      </c>
      <c r="C7685" s="1" t="str">
        <f>"1040682230"</f>
        <v>1040682230</v>
      </c>
      <c r="D7685" s="1" t="str">
        <f>"152326196208290417"</f>
        <v>152326196208290417</v>
      </c>
      <c r="E7685" s="1" t="s">
        <v>7380</v>
      </c>
      <c r="F7685" s="1" t="s">
        <v>25</v>
      </c>
      <c r="G7685" s="1" t="s">
        <v>17</v>
      </c>
      <c r="H7685" s="1" t="str">
        <f t="shared" si="5446"/>
        <v>62</v>
      </c>
      <c r="I7685" s="1" t="str">
        <f>"161.82"</f>
        <v>161.82</v>
      </c>
      <c r="J7685" s="1" t="str">
        <f t="shared" ref="J7685:N7685" si="5454">"0"</f>
        <v>0</v>
      </c>
      <c r="K7685" s="1" t="str">
        <f t="shared" si="5406"/>
        <v>103</v>
      </c>
      <c r="L7685" s="1" t="str">
        <f t="shared" si="5407"/>
        <v>47</v>
      </c>
      <c r="M7685" s="1" t="str">
        <f t="shared" si="5454"/>
        <v>0</v>
      </c>
      <c r="N7685" s="1" t="str">
        <f t="shared" si="5454"/>
        <v>0</v>
      </c>
      <c r="O7685" s="1" t="str">
        <f>"11.82"</f>
        <v>11.82</v>
      </c>
    </row>
    <row r="7686" s="1" customFormat="1" spans="1:15">
      <c r="A7686" s="1" t="str">
        <f t="shared" si="5449"/>
        <v>202406</v>
      </c>
      <c r="B7686" s="1" t="str">
        <f t="shared" si="5450"/>
        <v>150525100</v>
      </c>
      <c r="C7686" s="1" t="str">
        <f>"1040682254"</f>
        <v>1040682254</v>
      </c>
      <c r="D7686" s="1" t="str">
        <f>"152326195705100413"</f>
        <v>152326195705100413</v>
      </c>
      <c r="E7686" s="1" t="s">
        <v>7381</v>
      </c>
      <c r="F7686" s="1" t="s">
        <v>25</v>
      </c>
      <c r="G7686" s="1" t="s">
        <v>17</v>
      </c>
      <c r="H7686" s="1" t="str">
        <f>"67"</f>
        <v>67</v>
      </c>
      <c r="I7686" s="1" t="str">
        <f>"154.88"</f>
        <v>154.88</v>
      </c>
      <c r="J7686" s="1" t="str">
        <f t="shared" ref="J7686:N7686" si="5455">"0"</f>
        <v>0</v>
      </c>
      <c r="K7686" s="1" t="str">
        <f t="shared" si="5406"/>
        <v>103</v>
      </c>
      <c r="L7686" s="1" t="str">
        <f t="shared" si="5407"/>
        <v>47</v>
      </c>
      <c r="M7686" s="1" t="str">
        <f t="shared" si="5455"/>
        <v>0</v>
      </c>
      <c r="N7686" s="1" t="str">
        <f t="shared" si="5455"/>
        <v>0</v>
      </c>
      <c r="O7686" s="1" t="str">
        <f>"4.88"</f>
        <v>4.88</v>
      </c>
    </row>
    <row r="7687" s="1" customFormat="1" spans="1:15">
      <c r="A7687" s="1" t="str">
        <f t="shared" si="5449"/>
        <v>202406</v>
      </c>
      <c r="B7687" s="1" t="str">
        <f t="shared" si="5450"/>
        <v>150525100</v>
      </c>
      <c r="C7687" s="1" t="str">
        <f>"1040682286"</f>
        <v>1040682286</v>
      </c>
      <c r="D7687" s="1" t="str">
        <f>"152326196303150682"</f>
        <v>152326196303150682</v>
      </c>
      <c r="E7687" s="1" t="s">
        <v>7382</v>
      </c>
      <c r="F7687" s="1" t="s">
        <v>16</v>
      </c>
      <c r="G7687" s="1" t="s">
        <v>17</v>
      </c>
      <c r="H7687" s="1" t="str">
        <f>"61"</f>
        <v>61</v>
      </c>
      <c r="I7687" s="1" t="str">
        <f>"171.08"</f>
        <v>171.08</v>
      </c>
      <c r="J7687" s="1" t="str">
        <f t="shared" ref="J7687:N7687" si="5456">"0"</f>
        <v>0</v>
      </c>
      <c r="K7687" s="1" t="str">
        <f t="shared" si="5406"/>
        <v>103</v>
      </c>
      <c r="L7687" s="1" t="str">
        <f t="shared" si="5407"/>
        <v>47</v>
      </c>
      <c r="M7687" s="1" t="str">
        <f t="shared" si="5456"/>
        <v>0</v>
      </c>
      <c r="N7687" s="1" t="str">
        <f t="shared" si="5456"/>
        <v>0</v>
      </c>
      <c r="O7687" s="1" t="str">
        <f>"21.08"</f>
        <v>21.08</v>
      </c>
    </row>
    <row r="7688" s="1" customFormat="1" spans="1:15">
      <c r="A7688" s="1" t="str">
        <f t="shared" si="5449"/>
        <v>202406</v>
      </c>
      <c r="B7688" s="1" t="str">
        <f t="shared" si="5450"/>
        <v>150525100</v>
      </c>
      <c r="C7688" s="1" t="str">
        <f>"1040682294"</f>
        <v>1040682294</v>
      </c>
      <c r="D7688" s="1" t="str">
        <f>"152326196112030661"</f>
        <v>152326196112030661</v>
      </c>
      <c r="E7688" s="1" t="s">
        <v>2407</v>
      </c>
      <c r="F7688" s="1" t="s">
        <v>16</v>
      </c>
      <c r="G7688" s="1" t="s">
        <v>17</v>
      </c>
      <c r="H7688" s="1" t="str">
        <f>"63"</f>
        <v>63</v>
      </c>
      <c r="I7688" s="1" t="str">
        <f>"160.68"</f>
        <v>160.68</v>
      </c>
      <c r="J7688" s="1" t="str">
        <f t="shared" ref="J7688:N7688" si="5457">"0"</f>
        <v>0</v>
      </c>
      <c r="K7688" s="1" t="str">
        <f t="shared" si="5406"/>
        <v>103</v>
      </c>
      <c r="L7688" s="1" t="str">
        <f t="shared" si="5407"/>
        <v>47</v>
      </c>
      <c r="M7688" s="1" t="str">
        <f t="shared" si="5457"/>
        <v>0</v>
      </c>
      <c r="N7688" s="1" t="str">
        <f t="shared" si="5457"/>
        <v>0</v>
      </c>
      <c r="O7688" s="1" t="str">
        <f>"10.68"</f>
        <v>10.68</v>
      </c>
    </row>
    <row r="7689" s="1" customFormat="1" spans="1:15">
      <c r="A7689" s="1" t="str">
        <f t="shared" si="5449"/>
        <v>202406</v>
      </c>
      <c r="B7689" s="1" t="str">
        <f t="shared" si="5450"/>
        <v>150525100</v>
      </c>
      <c r="C7689" s="1" t="str">
        <f>"1040682415"</f>
        <v>1040682415</v>
      </c>
      <c r="D7689" s="1" t="str">
        <f>"152326196002250428"</f>
        <v>152326196002250428</v>
      </c>
      <c r="E7689" s="1" t="s">
        <v>7383</v>
      </c>
      <c r="F7689" s="1" t="s">
        <v>16</v>
      </c>
      <c r="G7689" s="1" t="s">
        <v>17</v>
      </c>
      <c r="H7689" s="1" t="str">
        <f>"64"</f>
        <v>64</v>
      </c>
      <c r="I7689" s="1" t="str">
        <f>"157.92"</f>
        <v>157.92</v>
      </c>
      <c r="J7689" s="1" t="str">
        <f t="shared" ref="J7689:N7689" si="5458">"0"</f>
        <v>0</v>
      </c>
      <c r="K7689" s="1" t="str">
        <f t="shared" si="5406"/>
        <v>103</v>
      </c>
      <c r="L7689" s="1" t="str">
        <f t="shared" si="5407"/>
        <v>47</v>
      </c>
      <c r="M7689" s="1" t="str">
        <f t="shared" si="5458"/>
        <v>0</v>
      </c>
      <c r="N7689" s="1" t="str">
        <f t="shared" si="5458"/>
        <v>0</v>
      </c>
      <c r="O7689" s="1" t="str">
        <f>"7.92"</f>
        <v>7.92</v>
      </c>
    </row>
    <row r="7690" s="1" customFormat="1" spans="1:15">
      <c r="A7690" s="1" t="str">
        <f t="shared" si="5449"/>
        <v>202406</v>
      </c>
      <c r="B7690" s="1" t="str">
        <f t="shared" si="5450"/>
        <v>150525100</v>
      </c>
      <c r="C7690" s="1" t="str">
        <f>"1040689358"</f>
        <v>1040689358</v>
      </c>
      <c r="D7690" s="1" t="s">
        <v>7384</v>
      </c>
      <c r="E7690" s="1" t="s">
        <v>7385</v>
      </c>
      <c r="F7690" s="1" t="s">
        <v>16</v>
      </c>
      <c r="G7690" s="1" t="s">
        <v>17</v>
      </c>
      <c r="H7690" s="1" t="str">
        <f>"66"</f>
        <v>66</v>
      </c>
      <c r="I7690" s="1" t="str">
        <f>"156.89"</f>
        <v>156.89</v>
      </c>
      <c r="J7690" s="1" t="str">
        <f t="shared" ref="J7690:N7690" si="5459">"0"</f>
        <v>0</v>
      </c>
      <c r="K7690" s="1" t="str">
        <f t="shared" si="5406"/>
        <v>103</v>
      </c>
      <c r="L7690" s="1" t="str">
        <f t="shared" si="5407"/>
        <v>47</v>
      </c>
      <c r="M7690" s="1" t="str">
        <f t="shared" si="5459"/>
        <v>0</v>
      </c>
      <c r="N7690" s="1" t="str">
        <f t="shared" si="5459"/>
        <v>0</v>
      </c>
      <c r="O7690" s="1" t="str">
        <f>"6.89"</f>
        <v>6.89</v>
      </c>
    </row>
    <row r="7691" s="1" customFormat="1" spans="1:15">
      <c r="A7691" s="1" t="str">
        <f t="shared" si="5449"/>
        <v>202406</v>
      </c>
      <c r="B7691" s="1" t="str">
        <f t="shared" si="5450"/>
        <v>150525100</v>
      </c>
      <c r="C7691" s="1" t="str">
        <f>"1040689478"</f>
        <v>1040689478</v>
      </c>
      <c r="D7691" s="1" t="str">
        <f>"152326195511263329"</f>
        <v>152326195511263329</v>
      </c>
      <c r="E7691" s="1" t="s">
        <v>209</v>
      </c>
      <c r="F7691" s="1" t="s">
        <v>16</v>
      </c>
      <c r="G7691" s="1" t="s">
        <v>17</v>
      </c>
      <c r="H7691" s="1" t="str">
        <f t="shared" ref="H7691:H7697" si="5460">"69"</f>
        <v>69</v>
      </c>
      <c r="I7691" s="1" t="str">
        <f>"154.22"</f>
        <v>154.22</v>
      </c>
      <c r="J7691" s="1" t="str">
        <f t="shared" ref="J7691:N7691" si="5461">"0"</f>
        <v>0</v>
      </c>
      <c r="K7691" s="1" t="str">
        <f t="shared" si="5406"/>
        <v>103</v>
      </c>
      <c r="L7691" s="1" t="str">
        <f t="shared" si="5407"/>
        <v>47</v>
      </c>
      <c r="M7691" s="1" t="str">
        <f t="shared" si="5461"/>
        <v>0</v>
      </c>
      <c r="N7691" s="1" t="str">
        <f t="shared" si="5461"/>
        <v>0</v>
      </c>
      <c r="O7691" s="1" t="str">
        <f>"4.22"</f>
        <v>4.22</v>
      </c>
    </row>
    <row r="7692" s="1" customFormat="1" spans="1:15">
      <c r="A7692" s="1" t="str">
        <f t="shared" si="5449"/>
        <v>202406</v>
      </c>
      <c r="B7692" s="1" t="str">
        <f t="shared" si="5450"/>
        <v>150525100</v>
      </c>
      <c r="C7692" s="1" t="str">
        <f>"1040689767"</f>
        <v>1040689767</v>
      </c>
      <c r="D7692" s="1" t="str">
        <f>"152326196109073089"</f>
        <v>152326196109073089</v>
      </c>
      <c r="E7692" s="1" t="s">
        <v>1000</v>
      </c>
      <c r="F7692" s="1" t="s">
        <v>16</v>
      </c>
      <c r="G7692" s="1" t="s">
        <v>19</v>
      </c>
      <c r="H7692" s="1" t="str">
        <f>"63"</f>
        <v>63</v>
      </c>
      <c r="I7692" s="1" t="str">
        <f>"160.68"</f>
        <v>160.68</v>
      </c>
      <c r="J7692" s="1" t="str">
        <f t="shared" ref="J7692:N7692" si="5462">"0"</f>
        <v>0</v>
      </c>
      <c r="K7692" s="1" t="str">
        <f t="shared" si="5406"/>
        <v>103</v>
      </c>
      <c r="L7692" s="1" t="str">
        <f t="shared" si="5407"/>
        <v>47</v>
      </c>
      <c r="M7692" s="1" t="str">
        <f t="shared" si="5462"/>
        <v>0</v>
      </c>
      <c r="N7692" s="1" t="str">
        <f t="shared" si="5462"/>
        <v>0</v>
      </c>
      <c r="O7692" s="1" t="str">
        <f>"10.68"</f>
        <v>10.68</v>
      </c>
    </row>
    <row r="7693" s="1" customFormat="1" spans="1:15">
      <c r="A7693" s="1" t="str">
        <f t="shared" si="5449"/>
        <v>202406</v>
      </c>
      <c r="B7693" s="1" t="str">
        <f t="shared" si="5450"/>
        <v>150525100</v>
      </c>
      <c r="C7693" s="1" t="str">
        <f>"1040681224"</f>
        <v>1040681224</v>
      </c>
      <c r="D7693" s="1" t="s">
        <v>7386</v>
      </c>
      <c r="E7693" s="1" t="s">
        <v>7387</v>
      </c>
      <c r="F7693" s="1" t="s">
        <v>25</v>
      </c>
      <c r="G7693" s="1" t="s">
        <v>17</v>
      </c>
      <c r="H7693" s="1" t="str">
        <f>"65"</f>
        <v>65</v>
      </c>
      <c r="I7693" s="1" t="str">
        <f>"156.74"</f>
        <v>156.74</v>
      </c>
      <c r="J7693" s="1" t="str">
        <f t="shared" ref="J7693:N7693" si="5463">"0"</f>
        <v>0</v>
      </c>
      <c r="K7693" s="1" t="str">
        <f t="shared" si="5406"/>
        <v>103</v>
      </c>
      <c r="L7693" s="1" t="str">
        <f t="shared" si="5407"/>
        <v>47</v>
      </c>
      <c r="M7693" s="1" t="str">
        <f t="shared" si="5463"/>
        <v>0</v>
      </c>
      <c r="N7693" s="1" t="str">
        <f t="shared" si="5463"/>
        <v>0</v>
      </c>
      <c r="O7693" s="1" t="str">
        <f>"6.74"</f>
        <v>6.74</v>
      </c>
    </row>
    <row r="7694" s="1" customFormat="1" spans="1:15">
      <c r="A7694" s="1" t="str">
        <f t="shared" si="5449"/>
        <v>202406</v>
      </c>
      <c r="B7694" s="1" t="str">
        <f t="shared" si="5450"/>
        <v>150525100</v>
      </c>
      <c r="C7694" s="1" t="str">
        <f>"1040681434"</f>
        <v>1040681434</v>
      </c>
      <c r="D7694" s="1" t="str">
        <f>"152326195601033818"</f>
        <v>152326195601033818</v>
      </c>
      <c r="E7694" s="1" t="s">
        <v>672</v>
      </c>
      <c r="F7694" s="1" t="s">
        <v>25</v>
      </c>
      <c r="G7694" s="1" t="s">
        <v>96</v>
      </c>
      <c r="H7694" s="1" t="str">
        <f t="shared" si="5460"/>
        <v>69</v>
      </c>
      <c r="I7694" s="1" t="str">
        <f>"154.8"</f>
        <v>154.8</v>
      </c>
      <c r="J7694" s="1" t="str">
        <f t="shared" ref="J7694:N7694" si="5464">"0"</f>
        <v>0</v>
      </c>
      <c r="K7694" s="1" t="str">
        <f t="shared" si="5406"/>
        <v>103</v>
      </c>
      <c r="L7694" s="1" t="str">
        <f t="shared" si="5407"/>
        <v>47</v>
      </c>
      <c r="M7694" s="1" t="str">
        <f t="shared" si="5464"/>
        <v>0</v>
      </c>
      <c r="N7694" s="1" t="str">
        <f t="shared" si="5464"/>
        <v>0</v>
      </c>
      <c r="O7694" s="1" t="str">
        <f>"4.8"</f>
        <v>4.8</v>
      </c>
    </row>
    <row r="7695" s="1" customFormat="1" spans="1:15">
      <c r="A7695" s="1" t="str">
        <f t="shared" si="5449"/>
        <v>202406</v>
      </c>
      <c r="B7695" s="1" t="str">
        <f t="shared" si="5450"/>
        <v>150525100</v>
      </c>
      <c r="C7695" s="1" t="str">
        <f>"1040681429"</f>
        <v>1040681429</v>
      </c>
      <c r="D7695" s="1" t="str">
        <f>"152326195909173817"</f>
        <v>152326195909173817</v>
      </c>
      <c r="E7695" s="1" t="s">
        <v>7388</v>
      </c>
      <c r="F7695" s="1" t="s">
        <v>25</v>
      </c>
      <c r="G7695" s="1" t="s">
        <v>17</v>
      </c>
      <c r="H7695" s="1" t="str">
        <f>"65"</f>
        <v>65</v>
      </c>
      <c r="I7695" s="1" t="str">
        <f>"156.98"</f>
        <v>156.98</v>
      </c>
      <c r="J7695" s="1" t="str">
        <f t="shared" ref="J7695:N7695" si="5465">"0"</f>
        <v>0</v>
      </c>
      <c r="K7695" s="1" t="str">
        <f t="shared" si="5406"/>
        <v>103</v>
      </c>
      <c r="L7695" s="1" t="str">
        <f t="shared" si="5407"/>
        <v>47</v>
      </c>
      <c r="M7695" s="1" t="str">
        <f t="shared" si="5465"/>
        <v>0</v>
      </c>
      <c r="N7695" s="1" t="str">
        <f t="shared" si="5465"/>
        <v>0</v>
      </c>
      <c r="O7695" s="1" t="str">
        <f>"6.98"</f>
        <v>6.98</v>
      </c>
    </row>
    <row r="7696" s="1" customFormat="1" spans="1:15">
      <c r="A7696" s="1" t="str">
        <f t="shared" si="5449"/>
        <v>202406</v>
      </c>
      <c r="B7696" s="1" t="str">
        <f t="shared" si="5450"/>
        <v>150525100</v>
      </c>
      <c r="C7696" s="1" t="str">
        <f>"1040681310"</f>
        <v>1040681310</v>
      </c>
      <c r="D7696" s="1" t="str">
        <f>"152326195511170683"</f>
        <v>152326195511170683</v>
      </c>
      <c r="E7696" s="1" t="s">
        <v>7389</v>
      </c>
      <c r="F7696" s="1" t="s">
        <v>16</v>
      </c>
      <c r="G7696" s="1" t="s">
        <v>19</v>
      </c>
      <c r="H7696" s="1" t="str">
        <f t="shared" si="5460"/>
        <v>69</v>
      </c>
      <c r="I7696" s="1" t="str">
        <f>"153.89"</f>
        <v>153.89</v>
      </c>
      <c r="J7696" s="1" t="str">
        <f t="shared" ref="J7696:N7696" si="5466">"0"</f>
        <v>0</v>
      </c>
      <c r="K7696" s="1" t="str">
        <f t="shared" si="5406"/>
        <v>103</v>
      </c>
      <c r="L7696" s="1" t="str">
        <f t="shared" si="5407"/>
        <v>47</v>
      </c>
      <c r="M7696" s="1" t="str">
        <f t="shared" si="5466"/>
        <v>0</v>
      </c>
      <c r="N7696" s="1" t="str">
        <f t="shared" si="5466"/>
        <v>0</v>
      </c>
      <c r="O7696" s="1" t="str">
        <f>"3.89"</f>
        <v>3.89</v>
      </c>
    </row>
    <row r="7697" s="1" customFormat="1" spans="1:15">
      <c r="A7697" s="1" t="str">
        <f t="shared" si="5449"/>
        <v>202406</v>
      </c>
      <c r="B7697" s="1" t="str">
        <f t="shared" si="5450"/>
        <v>150525100</v>
      </c>
      <c r="C7697" s="1" t="str">
        <f>"1040681311"</f>
        <v>1040681311</v>
      </c>
      <c r="D7697" s="1" t="str">
        <f>"152326195512200661"</f>
        <v>152326195512200661</v>
      </c>
      <c r="E7697" s="1" t="s">
        <v>7390</v>
      </c>
      <c r="F7697" s="1" t="s">
        <v>16</v>
      </c>
      <c r="G7697" s="1" t="s">
        <v>17</v>
      </c>
      <c r="H7697" s="1" t="str">
        <f t="shared" si="5460"/>
        <v>69</v>
      </c>
      <c r="I7697" s="1" t="str">
        <f>"153.89"</f>
        <v>153.89</v>
      </c>
      <c r="J7697" s="1" t="str">
        <f t="shared" ref="J7697:N7697" si="5467">"0"</f>
        <v>0</v>
      </c>
      <c r="K7697" s="1" t="str">
        <f t="shared" si="5406"/>
        <v>103</v>
      </c>
      <c r="L7697" s="1" t="str">
        <f t="shared" si="5407"/>
        <v>47</v>
      </c>
      <c r="M7697" s="1" t="str">
        <f t="shared" si="5467"/>
        <v>0</v>
      </c>
      <c r="N7697" s="1" t="str">
        <f t="shared" si="5467"/>
        <v>0</v>
      </c>
      <c r="O7697" s="1" t="str">
        <f>"3.89"</f>
        <v>3.89</v>
      </c>
    </row>
    <row r="7698" s="1" customFormat="1" spans="1:15">
      <c r="A7698" s="1" t="str">
        <f t="shared" si="5449"/>
        <v>202406</v>
      </c>
      <c r="B7698" s="1" t="str">
        <f t="shared" si="5450"/>
        <v>150525100</v>
      </c>
      <c r="C7698" s="1" t="str">
        <f>"1040681380"</f>
        <v>1040681380</v>
      </c>
      <c r="D7698" s="1" t="str">
        <f>"152326195608130688"</f>
        <v>152326195608130688</v>
      </c>
      <c r="E7698" s="1" t="s">
        <v>7391</v>
      </c>
      <c r="F7698" s="1" t="s">
        <v>16</v>
      </c>
      <c r="G7698" s="1" t="s">
        <v>17</v>
      </c>
      <c r="H7698" s="1" t="str">
        <f>"68"</f>
        <v>68</v>
      </c>
      <c r="I7698" s="1" t="str">
        <f>"154.81"</f>
        <v>154.81</v>
      </c>
      <c r="J7698" s="1" t="str">
        <f t="shared" ref="J7698:N7698" si="5468">"0"</f>
        <v>0</v>
      </c>
      <c r="K7698" s="1" t="str">
        <f t="shared" si="5406"/>
        <v>103</v>
      </c>
      <c r="L7698" s="1" t="str">
        <f t="shared" si="5407"/>
        <v>47</v>
      </c>
      <c r="M7698" s="1" t="str">
        <f t="shared" si="5468"/>
        <v>0</v>
      </c>
      <c r="N7698" s="1" t="str">
        <f t="shared" si="5468"/>
        <v>0</v>
      </c>
      <c r="O7698" s="1" t="str">
        <f>"4.81"</f>
        <v>4.81</v>
      </c>
    </row>
    <row r="7699" s="1" customFormat="1" spans="1:15">
      <c r="A7699" s="1" t="str">
        <f t="shared" si="5449"/>
        <v>202406</v>
      </c>
      <c r="B7699" s="1" t="str">
        <f t="shared" si="5450"/>
        <v>150525100</v>
      </c>
      <c r="C7699" s="1" t="str">
        <f>"1040682442"</f>
        <v>1040682442</v>
      </c>
      <c r="D7699" s="1" t="str">
        <f>"152326196010150419"</f>
        <v>152326196010150419</v>
      </c>
      <c r="E7699" s="1" t="s">
        <v>1396</v>
      </c>
      <c r="F7699" s="1" t="s">
        <v>25</v>
      </c>
      <c r="G7699" s="1" t="s">
        <v>17</v>
      </c>
      <c r="H7699" s="1" t="str">
        <f>"64"</f>
        <v>64</v>
      </c>
      <c r="I7699" s="1" t="str">
        <f>"157.98"</f>
        <v>157.98</v>
      </c>
      <c r="J7699" s="1" t="str">
        <f t="shared" ref="J7699:N7699" si="5469">"0"</f>
        <v>0</v>
      </c>
      <c r="K7699" s="1" t="str">
        <f t="shared" si="5406"/>
        <v>103</v>
      </c>
      <c r="L7699" s="1" t="str">
        <f t="shared" si="5407"/>
        <v>47</v>
      </c>
      <c r="M7699" s="1" t="str">
        <f t="shared" si="5469"/>
        <v>0</v>
      </c>
      <c r="N7699" s="1" t="str">
        <f t="shared" si="5469"/>
        <v>0</v>
      </c>
      <c r="O7699" s="1" t="str">
        <f>"7.98"</f>
        <v>7.98</v>
      </c>
    </row>
    <row r="7700" s="1" customFormat="1" spans="1:15">
      <c r="A7700" s="1" t="str">
        <f t="shared" si="5449"/>
        <v>202406</v>
      </c>
      <c r="B7700" s="1" t="str">
        <f t="shared" si="5450"/>
        <v>150525100</v>
      </c>
      <c r="C7700" s="1" t="str">
        <f>"1040682450"</f>
        <v>1040682450</v>
      </c>
      <c r="D7700" s="1" t="str">
        <f>"152326195905070423"</f>
        <v>152326195905070423</v>
      </c>
      <c r="E7700" s="1" t="s">
        <v>7392</v>
      </c>
      <c r="F7700" s="1" t="s">
        <v>16</v>
      </c>
      <c r="G7700" s="1" t="s">
        <v>17</v>
      </c>
      <c r="H7700" s="1" t="str">
        <f>"65"</f>
        <v>65</v>
      </c>
      <c r="I7700" s="1" t="str">
        <f>"156.89"</f>
        <v>156.89</v>
      </c>
      <c r="J7700" s="1" t="str">
        <f t="shared" ref="J7700:N7700" si="5470">"0"</f>
        <v>0</v>
      </c>
      <c r="K7700" s="1" t="str">
        <f t="shared" si="5406"/>
        <v>103</v>
      </c>
      <c r="L7700" s="1" t="str">
        <f t="shared" si="5407"/>
        <v>47</v>
      </c>
      <c r="M7700" s="1" t="str">
        <f t="shared" si="5470"/>
        <v>0</v>
      </c>
      <c r="N7700" s="1" t="str">
        <f t="shared" si="5470"/>
        <v>0</v>
      </c>
      <c r="O7700" s="1" t="str">
        <f>"6.89"</f>
        <v>6.89</v>
      </c>
    </row>
    <row r="7701" s="1" customFormat="1" spans="1:15">
      <c r="A7701" s="1" t="str">
        <f t="shared" si="5449"/>
        <v>202406</v>
      </c>
      <c r="B7701" s="1" t="str">
        <f t="shared" si="5450"/>
        <v>150525100</v>
      </c>
      <c r="C7701" s="1" t="str">
        <f>"1040682535"</f>
        <v>1040682535</v>
      </c>
      <c r="D7701" s="1" t="s">
        <v>7393</v>
      </c>
      <c r="E7701" s="1" t="s">
        <v>7394</v>
      </c>
      <c r="F7701" s="1" t="s">
        <v>16</v>
      </c>
      <c r="G7701" s="1" t="s">
        <v>17</v>
      </c>
      <c r="H7701" s="1" t="str">
        <f>"65"</f>
        <v>65</v>
      </c>
      <c r="I7701" s="1" t="str">
        <f>"156.9"</f>
        <v>156.9</v>
      </c>
      <c r="J7701" s="1" t="str">
        <f t="shared" ref="J7701:N7701" si="5471">"0"</f>
        <v>0</v>
      </c>
      <c r="K7701" s="1" t="str">
        <f t="shared" si="5406"/>
        <v>103</v>
      </c>
      <c r="L7701" s="1" t="str">
        <f t="shared" si="5407"/>
        <v>47</v>
      </c>
      <c r="M7701" s="1" t="str">
        <f t="shared" si="5471"/>
        <v>0</v>
      </c>
      <c r="N7701" s="1" t="str">
        <f t="shared" si="5471"/>
        <v>0</v>
      </c>
      <c r="O7701" s="1" t="str">
        <f>"6.9"</f>
        <v>6.9</v>
      </c>
    </row>
    <row r="7702" s="1" customFormat="1" spans="1:15">
      <c r="A7702" s="1" t="str">
        <f t="shared" si="5449"/>
        <v>202406</v>
      </c>
      <c r="B7702" s="1" t="str">
        <f t="shared" si="5450"/>
        <v>150525100</v>
      </c>
      <c r="C7702" s="1" t="str">
        <f>"1042550902"</f>
        <v>1042550902</v>
      </c>
      <c r="D7702" s="1" t="str">
        <f>"152326196003203818"</f>
        <v>152326196003203818</v>
      </c>
      <c r="E7702" s="1" t="s">
        <v>7395</v>
      </c>
      <c r="F7702" s="1" t="s">
        <v>25</v>
      </c>
      <c r="G7702" s="1" t="s">
        <v>17</v>
      </c>
      <c r="H7702" s="1" t="str">
        <f>"64"</f>
        <v>64</v>
      </c>
      <c r="I7702" s="1" t="str">
        <f>"156.74"</f>
        <v>156.74</v>
      </c>
      <c r="J7702" s="1" t="str">
        <f t="shared" ref="J7702:N7702" si="5472">"0"</f>
        <v>0</v>
      </c>
      <c r="K7702" s="1" t="str">
        <f t="shared" si="5406"/>
        <v>103</v>
      </c>
      <c r="L7702" s="1" t="str">
        <f t="shared" si="5407"/>
        <v>47</v>
      </c>
      <c r="M7702" s="1" t="str">
        <f t="shared" si="5472"/>
        <v>0</v>
      </c>
      <c r="N7702" s="1" t="str">
        <f t="shared" si="5472"/>
        <v>0</v>
      </c>
      <c r="O7702" s="1" t="str">
        <f>"6.74"</f>
        <v>6.74</v>
      </c>
    </row>
    <row r="7703" s="1" customFormat="1" spans="1:15">
      <c r="A7703" s="1" t="str">
        <f t="shared" si="5449"/>
        <v>202406</v>
      </c>
      <c r="B7703" s="1" t="str">
        <f t="shared" si="5450"/>
        <v>150525100</v>
      </c>
      <c r="C7703" s="1" t="str">
        <f>"1040690511"</f>
        <v>1040690511</v>
      </c>
      <c r="D7703" s="1" t="str">
        <f>"152326195805183076"</f>
        <v>152326195805183076</v>
      </c>
      <c r="E7703" s="1" t="s">
        <v>7396</v>
      </c>
      <c r="F7703" s="1" t="s">
        <v>25</v>
      </c>
      <c r="G7703" s="1" t="s">
        <v>19</v>
      </c>
      <c r="H7703" s="1" t="str">
        <f>"66"</f>
        <v>66</v>
      </c>
      <c r="I7703" s="1" t="str">
        <f>"155.94"</f>
        <v>155.94</v>
      </c>
      <c r="J7703" s="1" t="str">
        <f t="shared" ref="J7703:N7703" si="5473">"0"</f>
        <v>0</v>
      </c>
      <c r="K7703" s="1" t="str">
        <f t="shared" si="5406"/>
        <v>103</v>
      </c>
      <c r="L7703" s="1" t="str">
        <f t="shared" si="5407"/>
        <v>47</v>
      </c>
      <c r="M7703" s="1" t="str">
        <f t="shared" si="5473"/>
        <v>0</v>
      </c>
      <c r="N7703" s="1" t="str">
        <f t="shared" si="5473"/>
        <v>0</v>
      </c>
      <c r="O7703" s="1" t="str">
        <f>"5.94"</f>
        <v>5.94</v>
      </c>
    </row>
    <row r="7704" s="1" customFormat="1" spans="1:15">
      <c r="A7704" s="1" t="str">
        <f t="shared" si="5449"/>
        <v>202406</v>
      </c>
      <c r="B7704" s="1" t="str">
        <f t="shared" si="5450"/>
        <v>150525100</v>
      </c>
      <c r="C7704" s="1" t="str">
        <f>"1040690547"</f>
        <v>1040690547</v>
      </c>
      <c r="D7704" s="1" t="str">
        <f>"152326195412070660"</f>
        <v>152326195412070660</v>
      </c>
      <c r="E7704" s="1" t="s">
        <v>587</v>
      </c>
      <c r="F7704" s="1" t="s">
        <v>16</v>
      </c>
      <c r="G7704" s="1" t="s">
        <v>17</v>
      </c>
      <c r="H7704" s="1" t="str">
        <f>"70"</f>
        <v>70</v>
      </c>
      <c r="I7704" s="1" t="str">
        <f>"153.01"</f>
        <v>153.01</v>
      </c>
      <c r="J7704" s="1" t="str">
        <f t="shared" ref="J7704:N7704" si="5474">"0"</f>
        <v>0</v>
      </c>
      <c r="K7704" s="1" t="str">
        <f t="shared" si="5406"/>
        <v>103</v>
      </c>
      <c r="L7704" s="1" t="str">
        <f t="shared" si="5407"/>
        <v>47</v>
      </c>
      <c r="M7704" s="1" t="str">
        <f t="shared" si="5474"/>
        <v>0</v>
      </c>
      <c r="N7704" s="1" t="str">
        <f t="shared" si="5474"/>
        <v>0</v>
      </c>
      <c r="O7704" s="1" t="str">
        <f>"3.01"</f>
        <v>3.01</v>
      </c>
    </row>
    <row r="7705" s="1" customFormat="1" spans="1:15">
      <c r="A7705" s="1" t="str">
        <f t="shared" si="5449"/>
        <v>202406</v>
      </c>
      <c r="B7705" s="1" t="str">
        <f t="shared" si="5450"/>
        <v>150525100</v>
      </c>
      <c r="C7705" s="1" t="str">
        <f>"1014572726"</f>
        <v>1014572726</v>
      </c>
      <c r="D7705" s="1" t="str">
        <f>"152326196003270017"</f>
        <v>152326196003270017</v>
      </c>
      <c r="E7705" s="1" t="s">
        <v>7397</v>
      </c>
      <c r="F7705" s="1" t="s">
        <v>25</v>
      </c>
      <c r="G7705" s="1" t="s">
        <v>19</v>
      </c>
      <c r="H7705" s="1" t="str">
        <f>"64"</f>
        <v>64</v>
      </c>
      <c r="I7705" s="1" t="str">
        <f>"159.17"</f>
        <v>159.17</v>
      </c>
      <c r="J7705" s="1" t="str">
        <f t="shared" ref="J7705:N7705" si="5475">"0"</f>
        <v>0</v>
      </c>
      <c r="K7705" s="1" t="str">
        <f t="shared" si="5406"/>
        <v>103</v>
      </c>
      <c r="L7705" s="1" t="str">
        <f t="shared" si="5407"/>
        <v>47</v>
      </c>
      <c r="M7705" s="1" t="str">
        <f t="shared" si="5475"/>
        <v>0</v>
      </c>
      <c r="N7705" s="1" t="str">
        <f t="shared" si="5475"/>
        <v>0</v>
      </c>
      <c r="O7705" s="1" t="str">
        <f>"9.17"</f>
        <v>9.17</v>
      </c>
    </row>
    <row r="7706" s="1" customFormat="1" spans="1:15">
      <c r="A7706" s="1" t="str">
        <f t="shared" si="5449"/>
        <v>202406</v>
      </c>
      <c r="B7706" s="1" t="str">
        <f t="shared" si="5450"/>
        <v>150525100</v>
      </c>
      <c r="C7706" s="1" t="str">
        <f>"1014572731"</f>
        <v>1014572731</v>
      </c>
      <c r="D7706" s="1" t="str">
        <f>"152326196103180043"</f>
        <v>152326196103180043</v>
      </c>
      <c r="E7706" s="1" t="s">
        <v>7398</v>
      </c>
      <c r="F7706" s="1" t="s">
        <v>16</v>
      </c>
      <c r="G7706" s="1" t="s">
        <v>19</v>
      </c>
      <c r="H7706" s="1" t="str">
        <f>"63"</f>
        <v>63</v>
      </c>
      <c r="I7706" s="1" t="str">
        <f>"161.01"</f>
        <v>161.01</v>
      </c>
      <c r="J7706" s="1" t="str">
        <f t="shared" ref="J7706:N7706" si="5476">"0"</f>
        <v>0</v>
      </c>
      <c r="K7706" s="1" t="str">
        <f t="shared" ref="K7706:K7769" si="5477">"103"</f>
        <v>103</v>
      </c>
      <c r="L7706" s="1" t="str">
        <f t="shared" ref="L7706:L7769" si="5478">"47"</f>
        <v>47</v>
      </c>
      <c r="M7706" s="1" t="str">
        <f t="shared" si="5476"/>
        <v>0</v>
      </c>
      <c r="N7706" s="1" t="str">
        <f t="shared" si="5476"/>
        <v>0</v>
      </c>
      <c r="O7706" s="1" t="str">
        <f>"11.01"</f>
        <v>11.01</v>
      </c>
    </row>
    <row r="7707" s="1" customFormat="1" spans="1:15">
      <c r="A7707" s="1" t="str">
        <f t="shared" si="5449"/>
        <v>202406</v>
      </c>
      <c r="B7707" s="1" t="str">
        <f t="shared" si="5450"/>
        <v>150525100</v>
      </c>
      <c r="C7707" s="1" t="str">
        <f>"1014572736"</f>
        <v>1014572736</v>
      </c>
      <c r="D7707" s="1" t="str">
        <f>"152326196203190919"</f>
        <v>152326196203190919</v>
      </c>
      <c r="E7707" s="1" t="s">
        <v>7399</v>
      </c>
      <c r="F7707" s="1" t="s">
        <v>25</v>
      </c>
      <c r="G7707" s="1" t="s">
        <v>19</v>
      </c>
      <c r="H7707" s="1" t="str">
        <f>"62"</f>
        <v>62</v>
      </c>
      <c r="I7707" s="1" t="str">
        <f>"162.26"</f>
        <v>162.26</v>
      </c>
      <c r="J7707" s="1" t="str">
        <f t="shared" ref="J7707:N7707" si="5479">"0"</f>
        <v>0</v>
      </c>
      <c r="K7707" s="1" t="str">
        <f t="shared" si="5477"/>
        <v>103</v>
      </c>
      <c r="L7707" s="1" t="str">
        <f t="shared" si="5478"/>
        <v>47</v>
      </c>
      <c r="M7707" s="1" t="str">
        <f t="shared" si="5479"/>
        <v>0</v>
      </c>
      <c r="N7707" s="1" t="str">
        <f t="shared" si="5479"/>
        <v>0</v>
      </c>
      <c r="O7707" s="1" t="str">
        <f>"12.26"</f>
        <v>12.26</v>
      </c>
    </row>
    <row r="7708" s="1" customFormat="1" spans="1:15">
      <c r="A7708" s="1" t="str">
        <f t="shared" si="5449"/>
        <v>202406</v>
      </c>
      <c r="B7708" s="1" t="str">
        <f t="shared" si="5450"/>
        <v>150525100</v>
      </c>
      <c r="C7708" s="1" t="str">
        <f>"1014572843"</f>
        <v>1014572843</v>
      </c>
      <c r="D7708" s="1" t="str">
        <f>"152326196309290918"</f>
        <v>152326196309290918</v>
      </c>
      <c r="E7708" s="1" t="s">
        <v>7400</v>
      </c>
      <c r="F7708" s="1" t="s">
        <v>25</v>
      </c>
      <c r="G7708" s="1" t="s">
        <v>19</v>
      </c>
      <c r="H7708" s="1" t="str">
        <f>"61"</f>
        <v>61</v>
      </c>
      <c r="I7708" s="1" t="str">
        <f>"164.79"</f>
        <v>164.79</v>
      </c>
      <c r="J7708" s="1" t="str">
        <f t="shared" ref="J7708:N7708" si="5480">"0"</f>
        <v>0</v>
      </c>
      <c r="K7708" s="1" t="str">
        <f t="shared" si="5477"/>
        <v>103</v>
      </c>
      <c r="L7708" s="1" t="str">
        <f t="shared" si="5478"/>
        <v>47</v>
      </c>
      <c r="M7708" s="1" t="str">
        <f t="shared" si="5480"/>
        <v>0</v>
      </c>
      <c r="N7708" s="1" t="str">
        <f t="shared" si="5480"/>
        <v>0</v>
      </c>
      <c r="O7708" s="1" t="str">
        <f>"14.79"</f>
        <v>14.79</v>
      </c>
    </row>
    <row r="7709" s="1" customFormat="1" spans="1:15">
      <c r="A7709" s="1" t="str">
        <f t="shared" si="5449"/>
        <v>202406</v>
      </c>
      <c r="B7709" s="1" t="str">
        <f t="shared" si="5450"/>
        <v>150525100</v>
      </c>
      <c r="C7709" s="1" t="str">
        <f>"1014573103"</f>
        <v>1014573103</v>
      </c>
      <c r="D7709" s="1" t="str">
        <f>"152326195907080027"</f>
        <v>152326195907080027</v>
      </c>
      <c r="E7709" s="1" t="s">
        <v>7401</v>
      </c>
      <c r="F7709" s="1" t="s">
        <v>16</v>
      </c>
      <c r="G7709" s="1" t="s">
        <v>19</v>
      </c>
      <c r="H7709" s="1" t="str">
        <f>"65"</f>
        <v>65</v>
      </c>
      <c r="I7709" s="1" t="str">
        <f>"158.59"</f>
        <v>158.59</v>
      </c>
      <c r="J7709" s="1" t="str">
        <f t="shared" ref="J7709:N7709" si="5481">"0"</f>
        <v>0</v>
      </c>
      <c r="K7709" s="1" t="str">
        <f t="shared" si="5477"/>
        <v>103</v>
      </c>
      <c r="L7709" s="1" t="str">
        <f t="shared" si="5478"/>
        <v>47</v>
      </c>
      <c r="M7709" s="1" t="str">
        <f t="shared" si="5481"/>
        <v>0</v>
      </c>
      <c r="N7709" s="1" t="str">
        <f t="shared" si="5481"/>
        <v>0</v>
      </c>
      <c r="O7709" s="1" t="str">
        <f>"8.59"</f>
        <v>8.59</v>
      </c>
    </row>
    <row r="7710" s="1" customFormat="1" spans="1:15">
      <c r="A7710" s="1" t="str">
        <f t="shared" si="5449"/>
        <v>202406</v>
      </c>
      <c r="B7710" s="1" t="str">
        <f t="shared" si="5450"/>
        <v>150525100</v>
      </c>
      <c r="C7710" s="1" t="str">
        <f>"1014575565"</f>
        <v>1014575565</v>
      </c>
      <c r="D7710" s="1" t="str">
        <f>"152326196103100664"</f>
        <v>152326196103100664</v>
      </c>
      <c r="E7710" s="1" t="s">
        <v>7402</v>
      </c>
      <c r="F7710" s="1" t="s">
        <v>16</v>
      </c>
      <c r="G7710" s="1" t="s">
        <v>17</v>
      </c>
      <c r="H7710" s="1" t="str">
        <f>"63"</f>
        <v>63</v>
      </c>
      <c r="I7710" s="1" t="str">
        <f>"161.06"</f>
        <v>161.06</v>
      </c>
      <c r="J7710" s="1" t="str">
        <f t="shared" ref="J7710:N7710" si="5482">"0"</f>
        <v>0</v>
      </c>
      <c r="K7710" s="1" t="str">
        <f t="shared" si="5477"/>
        <v>103</v>
      </c>
      <c r="L7710" s="1" t="str">
        <f t="shared" si="5478"/>
        <v>47</v>
      </c>
      <c r="M7710" s="1" t="str">
        <f t="shared" si="5482"/>
        <v>0</v>
      </c>
      <c r="N7710" s="1" t="str">
        <f t="shared" si="5482"/>
        <v>0</v>
      </c>
      <c r="O7710" s="1" t="str">
        <f>"11.06"</f>
        <v>11.06</v>
      </c>
    </row>
    <row r="7711" s="1" customFormat="1" spans="1:15">
      <c r="A7711" s="1" t="str">
        <f t="shared" si="5449"/>
        <v>202406</v>
      </c>
      <c r="B7711" s="1" t="str">
        <f t="shared" si="5450"/>
        <v>150525100</v>
      </c>
      <c r="C7711" s="1" t="str">
        <f>"1014575573"</f>
        <v>1014575573</v>
      </c>
      <c r="D7711" s="1" t="str">
        <f>"152326196201260661"</f>
        <v>152326196201260661</v>
      </c>
      <c r="E7711" s="1" t="s">
        <v>7403</v>
      </c>
      <c r="F7711" s="1" t="s">
        <v>16</v>
      </c>
      <c r="G7711" s="1" t="s">
        <v>17</v>
      </c>
      <c r="H7711" s="1" t="str">
        <f>"62"</f>
        <v>62</v>
      </c>
      <c r="I7711" s="1" t="str">
        <f>"175.36"</f>
        <v>175.36</v>
      </c>
      <c r="J7711" s="1" t="str">
        <f t="shared" ref="J7711:N7711" si="5483">"0"</f>
        <v>0</v>
      </c>
      <c r="K7711" s="1" t="str">
        <f t="shared" si="5477"/>
        <v>103</v>
      </c>
      <c r="L7711" s="1" t="str">
        <f t="shared" si="5478"/>
        <v>47</v>
      </c>
      <c r="M7711" s="1" t="str">
        <f t="shared" si="5483"/>
        <v>0</v>
      </c>
      <c r="N7711" s="1" t="str">
        <f t="shared" si="5483"/>
        <v>0</v>
      </c>
      <c r="O7711" s="1" t="str">
        <f>"25.36"</f>
        <v>25.36</v>
      </c>
    </row>
    <row r="7712" s="1" customFormat="1" spans="1:15">
      <c r="A7712" s="1" t="str">
        <f t="shared" si="5449"/>
        <v>202406</v>
      </c>
      <c r="B7712" s="1" t="str">
        <f t="shared" si="5450"/>
        <v>150525100</v>
      </c>
      <c r="C7712" s="1" t="str">
        <f>"1014575783"</f>
        <v>1014575783</v>
      </c>
      <c r="D7712" s="1" t="str">
        <f>"152326195710240664"</f>
        <v>152326195710240664</v>
      </c>
      <c r="E7712" s="1" t="s">
        <v>7404</v>
      </c>
      <c r="F7712" s="1" t="s">
        <v>16</v>
      </c>
      <c r="G7712" s="1" t="s">
        <v>17</v>
      </c>
      <c r="H7712" s="1" t="str">
        <f>"67"</f>
        <v>67</v>
      </c>
      <c r="I7712" s="1" t="str">
        <f>"156.09"</f>
        <v>156.09</v>
      </c>
      <c r="J7712" s="1" t="str">
        <f t="shared" ref="J7712:N7712" si="5484">"0"</f>
        <v>0</v>
      </c>
      <c r="K7712" s="1" t="str">
        <f t="shared" si="5477"/>
        <v>103</v>
      </c>
      <c r="L7712" s="1" t="str">
        <f t="shared" si="5478"/>
        <v>47</v>
      </c>
      <c r="M7712" s="1" t="str">
        <f t="shared" si="5484"/>
        <v>0</v>
      </c>
      <c r="N7712" s="1" t="str">
        <f t="shared" si="5484"/>
        <v>0</v>
      </c>
      <c r="O7712" s="1" t="str">
        <f>"6.09"</f>
        <v>6.09</v>
      </c>
    </row>
    <row r="7713" s="1" customFormat="1" spans="1:15">
      <c r="A7713" s="1" t="str">
        <f t="shared" si="5449"/>
        <v>202406</v>
      </c>
      <c r="B7713" s="1" t="str">
        <f t="shared" si="5450"/>
        <v>150525100</v>
      </c>
      <c r="C7713" s="1" t="str">
        <f>"1014575784"</f>
        <v>1014575784</v>
      </c>
      <c r="D7713" s="1" t="str">
        <f>"152326195711150695"</f>
        <v>152326195711150695</v>
      </c>
      <c r="E7713" s="1" t="s">
        <v>7405</v>
      </c>
      <c r="F7713" s="1" t="s">
        <v>25</v>
      </c>
      <c r="G7713" s="1" t="s">
        <v>17</v>
      </c>
      <c r="H7713" s="1" t="str">
        <f>"67"</f>
        <v>67</v>
      </c>
      <c r="I7713" s="1" t="str">
        <f>"156.1"</f>
        <v>156.1</v>
      </c>
      <c r="J7713" s="1" t="str">
        <f t="shared" ref="J7713:N7713" si="5485">"0"</f>
        <v>0</v>
      </c>
      <c r="K7713" s="1" t="str">
        <f t="shared" si="5477"/>
        <v>103</v>
      </c>
      <c r="L7713" s="1" t="str">
        <f t="shared" si="5478"/>
        <v>47</v>
      </c>
      <c r="M7713" s="1" t="str">
        <f t="shared" si="5485"/>
        <v>0</v>
      </c>
      <c r="N7713" s="1" t="str">
        <f t="shared" si="5485"/>
        <v>0</v>
      </c>
      <c r="O7713" s="1" t="str">
        <f>"6.1"</f>
        <v>6.1</v>
      </c>
    </row>
    <row r="7714" s="1" customFormat="1" spans="1:15">
      <c r="A7714" s="1" t="str">
        <f t="shared" si="5449"/>
        <v>202406</v>
      </c>
      <c r="B7714" s="1" t="str">
        <f t="shared" si="5450"/>
        <v>150525100</v>
      </c>
      <c r="C7714" s="1" t="str">
        <f>"1014575792"</f>
        <v>1014575792</v>
      </c>
      <c r="D7714" s="1" t="str">
        <f>"152326195911120669"</f>
        <v>152326195911120669</v>
      </c>
      <c r="E7714" s="1" t="s">
        <v>7406</v>
      </c>
      <c r="F7714" s="1" t="s">
        <v>16</v>
      </c>
      <c r="G7714" s="1" t="s">
        <v>17</v>
      </c>
      <c r="H7714" s="1" t="str">
        <f>"65"</f>
        <v>65</v>
      </c>
      <c r="I7714" s="1" t="str">
        <f>"157.96"</f>
        <v>157.96</v>
      </c>
      <c r="J7714" s="1" t="str">
        <f t="shared" ref="J7714:N7714" si="5486">"0"</f>
        <v>0</v>
      </c>
      <c r="K7714" s="1" t="str">
        <f t="shared" si="5477"/>
        <v>103</v>
      </c>
      <c r="L7714" s="1" t="str">
        <f t="shared" si="5478"/>
        <v>47</v>
      </c>
      <c r="M7714" s="1" t="str">
        <f t="shared" si="5486"/>
        <v>0</v>
      </c>
      <c r="N7714" s="1" t="str">
        <f t="shared" si="5486"/>
        <v>0</v>
      </c>
      <c r="O7714" s="1" t="str">
        <f>"7.96"</f>
        <v>7.96</v>
      </c>
    </row>
    <row r="7715" s="1" customFormat="1" spans="1:15">
      <c r="A7715" s="1" t="str">
        <f t="shared" si="5449"/>
        <v>202406</v>
      </c>
      <c r="B7715" s="1" t="str">
        <f t="shared" si="5450"/>
        <v>150525100</v>
      </c>
      <c r="C7715" s="1" t="str">
        <f>"1014548344"</f>
        <v>1014548344</v>
      </c>
      <c r="D7715" s="1" t="str">
        <f>"152326195212100669"</f>
        <v>152326195212100669</v>
      </c>
      <c r="E7715" s="1" t="s">
        <v>7407</v>
      </c>
      <c r="F7715" s="1" t="s">
        <v>16</v>
      </c>
      <c r="G7715" s="1" t="s">
        <v>17</v>
      </c>
      <c r="H7715" s="1" t="str">
        <f>"72"</f>
        <v>72</v>
      </c>
      <c r="I7715" s="1" t="str">
        <f>"162.15"</f>
        <v>162.15</v>
      </c>
      <c r="J7715" s="1" t="str">
        <f t="shared" ref="J7715:N7715" si="5487">"0"</f>
        <v>0</v>
      </c>
      <c r="K7715" s="1" t="str">
        <f t="shared" si="5477"/>
        <v>103</v>
      </c>
      <c r="L7715" s="1" t="str">
        <f t="shared" si="5478"/>
        <v>47</v>
      </c>
      <c r="M7715" s="1" t="str">
        <f t="shared" si="5487"/>
        <v>0</v>
      </c>
      <c r="N7715" s="1" t="str">
        <f t="shared" si="5487"/>
        <v>0</v>
      </c>
      <c r="O7715" s="1" t="str">
        <f>"2.15"</f>
        <v>2.15</v>
      </c>
    </row>
    <row r="7716" s="1" customFormat="1" spans="1:15">
      <c r="A7716" s="1" t="str">
        <f t="shared" si="5449"/>
        <v>202406</v>
      </c>
      <c r="B7716" s="1" t="str">
        <f t="shared" si="5450"/>
        <v>150525100</v>
      </c>
      <c r="C7716" s="1" t="str">
        <f>"1014548372"</f>
        <v>1014548372</v>
      </c>
      <c r="D7716" s="1" t="s">
        <v>7408</v>
      </c>
      <c r="E7716" s="1" t="s">
        <v>7409</v>
      </c>
      <c r="F7716" s="1" t="s">
        <v>16</v>
      </c>
      <c r="G7716" s="1" t="s">
        <v>17</v>
      </c>
      <c r="H7716" s="1" t="str">
        <f>"66"</f>
        <v>66</v>
      </c>
      <c r="I7716" s="1" t="str">
        <f>"158.01"</f>
        <v>158.01</v>
      </c>
      <c r="J7716" s="1" t="str">
        <f t="shared" ref="J7716:N7716" si="5488">"0"</f>
        <v>0</v>
      </c>
      <c r="K7716" s="1" t="str">
        <f t="shared" si="5477"/>
        <v>103</v>
      </c>
      <c r="L7716" s="1" t="str">
        <f t="shared" si="5478"/>
        <v>47</v>
      </c>
      <c r="M7716" s="1" t="str">
        <f t="shared" si="5488"/>
        <v>0</v>
      </c>
      <c r="N7716" s="1" t="str">
        <f t="shared" si="5488"/>
        <v>0</v>
      </c>
      <c r="O7716" s="1" t="str">
        <f>"8.01"</f>
        <v>8.01</v>
      </c>
    </row>
    <row r="7717" s="1" customFormat="1" spans="1:15">
      <c r="A7717" s="1" t="str">
        <f t="shared" si="5449"/>
        <v>202406</v>
      </c>
      <c r="B7717" s="1" t="str">
        <f t="shared" si="5450"/>
        <v>150525100</v>
      </c>
      <c r="C7717" s="1" t="str">
        <f>"1014572756"</f>
        <v>1014572756</v>
      </c>
      <c r="D7717" s="1" t="str">
        <f>"152326195401050410"</f>
        <v>152326195401050410</v>
      </c>
      <c r="E7717" s="1" t="s">
        <v>7200</v>
      </c>
      <c r="F7717" s="1" t="s">
        <v>25</v>
      </c>
      <c r="G7717" s="1" t="s">
        <v>17</v>
      </c>
      <c r="H7717" s="1" t="str">
        <f>"71"</f>
        <v>71</v>
      </c>
      <c r="I7717" s="1" t="str">
        <f>"164.14"</f>
        <v>164.14</v>
      </c>
      <c r="J7717" s="1" t="str">
        <f t="shared" ref="J7717:N7717" si="5489">"0"</f>
        <v>0</v>
      </c>
      <c r="K7717" s="1" t="str">
        <f t="shared" si="5477"/>
        <v>103</v>
      </c>
      <c r="L7717" s="1" t="str">
        <f t="shared" si="5478"/>
        <v>47</v>
      </c>
      <c r="M7717" s="1" t="str">
        <f t="shared" si="5489"/>
        <v>0</v>
      </c>
      <c r="N7717" s="1" t="str">
        <f t="shared" si="5489"/>
        <v>0</v>
      </c>
      <c r="O7717" s="1" t="str">
        <f>"4.14"</f>
        <v>4.14</v>
      </c>
    </row>
    <row r="7718" s="1" customFormat="1" spans="1:15">
      <c r="A7718" s="1" t="str">
        <f t="shared" si="5449"/>
        <v>202406</v>
      </c>
      <c r="B7718" s="1" t="str">
        <f t="shared" si="5450"/>
        <v>150525100</v>
      </c>
      <c r="C7718" s="1" t="str">
        <f>"1014572767"</f>
        <v>1014572767</v>
      </c>
      <c r="D7718" s="1" t="str">
        <f>"152326195406230023"</f>
        <v>152326195406230023</v>
      </c>
      <c r="E7718" s="1" t="s">
        <v>5891</v>
      </c>
      <c r="F7718" s="1" t="s">
        <v>16</v>
      </c>
      <c r="G7718" s="1" t="s">
        <v>17</v>
      </c>
      <c r="H7718" s="1" t="str">
        <f>"70"</f>
        <v>70</v>
      </c>
      <c r="I7718" s="1" t="str">
        <f>"154.14"</f>
        <v>154.14</v>
      </c>
      <c r="J7718" s="1" t="str">
        <f t="shared" ref="J7718:N7718" si="5490">"0"</f>
        <v>0</v>
      </c>
      <c r="K7718" s="1" t="str">
        <f t="shared" si="5477"/>
        <v>103</v>
      </c>
      <c r="L7718" s="1" t="str">
        <f t="shared" si="5478"/>
        <v>47</v>
      </c>
      <c r="M7718" s="1" t="str">
        <f t="shared" si="5490"/>
        <v>0</v>
      </c>
      <c r="N7718" s="1" t="str">
        <f t="shared" si="5490"/>
        <v>0</v>
      </c>
      <c r="O7718" s="1" t="str">
        <f>"4.14"</f>
        <v>4.14</v>
      </c>
    </row>
    <row r="7719" s="1" customFormat="1" spans="1:15">
      <c r="A7719" s="1" t="str">
        <f t="shared" si="5449"/>
        <v>202406</v>
      </c>
      <c r="B7719" s="1" t="str">
        <f t="shared" si="5450"/>
        <v>150525100</v>
      </c>
      <c r="C7719" s="1" t="str">
        <f>"1014573291"</f>
        <v>1014573291</v>
      </c>
      <c r="D7719" s="1" t="str">
        <f>"152326195711180413"</f>
        <v>152326195711180413</v>
      </c>
      <c r="E7719" s="1" t="s">
        <v>7410</v>
      </c>
      <c r="F7719" s="1" t="s">
        <v>25</v>
      </c>
      <c r="G7719" s="1" t="s">
        <v>17</v>
      </c>
      <c r="H7719" s="1" t="str">
        <f>"67"</f>
        <v>67</v>
      </c>
      <c r="I7719" s="1" t="str">
        <f>"157.05"</f>
        <v>157.05</v>
      </c>
      <c r="J7719" s="1" t="str">
        <f t="shared" ref="J7719:N7719" si="5491">"0"</f>
        <v>0</v>
      </c>
      <c r="K7719" s="1" t="str">
        <f t="shared" si="5477"/>
        <v>103</v>
      </c>
      <c r="L7719" s="1" t="str">
        <f t="shared" si="5478"/>
        <v>47</v>
      </c>
      <c r="M7719" s="1" t="str">
        <f t="shared" si="5491"/>
        <v>0</v>
      </c>
      <c r="N7719" s="1" t="str">
        <f t="shared" si="5491"/>
        <v>0</v>
      </c>
      <c r="O7719" s="1" t="str">
        <f>"7.05"</f>
        <v>7.05</v>
      </c>
    </row>
    <row r="7720" s="1" customFormat="1" spans="1:15">
      <c r="A7720" s="1" t="str">
        <f t="shared" si="5449"/>
        <v>202406</v>
      </c>
      <c r="B7720" s="1" t="str">
        <f t="shared" si="5450"/>
        <v>150525100</v>
      </c>
      <c r="C7720" s="1" t="str">
        <f>"1014575843"</f>
        <v>1014575843</v>
      </c>
      <c r="D7720" s="1" t="str">
        <f>"152326195302190688"</f>
        <v>152326195302190688</v>
      </c>
      <c r="E7720" s="1" t="s">
        <v>4285</v>
      </c>
      <c r="F7720" s="1" t="s">
        <v>16</v>
      </c>
      <c r="G7720" s="1" t="s">
        <v>96</v>
      </c>
      <c r="H7720" s="1" t="str">
        <f>"71"</f>
        <v>71</v>
      </c>
      <c r="I7720" s="1" t="str">
        <f>"163.16"</f>
        <v>163.16</v>
      </c>
      <c r="J7720" s="1" t="str">
        <f t="shared" ref="J7720:N7720" si="5492">"0"</f>
        <v>0</v>
      </c>
      <c r="K7720" s="1" t="str">
        <f t="shared" si="5477"/>
        <v>103</v>
      </c>
      <c r="L7720" s="1" t="str">
        <f t="shared" si="5478"/>
        <v>47</v>
      </c>
      <c r="M7720" s="1" t="str">
        <f t="shared" si="5492"/>
        <v>0</v>
      </c>
      <c r="N7720" s="1" t="str">
        <f t="shared" si="5492"/>
        <v>0</v>
      </c>
      <c r="O7720" s="1" t="str">
        <f>"3.16"</f>
        <v>3.16</v>
      </c>
    </row>
    <row r="7721" s="1" customFormat="1" spans="1:15">
      <c r="A7721" s="1" t="str">
        <f t="shared" si="5449"/>
        <v>202406</v>
      </c>
      <c r="B7721" s="1" t="str">
        <f t="shared" si="5450"/>
        <v>150525100</v>
      </c>
      <c r="C7721" s="1" t="str">
        <f>"1014576831"</f>
        <v>1014576831</v>
      </c>
      <c r="D7721" s="1" t="str">
        <f>"152326195611150663"</f>
        <v>152326195611150663</v>
      </c>
      <c r="E7721" s="1" t="s">
        <v>7411</v>
      </c>
      <c r="F7721" s="1" t="s">
        <v>16</v>
      </c>
      <c r="G7721" s="1" t="s">
        <v>17</v>
      </c>
      <c r="H7721" s="1" t="str">
        <f>"68"</f>
        <v>68</v>
      </c>
      <c r="I7721" s="1" t="str">
        <f>"156.02"</f>
        <v>156.02</v>
      </c>
      <c r="J7721" s="1" t="str">
        <f t="shared" ref="J7721:N7721" si="5493">"0"</f>
        <v>0</v>
      </c>
      <c r="K7721" s="1" t="str">
        <f t="shared" si="5477"/>
        <v>103</v>
      </c>
      <c r="L7721" s="1" t="str">
        <f t="shared" si="5478"/>
        <v>47</v>
      </c>
      <c r="M7721" s="1" t="str">
        <f t="shared" si="5493"/>
        <v>0</v>
      </c>
      <c r="N7721" s="1" t="str">
        <f t="shared" si="5493"/>
        <v>0</v>
      </c>
      <c r="O7721" s="1" t="str">
        <f>"6.02"</f>
        <v>6.02</v>
      </c>
    </row>
    <row r="7722" s="1" customFormat="1" spans="1:15">
      <c r="A7722" s="1" t="str">
        <f t="shared" si="5449"/>
        <v>202406</v>
      </c>
      <c r="B7722" s="1" t="str">
        <f t="shared" si="5450"/>
        <v>150525100</v>
      </c>
      <c r="C7722" s="1" t="str">
        <f>"1014576852"</f>
        <v>1014576852</v>
      </c>
      <c r="D7722" s="1" t="str">
        <f>"152326195802030664"</f>
        <v>152326195802030664</v>
      </c>
      <c r="E7722" s="1" t="s">
        <v>7412</v>
      </c>
      <c r="F7722" s="1" t="s">
        <v>16</v>
      </c>
      <c r="G7722" s="1" t="s">
        <v>17</v>
      </c>
      <c r="H7722" s="1" t="str">
        <f>"66"</f>
        <v>66</v>
      </c>
      <c r="I7722" s="1" t="str">
        <f>"157.07"</f>
        <v>157.07</v>
      </c>
      <c r="J7722" s="1" t="str">
        <f t="shared" ref="J7722:N7722" si="5494">"0"</f>
        <v>0</v>
      </c>
      <c r="K7722" s="1" t="str">
        <f t="shared" si="5477"/>
        <v>103</v>
      </c>
      <c r="L7722" s="1" t="str">
        <f t="shared" si="5478"/>
        <v>47</v>
      </c>
      <c r="M7722" s="1" t="str">
        <f t="shared" si="5494"/>
        <v>0</v>
      </c>
      <c r="N7722" s="1" t="str">
        <f t="shared" si="5494"/>
        <v>0</v>
      </c>
      <c r="O7722" s="1" t="str">
        <f>"7.07"</f>
        <v>7.07</v>
      </c>
    </row>
    <row r="7723" s="1" customFormat="1" spans="1:15">
      <c r="A7723" s="1" t="str">
        <f t="shared" si="5449"/>
        <v>202406</v>
      </c>
      <c r="B7723" s="1" t="str">
        <f t="shared" si="5450"/>
        <v>150525100</v>
      </c>
      <c r="C7723" s="1" t="str">
        <f>"1014552198"</f>
        <v>1014552198</v>
      </c>
      <c r="D7723" s="1" t="str">
        <f>"152326195410203810"</f>
        <v>152326195410203810</v>
      </c>
      <c r="E7723" s="1" t="s">
        <v>7413</v>
      </c>
      <c r="F7723" s="1" t="s">
        <v>25</v>
      </c>
      <c r="G7723" s="1" t="s">
        <v>17</v>
      </c>
      <c r="H7723" s="1" t="str">
        <f t="shared" ref="H7723:H7725" si="5495">"70"</f>
        <v>70</v>
      </c>
      <c r="I7723" s="1" t="str">
        <f>"153.91"</f>
        <v>153.91</v>
      </c>
      <c r="J7723" s="1" t="str">
        <f t="shared" ref="J7723:N7723" si="5496">"0"</f>
        <v>0</v>
      </c>
      <c r="K7723" s="1" t="str">
        <f t="shared" si="5477"/>
        <v>103</v>
      </c>
      <c r="L7723" s="1" t="str">
        <f t="shared" si="5478"/>
        <v>47</v>
      </c>
      <c r="M7723" s="1" t="str">
        <f t="shared" si="5496"/>
        <v>0</v>
      </c>
      <c r="N7723" s="1" t="str">
        <f t="shared" si="5496"/>
        <v>0</v>
      </c>
      <c r="O7723" s="1" t="str">
        <f>"3.91"</f>
        <v>3.91</v>
      </c>
    </row>
    <row r="7724" s="1" customFormat="1" spans="1:15">
      <c r="A7724" s="1" t="str">
        <f t="shared" si="5449"/>
        <v>202406</v>
      </c>
      <c r="B7724" s="1" t="str">
        <f t="shared" si="5450"/>
        <v>150525100</v>
      </c>
      <c r="C7724" s="1" t="str">
        <f>"1014572781"</f>
        <v>1014572781</v>
      </c>
      <c r="D7724" s="1" t="str">
        <f>"152326195410130025"</f>
        <v>152326195410130025</v>
      </c>
      <c r="E7724" s="1" t="s">
        <v>6896</v>
      </c>
      <c r="F7724" s="1" t="s">
        <v>16</v>
      </c>
      <c r="G7724" s="1" t="s">
        <v>17</v>
      </c>
      <c r="H7724" s="1" t="str">
        <f t="shared" si="5495"/>
        <v>70</v>
      </c>
      <c r="I7724" s="1" t="str">
        <f>"153.88"</f>
        <v>153.88</v>
      </c>
      <c r="J7724" s="1" t="str">
        <f t="shared" ref="J7724:N7724" si="5497">"0"</f>
        <v>0</v>
      </c>
      <c r="K7724" s="1" t="str">
        <f t="shared" si="5477"/>
        <v>103</v>
      </c>
      <c r="L7724" s="1" t="str">
        <f t="shared" si="5478"/>
        <v>47</v>
      </c>
      <c r="M7724" s="1" t="str">
        <f t="shared" si="5497"/>
        <v>0</v>
      </c>
      <c r="N7724" s="1" t="str">
        <f t="shared" si="5497"/>
        <v>0</v>
      </c>
      <c r="O7724" s="1" t="str">
        <f>"3.88"</f>
        <v>3.88</v>
      </c>
    </row>
    <row r="7725" s="1" customFormat="1" spans="1:15">
      <c r="A7725" s="1" t="str">
        <f t="shared" si="5449"/>
        <v>202406</v>
      </c>
      <c r="B7725" s="1" t="str">
        <f t="shared" si="5450"/>
        <v>150525100</v>
      </c>
      <c r="C7725" s="1" t="str">
        <f>"1014572793"</f>
        <v>1014572793</v>
      </c>
      <c r="D7725" s="1" t="str">
        <f>"152326195412150927"</f>
        <v>152326195412150927</v>
      </c>
      <c r="E7725" s="1" t="s">
        <v>7414</v>
      </c>
      <c r="F7725" s="1" t="s">
        <v>16</v>
      </c>
      <c r="G7725" s="1" t="s">
        <v>17</v>
      </c>
      <c r="H7725" s="1" t="str">
        <f t="shared" si="5495"/>
        <v>70</v>
      </c>
      <c r="I7725" s="1" t="str">
        <f>"153.49"</f>
        <v>153.49</v>
      </c>
      <c r="J7725" s="1" t="str">
        <f t="shared" ref="J7725:N7725" si="5498">"0"</f>
        <v>0</v>
      </c>
      <c r="K7725" s="1" t="str">
        <f t="shared" si="5477"/>
        <v>103</v>
      </c>
      <c r="L7725" s="1" t="str">
        <f t="shared" si="5478"/>
        <v>47</v>
      </c>
      <c r="M7725" s="1" t="str">
        <f t="shared" si="5498"/>
        <v>0</v>
      </c>
      <c r="N7725" s="1" t="str">
        <f t="shared" si="5498"/>
        <v>0</v>
      </c>
      <c r="O7725" s="1" t="str">
        <f>"3.49"</f>
        <v>3.49</v>
      </c>
    </row>
    <row r="7726" s="1" customFormat="1" spans="1:15">
      <c r="A7726" s="1" t="str">
        <f t="shared" si="5449"/>
        <v>202406</v>
      </c>
      <c r="B7726" s="1" t="str">
        <f t="shared" si="5450"/>
        <v>150525100</v>
      </c>
      <c r="C7726" s="1" t="str">
        <f>"1014572886"</f>
        <v>1014572886</v>
      </c>
      <c r="D7726" s="1" t="str">
        <f>"152326195501180028"</f>
        <v>152326195501180028</v>
      </c>
      <c r="E7726" s="1" t="s">
        <v>295</v>
      </c>
      <c r="F7726" s="1" t="s">
        <v>16</v>
      </c>
      <c r="G7726" s="1" t="s">
        <v>17</v>
      </c>
      <c r="H7726" s="1" t="str">
        <f t="shared" ref="H7726:H7728" si="5499">"69"</f>
        <v>69</v>
      </c>
      <c r="I7726" s="1" t="str">
        <f>"155.09"</f>
        <v>155.09</v>
      </c>
      <c r="J7726" s="1" t="str">
        <f t="shared" ref="J7726:N7726" si="5500">"0"</f>
        <v>0</v>
      </c>
      <c r="K7726" s="1" t="str">
        <f t="shared" si="5477"/>
        <v>103</v>
      </c>
      <c r="L7726" s="1" t="str">
        <f t="shared" si="5478"/>
        <v>47</v>
      </c>
      <c r="M7726" s="1" t="str">
        <f t="shared" si="5500"/>
        <v>0</v>
      </c>
      <c r="N7726" s="1" t="str">
        <f t="shared" si="5500"/>
        <v>0</v>
      </c>
      <c r="O7726" s="1" t="str">
        <f>"5.09"</f>
        <v>5.09</v>
      </c>
    </row>
    <row r="7727" s="1" customFormat="1" spans="1:15">
      <c r="A7727" s="1" t="str">
        <f t="shared" si="5449"/>
        <v>202406</v>
      </c>
      <c r="B7727" s="1" t="str">
        <f t="shared" si="5450"/>
        <v>150525100</v>
      </c>
      <c r="C7727" s="1" t="str">
        <f>"1014572893"</f>
        <v>1014572893</v>
      </c>
      <c r="D7727" s="1" t="str">
        <f>"152326195503043086"</f>
        <v>152326195503043086</v>
      </c>
      <c r="E7727" s="1" t="s">
        <v>7415</v>
      </c>
      <c r="F7727" s="1" t="s">
        <v>16</v>
      </c>
      <c r="G7727" s="1" t="s">
        <v>17</v>
      </c>
      <c r="H7727" s="1" t="str">
        <f t="shared" si="5499"/>
        <v>69</v>
      </c>
      <c r="I7727" s="1" t="str">
        <f>"155.1"</f>
        <v>155.1</v>
      </c>
      <c r="J7727" s="1" t="str">
        <f t="shared" ref="J7727:N7727" si="5501">"0"</f>
        <v>0</v>
      </c>
      <c r="K7727" s="1" t="str">
        <f t="shared" si="5477"/>
        <v>103</v>
      </c>
      <c r="L7727" s="1" t="str">
        <f t="shared" si="5478"/>
        <v>47</v>
      </c>
      <c r="M7727" s="1" t="str">
        <f t="shared" si="5501"/>
        <v>0</v>
      </c>
      <c r="N7727" s="1" t="str">
        <f t="shared" si="5501"/>
        <v>0</v>
      </c>
      <c r="O7727" s="1" t="str">
        <f>"5.1"</f>
        <v>5.1</v>
      </c>
    </row>
    <row r="7728" s="1" customFormat="1" spans="1:15">
      <c r="A7728" s="1" t="str">
        <f t="shared" si="5449"/>
        <v>202406</v>
      </c>
      <c r="B7728" s="1" t="str">
        <f t="shared" si="5450"/>
        <v>150525100</v>
      </c>
      <c r="C7728" s="1" t="str">
        <f>"1014572906"</f>
        <v>1014572906</v>
      </c>
      <c r="D7728" s="1" t="str">
        <f>"152326195508053080"</f>
        <v>152326195508053080</v>
      </c>
      <c r="E7728" s="1" t="s">
        <v>7416</v>
      </c>
      <c r="F7728" s="1" t="s">
        <v>16</v>
      </c>
      <c r="G7728" s="1" t="s">
        <v>17</v>
      </c>
      <c r="H7728" s="1" t="str">
        <f t="shared" si="5499"/>
        <v>69</v>
      </c>
      <c r="I7728" s="1" t="str">
        <f>"155.1"</f>
        <v>155.1</v>
      </c>
      <c r="J7728" s="1" t="str">
        <f t="shared" ref="J7728:N7728" si="5502">"0"</f>
        <v>0</v>
      </c>
      <c r="K7728" s="1" t="str">
        <f t="shared" si="5477"/>
        <v>103</v>
      </c>
      <c r="L7728" s="1" t="str">
        <f t="shared" si="5478"/>
        <v>47</v>
      </c>
      <c r="M7728" s="1" t="str">
        <f t="shared" si="5502"/>
        <v>0</v>
      </c>
      <c r="N7728" s="1" t="str">
        <f t="shared" si="5502"/>
        <v>0</v>
      </c>
      <c r="O7728" s="1" t="str">
        <f>"5.1"</f>
        <v>5.1</v>
      </c>
    </row>
    <row r="7729" s="1" customFormat="1" spans="1:15">
      <c r="A7729" s="1" t="str">
        <f t="shared" si="5449"/>
        <v>202406</v>
      </c>
      <c r="B7729" s="1" t="str">
        <f t="shared" si="5450"/>
        <v>150525100</v>
      </c>
      <c r="C7729" s="1" t="str">
        <f>"1014573021"</f>
        <v>1014573021</v>
      </c>
      <c r="D7729" s="1" t="str">
        <f>"152326196309010015"</f>
        <v>152326196309010015</v>
      </c>
      <c r="E7729" s="1" t="s">
        <v>7417</v>
      </c>
      <c r="F7729" s="1" t="s">
        <v>25</v>
      </c>
      <c r="G7729" s="1" t="s">
        <v>17</v>
      </c>
      <c r="H7729" s="1" t="str">
        <f t="shared" ref="H7729:H7732" si="5503">"61"</f>
        <v>61</v>
      </c>
      <c r="I7729" s="1" t="str">
        <f>"167.63"</f>
        <v>167.63</v>
      </c>
      <c r="J7729" s="1" t="str">
        <f t="shared" ref="J7729:N7729" si="5504">"0"</f>
        <v>0</v>
      </c>
      <c r="K7729" s="1" t="str">
        <f t="shared" si="5477"/>
        <v>103</v>
      </c>
      <c r="L7729" s="1" t="str">
        <f t="shared" si="5478"/>
        <v>47</v>
      </c>
      <c r="M7729" s="1" t="str">
        <f t="shared" si="5504"/>
        <v>0</v>
      </c>
      <c r="N7729" s="1" t="str">
        <f t="shared" si="5504"/>
        <v>0</v>
      </c>
      <c r="O7729" s="1" t="str">
        <f>"17.63"</f>
        <v>17.63</v>
      </c>
    </row>
    <row r="7730" s="1" customFormat="1" spans="1:15">
      <c r="A7730" s="1" t="str">
        <f t="shared" si="5449"/>
        <v>202406</v>
      </c>
      <c r="B7730" s="1" t="str">
        <f t="shared" si="5450"/>
        <v>150525100</v>
      </c>
      <c r="C7730" s="1" t="str">
        <f>"1014573029"</f>
        <v>1014573029</v>
      </c>
      <c r="D7730" s="1" t="str">
        <f>"152326196311263089"</f>
        <v>152326196311263089</v>
      </c>
      <c r="E7730" s="1" t="s">
        <v>6542</v>
      </c>
      <c r="F7730" s="1" t="s">
        <v>16</v>
      </c>
      <c r="G7730" s="1" t="s">
        <v>17</v>
      </c>
      <c r="H7730" s="1" t="str">
        <f t="shared" si="5503"/>
        <v>61</v>
      </c>
      <c r="I7730" s="1" t="str">
        <f>"188.69"</f>
        <v>188.69</v>
      </c>
      <c r="J7730" s="1" t="str">
        <f t="shared" ref="J7730:N7730" si="5505">"0"</f>
        <v>0</v>
      </c>
      <c r="K7730" s="1" t="str">
        <f t="shared" si="5477"/>
        <v>103</v>
      </c>
      <c r="L7730" s="1" t="str">
        <f t="shared" si="5478"/>
        <v>47</v>
      </c>
      <c r="M7730" s="1" t="str">
        <f t="shared" si="5505"/>
        <v>0</v>
      </c>
      <c r="N7730" s="1" t="str">
        <f t="shared" si="5505"/>
        <v>0</v>
      </c>
      <c r="O7730" s="1" t="str">
        <f>"38.69"</f>
        <v>38.69</v>
      </c>
    </row>
    <row r="7731" s="1" customFormat="1" spans="1:15">
      <c r="A7731" s="1" t="str">
        <f t="shared" si="5449"/>
        <v>202406</v>
      </c>
      <c r="B7731" s="1" t="str">
        <f t="shared" si="5450"/>
        <v>150525100</v>
      </c>
      <c r="C7731" s="1" t="str">
        <f>"1014573031"</f>
        <v>1014573031</v>
      </c>
      <c r="D7731" s="1" t="str">
        <f>"152326196312170028"</f>
        <v>152326196312170028</v>
      </c>
      <c r="E7731" s="1" t="s">
        <v>5027</v>
      </c>
      <c r="F7731" s="1" t="s">
        <v>16</v>
      </c>
      <c r="G7731" s="1" t="s">
        <v>17</v>
      </c>
      <c r="H7731" s="1" t="str">
        <f t="shared" si="5503"/>
        <v>61</v>
      </c>
      <c r="I7731" s="1" t="str">
        <f>"167.56"</f>
        <v>167.56</v>
      </c>
      <c r="J7731" s="1" t="str">
        <f t="shared" ref="J7731:N7731" si="5506">"0"</f>
        <v>0</v>
      </c>
      <c r="K7731" s="1" t="str">
        <f t="shared" si="5477"/>
        <v>103</v>
      </c>
      <c r="L7731" s="1" t="str">
        <f t="shared" si="5478"/>
        <v>47</v>
      </c>
      <c r="M7731" s="1" t="str">
        <f t="shared" si="5506"/>
        <v>0</v>
      </c>
      <c r="N7731" s="1" t="str">
        <f t="shared" si="5506"/>
        <v>0</v>
      </c>
      <c r="O7731" s="1" t="str">
        <f>"17.56"</f>
        <v>17.56</v>
      </c>
    </row>
    <row r="7732" s="1" customFormat="1" spans="1:15">
      <c r="A7732" s="1" t="str">
        <f t="shared" si="5449"/>
        <v>202406</v>
      </c>
      <c r="B7732" s="1" t="str">
        <f t="shared" si="5450"/>
        <v>150525100</v>
      </c>
      <c r="C7732" s="1" t="str">
        <f>"1014573032"</f>
        <v>1014573032</v>
      </c>
      <c r="D7732" s="1" t="str">
        <f>"152326196401010018"</f>
        <v>152326196401010018</v>
      </c>
      <c r="E7732" s="1" t="s">
        <v>7418</v>
      </c>
      <c r="F7732" s="1" t="s">
        <v>25</v>
      </c>
      <c r="G7732" s="1" t="s">
        <v>17</v>
      </c>
      <c r="H7732" s="1" t="str">
        <f t="shared" si="5503"/>
        <v>61</v>
      </c>
      <c r="I7732" s="1" t="str">
        <f>"321.18"</f>
        <v>321.18</v>
      </c>
      <c r="J7732" s="1" t="str">
        <f t="shared" ref="J7732:N7732" si="5507">"0"</f>
        <v>0</v>
      </c>
      <c r="K7732" s="1" t="str">
        <f t="shared" si="5477"/>
        <v>103</v>
      </c>
      <c r="L7732" s="1" t="str">
        <f t="shared" si="5478"/>
        <v>47</v>
      </c>
      <c r="M7732" s="1" t="str">
        <f t="shared" si="5507"/>
        <v>0</v>
      </c>
      <c r="N7732" s="1" t="str">
        <f t="shared" si="5507"/>
        <v>0</v>
      </c>
      <c r="O7732" s="1" t="str">
        <f>"171.18"</f>
        <v>171.18</v>
      </c>
    </row>
    <row r="7733" s="1" customFormat="1" spans="1:15">
      <c r="A7733" s="1" t="str">
        <f t="shared" si="5449"/>
        <v>202406</v>
      </c>
      <c r="B7733" s="1" t="str">
        <f t="shared" si="5450"/>
        <v>150525100</v>
      </c>
      <c r="C7733" s="1" t="str">
        <f>"1014573179"</f>
        <v>1014573179</v>
      </c>
      <c r="D7733" s="1" t="str">
        <f>"152326195406050022"</f>
        <v>152326195406050022</v>
      </c>
      <c r="E7733" s="1" t="s">
        <v>1751</v>
      </c>
      <c r="F7733" s="1" t="s">
        <v>16</v>
      </c>
      <c r="G7733" s="1" t="s">
        <v>17</v>
      </c>
      <c r="H7733" s="1" t="str">
        <f>"70"</f>
        <v>70</v>
      </c>
      <c r="I7733" s="1" t="str">
        <f>"167.51"</f>
        <v>167.51</v>
      </c>
      <c r="J7733" s="1" t="str">
        <f t="shared" ref="J7733:N7733" si="5508">"0"</f>
        <v>0</v>
      </c>
      <c r="K7733" s="1" t="str">
        <f t="shared" si="5477"/>
        <v>103</v>
      </c>
      <c r="L7733" s="1" t="str">
        <f t="shared" si="5478"/>
        <v>47</v>
      </c>
      <c r="M7733" s="1" t="str">
        <f t="shared" si="5508"/>
        <v>0</v>
      </c>
      <c r="N7733" s="1" t="str">
        <f t="shared" si="5508"/>
        <v>0</v>
      </c>
      <c r="O7733" s="1" t="str">
        <f>"17.51"</f>
        <v>17.51</v>
      </c>
    </row>
    <row r="7734" s="1" customFormat="1" spans="1:15">
      <c r="A7734" s="1" t="str">
        <f t="shared" si="5449"/>
        <v>202406</v>
      </c>
      <c r="B7734" s="1" t="str">
        <f t="shared" si="5450"/>
        <v>150525100</v>
      </c>
      <c r="C7734" s="1" t="str">
        <f>"1014573322"</f>
        <v>1014573322</v>
      </c>
      <c r="D7734" s="1" t="str">
        <f>"152326195901010087"</f>
        <v>152326195901010087</v>
      </c>
      <c r="E7734" s="1" t="s">
        <v>7419</v>
      </c>
      <c r="F7734" s="1" t="s">
        <v>16</v>
      </c>
      <c r="G7734" s="1" t="s">
        <v>17</v>
      </c>
      <c r="H7734" s="1" t="str">
        <f>"66"</f>
        <v>66</v>
      </c>
      <c r="I7734" s="1" t="str">
        <f>"158.09"</f>
        <v>158.09</v>
      </c>
      <c r="J7734" s="1" t="str">
        <f t="shared" ref="J7734:N7734" si="5509">"0"</f>
        <v>0</v>
      </c>
      <c r="K7734" s="1" t="str">
        <f t="shared" si="5477"/>
        <v>103</v>
      </c>
      <c r="L7734" s="1" t="str">
        <f t="shared" si="5478"/>
        <v>47</v>
      </c>
      <c r="M7734" s="1" t="str">
        <f t="shared" si="5509"/>
        <v>0</v>
      </c>
      <c r="N7734" s="1" t="str">
        <f t="shared" si="5509"/>
        <v>0</v>
      </c>
      <c r="O7734" s="1" t="str">
        <f>"8.09"</f>
        <v>8.09</v>
      </c>
    </row>
    <row r="7735" s="1" customFormat="1" spans="1:15">
      <c r="A7735" s="1" t="str">
        <f t="shared" si="5449"/>
        <v>202406</v>
      </c>
      <c r="B7735" s="1" t="str">
        <f t="shared" si="5450"/>
        <v>150525100</v>
      </c>
      <c r="C7735" s="1" t="str">
        <f>"1014573329"</f>
        <v>1014573329</v>
      </c>
      <c r="D7735" s="1" t="str">
        <f>"152326195903240046"</f>
        <v>152326195903240046</v>
      </c>
      <c r="E7735" s="1" t="s">
        <v>7420</v>
      </c>
      <c r="F7735" s="1" t="s">
        <v>16</v>
      </c>
      <c r="G7735" s="1" t="s">
        <v>17</v>
      </c>
      <c r="H7735" s="1" t="str">
        <f>"65"</f>
        <v>65</v>
      </c>
      <c r="I7735" s="1" t="str">
        <f>"158.11"</f>
        <v>158.11</v>
      </c>
      <c r="J7735" s="1" t="str">
        <f t="shared" ref="J7735:N7735" si="5510">"0"</f>
        <v>0</v>
      </c>
      <c r="K7735" s="1" t="str">
        <f t="shared" si="5477"/>
        <v>103</v>
      </c>
      <c r="L7735" s="1" t="str">
        <f t="shared" si="5478"/>
        <v>47</v>
      </c>
      <c r="M7735" s="1" t="str">
        <f t="shared" si="5510"/>
        <v>0</v>
      </c>
      <c r="N7735" s="1" t="str">
        <f t="shared" si="5510"/>
        <v>0</v>
      </c>
      <c r="O7735" s="1" t="str">
        <f>"8.11"</f>
        <v>8.11</v>
      </c>
    </row>
    <row r="7736" s="1" customFormat="1" spans="1:15">
      <c r="A7736" s="1" t="str">
        <f t="shared" si="5449"/>
        <v>202406</v>
      </c>
      <c r="B7736" s="1" t="str">
        <f t="shared" si="5450"/>
        <v>150525100</v>
      </c>
      <c r="C7736" s="1" t="str">
        <f>"1014573482"</f>
        <v>1014573482</v>
      </c>
      <c r="D7736" s="1" t="str">
        <f>"152326196208183080"</f>
        <v>152326196208183080</v>
      </c>
      <c r="E7736" s="1" t="s">
        <v>7421</v>
      </c>
      <c r="F7736" s="1" t="s">
        <v>16</v>
      </c>
      <c r="G7736" s="1" t="s">
        <v>17</v>
      </c>
      <c r="H7736" s="1" t="str">
        <f t="shared" ref="H7736:H7739" si="5511">"62"</f>
        <v>62</v>
      </c>
      <c r="I7736" s="1" t="str">
        <f>"166.71"</f>
        <v>166.71</v>
      </c>
      <c r="J7736" s="1" t="str">
        <f t="shared" ref="J7736:N7736" si="5512">"0"</f>
        <v>0</v>
      </c>
      <c r="K7736" s="1" t="str">
        <f t="shared" si="5477"/>
        <v>103</v>
      </c>
      <c r="L7736" s="1" t="str">
        <f t="shared" si="5478"/>
        <v>47</v>
      </c>
      <c r="M7736" s="1" t="str">
        <f t="shared" si="5512"/>
        <v>0</v>
      </c>
      <c r="N7736" s="1" t="str">
        <f t="shared" si="5512"/>
        <v>0</v>
      </c>
      <c r="O7736" s="1" t="str">
        <f>"16.71"</f>
        <v>16.71</v>
      </c>
    </row>
    <row r="7737" s="1" customFormat="1" spans="1:15">
      <c r="A7737" s="1" t="str">
        <f t="shared" si="5449"/>
        <v>202406</v>
      </c>
      <c r="B7737" s="1" t="str">
        <f t="shared" si="5450"/>
        <v>150525100</v>
      </c>
      <c r="C7737" s="1" t="str">
        <f>"1014573485"</f>
        <v>1014573485</v>
      </c>
      <c r="D7737" s="1" t="str">
        <f>"152326196209233078"</f>
        <v>152326196209233078</v>
      </c>
      <c r="E7737" s="1" t="s">
        <v>7422</v>
      </c>
      <c r="F7737" s="1" t="s">
        <v>25</v>
      </c>
      <c r="G7737" s="1" t="s">
        <v>17</v>
      </c>
      <c r="H7737" s="1" t="str">
        <f t="shared" si="5511"/>
        <v>62</v>
      </c>
      <c r="I7737" s="1" t="str">
        <f>"162.54"</f>
        <v>162.54</v>
      </c>
      <c r="J7737" s="1" t="str">
        <f t="shared" ref="J7737:N7737" si="5513">"0"</f>
        <v>0</v>
      </c>
      <c r="K7737" s="1" t="str">
        <f t="shared" si="5477"/>
        <v>103</v>
      </c>
      <c r="L7737" s="1" t="str">
        <f t="shared" si="5478"/>
        <v>47</v>
      </c>
      <c r="M7737" s="1" t="str">
        <f t="shared" si="5513"/>
        <v>0</v>
      </c>
      <c r="N7737" s="1" t="str">
        <f t="shared" si="5513"/>
        <v>0</v>
      </c>
      <c r="O7737" s="1" t="str">
        <f>"12.54"</f>
        <v>12.54</v>
      </c>
    </row>
    <row r="7738" s="1" customFormat="1" spans="1:15">
      <c r="A7738" s="1" t="str">
        <f t="shared" si="5449"/>
        <v>202406</v>
      </c>
      <c r="B7738" s="1" t="str">
        <f t="shared" si="5450"/>
        <v>150525100</v>
      </c>
      <c r="C7738" s="1" t="str">
        <f>"1014573494"</f>
        <v>1014573494</v>
      </c>
      <c r="D7738" s="1" t="str">
        <f>"152326196211200419"</f>
        <v>152326196211200419</v>
      </c>
      <c r="E7738" s="1" t="s">
        <v>7423</v>
      </c>
      <c r="F7738" s="1" t="s">
        <v>25</v>
      </c>
      <c r="G7738" s="1" t="s">
        <v>17</v>
      </c>
      <c r="H7738" s="1" t="str">
        <f t="shared" si="5511"/>
        <v>62</v>
      </c>
      <c r="I7738" s="1" t="str">
        <f>"163.2"</f>
        <v>163.2</v>
      </c>
      <c r="J7738" s="1" t="str">
        <f t="shared" ref="J7738:N7738" si="5514">"0"</f>
        <v>0</v>
      </c>
      <c r="K7738" s="1" t="str">
        <f t="shared" si="5477"/>
        <v>103</v>
      </c>
      <c r="L7738" s="1" t="str">
        <f t="shared" si="5478"/>
        <v>47</v>
      </c>
      <c r="M7738" s="1" t="str">
        <f t="shared" si="5514"/>
        <v>0</v>
      </c>
      <c r="N7738" s="1" t="str">
        <f t="shared" si="5514"/>
        <v>0</v>
      </c>
      <c r="O7738" s="1" t="str">
        <f>"13.2"</f>
        <v>13.2</v>
      </c>
    </row>
    <row r="7739" s="1" customFormat="1" spans="1:15">
      <c r="A7739" s="1" t="str">
        <f t="shared" si="5449"/>
        <v>202406</v>
      </c>
      <c r="B7739" s="1" t="str">
        <f t="shared" si="5450"/>
        <v>150525100</v>
      </c>
      <c r="C7739" s="1" t="str">
        <f>"1014575856"</f>
        <v>1014575856</v>
      </c>
      <c r="D7739" s="1" t="str">
        <f>"152326196209090695"</f>
        <v>152326196209090695</v>
      </c>
      <c r="E7739" s="1" t="s">
        <v>7424</v>
      </c>
      <c r="F7739" s="1" t="s">
        <v>25</v>
      </c>
      <c r="G7739" s="1" t="s">
        <v>17</v>
      </c>
      <c r="H7739" s="1" t="str">
        <f t="shared" si="5511"/>
        <v>62</v>
      </c>
      <c r="I7739" s="1" t="str">
        <f>"163.13"</f>
        <v>163.13</v>
      </c>
      <c r="J7739" s="1" t="str">
        <f t="shared" ref="J7739:N7739" si="5515">"0"</f>
        <v>0</v>
      </c>
      <c r="K7739" s="1" t="str">
        <f t="shared" si="5477"/>
        <v>103</v>
      </c>
      <c r="L7739" s="1" t="str">
        <f t="shared" si="5478"/>
        <v>47</v>
      </c>
      <c r="M7739" s="1" t="str">
        <f t="shared" si="5515"/>
        <v>0</v>
      </c>
      <c r="N7739" s="1" t="str">
        <f t="shared" si="5515"/>
        <v>0</v>
      </c>
      <c r="O7739" s="1" t="str">
        <f>"13.13"</f>
        <v>13.13</v>
      </c>
    </row>
    <row r="7740" s="1" customFormat="1" spans="1:15">
      <c r="A7740" s="1" t="str">
        <f t="shared" si="5449"/>
        <v>202406</v>
      </c>
      <c r="B7740" s="1" t="str">
        <f t="shared" si="5450"/>
        <v>150525100</v>
      </c>
      <c r="C7740" s="1" t="str">
        <f>"1014575861"</f>
        <v>1014575861</v>
      </c>
      <c r="D7740" s="1" t="s">
        <v>7425</v>
      </c>
      <c r="E7740" s="1" t="s">
        <v>7426</v>
      </c>
      <c r="F7740" s="1" t="s">
        <v>25</v>
      </c>
      <c r="G7740" s="1" t="s">
        <v>17</v>
      </c>
      <c r="H7740" s="1" t="str">
        <f>"61"</f>
        <v>61</v>
      </c>
      <c r="I7740" s="1" t="str">
        <f>"165.77"</f>
        <v>165.77</v>
      </c>
      <c r="J7740" s="1" t="str">
        <f t="shared" ref="J7740:N7740" si="5516">"0"</f>
        <v>0</v>
      </c>
      <c r="K7740" s="1" t="str">
        <f t="shared" si="5477"/>
        <v>103</v>
      </c>
      <c r="L7740" s="1" t="str">
        <f t="shared" si="5478"/>
        <v>47</v>
      </c>
      <c r="M7740" s="1" t="str">
        <f t="shared" si="5516"/>
        <v>0</v>
      </c>
      <c r="N7740" s="1" t="str">
        <f t="shared" si="5516"/>
        <v>0</v>
      </c>
      <c r="O7740" s="1" t="str">
        <f>"15.77"</f>
        <v>15.77</v>
      </c>
    </row>
    <row r="7741" s="1" customFormat="1" spans="1:15">
      <c r="A7741" s="1" t="str">
        <f t="shared" si="5449"/>
        <v>202406</v>
      </c>
      <c r="B7741" s="1" t="str">
        <f t="shared" si="5450"/>
        <v>150525100</v>
      </c>
      <c r="C7741" s="1" t="str">
        <f>"1014548416"</f>
        <v>1014548416</v>
      </c>
      <c r="D7741" s="1" t="str">
        <f>"152326195503090683"</f>
        <v>152326195503090683</v>
      </c>
      <c r="E7741" s="1" t="s">
        <v>1561</v>
      </c>
      <c r="F7741" s="1" t="s">
        <v>16</v>
      </c>
      <c r="G7741" s="1" t="s">
        <v>17</v>
      </c>
      <c r="H7741" s="1" t="str">
        <f>"69"</f>
        <v>69</v>
      </c>
      <c r="I7741" s="1" t="str">
        <f>"155.1"</f>
        <v>155.1</v>
      </c>
      <c r="J7741" s="1" t="str">
        <f t="shared" ref="J7741:N7741" si="5517">"0"</f>
        <v>0</v>
      </c>
      <c r="K7741" s="1" t="str">
        <f t="shared" si="5477"/>
        <v>103</v>
      </c>
      <c r="L7741" s="1" t="str">
        <f t="shared" si="5478"/>
        <v>47</v>
      </c>
      <c r="M7741" s="1" t="str">
        <f t="shared" si="5517"/>
        <v>0</v>
      </c>
      <c r="N7741" s="1" t="str">
        <f t="shared" si="5517"/>
        <v>0</v>
      </c>
      <c r="O7741" s="1" t="str">
        <f>"5.1"</f>
        <v>5.1</v>
      </c>
    </row>
    <row r="7742" s="1" customFormat="1" spans="1:15">
      <c r="A7742" s="1" t="str">
        <f t="shared" si="5449"/>
        <v>202406</v>
      </c>
      <c r="B7742" s="1" t="str">
        <f t="shared" si="5450"/>
        <v>150525100</v>
      </c>
      <c r="C7742" s="1" t="str">
        <f>"1014548426"</f>
        <v>1014548426</v>
      </c>
      <c r="D7742" s="1" t="str">
        <f>"152326195511190676"</f>
        <v>152326195511190676</v>
      </c>
      <c r="E7742" s="1" t="s">
        <v>7427</v>
      </c>
      <c r="F7742" s="1" t="s">
        <v>25</v>
      </c>
      <c r="G7742" s="1" t="s">
        <v>17</v>
      </c>
      <c r="H7742" s="1" t="str">
        <f>"69"</f>
        <v>69</v>
      </c>
      <c r="I7742" s="1" t="str">
        <f>"154.84"</f>
        <v>154.84</v>
      </c>
      <c r="J7742" s="1" t="str">
        <f t="shared" ref="J7742:N7742" si="5518">"0"</f>
        <v>0</v>
      </c>
      <c r="K7742" s="1" t="str">
        <f t="shared" si="5477"/>
        <v>103</v>
      </c>
      <c r="L7742" s="1" t="str">
        <f t="shared" si="5478"/>
        <v>47</v>
      </c>
      <c r="M7742" s="1" t="str">
        <f t="shared" si="5518"/>
        <v>0</v>
      </c>
      <c r="N7742" s="1" t="str">
        <f t="shared" si="5518"/>
        <v>0</v>
      </c>
      <c r="O7742" s="1" t="str">
        <f>"4.84"</f>
        <v>4.84</v>
      </c>
    </row>
    <row r="7743" s="1" customFormat="1" spans="1:15">
      <c r="A7743" s="1" t="str">
        <f t="shared" si="5449"/>
        <v>202406</v>
      </c>
      <c r="B7743" s="1" t="str">
        <f t="shared" si="5450"/>
        <v>150525100</v>
      </c>
      <c r="C7743" s="1" t="str">
        <f>"1014548431"</f>
        <v>1014548431</v>
      </c>
      <c r="D7743" s="1" t="str">
        <f>"152326195603100674"</f>
        <v>152326195603100674</v>
      </c>
      <c r="E7743" s="1" t="s">
        <v>7428</v>
      </c>
      <c r="F7743" s="1" t="s">
        <v>25</v>
      </c>
      <c r="G7743" s="1" t="s">
        <v>17</v>
      </c>
      <c r="H7743" s="1" t="str">
        <f>"68"</f>
        <v>68</v>
      </c>
      <c r="I7743" s="1" t="str">
        <f>"156.02"</f>
        <v>156.02</v>
      </c>
      <c r="J7743" s="1" t="str">
        <f t="shared" ref="J7743:N7743" si="5519">"0"</f>
        <v>0</v>
      </c>
      <c r="K7743" s="1" t="str">
        <f t="shared" si="5477"/>
        <v>103</v>
      </c>
      <c r="L7743" s="1" t="str">
        <f t="shared" si="5478"/>
        <v>47</v>
      </c>
      <c r="M7743" s="1" t="str">
        <f t="shared" si="5519"/>
        <v>0</v>
      </c>
      <c r="N7743" s="1" t="str">
        <f t="shared" si="5519"/>
        <v>0</v>
      </c>
      <c r="O7743" s="1" t="str">
        <f>"6.02"</f>
        <v>6.02</v>
      </c>
    </row>
    <row r="7744" s="1" customFormat="1" spans="1:15">
      <c r="A7744" s="1" t="str">
        <f t="shared" si="5449"/>
        <v>202406</v>
      </c>
      <c r="B7744" s="1" t="str">
        <f t="shared" si="5450"/>
        <v>150525100</v>
      </c>
      <c r="C7744" s="1" t="str">
        <f>"1014548435"</f>
        <v>1014548435</v>
      </c>
      <c r="D7744" s="1" t="str">
        <f>"152326195701200679"</f>
        <v>152326195701200679</v>
      </c>
      <c r="E7744" s="1" t="s">
        <v>7429</v>
      </c>
      <c r="F7744" s="1" t="s">
        <v>25</v>
      </c>
      <c r="G7744" s="1" t="s">
        <v>17</v>
      </c>
      <c r="H7744" s="1" t="str">
        <f>"67"</f>
        <v>67</v>
      </c>
      <c r="I7744" s="1" t="str">
        <f>"162.91"</f>
        <v>162.91</v>
      </c>
      <c r="J7744" s="1" t="str">
        <f t="shared" ref="J7744:N7744" si="5520">"0"</f>
        <v>0</v>
      </c>
      <c r="K7744" s="1" t="str">
        <f t="shared" si="5477"/>
        <v>103</v>
      </c>
      <c r="L7744" s="1" t="str">
        <f t="shared" si="5478"/>
        <v>47</v>
      </c>
      <c r="M7744" s="1" t="str">
        <f t="shared" si="5520"/>
        <v>0</v>
      </c>
      <c r="N7744" s="1" t="str">
        <f t="shared" si="5520"/>
        <v>0</v>
      </c>
      <c r="O7744" s="1" t="str">
        <f>"12.91"</f>
        <v>12.91</v>
      </c>
    </row>
    <row r="7745" s="1" customFormat="1" spans="1:15">
      <c r="A7745" s="1" t="str">
        <f t="shared" si="5449"/>
        <v>202406</v>
      </c>
      <c r="B7745" s="1" t="str">
        <f t="shared" si="5450"/>
        <v>150525100</v>
      </c>
      <c r="C7745" s="1" t="str">
        <f>"1014572928"</f>
        <v>1014572928</v>
      </c>
      <c r="D7745" s="1" t="str">
        <f>"152326195604157621"</f>
        <v>152326195604157621</v>
      </c>
      <c r="E7745" s="1" t="s">
        <v>7430</v>
      </c>
      <c r="F7745" s="1" t="s">
        <v>16</v>
      </c>
      <c r="G7745" s="1" t="s">
        <v>17</v>
      </c>
      <c r="H7745" s="1" t="str">
        <f>"68"</f>
        <v>68</v>
      </c>
      <c r="I7745" s="1" t="str">
        <f>"156"</f>
        <v>156</v>
      </c>
      <c r="J7745" s="1" t="str">
        <f t="shared" ref="J7745:N7745" si="5521">"0"</f>
        <v>0</v>
      </c>
      <c r="K7745" s="1" t="str">
        <f t="shared" si="5477"/>
        <v>103</v>
      </c>
      <c r="L7745" s="1" t="str">
        <f t="shared" si="5478"/>
        <v>47</v>
      </c>
      <c r="M7745" s="1" t="str">
        <f t="shared" si="5521"/>
        <v>0</v>
      </c>
      <c r="N7745" s="1" t="str">
        <f t="shared" si="5521"/>
        <v>0</v>
      </c>
      <c r="O7745" s="1" t="str">
        <f>"6"</f>
        <v>6</v>
      </c>
    </row>
    <row r="7746" s="1" customFormat="1" spans="1:15">
      <c r="A7746" s="1" t="str">
        <f t="shared" ref="A7746:A7809" si="5522">"202406"</f>
        <v>202406</v>
      </c>
      <c r="B7746" s="1" t="str">
        <f t="shared" ref="B7746:B7809" si="5523">"150525100"</f>
        <v>150525100</v>
      </c>
      <c r="C7746" s="1" t="str">
        <f>"1014573044"</f>
        <v>1014573044</v>
      </c>
      <c r="D7746" s="1" t="str">
        <f>"152326196403150014"</f>
        <v>152326196403150014</v>
      </c>
      <c r="E7746" s="1" t="s">
        <v>7431</v>
      </c>
      <c r="F7746" s="1" t="s">
        <v>25</v>
      </c>
      <c r="G7746" s="1" t="s">
        <v>17</v>
      </c>
      <c r="H7746" s="1" t="str">
        <f>"60"</f>
        <v>60</v>
      </c>
      <c r="I7746" s="1" t="str">
        <f>"168.16"</f>
        <v>168.16</v>
      </c>
      <c r="J7746" s="1" t="str">
        <f t="shared" ref="J7746:N7746" si="5524">"0"</f>
        <v>0</v>
      </c>
      <c r="K7746" s="1" t="str">
        <f t="shared" si="5477"/>
        <v>103</v>
      </c>
      <c r="L7746" s="1" t="str">
        <f t="shared" si="5478"/>
        <v>47</v>
      </c>
      <c r="M7746" s="1" t="str">
        <f t="shared" si="5524"/>
        <v>0</v>
      </c>
      <c r="N7746" s="1" t="str">
        <f t="shared" si="5524"/>
        <v>0</v>
      </c>
      <c r="O7746" s="1" t="str">
        <f>"18.16"</f>
        <v>18.16</v>
      </c>
    </row>
    <row r="7747" s="1" customFormat="1" spans="1:15">
      <c r="A7747" s="1" t="str">
        <f t="shared" si="5522"/>
        <v>202406</v>
      </c>
      <c r="B7747" s="1" t="str">
        <f t="shared" si="5523"/>
        <v>150525100</v>
      </c>
      <c r="C7747" s="1" t="str">
        <f>"1014573496"</f>
        <v>1014573496</v>
      </c>
      <c r="D7747" s="1" t="str">
        <f>"152326196211283082"</f>
        <v>152326196211283082</v>
      </c>
      <c r="E7747" s="1" t="s">
        <v>7432</v>
      </c>
      <c r="F7747" s="1" t="s">
        <v>16</v>
      </c>
      <c r="G7747" s="1" t="s">
        <v>17</v>
      </c>
      <c r="H7747" s="1" t="str">
        <f>"62"</f>
        <v>62</v>
      </c>
      <c r="I7747" s="1" t="str">
        <f>"163.18"</f>
        <v>163.18</v>
      </c>
      <c r="J7747" s="1" t="str">
        <f t="shared" ref="J7747:N7747" si="5525">"0"</f>
        <v>0</v>
      </c>
      <c r="K7747" s="1" t="str">
        <f t="shared" si="5477"/>
        <v>103</v>
      </c>
      <c r="L7747" s="1" t="str">
        <f t="shared" si="5478"/>
        <v>47</v>
      </c>
      <c r="M7747" s="1" t="str">
        <f t="shared" si="5525"/>
        <v>0</v>
      </c>
      <c r="N7747" s="1" t="str">
        <f t="shared" si="5525"/>
        <v>0</v>
      </c>
      <c r="O7747" s="1" t="str">
        <f>"13.18"</f>
        <v>13.18</v>
      </c>
    </row>
    <row r="7748" s="1" customFormat="1" spans="1:15">
      <c r="A7748" s="1" t="str">
        <f t="shared" si="5522"/>
        <v>202406</v>
      </c>
      <c r="B7748" s="1" t="str">
        <f t="shared" si="5523"/>
        <v>150525100</v>
      </c>
      <c r="C7748" s="1" t="str">
        <f>"1014573505"</f>
        <v>1014573505</v>
      </c>
      <c r="D7748" s="1" t="str">
        <f>"152326196302013088"</f>
        <v>152326196302013088</v>
      </c>
      <c r="E7748" s="1" t="s">
        <v>7433</v>
      </c>
      <c r="F7748" s="1" t="s">
        <v>16</v>
      </c>
      <c r="G7748" s="1" t="s">
        <v>17</v>
      </c>
      <c r="H7748" s="1" t="str">
        <f>"61"</f>
        <v>61</v>
      </c>
      <c r="I7748" s="1" t="str">
        <f>"168.52"</f>
        <v>168.52</v>
      </c>
      <c r="J7748" s="1" t="str">
        <f t="shared" ref="J7748:N7748" si="5526">"0"</f>
        <v>0</v>
      </c>
      <c r="K7748" s="1" t="str">
        <f t="shared" si="5477"/>
        <v>103</v>
      </c>
      <c r="L7748" s="1" t="str">
        <f t="shared" si="5478"/>
        <v>47</v>
      </c>
      <c r="M7748" s="1" t="str">
        <f t="shared" si="5526"/>
        <v>0</v>
      </c>
      <c r="N7748" s="1" t="str">
        <f t="shared" si="5526"/>
        <v>0</v>
      </c>
      <c r="O7748" s="1" t="str">
        <f>"18.52"</f>
        <v>18.52</v>
      </c>
    </row>
    <row r="7749" s="1" customFormat="1" spans="1:15">
      <c r="A7749" s="1" t="str">
        <f t="shared" si="5522"/>
        <v>202406</v>
      </c>
      <c r="B7749" s="1" t="str">
        <f t="shared" si="5523"/>
        <v>150525100</v>
      </c>
      <c r="C7749" s="1" t="str">
        <f>"1014575644"</f>
        <v>1014575644</v>
      </c>
      <c r="D7749" s="1" t="str">
        <f>"152326195709243083"</f>
        <v>152326195709243083</v>
      </c>
      <c r="E7749" s="1" t="s">
        <v>1407</v>
      </c>
      <c r="F7749" s="1" t="s">
        <v>16</v>
      </c>
      <c r="G7749" s="1" t="s">
        <v>17</v>
      </c>
      <c r="H7749" s="1" t="str">
        <f t="shared" ref="H7749:H7751" si="5527">"67"</f>
        <v>67</v>
      </c>
      <c r="I7749" s="1" t="str">
        <f>"156.08"</f>
        <v>156.08</v>
      </c>
      <c r="J7749" s="1" t="str">
        <f t="shared" ref="J7749:N7749" si="5528">"0"</f>
        <v>0</v>
      </c>
      <c r="K7749" s="1" t="str">
        <f t="shared" si="5477"/>
        <v>103</v>
      </c>
      <c r="L7749" s="1" t="str">
        <f t="shared" si="5478"/>
        <v>47</v>
      </c>
      <c r="M7749" s="1" t="str">
        <f t="shared" si="5528"/>
        <v>0</v>
      </c>
      <c r="N7749" s="1" t="str">
        <f t="shared" si="5528"/>
        <v>0</v>
      </c>
      <c r="O7749" s="1" t="str">
        <f>"6.08"</f>
        <v>6.08</v>
      </c>
    </row>
    <row r="7750" s="1" customFormat="1" spans="1:15">
      <c r="A7750" s="1" t="str">
        <f t="shared" si="5522"/>
        <v>202406</v>
      </c>
      <c r="B7750" s="1" t="str">
        <f t="shared" si="5523"/>
        <v>150525100</v>
      </c>
      <c r="C7750" s="1" t="str">
        <f>"1014548441"</f>
        <v>1014548441</v>
      </c>
      <c r="D7750" s="1" t="str">
        <f>"152326195708200671"</f>
        <v>152326195708200671</v>
      </c>
      <c r="E7750" s="1" t="s">
        <v>7434</v>
      </c>
      <c r="F7750" s="1" t="s">
        <v>25</v>
      </c>
      <c r="G7750" s="1" t="s">
        <v>17</v>
      </c>
      <c r="H7750" s="1" t="str">
        <f t="shared" si="5527"/>
        <v>67</v>
      </c>
      <c r="I7750" s="1" t="str">
        <f>"156.08"</f>
        <v>156.08</v>
      </c>
      <c r="J7750" s="1" t="str">
        <f t="shared" ref="J7750:N7750" si="5529">"0"</f>
        <v>0</v>
      </c>
      <c r="K7750" s="1" t="str">
        <f t="shared" si="5477"/>
        <v>103</v>
      </c>
      <c r="L7750" s="1" t="str">
        <f t="shared" si="5478"/>
        <v>47</v>
      </c>
      <c r="M7750" s="1" t="str">
        <f t="shared" si="5529"/>
        <v>0</v>
      </c>
      <c r="N7750" s="1" t="str">
        <f t="shared" si="5529"/>
        <v>0</v>
      </c>
      <c r="O7750" s="1" t="str">
        <f>"6.08"</f>
        <v>6.08</v>
      </c>
    </row>
    <row r="7751" s="1" customFormat="1" spans="1:15">
      <c r="A7751" s="1" t="str">
        <f t="shared" si="5522"/>
        <v>202406</v>
      </c>
      <c r="B7751" s="1" t="str">
        <f t="shared" si="5523"/>
        <v>150525100</v>
      </c>
      <c r="C7751" s="1" t="str">
        <f>"1014548442"</f>
        <v>1014548442</v>
      </c>
      <c r="D7751" s="1" t="str">
        <f>"152326195710100661"</f>
        <v>152326195710100661</v>
      </c>
      <c r="E7751" s="1" t="s">
        <v>4441</v>
      </c>
      <c r="F7751" s="1" t="s">
        <v>16</v>
      </c>
      <c r="G7751" s="1" t="s">
        <v>17</v>
      </c>
      <c r="H7751" s="1" t="str">
        <f t="shared" si="5527"/>
        <v>67</v>
      </c>
      <c r="I7751" s="1" t="str">
        <f>"156.09"</f>
        <v>156.09</v>
      </c>
      <c r="J7751" s="1" t="str">
        <f t="shared" ref="J7751:N7751" si="5530">"0"</f>
        <v>0</v>
      </c>
      <c r="K7751" s="1" t="str">
        <f t="shared" si="5477"/>
        <v>103</v>
      </c>
      <c r="L7751" s="1" t="str">
        <f t="shared" si="5478"/>
        <v>47</v>
      </c>
      <c r="M7751" s="1" t="str">
        <f t="shared" si="5530"/>
        <v>0</v>
      </c>
      <c r="N7751" s="1" t="str">
        <f t="shared" si="5530"/>
        <v>0</v>
      </c>
      <c r="O7751" s="1" t="str">
        <f>"6.09"</f>
        <v>6.09</v>
      </c>
    </row>
    <row r="7752" s="1" customFormat="1" spans="1:15">
      <c r="A7752" s="1" t="str">
        <f t="shared" si="5522"/>
        <v>202406</v>
      </c>
      <c r="B7752" s="1" t="str">
        <f t="shared" si="5523"/>
        <v>150525100</v>
      </c>
      <c r="C7752" s="1" t="str">
        <f>"1014548464"</f>
        <v>1014548464</v>
      </c>
      <c r="D7752" s="1" t="str">
        <f>"152326195301263080"</f>
        <v>152326195301263080</v>
      </c>
      <c r="E7752" s="1" t="s">
        <v>7435</v>
      </c>
      <c r="F7752" s="1" t="s">
        <v>16</v>
      </c>
      <c r="G7752" s="1" t="s">
        <v>17</v>
      </c>
      <c r="H7752" s="1" t="str">
        <f>"71"</f>
        <v>71</v>
      </c>
      <c r="I7752" s="1" t="str">
        <f>"172.26"</f>
        <v>172.26</v>
      </c>
      <c r="J7752" s="1" t="str">
        <f t="shared" ref="J7752:N7752" si="5531">"0"</f>
        <v>0</v>
      </c>
      <c r="K7752" s="1" t="str">
        <f t="shared" si="5477"/>
        <v>103</v>
      </c>
      <c r="L7752" s="1" t="str">
        <f t="shared" si="5478"/>
        <v>47</v>
      </c>
      <c r="M7752" s="1" t="str">
        <f t="shared" si="5531"/>
        <v>0</v>
      </c>
      <c r="N7752" s="1" t="str">
        <f t="shared" si="5531"/>
        <v>0</v>
      </c>
      <c r="O7752" s="1" t="str">
        <f>"12.26"</f>
        <v>12.26</v>
      </c>
    </row>
    <row r="7753" s="1" customFormat="1" spans="1:15">
      <c r="A7753" s="1" t="str">
        <f t="shared" si="5522"/>
        <v>202406</v>
      </c>
      <c r="B7753" s="1" t="str">
        <f t="shared" si="5523"/>
        <v>150525100</v>
      </c>
      <c r="C7753" s="1" t="str">
        <f>"1014573082"</f>
        <v>1014573082</v>
      </c>
      <c r="D7753" s="1" t="str">
        <f>"152326196201030065"</f>
        <v>152326196201030065</v>
      </c>
      <c r="E7753" s="1" t="s">
        <v>539</v>
      </c>
      <c r="F7753" s="1" t="s">
        <v>16</v>
      </c>
      <c r="G7753" s="1" t="s">
        <v>17</v>
      </c>
      <c r="H7753" s="1" t="str">
        <f>"63"</f>
        <v>63</v>
      </c>
      <c r="I7753" s="1" t="str">
        <f>"167.74"</f>
        <v>167.74</v>
      </c>
      <c r="J7753" s="1" t="str">
        <f t="shared" ref="J7753:N7753" si="5532">"0"</f>
        <v>0</v>
      </c>
      <c r="K7753" s="1" t="str">
        <f t="shared" si="5477"/>
        <v>103</v>
      </c>
      <c r="L7753" s="1" t="str">
        <f t="shared" si="5478"/>
        <v>47</v>
      </c>
      <c r="M7753" s="1" t="str">
        <f t="shared" si="5532"/>
        <v>0</v>
      </c>
      <c r="N7753" s="1" t="str">
        <f t="shared" si="5532"/>
        <v>0</v>
      </c>
      <c r="O7753" s="1" t="str">
        <f>"17.74"</f>
        <v>17.74</v>
      </c>
    </row>
    <row r="7754" s="1" customFormat="1" spans="1:15">
      <c r="A7754" s="1" t="str">
        <f t="shared" si="5522"/>
        <v>202406</v>
      </c>
      <c r="B7754" s="1" t="str">
        <f t="shared" si="5523"/>
        <v>150525100</v>
      </c>
      <c r="C7754" s="1" t="str">
        <f>"1014573236"</f>
        <v>1014573236</v>
      </c>
      <c r="D7754" s="1" t="str">
        <f>"152326195706200029"</f>
        <v>152326195706200029</v>
      </c>
      <c r="E7754" s="1" t="s">
        <v>3270</v>
      </c>
      <c r="F7754" s="1" t="s">
        <v>16</v>
      </c>
      <c r="G7754" s="1" t="s">
        <v>17</v>
      </c>
      <c r="H7754" s="1" t="str">
        <f>"67"</f>
        <v>67</v>
      </c>
      <c r="I7754" s="1" t="str">
        <f>"156.06"</f>
        <v>156.06</v>
      </c>
      <c r="J7754" s="1" t="str">
        <f t="shared" ref="J7754:N7754" si="5533">"0"</f>
        <v>0</v>
      </c>
      <c r="K7754" s="1" t="str">
        <f t="shared" si="5477"/>
        <v>103</v>
      </c>
      <c r="L7754" s="1" t="str">
        <f t="shared" si="5478"/>
        <v>47</v>
      </c>
      <c r="M7754" s="1" t="str">
        <f t="shared" si="5533"/>
        <v>0</v>
      </c>
      <c r="N7754" s="1" t="str">
        <f t="shared" si="5533"/>
        <v>0</v>
      </c>
      <c r="O7754" s="1" t="str">
        <f>"6.06"</f>
        <v>6.06</v>
      </c>
    </row>
    <row r="7755" s="1" customFormat="1" spans="1:15">
      <c r="A7755" s="1" t="str">
        <f t="shared" si="5522"/>
        <v>202406</v>
      </c>
      <c r="B7755" s="1" t="str">
        <f t="shared" si="5523"/>
        <v>150525100</v>
      </c>
      <c r="C7755" s="1" t="str">
        <f>"1014573389"</f>
        <v>1014573389</v>
      </c>
      <c r="D7755" s="1" t="str">
        <f>"152326196001200429"</f>
        <v>152326196001200429</v>
      </c>
      <c r="E7755" s="1" t="s">
        <v>7436</v>
      </c>
      <c r="F7755" s="1" t="s">
        <v>16</v>
      </c>
      <c r="G7755" s="1" t="s">
        <v>17</v>
      </c>
      <c r="H7755" s="1" t="str">
        <f>"64"</f>
        <v>64</v>
      </c>
      <c r="I7755" s="1" t="str">
        <f>"159.95"</f>
        <v>159.95</v>
      </c>
      <c r="J7755" s="1" t="str">
        <f t="shared" ref="J7755:N7755" si="5534">"0"</f>
        <v>0</v>
      </c>
      <c r="K7755" s="1" t="str">
        <f t="shared" si="5477"/>
        <v>103</v>
      </c>
      <c r="L7755" s="1" t="str">
        <f t="shared" si="5478"/>
        <v>47</v>
      </c>
      <c r="M7755" s="1" t="str">
        <f t="shared" si="5534"/>
        <v>0</v>
      </c>
      <c r="N7755" s="1" t="str">
        <f t="shared" si="5534"/>
        <v>0</v>
      </c>
      <c r="O7755" s="1" t="str">
        <f>"9.95"</f>
        <v>9.95</v>
      </c>
    </row>
    <row r="7756" s="1" customFormat="1" spans="1:15">
      <c r="A7756" s="1" t="str">
        <f t="shared" si="5522"/>
        <v>202406</v>
      </c>
      <c r="B7756" s="1" t="str">
        <f t="shared" si="5523"/>
        <v>150525100</v>
      </c>
      <c r="C7756" s="1" t="str">
        <f>"1014573392"</f>
        <v>1014573392</v>
      </c>
      <c r="D7756" s="1" t="str">
        <f>"152326196002180415"</f>
        <v>152326196002180415</v>
      </c>
      <c r="E7756" s="1" t="s">
        <v>7437</v>
      </c>
      <c r="F7756" s="1" t="s">
        <v>25</v>
      </c>
      <c r="G7756" s="1" t="s">
        <v>17</v>
      </c>
      <c r="H7756" s="1" t="str">
        <f>"64"</f>
        <v>64</v>
      </c>
      <c r="I7756" s="1" t="str">
        <f>"159.18"</f>
        <v>159.18</v>
      </c>
      <c r="J7756" s="1" t="str">
        <f t="shared" ref="J7756:N7756" si="5535">"0"</f>
        <v>0</v>
      </c>
      <c r="K7756" s="1" t="str">
        <f t="shared" si="5477"/>
        <v>103</v>
      </c>
      <c r="L7756" s="1" t="str">
        <f t="shared" si="5478"/>
        <v>47</v>
      </c>
      <c r="M7756" s="1" t="str">
        <f t="shared" si="5535"/>
        <v>0</v>
      </c>
      <c r="N7756" s="1" t="str">
        <f t="shared" si="5535"/>
        <v>0</v>
      </c>
      <c r="O7756" s="1" t="str">
        <f>"9.18"</f>
        <v>9.18</v>
      </c>
    </row>
    <row r="7757" s="1" customFormat="1" spans="1:15">
      <c r="A7757" s="1" t="str">
        <f t="shared" si="5522"/>
        <v>202406</v>
      </c>
      <c r="B7757" s="1" t="str">
        <f t="shared" si="5523"/>
        <v>150525100</v>
      </c>
      <c r="C7757" s="1" t="str">
        <f>"1014575665"</f>
        <v>1014575665</v>
      </c>
      <c r="D7757" s="1" t="str">
        <f>"152326196106053082"</f>
        <v>152326196106053082</v>
      </c>
      <c r="E7757" s="1" t="s">
        <v>7438</v>
      </c>
      <c r="F7757" s="1" t="s">
        <v>16</v>
      </c>
      <c r="G7757" s="1" t="s">
        <v>17</v>
      </c>
      <c r="H7757" s="1" t="str">
        <f>"63"</f>
        <v>63</v>
      </c>
      <c r="I7757" s="1" t="str">
        <f>"161.06"</f>
        <v>161.06</v>
      </c>
      <c r="J7757" s="1" t="str">
        <f t="shared" ref="J7757:N7757" si="5536">"0"</f>
        <v>0</v>
      </c>
      <c r="K7757" s="1" t="str">
        <f t="shared" si="5477"/>
        <v>103</v>
      </c>
      <c r="L7757" s="1" t="str">
        <f t="shared" si="5478"/>
        <v>47</v>
      </c>
      <c r="M7757" s="1" t="str">
        <f t="shared" si="5536"/>
        <v>0</v>
      </c>
      <c r="N7757" s="1" t="str">
        <f t="shared" si="5536"/>
        <v>0</v>
      </c>
      <c r="O7757" s="1" t="str">
        <f>"11.06"</f>
        <v>11.06</v>
      </c>
    </row>
    <row r="7758" s="1" customFormat="1" spans="1:15">
      <c r="A7758" s="1" t="str">
        <f t="shared" si="5522"/>
        <v>202406</v>
      </c>
      <c r="B7758" s="1" t="str">
        <f t="shared" si="5523"/>
        <v>150525100</v>
      </c>
      <c r="C7758" s="1" t="str">
        <f>"1014575671"</f>
        <v>1014575671</v>
      </c>
      <c r="D7758" s="1" t="str">
        <f>"152326196208013081"</f>
        <v>152326196208013081</v>
      </c>
      <c r="E7758" s="1" t="s">
        <v>7439</v>
      </c>
      <c r="F7758" s="1" t="s">
        <v>16</v>
      </c>
      <c r="G7758" s="1" t="s">
        <v>17</v>
      </c>
      <c r="H7758" s="1" t="str">
        <f>"62"</f>
        <v>62</v>
      </c>
      <c r="I7758" s="1" t="str">
        <f>"175.68"</f>
        <v>175.68</v>
      </c>
      <c r="J7758" s="1" t="str">
        <f t="shared" ref="J7758:N7758" si="5537">"0"</f>
        <v>0</v>
      </c>
      <c r="K7758" s="1" t="str">
        <f t="shared" si="5477"/>
        <v>103</v>
      </c>
      <c r="L7758" s="1" t="str">
        <f t="shared" si="5478"/>
        <v>47</v>
      </c>
      <c r="M7758" s="1" t="str">
        <f t="shared" si="5537"/>
        <v>0</v>
      </c>
      <c r="N7758" s="1" t="str">
        <f t="shared" si="5537"/>
        <v>0</v>
      </c>
      <c r="O7758" s="1" t="str">
        <f>"25.68"</f>
        <v>25.68</v>
      </c>
    </row>
    <row r="7759" s="1" customFormat="1" spans="1:15">
      <c r="A7759" s="1" t="str">
        <f t="shared" si="5522"/>
        <v>202406</v>
      </c>
      <c r="B7759" s="1" t="str">
        <f t="shared" si="5523"/>
        <v>150525100</v>
      </c>
      <c r="C7759" s="1" t="str">
        <f>"1014575675"</f>
        <v>1014575675</v>
      </c>
      <c r="D7759" s="1" t="str">
        <f>"152326196211043089"</f>
        <v>152326196211043089</v>
      </c>
      <c r="E7759" s="1" t="s">
        <v>949</v>
      </c>
      <c r="F7759" s="1" t="s">
        <v>16</v>
      </c>
      <c r="G7759" s="1" t="s">
        <v>17</v>
      </c>
      <c r="H7759" s="1" t="str">
        <f>"62"</f>
        <v>62</v>
      </c>
      <c r="I7759" s="1" t="str">
        <f>"163.17"</f>
        <v>163.17</v>
      </c>
      <c r="J7759" s="1" t="str">
        <f t="shared" ref="J7759:N7759" si="5538">"0"</f>
        <v>0</v>
      </c>
      <c r="K7759" s="1" t="str">
        <f t="shared" si="5477"/>
        <v>103</v>
      </c>
      <c r="L7759" s="1" t="str">
        <f t="shared" si="5478"/>
        <v>47</v>
      </c>
      <c r="M7759" s="1" t="str">
        <f t="shared" si="5538"/>
        <v>0</v>
      </c>
      <c r="N7759" s="1" t="str">
        <f t="shared" si="5538"/>
        <v>0</v>
      </c>
      <c r="O7759" s="1" t="str">
        <f>"13.17"</f>
        <v>13.17</v>
      </c>
    </row>
    <row r="7760" s="1" customFormat="1" spans="1:15">
      <c r="A7760" s="1" t="str">
        <f t="shared" si="5522"/>
        <v>202406</v>
      </c>
      <c r="B7760" s="1" t="str">
        <f t="shared" si="5523"/>
        <v>150525100</v>
      </c>
      <c r="C7760" s="1" t="str">
        <f>"1014575679"</f>
        <v>1014575679</v>
      </c>
      <c r="D7760" s="1" t="str">
        <f>"152326196402213108"</f>
        <v>152326196402213108</v>
      </c>
      <c r="E7760" s="1" t="s">
        <v>7440</v>
      </c>
      <c r="F7760" s="1" t="s">
        <v>16</v>
      </c>
      <c r="G7760" s="1" t="s">
        <v>17</v>
      </c>
      <c r="H7760" s="1" t="str">
        <f>"60"</f>
        <v>60</v>
      </c>
      <c r="I7760" s="1" t="str">
        <f>"166.78"</f>
        <v>166.78</v>
      </c>
      <c r="J7760" s="1" t="str">
        <f t="shared" ref="J7760:N7760" si="5539">"0"</f>
        <v>0</v>
      </c>
      <c r="K7760" s="1" t="str">
        <f t="shared" si="5477"/>
        <v>103</v>
      </c>
      <c r="L7760" s="1" t="str">
        <f t="shared" si="5478"/>
        <v>47</v>
      </c>
      <c r="M7760" s="1" t="str">
        <f t="shared" si="5539"/>
        <v>0</v>
      </c>
      <c r="N7760" s="1" t="str">
        <f t="shared" si="5539"/>
        <v>0</v>
      </c>
      <c r="O7760" s="1" t="str">
        <f>"16.78"</f>
        <v>16.78</v>
      </c>
    </row>
    <row r="7761" s="1" customFormat="1" spans="1:15">
      <c r="A7761" s="1" t="str">
        <f t="shared" si="5522"/>
        <v>202406</v>
      </c>
      <c r="B7761" s="1" t="str">
        <f t="shared" si="5523"/>
        <v>150525100</v>
      </c>
      <c r="C7761" s="1" t="str">
        <f>"1014576411"</f>
        <v>1014576411</v>
      </c>
      <c r="D7761" s="1" t="s">
        <v>7441</v>
      </c>
      <c r="E7761" s="1" t="s">
        <v>5751</v>
      </c>
      <c r="F7761" s="1" t="s">
        <v>25</v>
      </c>
      <c r="G7761" s="1" t="s">
        <v>17</v>
      </c>
      <c r="H7761" s="1" t="str">
        <f>"72"</f>
        <v>72</v>
      </c>
      <c r="I7761" s="1" t="str">
        <f>"162.14"</f>
        <v>162.14</v>
      </c>
      <c r="J7761" s="1" t="str">
        <f t="shared" ref="J7761:N7761" si="5540">"0"</f>
        <v>0</v>
      </c>
      <c r="K7761" s="1" t="str">
        <f t="shared" si="5477"/>
        <v>103</v>
      </c>
      <c r="L7761" s="1" t="str">
        <f t="shared" si="5478"/>
        <v>47</v>
      </c>
      <c r="M7761" s="1" t="str">
        <f t="shared" si="5540"/>
        <v>0</v>
      </c>
      <c r="N7761" s="1" t="str">
        <f t="shared" si="5540"/>
        <v>0</v>
      </c>
      <c r="O7761" s="1" t="str">
        <f>"2.14"</f>
        <v>2.14</v>
      </c>
    </row>
    <row r="7762" s="1" customFormat="1" spans="1:15">
      <c r="A7762" s="1" t="str">
        <f t="shared" si="5522"/>
        <v>202406</v>
      </c>
      <c r="B7762" s="1" t="str">
        <f t="shared" si="5523"/>
        <v>150525100</v>
      </c>
      <c r="C7762" s="1" t="str">
        <f>"1014576864"</f>
        <v>1014576864</v>
      </c>
      <c r="D7762" s="1" t="str">
        <f>"152326195910040675"</f>
        <v>152326195910040675</v>
      </c>
      <c r="E7762" s="1" t="s">
        <v>7442</v>
      </c>
      <c r="F7762" s="1" t="s">
        <v>25</v>
      </c>
      <c r="G7762" s="1" t="s">
        <v>17</v>
      </c>
      <c r="H7762" s="1" t="str">
        <f>"65"</f>
        <v>65</v>
      </c>
      <c r="I7762" s="1" t="str">
        <f>"158.19"</f>
        <v>158.19</v>
      </c>
      <c r="J7762" s="1" t="str">
        <f t="shared" ref="J7762:N7762" si="5541">"0"</f>
        <v>0</v>
      </c>
      <c r="K7762" s="1" t="str">
        <f t="shared" si="5477"/>
        <v>103</v>
      </c>
      <c r="L7762" s="1" t="str">
        <f t="shared" si="5478"/>
        <v>47</v>
      </c>
      <c r="M7762" s="1" t="str">
        <f t="shared" si="5541"/>
        <v>0</v>
      </c>
      <c r="N7762" s="1" t="str">
        <f t="shared" si="5541"/>
        <v>0</v>
      </c>
      <c r="O7762" s="1" t="str">
        <f>"8.19"</f>
        <v>8.19</v>
      </c>
    </row>
    <row r="7763" s="1" customFormat="1" spans="1:15">
      <c r="A7763" s="1" t="str">
        <f t="shared" si="5522"/>
        <v>202406</v>
      </c>
      <c r="B7763" s="1" t="str">
        <f t="shared" si="5523"/>
        <v>150525100</v>
      </c>
      <c r="C7763" s="1" t="str">
        <f>"1014576865"</f>
        <v>1014576865</v>
      </c>
      <c r="D7763" s="1" t="str">
        <f>"152326195910040683"</f>
        <v>152326195910040683</v>
      </c>
      <c r="E7763" s="1" t="s">
        <v>7443</v>
      </c>
      <c r="F7763" s="1" t="s">
        <v>16</v>
      </c>
      <c r="G7763" s="1" t="s">
        <v>17</v>
      </c>
      <c r="H7763" s="1" t="str">
        <f>"65"</f>
        <v>65</v>
      </c>
      <c r="I7763" s="1" t="str">
        <f>"158.19"</f>
        <v>158.19</v>
      </c>
      <c r="J7763" s="1" t="str">
        <f t="shared" ref="J7763:N7763" si="5542">"0"</f>
        <v>0</v>
      </c>
      <c r="K7763" s="1" t="str">
        <f t="shared" si="5477"/>
        <v>103</v>
      </c>
      <c r="L7763" s="1" t="str">
        <f t="shared" si="5478"/>
        <v>47</v>
      </c>
      <c r="M7763" s="1" t="str">
        <f t="shared" si="5542"/>
        <v>0</v>
      </c>
      <c r="N7763" s="1" t="str">
        <f t="shared" si="5542"/>
        <v>0</v>
      </c>
      <c r="O7763" s="1" t="str">
        <f>"8.19"</f>
        <v>8.19</v>
      </c>
    </row>
    <row r="7764" s="1" customFormat="1" spans="1:15">
      <c r="A7764" s="1" t="str">
        <f t="shared" si="5522"/>
        <v>202406</v>
      </c>
      <c r="B7764" s="1" t="str">
        <f t="shared" si="5523"/>
        <v>150525100</v>
      </c>
      <c r="C7764" s="1" t="str">
        <f>"1014576870"</f>
        <v>1014576870</v>
      </c>
      <c r="D7764" s="1" t="str">
        <f>"152326195203153080"</f>
        <v>152326195203153080</v>
      </c>
      <c r="E7764" s="1" t="s">
        <v>7444</v>
      </c>
      <c r="F7764" s="1" t="s">
        <v>16</v>
      </c>
      <c r="G7764" s="1" t="s">
        <v>17</v>
      </c>
      <c r="H7764" s="1" t="str">
        <f>"72"</f>
        <v>72</v>
      </c>
      <c r="I7764" s="1" t="str">
        <f>"163.87"</f>
        <v>163.87</v>
      </c>
      <c r="J7764" s="1" t="str">
        <f t="shared" ref="J7764:N7764" si="5543">"0"</f>
        <v>0</v>
      </c>
      <c r="K7764" s="1" t="str">
        <f t="shared" si="5477"/>
        <v>103</v>
      </c>
      <c r="L7764" s="1" t="str">
        <f t="shared" si="5478"/>
        <v>47</v>
      </c>
      <c r="M7764" s="1" t="str">
        <f t="shared" si="5543"/>
        <v>0</v>
      </c>
      <c r="N7764" s="1" t="str">
        <f t="shared" si="5543"/>
        <v>0</v>
      </c>
      <c r="O7764" s="1" t="str">
        <f>"3.87"</f>
        <v>3.87</v>
      </c>
    </row>
    <row r="7765" s="1" customFormat="1" spans="1:15">
      <c r="A7765" s="1" t="str">
        <f t="shared" si="5522"/>
        <v>202406</v>
      </c>
      <c r="B7765" s="1" t="str">
        <f t="shared" si="5523"/>
        <v>150525100</v>
      </c>
      <c r="C7765" s="1" t="str">
        <f>"1014576872"</f>
        <v>1014576872</v>
      </c>
      <c r="D7765" s="1" t="str">
        <f>"152326196007070418"</f>
        <v>152326196007070418</v>
      </c>
      <c r="E7765" s="1" t="s">
        <v>7445</v>
      </c>
      <c r="F7765" s="1" t="s">
        <v>25</v>
      </c>
      <c r="G7765" s="1" t="s">
        <v>17</v>
      </c>
      <c r="H7765" s="1" t="str">
        <f t="shared" ref="H7765:H7769" si="5544">"64"</f>
        <v>64</v>
      </c>
      <c r="I7765" s="1" t="str">
        <f>"166.06"</f>
        <v>166.06</v>
      </c>
      <c r="J7765" s="1" t="str">
        <f t="shared" ref="J7765:N7765" si="5545">"0"</f>
        <v>0</v>
      </c>
      <c r="K7765" s="1" t="str">
        <f t="shared" si="5477"/>
        <v>103</v>
      </c>
      <c r="L7765" s="1" t="str">
        <f t="shared" si="5478"/>
        <v>47</v>
      </c>
      <c r="M7765" s="1" t="str">
        <f t="shared" si="5545"/>
        <v>0</v>
      </c>
      <c r="N7765" s="1" t="str">
        <f t="shared" si="5545"/>
        <v>0</v>
      </c>
      <c r="O7765" s="1" t="str">
        <f>"16.06"</f>
        <v>16.06</v>
      </c>
    </row>
    <row r="7766" s="1" customFormat="1" spans="1:15">
      <c r="A7766" s="1" t="str">
        <f t="shared" si="5522"/>
        <v>202406</v>
      </c>
      <c r="B7766" s="1" t="str">
        <f t="shared" si="5523"/>
        <v>150525100</v>
      </c>
      <c r="C7766" s="1" t="str">
        <f>"1014547886"</f>
        <v>1014547886</v>
      </c>
      <c r="D7766" s="1" t="str">
        <f>"152326196404060694"</f>
        <v>152326196404060694</v>
      </c>
      <c r="E7766" s="1" t="s">
        <v>7446</v>
      </c>
      <c r="F7766" s="1" t="s">
        <v>25</v>
      </c>
      <c r="G7766" s="1" t="s">
        <v>17</v>
      </c>
      <c r="H7766" s="1" t="str">
        <f>"60"</f>
        <v>60</v>
      </c>
      <c r="I7766" s="1" t="str">
        <f>"164.57"</f>
        <v>164.57</v>
      </c>
      <c r="J7766" s="1" t="str">
        <f t="shared" ref="J7766:N7766" si="5546">"0"</f>
        <v>0</v>
      </c>
      <c r="K7766" s="1" t="str">
        <f t="shared" si="5477"/>
        <v>103</v>
      </c>
      <c r="L7766" s="1" t="str">
        <f t="shared" si="5478"/>
        <v>47</v>
      </c>
      <c r="M7766" s="1" t="str">
        <f t="shared" si="5546"/>
        <v>0</v>
      </c>
      <c r="N7766" s="1" t="str">
        <f t="shared" si="5546"/>
        <v>0</v>
      </c>
      <c r="O7766" s="1" t="str">
        <f>"14.57"</f>
        <v>14.57</v>
      </c>
    </row>
    <row r="7767" s="1" customFormat="1" spans="1:15">
      <c r="A7767" s="1" t="str">
        <f t="shared" si="5522"/>
        <v>202406</v>
      </c>
      <c r="B7767" s="1" t="str">
        <f t="shared" si="5523"/>
        <v>150525100</v>
      </c>
      <c r="C7767" s="1" t="str">
        <f>"1014547889"</f>
        <v>1014547889</v>
      </c>
      <c r="D7767" s="1" t="str">
        <f>"152326195603100682"</f>
        <v>152326195603100682</v>
      </c>
      <c r="E7767" s="1" t="s">
        <v>7447</v>
      </c>
      <c r="F7767" s="1" t="s">
        <v>16</v>
      </c>
      <c r="G7767" s="1" t="s">
        <v>19</v>
      </c>
      <c r="H7767" s="1" t="str">
        <f>"68"</f>
        <v>68</v>
      </c>
      <c r="I7767" s="1" t="str">
        <f>"156.01"</f>
        <v>156.01</v>
      </c>
      <c r="J7767" s="1" t="str">
        <f t="shared" ref="J7767:N7767" si="5547">"0"</f>
        <v>0</v>
      </c>
      <c r="K7767" s="1" t="str">
        <f t="shared" si="5477"/>
        <v>103</v>
      </c>
      <c r="L7767" s="1" t="str">
        <f t="shared" si="5478"/>
        <v>47</v>
      </c>
      <c r="M7767" s="1" t="str">
        <f t="shared" si="5547"/>
        <v>0</v>
      </c>
      <c r="N7767" s="1" t="str">
        <f t="shared" si="5547"/>
        <v>0</v>
      </c>
      <c r="O7767" s="1" t="str">
        <f>"6.01"</f>
        <v>6.01</v>
      </c>
    </row>
    <row r="7768" s="1" customFormat="1" spans="1:15">
      <c r="A7768" s="1" t="str">
        <f t="shared" si="5522"/>
        <v>202406</v>
      </c>
      <c r="B7768" s="1" t="str">
        <f t="shared" si="5523"/>
        <v>150525100</v>
      </c>
      <c r="C7768" s="1" t="str">
        <f>"1014573398"</f>
        <v>1014573398</v>
      </c>
      <c r="D7768" s="1" t="str">
        <f>"152326196006200030"</f>
        <v>152326196006200030</v>
      </c>
      <c r="E7768" s="1" t="s">
        <v>7448</v>
      </c>
      <c r="F7768" s="1" t="s">
        <v>25</v>
      </c>
      <c r="G7768" s="1" t="s">
        <v>17</v>
      </c>
      <c r="H7768" s="1" t="str">
        <f t="shared" si="5544"/>
        <v>64</v>
      </c>
      <c r="I7768" s="1" t="str">
        <f>"159.21"</f>
        <v>159.21</v>
      </c>
      <c r="J7768" s="1" t="str">
        <f t="shared" ref="J7768:N7768" si="5548">"0"</f>
        <v>0</v>
      </c>
      <c r="K7768" s="1" t="str">
        <f t="shared" si="5477"/>
        <v>103</v>
      </c>
      <c r="L7768" s="1" t="str">
        <f t="shared" si="5478"/>
        <v>47</v>
      </c>
      <c r="M7768" s="1" t="str">
        <f t="shared" si="5548"/>
        <v>0</v>
      </c>
      <c r="N7768" s="1" t="str">
        <f t="shared" si="5548"/>
        <v>0</v>
      </c>
      <c r="O7768" s="1" t="str">
        <f>"9.21"</f>
        <v>9.21</v>
      </c>
    </row>
    <row r="7769" s="1" customFormat="1" spans="1:15">
      <c r="A7769" s="1" t="str">
        <f t="shared" si="5522"/>
        <v>202406</v>
      </c>
      <c r="B7769" s="1" t="str">
        <f t="shared" si="5523"/>
        <v>150525100</v>
      </c>
      <c r="C7769" s="1" t="str">
        <f>"1014573407"</f>
        <v>1014573407</v>
      </c>
      <c r="D7769" s="1" t="str">
        <f>"152326196010073089"</f>
        <v>152326196010073089</v>
      </c>
      <c r="E7769" s="1" t="s">
        <v>7271</v>
      </c>
      <c r="F7769" s="1" t="s">
        <v>16</v>
      </c>
      <c r="G7769" s="1" t="s">
        <v>17</v>
      </c>
      <c r="H7769" s="1" t="str">
        <f t="shared" si="5544"/>
        <v>64</v>
      </c>
      <c r="I7769" s="1" t="str">
        <f>"166.14"</f>
        <v>166.14</v>
      </c>
      <c r="J7769" s="1" t="str">
        <f t="shared" ref="J7769:N7769" si="5549">"0"</f>
        <v>0</v>
      </c>
      <c r="K7769" s="1" t="str">
        <f t="shared" si="5477"/>
        <v>103</v>
      </c>
      <c r="L7769" s="1" t="str">
        <f t="shared" si="5478"/>
        <v>47</v>
      </c>
      <c r="M7769" s="1" t="str">
        <f t="shared" si="5549"/>
        <v>0</v>
      </c>
      <c r="N7769" s="1" t="str">
        <f t="shared" si="5549"/>
        <v>0</v>
      </c>
      <c r="O7769" s="1" t="str">
        <f>"16.14"</f>
        <v>16.14</v>
      </c>
    </row>
    <row r="7770" s="1" customFormat="1" spans="1:15">
      <c r="A7770" s="1" t="str">
        <f t="shared" si="5522"/>
        <v>202406</v>
      </c>
      <c r="B7770" s="1" t="str">
        <f t="shared" si="5523"/>
        <v>150525100</v>
      </c>
      <c r="C7770" s="1" t="str">
        <f>"1014573423"</f>
        <v>1014573423</v>
      </c>
      <c r="D7770" s="1" t="str">
        <f>"152326196110013075"</f>
        <v>152326196110013075</v>
      </c>
      <c r="E7770" s="1" t="s">
        <v>7449</v>
      </c>
      <c r="F7770" s="1" t="s">
        <v>25</v>
      </c>
      <c r="G7770" s="1" t="s">
        <v>17</v>
      </c>
      <c r="H7770" s="1" t="str">
        <f>"63"</f>
        <v>63</v>
      </c>
      <c r="I7770" s="1" t="str">
        <f>"166.93"</f>
        <v>166.93</v>
      </c>
      <c r="J7770" s="1" t="str">
        <f t="shared" ref="J7770:N7770" si="5550">"0"</f>
        <v>0</v>
      </c>
      <c r="K7770" s="1" t="str">
        <f t="shared" ref="K7770:K7833" si="5551">"103"</f>
        <v>103</v>
      </c>
      <c r="L7770" s="1" t="str">
        <f t="shared" ref="L7770:L7833" si="5552">"47"</f>
        <v>47</v>
      </c>
      <c r="M7770" s="1" t="str">
        <f t="shared" si="5550"/>
        <v>0</v>
      </c>
      <c r="N7770" s="1" t="str">
        <f t="shared" si="5550"/>
        <v>0</v>
      </c>
      <c r="O7770" s="1" t="str">
        <f>"16.93"</f>
        <v>16.93</v>
      </c>
    </row>
    <row r="7771" s="1" customFormat="1" spans="1:15">
      <c r="A7771" s="1" t="str">
        <f t="shared" si="5522"/>
        <v>202406</v>
      </c>
      <c r="B7771" s="1" t="str">
        <f t="shared" si="5523"/>
        <v>150525100</v>
      </c>
      <c r="C7771" s="1" t="str">
        <f>"1014575896"</f>
        <v>1014575896</v>
      </c>
      <c r="D7771" s="1" t="str">
        <f>"152326195702140671"</f>
        <v>152326195702140671</v>
      </c>
      <c r="E7771" s="1" t="s">
        <v>7450</v>
      </c>
      <c r="F7771" s="1" t="s">
        <v>25</v>
      </c>
      <c r="G7771" s="1" t="s">
        <v>96</v>
      </c>
      <c r="H7771" s="1" t="str">
        <f>"67"</f>
        <v>67</v>
      </c>
      <c r="I7771" s="1" t="str">
        <f>"156.04"</f>
        <v>156.04</v>
      </c>
      <c r="J7771" s="1" t="str">
        <f t="shared" ref="J7771:N7771" si="5553">"0"</f>
        <v>0</v>
      </c>
      <c r="K7771" s="1" t="str">
        <f t="shared" si="5551"/>
        <v>103</v>
      </c>
      <c r="L7771" s="1" t="str">
        <f t="shared" si="5552"/>
        <v>47</v>
      </c>
      <c r="M7771" s="1" t="str">
        <f t="shared" si="5553"/>
        <v>0</v>
      </c>
      <c r="N7771" s="1" t="str">
        <f t="shared" si="5553"/>
        <v>0</v>
      </c>
      <c r="O7771" s="1" t="str">
        <f>"6.04"</f>
        <v>6.04</v>
      </c>
    </row>
    <row r="7772" s="1" customFormat="1" spans="1:15">
      <c r="A7772" s="1" t="str">
        <f t="shared" si="5522"/>
        <v>202406</v>
      </c>
      <c r="B7772" s="1" t="str">
        <f t="shared" si="5523"/>
        <v>150525100</v>
      </c>
      <c r="C7772" s="1" t="str">
        <f>"1014571628"</f>
        <v>1014571628</v>
      </c>
      <c r="D7772" s="1" t="str">
        <f>"152326196203300022"</f>
        <v>152326196203300022</v>
      </c>
      <c r="E7772" s="1" t="s">
        <v>7451</v>
      </c>
      <c r="F7772" s="1" t="s">
        <v>16</v>
      </c>
      <c r="G7772" s="1" t="s">
        <v>17</v>
      </c>
      <c r="H7772" s="1" t="str">
        <f>"62"</f>
        <v>62</v>
      </c>
      <c r="I7772" s="1" t="str">
        <f>"198.83"</f>
        <v>198.83</v>
      </c>
      <c r="J7772" s="1" t="str">
        <f t="shared" ref="J7772:N7772" si="5554">"0"</f>
        <v>0</v>
      </c>
      <c r="K7772" s="1" t="str">
        <f t="shared" si="5551"/>
        <v>103</v>
      </c>
      <c r="L7772" s="1" t="str">
        <f t="shared" si="5552"/>
        <v>47</v>
      </c>
      <c r="M7772" s="1" t="str">
        <f t="shared" si="5554"/>
        <v>0</v>
      </c>
      <c r="N7772" s="1" t="str">
        <f t="shared" si="5554"/>
        <v>0</v>
      </c>
      <c r="O7772" s="1" t="str">
        <f>"48.83"</f>
        <v>48.83</v>
      </c>
    </row>
    <row r="7773" s="1" customFormat="1" spans="1:15">
      <c r="A7773" s="1" t="str">
        <f t="shared" si="5522"/>
        <v>202406</v>
      </c>
      <c r="B7773" s="1" t="str">
        <f t="shared" si="5523"/>
        <v>150525100</v>
      </c>
      <c r="C7773" s="1" t="str">
        <f>"1014571795"</f>
        <v>1014571795</v>
      </c>
      <c r="D7773" s="1" t="str">
        <f>"152326195507130021"</f>
        <v>152326195507130021</v>
      </c>
      <c r="E7773" s="1" t="s">
        <v>7452</v>
      </c>
      <c r="F7773" s="1" t="s">
        <v>16</v>
      </c>
      <c r="G7773" s="1" t="s">
        <v>19</v>
      </c>
      <c r="H7773" s="1" t="str">
        <f>"69"</f>
        <v>69</v>
      </c>
      <c r="I7773" s="1" t="str">
        <f>"170.04"</f>
        <v>170.04</v>
      </c>
      <c r="J7773" s="1" t="str">
        <f t="shared" ref="J7773:N7773" si="5555">"0"</f>
        <v>0</v>
      </c>
      <c r="K7773" s="1" t="str">
        <f t="shared" si="5551"/>
        <v>103</v>
      </c>
      <c r="L7773" s="1" t="str">
        <f t="shared" si="5552"/>
        <v>47</v>
      </c>
      <c r="M7773" s="1" t="str">
        <f t="shared" si="5555"/>
        <v>0</v>
      </c>
      <c r="N7773" s="1" t="str">
        <f t="shared" si="5555"/>
        <v>0</v>
      </c>
      <c r="O7773" s="1" t="str">
        <f>"20.04"</f>
        <v>20.04</v>
      </c>
    </row>
    <row r="7774" s="1" customFormat="1" spans="1:15">
      <c r="A7774" s="1" t="str">
        <f t="shared" si="5522"/>
        <v>202406</v>
      </c>
      <c r="B7774" s="1" t="str">
        <f t="shared" si="5523"/>
        <v>150525100</v>
      </c>
      <c r="C7774" s="1" t="str">
        <f>"1014552269"</f>
        <v>1014552269</v>
      </c>
      <c r="D7774" s="1" t="s">
        <v>7453</v>
      </c>
      <c r="E7774" s="1" t="s">
        <v>7454</v>
      </c>
      <c r="F7774" s="1" t="s">
        <v>16</v>
      </c>
      <c r="G7774" s="1" t="s">
        <v>19</v>
      </c>
      <c r="H7774" s="1" t="str">
        <f>"66"</f>
        <v>66</v>
      </c>
      <c r="I7774" s="1" t="str">
        <f>"160.33"</f>
        <v>160.33</v>
      </c>
      <c r="J7774" s="1" t="str">
        <f t="shared" ref="J7774:N7774" si="5556">"0"</f>
        <v>0</v>
      </c>
      <c r="K7774" s="1" t="str">
        <f t="shared" si="5551"/>
        <v>103</v>
      </c>
      <c r="L7774" s="1" t="str">
        <f t="shared" si="5552"/>
        <v>47</v>
      </c>
      <c r="M7774" s="1" t="str">
        <f t="shared" si="5556"/>
        <v>0</v>
      </c>
      <c r="N7774" s="1" t="str">
        <f t="shared" si="5556"/>
        <v>0</v>
      </c>
      <c r="O7774" s="1" t="str">
        <f>"10.33"</f>
        <v>10.33</v>
      </c>
    </row>
    <row r="7775" s="1" customFormat="1" spans="1:15">
      <c r="A7775" s="1" t="str">
        <f t="shared" si="5522"/>
        <v>202406</v>
      </c>
      <c r="B7775" s="1" t="str">
        <f t="shared" si="5523"/>
        <v>150525100</v>
      </c>
      <c r="C7775" s="1" t="str">
        <f>"1014575542"</f>
        <v>1014575542</v>
      </c>
      <c r="D7775" s="1" t="str">
        <f>"152326195402083070"</f>
        <v>152326195402083070</v>
      </c>
      <c r="E7775" s="1" t="s">
        <v>7455</v>
      </c>
      <c r="F7775" s="1" t="s">
        <v>25</v>
      </c>
      <c r="G7775" s="1" t="s">
        <v>17</v>
      </c>
      <c r="H7775" s="1" t="str">
        <f>"70"</f>
        <v>70</v>
      </c>
      <c r="I7775" s="1" t="str">
        <f>"164.14"</f>
        <v>164.14</v>
      </c>
      <c r="J7775" s="1" t="str">
        <f t="shared" ref="J7775:N7775" si="5557">"0"</f>
        <v>0</v>
      </c>
      <c r="K7775" s="1" t="str">
        <f t="shared" si="5551"/>
        <v>103</v>
      </c>
      <c r="L7775" s="1" t="str">
        <f t="shared" si="5552"/>
        <v>47</v>
      </c>
      <c r="M7775" s="1" t="str">
        <f t="shared" si="5557"/>
        <v>0</v>
      </c>
      <c r="N7775" s="1" t="str">
        <f t="shared" si="5557"/>
        <v>0</v>
      </c>
      <c r="O7775" s="1" t="str">
        <f>"4.14"</f>
        <v>4.14</v>
      </c>
    </row>
    <row r="7776" s="1" customFormat="1" spans="1:15">
      <c r="A7776" s="1" t="str">
        <f t="shared" si="5522"/>
        <v>202406</v>
      </c>
      <c r="B7776" s="1" t="str">
        <f t="shared" si="5523"/>
        <v>150525100</v>
      </c>
      <c r="C7776" s="1" t="str">
        <f>"1014575548"</f>
        <v>1014575548</v>
      </c>
      <c r="D7776" s="1" t="str">
        <f>"152326195604093082"</f>
        <v>152326195604093082</v>
      </c>
      <c r="E7776" s="1" t="s">
        <v>392</v>
      </c>
      <c r="F7776" s="1" t="s">
        <v>16</v>
      </c>
      <c r="G7776" s="1" t="s">
        <v>17</v>
      </c>
      <c r="H7776" s="1" t="str">
        <f>"68"</f>
        <v>68</v>
      </c>
      <c r="I7776" s="1" t="str">
        <f>"156.01"</f>
        <v>156.01</v>
      </c>
      <c r="J7776" s="1" t="str">
        <f t="shared" ref="J7776:N7776" si="5558">"0"</f>
        <v>0</v>
      </c>
      <c r="K7776" s="1" t="str">
        <f t="shared" si="5551"/>
        <v>103</v>
      </c>
      <c r="L7776" s="1" t="str">
        <f t="shared" si="5552"/>
        <v>47</v>
      </c>
      <c r="M7776" s="1" t="str">
        <f t="shared" si="5558"/>
        <v>0</v>
      </c>
      <c r="N7776" s="1" t="str">
        <f t="shared" si="5558"/>
        <v>0</v>
      </c>
      <c r="O7776" s="1" t="str">
        <f>"6.01"</f>
        <v>6.01</v>
      </c>
    </row>
    <row r="7777" s="1" customFormat="1" spans="1:15">
      <c r="A7777" s="1" t="str">
        <f t="shared" si="5522"/>
        <v>202406</v>
      </c>
      <c r="B7777" s="1" t="str">
        <f t="shared" si="5523"/>
        <v>150525100</v>
      </c>
      <c r="C7777" s="1" t="str">
        <f>"1014575551"</f>
        <v>1014575551</v>
      </c>
      <c r="D7777" s="1" t="str">
        <f>"152326195703193089"</f>
        <v>152326195703193089</v>
      </c>
      <c r="E7777" s="1" t="s">
        <v>7456</v>
      </c>
      <c r="F7777" s="1" t="s">
        <v>16</v>
      </c>
      <c r="G7777" s="1" t="s">
        <v>17</v>
      </c>
      <c r="H7777" s="1" t="str">
        <f>"67"</f>
        <v>67</v>
      </c>
      <c r="I7777" s="1" t="str">
        <f>"156.04"</f>
        <v>156.04</v>
      </c>
      <c r="J7777" s="1" t="str">
        <f t="shared" ref="J7777:N7777" si="5559">"0"</f>
        <v>0</v>
      </c>
      <c r="K7777" s="1" t="str">
        <f t="shared" si="5551"/>
        <v>103</v>
      </c>
      <c r="L7777" s="1" t="str">
        <f t="shared" si="5552"/>
        <v>47</v>
      </c>
      <c r="M7777" s="1" t="str">
        <f t="shared" si="5559"/>
        <v>0</v>
      </c>
      <c r="N7777" s="1" t="str">
        <f t="shared" si="5559"/>
        <v>0</v>
      </c>
      <c r="O7777" s="1" t="str">
        <f>"6.04"</f>
        <v>6.04</v>
      </c>
    </row>
    <row r="7778" s="1" customFormat="1" spans="1:15">
      <c r="A7778" s="1" t="str">
        <f t="shared" si="5522"/>
        <v>202406</v>
      </c>
      <c r="B7778" s="1" t="str">
        <f t="shared" si="5523"/>
        <v>150525100</v>
      </c>
      <c r="C7778" s="1" t="str">
        <f>"1014575686"</f>
        <v>1014575686</v>
      </c>
      <c r="D7778" s="1" t="str">
        <f>"152326196309050666"</f>
        <v>152326196309050666</v>
      </c>
      <c r="E7778" s="1" t="s">
        <v>7457</v>
      </c>
      <c r="F7778" s="1" t="s">
        <v>16</v>
      </c>
      <c r="G7778" s="1" t="s">
        <v>17</v>
      </c>
      <c r="H7778" s="1" t="str">
        <f>"61"</f>
        <v>61</v>
      </c>
      <c r="I7778" s="1" t="str">
        <f>"165.11"</f>
        <v>165.11</v>
      </c>
      <c r="J7778" s="1" t="str">
        <f t="shared" ref="J7778:N7778" si="5560">"0"</f>
        <v>0</v>
      </c>
      <c r="K7778" s="1" t="str">
        <f t="shared" si="5551"/>
        <v>103</v>
      </c>
      <c r="L7778" s="1" t="str">
        <f t="shared" si="5552"/>
        <v>47</v>
      </c>
      <c r="M7778" s="1" t="str">
        <f t="shared" si="5560"/>
        <v>0</v>
      </c>
      <c r="N7778" s="1" t="str">
        <f t="shared" si="5560"/>
        <v>0</v>
      </c>
      <c r="O7778" s="1" t="str">
        <f>"15.11"</f>
        <v>15.11</v>
      </c>
    </row>
    <row r="7779" s="1" customFormat="1" spans="1:15">
      <c r="A7779" s="1" t="str">
        <f t="shared" si="5522"/>
        <v>202406</v>
      </c>
      <c r="B7779" s="1" t="str">
        <f t="shared" si="5523"/>
        <v>150525100</v>
      </c>
      <c r="C7779" s="1" t="str">
        <f>"1040690097"</f>
        <v>1040690097</v>
      </c>
      <c r="D7779" s="1" t="str">
        <f>"152326195701053082"</f>
        <v>152326195701053082</v>
      </c>
      <c r="E7779" s="1" t="s">
        <v>1309</v>
      </c>
      <c r="F7779" s="1" t="s">
        <v>16</v>
      </c>
      <c r="G7779" s="1" t="s">
        <v>19</v>
      </c>
      <c r="H7779" s="1" t="str">
        <f>"68"</f>
        <v>68</v>
      </c>
      <c r="I7779" s="1" t="str">
        <f>"155.11"</f>
        <v>155.11</v>
      </c>
      <c r="J7779" s="1" t="str">
        <f t="shared" ref="J7779:N7779" si="5561">"0"</f>
        <v>0</v>
      </c>
      <c r="K7779" s="1" t="str">
        <f t="shared" si="5551"/>
        <v>103</v>
      </c>
      <c r="L7779" s="1" t="str">
        <f t="shared" si="5552"/>
        <v>47</v>
      </c>
      <c r="M7779" s="1" t="str">
        <f t="shared" si="5561"/>
        <v>0</v>
      </c>
      <c r="N7779" s="1" t="str">
        <f t="shared" si="5561"/>
        <v>0</v>
      </c>
      <c r="O7779" s="1" t="str">
        <f>"5.11"</f>
        <v>5.11</v>
      </c>
    </row>
    <row r="7780" s="1" customFormat="1" spans="1:15">
      <c r="A7780" s="1" t="str">
        <f t="shared" si="5522"/>
        <v>202406</v>
      </c>
      <c r="B7780" s="1" t="str">
        <f t="shared" si="5523"/>
        <v>150525100</v>
      </c>
      <c r="C7780" s="1" t="str">
        <f>"1014547946"</f>
        <v>1014547946</v>
      </c>
      <c r="D7780" s="1" t="str">
        <f>"152326195305140678"</f>
        <v>152326195305140678</v>
      </c>
      <c r="E7780" s="1" t="s">
        <v>7458</v>
      </c>
      <c r="F7780" s="1" t="s">
        <v>25</v>
      </c>
      <c r="G7780" s="1" t="s">
        <v>17</v>
      </c>
      <c r="H7780" s="1" t="str">
        <f>"71"</f>
        <v>71</v>
      </c>
      <c r="I7780" s="1" t="str">
        <f>"162.15"</f>
        <v>162.15</v>
      </c>
      <c r="J7780" s="1" t="str">
        <f t="shared" ref="J7780:N7780" si="5562">"0"</f>
        <v>0</v>
      </c>
      <c r="K7780" s="1" t="str">
        <f t="shared" si="5551"/>
        <v>103</v>
      </c>
      <c r="L7780" s="1" t="str">
        <f t="shared" si="5552"/>
        <v>47</v>
      </c>
      <c r="M7780" s="1" t="str">
        <f t="shared" si="5562"/>
        <v>0</v>
      </c>
      <c r="N7780" s="1" t="str">
        <f t="shared" si="5562"/>
        <v>0</v>
      </c>
      <c r="O7780" s="1" t="str">
        <f>"2.15"</f>
        <v>2.15</v>
      </c>
    </row>
    <row r="7781" s="1" customFormat="1" spans="1:15">
      <c r="A7781" s="1" t="str">
        <f t="shared" si="5522"/>
        <v>202406</v>
      </c>
      <c r="B7781" s="1" t="str">
        <f t="shared" si="5523"/>
        <v>150525100</v>
      </c>
      <c r="C7781" s="1" t="str">
        <f>"1014547965"</f>
        <v>1014547965</v>
      </c>
      <c r="D7781" s="1" t="str">
        <f>"152326195201030669"</f>
        <v>152326195201030669</v>
      </c>
      <c r="E7781" s="1" t="s">
        <v>7459</v>
      </c>
      <c r="F7781" s="1" t="s">
        <v>16</v>
      </c>
      <c r="G7781" s="1" t="s">
        <v>17</v>
      </c>
      <c r="H7781" s="1" t="str">
        <f>"73"</f>
        <v>73</v>
      </c>
      <c r="I7781" s="1" t="str">
        <f>"162.15"</f>
        <v>162.15</v>
      </c>
      <c r="J7781" s="1" t="str">
        <f t="shared" ref="J7781:N7781" si="5563">"0"</f>
        <v>0</v>
      </c>
      <c r="K7781" s="1" t="str">
        <f t="shared" si="5551"/>
        <v>103</v>
      </c>
      <c r="L7781" s="1" t="str">
        <f t="shared" si="5552"/>
        <v>47</v>
      </c>
      <c r="M7781" s="1" t="str">
        <f t="shared" si="5563"/>
        <v>0</v>
      </c>
      <c r="N7781" s="1" t="str">
        <f t="shared" si="5563"/>
        <v>0</v>
      </c>
      <c r="O7781" s="1" t="str">
        <f>"2.15"</f>
        <v>2.15</v>
      </c>
    </row>
    <row r="7782" s="1" customFormat="1" spans="1:15">
      <c r="A7782" s="1" t="str">
        <f t="shared" si="5522"/>
        <v>202406</v>
      </c>
      <c r="B7782" s="1" t="str">
        <f t="shared" si="5523"/>
        <v>150525100</v>
      </c>
      <c r="C7782" s="1" t="str">
        <f>"1014571799"</f>
        <v>1014571799</v>
      </c>
      <c r="D7782" s="1" t="str">
        <f>"152326195701080072"</f>
        <v>152326195701080072</v>
      </c>
      <c r="E7782" s="1" t="s">
        <v>7460</v>
      </c>
      <c r="F7782" s="1" t="s">
        <v>25</v>
      </c>
      <c r="G7782" s="1" t="s">
        <v>19</v>
      </c>
      <c r="H7782" s="1" t="str">
        <f>"67"</f>
        <v>67</v>
      </c>
      <c r="I7782" s="1" t="str">
        <f>"172.46"</f>
        <v>172.46</v>
      </c>
      <c r="J7782" s="1" t="str">
        <f t="shared" ref="J7782:N7782" si="5564">"0"</f>
        <v>0</v>
      </c>
      <c r="K7782" s="1" t="str">
        <f t="shared" si="5551"/>
        <v>103</v>
      </c>
      <c r="L7782" s="1" t="str">
        <f t="shared" si="5552"/>
        <v>47</v>
      </c>
      <c r="M7782" s="1" t="str">
        <f t="shared" si="5564"/>
        <v>0</v>
      </c>
      <c r="N7782" s="1" t="str">
        <f t="shared" si="5564"/>
        <v>0</v>
      </c>
      <c r="O7782" s="1" t="str">
        <f>"22.46"</f>
        <v>22.46</v>
      </c>
    </row>
    <row r="7783" s="1" customFormat="1" spans="1:15">
      <c r="A7783" s="1" t="str">
        <f t="shared" si="5522"/>
        <v>202406</v>
      </c>
      <c r="B7783" s="1" t="str">
        <f t="shared" si="5523"/>
        <v>150525100</v>
      </c>
      <c r="C7783" s="1" t="str">
        <f>"1014571807"</f>
        <v>1014571807</v>
      </c>
      <c r="D7783" s="1" t="str">
        <f>"152326196009010021"</f>
        <v>152326196009010021</v>
      </c>
      <c r="E7783" s="1" t="s">
        <v>805</v>
      </c>
      <c r="F7783" s="1" t="s">
        <v>16</v>
      </c>
      <c r="G7783" s="1" t="s">
        <v>19</v>
      </c>
      <c r="H7783" s="1" t="str">
        <f>"64"</f>
        <v>64</v>
      </c>
      <c r="I7783" s="1" t="str">
        <f>"193.64"</f>
        <v>193.64</v>
      </c>
      <c r="J7783" s="1" t="str">
        <f t="shared" ref="J7783:N7783" si="5565">"0"</f>
        <v>0</v>
      </c>
      <c r="K7783" s="1" t="str">
        <f t="shared" si="5551"/>
        <v>103</v>
      </c>
      <c r="L7783" s="1" t="str">
        <f t="shared" si="5552"/>
        <v>47</v>
      </c>
      <c r="M7783" s="1" t="str">
        <f t="shared" si="5565"/>
        <v>0</v>
      </c>
      <c r="N7783" s="1" t="str">
        <f t="shared" si="5565"/>
        <v>0</v>
      </c>
      <c r="O7783" s="1" t="str">
        <f>"43.64"</f>
        <v>43.64</v>
      </c>
    </row>
    <row r="7784" s="1" customFormat="1" spans="1:15">
      <c r="A7784" s="1" t="str">
        <f t="shared" si="5522"/>
        <v>202406</v>
      </c>
      <c r="B7784" s="1" t="str">
        <f t="shared" si="5523"/>
        <v>150525100</v>
      </c>
      <c r="C7784" s="1" t="str">
        <f>"1014571941"</f>
        <v>1014571941</v>
      </c>
      <c r="D7784" s="1" t="s">
        <v>7461</v>
      </c>
      <c r="E7784" s="1" t="s">
        <v>7462</v>
      </c>
      <c r="F7784" s="1" t="s">
        <v>25</v>
      </c>
      <c r="G7784" s="1" t="s">
        <v>17</v>
      </c>
      <c r="H7784" s="1" t="str">
        <f t="shared" ref="H7784:H7788" si="5566">"69"</f>
        <v>69</v>
      </c>
      <c r="I7784" s="1" t="str">
        <f>"155.09"</f>
        <v>155.09</v>
      </c>
      <c r="J7784" s="1" t="str">
        <f t="shared" ref="J7784:N7784" si="5567">"0"</f>
        <v>0</v>
      </c>
      <c r="K7784" s="1" t="str">
        <f t="shared" si="5551"/>
        <v>103</v>
      </c>
      <c r="L7784" s="1" t="str">
        <f t="shared" si="5552"/>
        <v>47</v>
      </c>
      <c r="M7784" s="1" t="str">
        <f t="shared" si="5567"/>
        <v>0</v>
      </c>
      <c r="N7784" s="1" t="str">
        <f t="shared" si="5567"/>
        <v>0</v>
      </c>
      <c r="O7784" s="1" t="str">
        <f>"5.09"</f>
        <v>5.09</v>
      </c>
    </row>
    <row r="7785" s="1" customFormat="1" spans="1:15">
      <c r="A7785" s="1" t="str">
        <f t="shared" si="5522"/>
        <v>202406</v>
      </c>
      <c r="B7785" s="1" t="str">
        <f t="shared" si="5523"/>
        <v>150525100</v>
      </c>
      <c r="C7785" s="1" t="str">
        <f>"1014571943"</f>
        <v>1014571943</v>
      </c>
      <c r="D7785" s="1" t="s">
        <v>7463</v>
      </c>
      <c r="E7785" s="1" t="s">
        <v>7464</v>
      </c>
      <c r="F7785" s="1" t="s">
        <v>25</v>
      </c>
      <c r="G7785" s="1" t="s">
        <v>17</v>
      </c>
      <c r="H7785" s="1" t="str">
        <f t="shared" si="5566"/>
        <v>69</v>
      </c>
      <c r="I7785" s="1" t="str">
        <f>"155.09"</f>
        <v>155.09</v>
      </c>
      <c r="J7785" s="1" t="str">
        <f t="shared" ref="J7785:N7785" si="5568">"0"</f>
        <v>0</v>
      </c>
      <c r="K7785" s="1" t="str">
        <f t="shared" si="5551"/>
        <v>103</v>
      </c>
      <c r="L7785" s="1" t="str">
        <f t="shared" si="5552"/>
        <v>47</v>
      </c>
      <c r="M7785" s="1" t="str">
        <f t="shared" si="5568"/>
        <v>0</v>
      </c>
      <c r="N7785" s="1" t="str">
        <f t="shared" si="5568"/>
        <v>0</v>
      </c>
      <c r="O7785" s="1" t="str">
        <f>"5.09"</f>
        <v>5.09</v>
      </c>
    </row>
    <row r="7786" s="1" customFormat="1" spans="1:15">
      <c r="A7786" s="1" t="str">
        <f t="shared" si="5522"/>
        <v>202406</v>
      </c>
      <c r="B7786" s="1" t="str">
        <f t="shared" si="5523"/>
        <v>150525100</v>
      </c>
      <c r="C7786" s="1" t="str">
        <f>"1014571954"</f>
        <v>1014571954</v>
      </c>
      <c r="D7786" s="1" t="str">
        <f>"152326196308010056"</f>
        <v>152326196308010056</v>
      </c>
      <c r="E7786" s="1" t="s">
        <v>7465</v>
      </c>
      <c r="F7786" s="1" t="s">
        <v>25</v>
      </c>
      <c r="G7786" s="1" t="s">
        <v>17</v>
      </c>
      <c r="H7786" s="1" t="str">
        <f>"61"</f>
        <v>61</v>
      </c>
      <c r="I7786" s="1" t="str">
        <f>"220.44"</f>
        <v>220.44</v>
      </c>
      <c r="J7786" s="1" t="str">
        <f t="shared" ref="J7786:N7786" si="5569">"0"</f>
        <v>0</v>
      </c>
      <c r="K7786" s="1" t="str">
        <f t="shared" si="5551"/>
        <v>103</v>
      </c>
      <c r="L7786" s="1" t="str">
        <f t="shared" si="5552"/>
        <v>47</v>
      </c>
      <c r="M7786" s="1" t="str">
        <f t="shared" si="5569"/>
        <v>0</v>
      </c>
      <c r="N7786" s="1" t="str">
        <f t="shared" si="5569"/>
        <v>0</v>
      </c>
      <c r="O7786" s="1" t="str">
        <f>"70.44"</f>
        <v>70.44</v>
      </c>
    </row>
    <row r="7787" s="1" customFormat="1" spans="1:15">
      <c r="A7787" s="1" t="str">
        <f t="shared" si="5522"/>
        <v>202406</v>
      </c>
      <c r="B7787" s="1" t="str">
        <f t="shared" si="5523"/>
        <v>150525100</v>
      </c>
      <c r="C7787" s="1" t="str">
        <f>"1014571957"</f>
        <v>1014571957</v>
      </c>
      <c r="D7787" s="1" t="str">
        <f>"152326196401080040"</f>
        <v>152326196401080040</v>
      </c>
      <c r="E7787" s="1" t="s">
        <v>7466</v>
      </c>
      <c r="F7787" s="1" t="s">
        <v>16</v>
      </c>
      <c r="G7787" s="1" t="s">
        <v>19</v>
      </c>
      <c r="H7787" s="1" t="str">
        <f>"60"</f>
        <v>60</v>
      </c>
      <c r="I7787" s="1" t="str">
        <f>"236.59"</f>
        <v>236.59</v>
      </c>
      <c r="J7787" s="1" t="str">
        <f t="shared" ref="J7787:N7787" si="5570">"0"</f>
        <v>0</v>
      </c>
      <c r="K7787" s="1" t="str">
        <f t="shared" si="5551"/>
        <v>103</v>
      </c>
      <c r="L7787" s="1" t="str">
        <f t="shared" si="5552"/>
        <v>47</v>
      </c>
      <c r="M7787" s="1" t="str">
        <f t="shared" si="5570"/>
        <v>0</v>
      </c>
      <c r="N7787" s="1" t="str">
        <f t="shared" si="5570"/>
        <v>0</v>
      </c>
      <c r="O7787" s="1" t="str">
        <f>"86.59"</f>
        <v>86.59</v>
      </c>
    </row>
    <row r="7788" s="1" customFormat="1" spans="1:15">
      <c r="A7788" s="1" t="str">
        <f t="shared" si="5522"/>
        <v>202406</v>
      </c>
      <c r="B7788" s="1" t="str">
        <f t="shared" si="5523"/>
        <v>150525100</v>
      </c>
      <c r="C7788" s="1" t="str">
        <f>"1014552281"</f>
        <v>1014552281</v>
      </c>
      <c r="D7788" s="1" t="str">
        <f>"152326195511053815"</f>
        <v>152326195511053815</v>
      </c>
      <c r="E7788" s="1" t="s">
        <v>5910</v>
      </c>
      <c r="F7788" s="1" t="s">
        <v>25</v>
      </c>
      <c r="G7788" s="1" t="s">
        <v>17</v>
      </c>
      <c r="H7788" s="1" t="str">
        <f t="shared" si="5566"/>
        <v>69</v>
      </c>
      <c r="I7788" s="1" t="str">
        <f>"171.22"</f>
        <v>171.22</v>
      </c>
      <c r="J7788" s="1" t="str">
        <f t="shared" ref="J7788:N7788" si="5571">"0"</f>
        <v>0</v>
      </c>
      <c r="K7788" s="1" t="str">
        <f t="shared" si="5551"/>
        <v>103</v>
      </c>
      <c r="L7788" s="1" t="str">
        <f t="shared" si="5552"/>
        <v>47</v>
      </c>
      <c r="M7788" s="1" t="str">
        <f t="shared" si="5571"/>
        <v>0</v>
      </c>
      <c r="N7788" s="1" t="str">
        <f t="shared" si="5571"/>
        <v>0</v>
      </c>
      <c r="O7788" s="1" t="str">
        <f>"21.22"</f>
        <v>21.22</v>
      </c>
    </row>
    <row r="7789" s="1" customFormat="1" spans="1:15">
      <c r="A7789" s="1" t="str">
        <f t="shared" si="5522"/>
        <v>202406</v>
      </c>
      <c r="B7789" s="1" t="str">
        <f t="shared" si="5523"/>
        <v>150525100</v>
      </c>
      <c r="C7789" s="1" t="str">
        <f>"1014576266"</f>
        <v>1014576266</v>
      </c>
      <c r="D7789" s="1" t="str">
        <f>"152326195306290678"</f>
        <v>152326195306290678</v>
      </c>
      <c r="E7789" s="1" t="s">
        <v>7467</v>
      </c>
      <c r="F7789" s="1" t="s">
        <v>25</v>
      </c>
      <c r="G7789" s="1" t="s">
        <v>19</v>
      </c>
      <c r="H7789" s="1" t="str">
        <f>"71"</f>
        <v>71</v>
      </c>
      <c r="I7789" s="1" t="str">
        <f>"163.16"</f>
        <v>163.16</v>
      </c>
      <c r="J7789" s="1" t="str">
        <f t="shared" ref="J7789:N7789" si="5572">"0"</f>
        <v>0</v>
      </c>
      <c r="K7789" s="1" t="str">
        <f t="shared" si="5551"/>
        <v>103</v>
      </c>
      <c r="L7789" s="1" t="str">
        <f t="shared" si="5552"/>
        <v>47</v>
      </c>
      <c r="M7789" s="1" t="str">
        <f t="shared" si="5572"/>
        <v>0</v>
      </c>
      <c r="N7789" s="1" t="str">
        <f t="shared" si="5572"/>
        <v>0</v>
      </c>
      <c r="O7789" s="1" t="str">
        <f>"3.16"</f>
        <v>3.16</v>
      </c>
    </row>
    <row r="7790" s="1" customFormat="1" spans="1:15">
      <c r="A7790" s="1" t="str">
        <f t="shared" si="5522"/>
        <v>202406</v>
      </c>
      <c r="B7790" s="1" t="str">
        <f t="shared" si="5523"/>
        <v>150525100</v>
      </c>
      <c r="C7790" s="1" t="str">
        <f>"1014576909"</f>
        <v>1014576909</v>
      </c>
      <c r="D7790" s="1" t="str">
        <f>"152326195510200430"</f>
        <v>152326195510200430</v>
      </c>
      <c r="E7790" s="1" t="s">
        <v>7468</v>
      </c>
      <c r="F7790" s="1" t="s">
        <v>25</v>
      </c>
      <c r="G7790" s="1" t="s">
        <v>19</v>
      </c>
      <c r="H7790" s="1" t="str">
        <f>"69"</f>
        <v>69</v>
      </c>
      <c r="I7790" s="1" t="str">
        <f>"163.01"</f>
        <v>163.01</v>
      </c>
      <c r="J7790" s="1" t="str">
        <f t="shared" ref="J7790:N7790" si="5573">"0"</f>
        <v>0</v>
      </c>
      <c r="K7790" s="1" t="str">
        <f t="shared" si="5551"/>
        <v>103</v>
      </c>
      <c r="L7790" s="1" t="str">
        <f t="shared" si="5552"/>
        <v>47</v>
      </c>
      <c r="M7790" s="1" t="str">
        <f t="shared" si="5573"/>
        <v>0</v>
      </c>
      <c r="N7790" s="1" t="str">
        <f t="shared" si="5573"/>
        <v>0</v>
      </c>
      <c r="O7790" s="1" t="str">
        <f>"13.01"</f>
        <v>13.01</v>
      </c>
    </row>
    <row r="7791" s="1" customFormat="1" spans="1:15">
      <c r="A7791" s="1" t="str">
        <f t="shared" si="5522"/>
        <v>202406</v>
      </c>
      <c r="B7791" s="1" t="str">
        <f t="shared" si="5523"/>
        <v>150525100</v>
      </c>
      <c r="C7791" s="1" t="str">
        <f>"1014571849"</f>
        <v>1014571849</v>
      </c>
      <c r="D7791" s="1" t="str">
        <f>"152326195908160416"</f>
        <v>152326195908160416</v>
      </c>
      <c r="E7791" s="1" t="s">
        <v>7469</v>
      </c>
      <c r="F7791" s="1" t="s">
        <v>25</v>
      </c>
      <c r="G7791" s="1" t="s">
        <v>17</v>
      </c>
      <c r="H7791" s="1" t="str">
        <f>"65"</f>
        <v>65</v>
      </c>
      <c r="I7791" s="1" t="str">
        <f>"157.12"</f>
        <v>157.12</v>
      </c>
      <c r="J7791" s="1" t="str">
        <f t="shared" ref="J7791:N7791" si="5574">"0"</f>
        <v>0</v>
      </c>
      <c r="K7791" s="1" t="str">
        <f t="shared" si="5551"/>
        <v>103</v>
      </c>
      <c r="L7791" s="1" t="str">
        <f t="shared" si="5552"/>
        <v>47</v>
      </c>
      <c r="M7791" s="1" t="str">
        <f t="shared" si="5574"/>
        <v>0</v>
      </c>
      <c r="N7791" s="1" t="str">
        <f t="shared" si="5574"/>
        <v>0</v>
      </c>
      <c r="O7791" s="1" t="str">
        <f>"7.12"</f>
        <v>7.12</v>
      </c>
    </row>
    <row r="7792" s="1" customFormat="1" spans="1:15">
      <c r="A7792" s="1" t="str">
        <f t="shared" si="5522"/>
        <v>202406</v>
      </c>
      <c r="B7792" s="1" t="str">
        <f t="shared" si="5523"/>
        <v>150525100</v>
      </c>
      <c r="C7792" s="1" t="str">
        <f>"1014571965"</f>
        <v>1014571965</v>
      </c>
      <c r="D7792" s="1" t="str">
        <f>"152326195802210024"</f>
        <v>152326195802210024</v>
      </c>
      <c r="E7792" s="1" t="s">
        <v>7470</v>
      </c>
      <c r="F7792" s="1" t="s">
        <v>16</v>
      </c>
      <c r="G7792" s="1" t="s">
        <v>17</v>
      </c>
      <c r="H7792" s="1" t="str">
        <f>"66"</f>
        <v>66</v>
      </c>
      <c r="I7792" s="1" t="str">
        <f>"208.59"</f>
        <v>208.59</v>
      </c>
      <c r="J7792" s="1" t="str">
        <f t="shared" ref="J7792:N7792" si="5575">"0"</f>
        <v>0</v>
      </c>
      <c r="K7792" s="1" t="str">
        <f t="shared" si="5551"/>
        <v>103</v>
      </c>
      <c r="L7792" s="1" t="str">
        <f t="shared" si="5552"/>
        <v>47</v>
      </c>
      <c r="M7792" s="1" t="str">
        <f t="shared" si="5575"/>
        <v>0</v>
      </c>
      <c r="N7792" s="1" t="str">
        <f t="shared" si="5575"/>
        <v>0</v>
      </c>
      <c r="O7792" s="1" t="str">
        <f>"58.59"</f>
        <v>58.59</v>
      </c>
    </row>
    <row r="7793" s="1" customFormat="1" spans="1:15">
      <c r="A7793" s="1" t="str">
        <f t="shared" si="5522"/>
        <v>202406</v>
      </c>
      <c r="B7793" s="1" t="str">
        <f t="shared" si="5523"/>
        <v>150525100</v>
      </c>
      <c r="C7793" s="1" t="str">
        <f>"1014571969"</f>
        <v>1014571969</v>
      </c>
      <c r="D7793" s="1" t="str">
        <f>"152326196001260018"</f>
        <v>152326196001260018</v>
      </c>
      <c r="E7793" s="1" t="s">
        <v>7471</v>
      </c>
      <c r="F7793" s="1" t="s">
        <v>25</v>
      </c>
      <c r="G7793" s="1" t="s">
        <v>17</v>
      </c>
      <c r="H7793" s="1" t="str">
        <f>"64"</f>
        <v>64</v>
      </c>
      <c r="I7793" s="1" t="str">
        <f>"204.74"</f>
        <v>204.74</v>
      </c>
      <c r="J7793" s="1" t="str">
        <f t="shared" ref="J7793:N7793" si="5576">"0"</f>
        <v>0</v>
      </c>
      <c r="K7793" s="1" t="str">
        <f t="shared" si="5551"/>
        <v>103</v>
      </c>
      <c r="L7793" s="1" t="str">
        <f t="shared" si="5552"/>
        <v>47</v>
      </c>
      <c r="M7793" s="1" t="str">
        <f t="shared" si="5576"/>
        <v>0</v>
      </c>
      <c r="N7793" s="1" t="str">
        <f t="shared" si="5576"/>
        <v>0</v>
      </c>
      <c r="O7793" s="1" t="str">
        <f>"54.74"</f>
        <v>54.74</v>
      </c>
    </row>
    <row r="7794" s="1" customFormat="1" spans="1:15">
      <c r="A7794" s="1" t="str">
        <f t="shared" si="5522"/>
        <v>202406</v>
      </c>
      <c r="B7794" s="1" t="str">
        <f t="shared" si="5523"/>
        <v>150525100</v>
      </c>
      <c r="C7794" s="1" t="str">
        <f>"1014571971"</f>
        <v>1014571971</v>
      </c>
      <c r="D7794" s="1" t="str">
        <f>"152326196011150015"</f>
        <v>152326196011150015</v>
      </c>
      <c r="E7794" s="1" t="s">
        <v>7472</v>
      </c>
      <c r="F7794" s="1" t="s">
        <v>25</v>
      </c>
      <c r="G7794" s="1" t="s">
        <v>17</v>
      </c>
      <c r="H7794" s="1" t="str">
        <f>"64"</f>
        <v>64</v>
      </c>
      <c r="I7794" s="1" t="str">
        <f>"219.46"</f>
        <v>219.46</v>
      </c>
      <c r="J7794" s="1" t="str">
        <f t="shared" ref="J7794:N7794" si="5577">"0"</f>
        <v>0</v>
      </c>
      <c r="K7794" s="1" t="str">
        <f t="shared" si="5551"/>
        <v>103</v>
      </c>
      <c r="L7794" s="1" t="str">
        <f t="shared" si="5552"/>
        <v>47</v>
      </c>
      <c r="M7794" s="1" t="str">
        <f t="shared" si="5577"/>
        <v>0</v>
      </c>
      <c r="N7794" s="1" t="str">
        <f t="shared" si="5577"/>
        <v>0</v>
      </c>
      <c r="O7794" s="1" t="str">
        <f>"69.46"</f>
        <v>69.46</v>
      </c>
    </row>
    <row r="7795" s="1" customFormat="1" spans="1:15">
      <c r="A7795" s="1" t="str">
        <f t="shared" si="5522"/>
        <v>202406</v>
      </c>
      <c r="B7795" s="1" t="str">
        <f t="shared" si="5523"/>
        <v>150525100</v>
      </c>
      <c r="C7795" s="1" t="str">
        <f>"1014571978"</f>
        <v>1014571978</v>
      </c>
      <c r="D7795" s="1" t="str">
        <f>"152326196301140077"</f>
        <v>152326196301140077</v>
      </c>
      <c r="E7795" s="1" t="s">
        <v>7473</v>
      </c>
      <c r="F7795" s="1" t="s">
        <v>25</v>
      </c>
      <c r="G7795" s="1" t="s">
        <v>17</v>
      </c>
      <c r="H7795" s="1" t="str">
        <f>"61"</f>
        <v>61</v>
      </c>
      <c r="I7795" s="1" t="str">
        <f>"248.96"</f>
        <v>248.96</v>
      </c>
      <c r="J7795" s="1" t="str">
        <f t="shared" ref="J7795:N7795" si="5578">"0"</f>
        <v>0</v>
      </c>
      <c r="K7795" s="1" t="str">
        <f t="shared" si="5551"/>
        <v>103</v>
      </c>
      <c r="L7795" s="1" t="str">
        <f t="shared" si="5552"/>
        <v>47</v>
      </c>
      <c r="M7795" s="1" t="str">
        <f t="shared" si="5578"/>
        <v>0</v>
      </c>
      <c r="N7795" s="1" t="str">
        <f t="shared" si="5578"/>
        <v>0</v>
      </c>
      <c r="O7795" s="1" t="str">
        <f>"98.96"</f>
        <v>98.96</v>
      </c>
    </row>
    <row r="7796" s="1" customFormat="1" spans="1:15">
      <c r="A7796" s="1" t="str">
        <f t="shared" si="5522"/>
        <v>202406</v>
      </c>
      <c r="B7796" s="1" t="str">
        <f t="shared" si="5523"/>
        <v>150525100</v>
      </c>
      <c r="C7796" s="1" t="str">
        <f>"1014571981"</f>
        <v>1014571981</v>
      </c>
      <c r="D7796" s="1" t="str">
        <f>"152326196308010021"</f>
        <v>152326196308010021</v>
      </c>
      <c r="E7796" s="1" t="s">
        <v>7474</v>
      </c>
      <c r="F7796" s="1" t="s">
        <v>16</v>
      </c>
      <c r="G7796" s="1" t="s">
        <v>17</v>
      </c>
      <c r="H7796" s="1" t="str">
        <f>"61"</f>
        <v>61</v>
      </c>
      <c r="I7796" s="1" t="str">
        <f>"255.52"</f>
        <v>255.52</v>
      </c>
      <c r="J7796" s="1" t="str">
        <f t="shared" ref="J7796:N7796" si="5579">"0"</f>
        <v>0</v>
      </c>
      <c r="K7796" s="1" t="str">
        <f t="shared" si="5551"/>
        <v>103</v>
      </c>
      <c r="L7796" s="1" t="str">
        <f t="shared" si="5552"/>
        <v>47</v>
      </c>
      <c r="M7796" s="1" t="str">
        <f t="shared" si="5579"/>
        <v>0</v>
      </c>
      <c r="N7796" s="1" t="str">
        <f t="shared" si="5579"/>
        <v>0</v>
      </c>
      <c r="O7796" s="1" t="str">
        <f>"105.52"</f>
        <v>105.52</v>
      </c>
    </row>
    <row r="7797" s="1" customFormat="1" spans="1:15">
      <c r="A7797" s="1" t="str">
        <f t="shared" si="5522"/>
        <v>202406</v>
      </c>
      <c r="B7797" s="1" t="str">
        <f t="shared" si="5523"/>
        <v>150525100</v>
      </c>
      <c r="C7797" s="1" t="str">
        <f>"1014572100"</f>
        <v>1014572100</v>
      </c>
      <c r="D7797" s="1" t="s">
        <v>7475</v>
      </c>
      <c r="E7797" s="1" t="s">
        <v>4434</v>
      </c>
      <c r="F7797" s="1" t="s">
        <v>25</v>
      </c>
      <c r="G7797" s="1" t="s">
        <v>17</v>
      </c>
      <c r="H7797" s="1" t="str">
        <f>"62"</f>
        <v>62</v>
      </c>
      <c r="I7797" s="1" t="str">
        <f>"163.11"</f>
        <v>163.11</v>
      </c>
      <c r="J7797" s="1" t="str">
        <f t="shared" ref="J7797:N7797" si="5580">"0"</f>
        <v>0</v>
      </c>
      <c r="K7797" s="1" t="str">
        <f t="shared" si="5551"/>
        <v>103</v>
      </c>
      <c r="L7797" s="1" t="str">
        <f t="shared" si="5552"/>
        <v>47</v>
      </c>
      <c r="M7797" s="1" t="str">
        <f t="shared" si="5580"/>
        <v>0</v>
      </c>
      <c r="N7797" s="1" t="str">
        <f t="shared" si="5580"/>
        <v>0</v>
      </c>
      <c r="O7797" s="1" t="str">
        <f>"13.11"</f>
        <v>13.11</v>
      </c>
    </row>
    <row r="7798" s="1" customFormat="1" spans="1:15">
      <c r="A7798" s="1" t="str">
        <f t="shared" si="5522"/>
        <v>202406</v>
      </c>
      <c r="B7798" s="1" t="str">
        <f t="shared" si="5523"/>
        <v>150525100</v>
      </c>
      <c r="C7798" s="1" t="str">
        <f>"1040689495"</f>
        <v>1040689495</v>
      </c>
      <c r="D7798" s="1" t="str">
        <f>"152326195712113829"</f>
        <v>152326195712113829</v>
      </c>
      <c r="E7798" s="1" t="s">
        <v>1478</v>
      </c>
      <c r="F7798" s="1" t="s">
        <v>16</v>
      </c>
      <c r="G7798" s="1" t="s">
        <v>17</v>
      </c>
      <c r="H7798" s="1" t="str">
        <f>"67"</f>
        <v>67</v>
      </c>
      <c r="I7798" s="1" t="str">
        <f>"155.22"</f>
        <v>155.22</v>
      </c>
      <c r="J7798" s="1" t="str">
        <f t="shared" ref="J7798:N7798" si="5581">"0"</f>
        <v>0</v>
      </c>
      <c r="K7798" s="1" t="str">
        <f t="shared" si="5551"/>
        <v>103</v>
      </c>
      <c r="L7798" s="1" t="str">
        <f t="shared" si="5552"/>
        <v>47</v>
      </c>
      <c r="M7798" s="1" t="str">
        <f t="shared" si="5581"/>
        <v>0</v>
      </c>
      <c r="N7798" s="1" t="str">
        <f t="shared" si="5581"/>
        <v>0</v>
      </c>
      <c r="O7798" s="1" t="str">
        <f>"5.22"</f>
        <v>5.22</v>
      </c>
    </row>
    <row r="7799" s="1" customFormat="1" spans="1:15">
      <c r="A7799" s="1" t="str">
        <f t="shared" si="5522"/>
        <v>202406</v>
      </c>
      <c r="B7799" s="1" t="str">
        <f t="shared" si="5523"/>
        <v>150525100</v>
      </c>
      <c r="C7799" s="1" t="str">
        <f>"1040689499"</f>
        <v>1040689499</v>
      </c>
      <c r="D7799" s="1" t="str">
        <f>"152326195702033817"</f>
        <v>152326195702033817</v>
      </c>
      <c r="E7799" s="1" t="s">
        <v>6122</v>
      </c>
      <c r="F7799" s="1" t="s">
        <v>25</v>
      </c>
      <c r="G7799" s="1" t="s">
        <v>19</v>
      </c>
      <c r="H7799" s="1" t="str">
        <f>"67"</f>
        <v>67</v>
      </c>
      <c r="I7799" s="1" t="str">
        <f>"155.15"</f>
        <v>155.15</v>
      </c>
      <c r="J7799" s="1" t="str">
        <f t="shared" ref="J7799:N7799" si="5582">"0"</f>
        <v>0</v>
      </c>
      <c r="K7799" s="1" t="str">
        <f t="shared" si="5551"/>
        <v>103</v>
      </c>
      <c r="L7799" s="1" t="str">
        <f t="shared" si="5552"/>
        <v>47</v>
      </c>
      <c r="M7799" s="1" t="str">
        <f t="shared" si="5582"/>
        <v>0</v>
      </c>
      <c r="N7799" s="1" t="str">
        <f t="shared" si="5582"/>
        <v>0</v>
      </c>
      <c r="O7799" s="1" t="str">
        <f>"5.15"</f>
        <v>5.15</v>
      </c>
    </row>
    <row r="7800" s="1" customFormat="1" spans="1:15">
      <c r="A7800" s="1" t="str">
        <f t="shared" si="5522"/>
        <v>202406</v>
      </c>
      <c r="B7800" s="1" t="str">
        <f t="shared" si="5523"/>
        <v>150525100</v>
      </c>
      <c r="C7800" s="1" t="str">
        <f>"1040689704"</f>
        <v>1040689704</v>
      </c>
      <c r="D7800" s="1" t="str">
        <f>"152326195512180672"</f>
        <v>152326195512180672</v>
      </c>
      <c r="E7800" s="1" t="s">
        <v>7476</v>
      </c>
      <c r="F7800" s="1" t="s">
        <v>25</v>
      </c>
      <c r="G7800" s="1" t="s">
        <v>17</v>
      </c>
      <c r="H7800" s="1" t="str">
        <f>"69"</f>
        <v>69</v>
      </c>
      <c r="I7800" s="1" t="str">
        <f>"154.21"</f>
        <v>154.21</v>
      </c>
      <c r="J7800" s="1" t="str">
        <f t="shared" ref="J7800:N7800" si="5583">"0"</f>
        <v>0</v>
      </c>
      <c r="K7800" s="1" t="str">
        <f t="shared" si="5551"/>
        <v>103</v>
      </c>
      <c r="L7800" s="1" t="str">
        <f t="shared" si="5552"/>
        <v>47</v>
      </c>
      <c r="M7800" s="1" t="str">
        <f t="shared" si="5583"/>
        <v>0</v>
      </c>
      <c r="N7800" s="1" t="str">
        <f t="shared" si="5583"/>
        <v>0</v>
      </c>
      <c r="O7800" s="1" t="str">
        <f>"4.21"</f>
        <v>4.21</v>
      </c>
    </row>
    <row r="7801" s="1" customFormat="1" spans="1:15">
      <c r="A7801" s="1" t="str">
        <f t="shared" si="5522"/>
        <v>202406</v>
      </c>
      <c r="B7801" s="1" t="str">
        <f t="shared" si="5523"/>
        <v>150525100</v>
      </c>
      <c r="C7801" s="1" t="str">
        <f>"1040689746"</f>
        <v>1040689746</v>
      </c>
      <c r="D7801" s="1" t="s">
        <v>7477</v>
      </c>
      <c r="E7801" s="1" t="s">
        <v>7478</v>
      </c>
      <c r="F7801" s="1" t="s">
        <v>16</v>
      </c>
      <c r="G7801" s="1" t="s">
        <v>19</v>
      </c>
      <c r="H7801" s="1" t="str">
        <f>"69"</f>
        <v>69</v>
      </c>
      <c r="I7801" s="1" t="str">
        <f>"154.21"</f>
        <v>154.21</v>
      </c>
      <c r="J7801" s="1" t="str">
        <f t="shared" ref="J7801:N7801" si="5584">"0"</f>
        <v>0</v>
      </c>
      <c r="K7801" s="1" t="str">
        <f t="shared" si="5551"/>
        <v>103</v>
      </c>
      <c r="L7801" s="1" t="str">
        <f t="shared" si="5552"/>
        <v>47</v>
      </c>
      <c r="M7801" s="1" t="str">
        <f t="shared" si="5584"/>
        <v>0</v>
      </c>
      <c r="N7801" s="1" t="str">
        <f t="shared" si="5584"/>
        <v>0</v>
      </c>
      <c r="O7801" s="1" t="str">
        <f>"4.21"</f>
        <v>4.21</v>
      </c>
    </row>
    <row r="7802" s="1" customFormat="1" spans="1:15">
      <c r="A7802" s="1" t="str">
        <f t="shared" si="5522"/>
        <v>202406</v>
      </c>
      <c r="B7802" s="1" t="str">
        <f t="shared" si="5523"/>
        <v>150525100</v>
      </c>
      <c r="C7802" s="1" t="str">
        <f>"1040689769"</f>
        <v>1040689769</v>
      </c>
      <c r="D7802" s="1" t="str">
        <f>"152326195803033816"</f>
        <v>152326195803033816</v>
      </c>
      <c r="E7802" s="1" t="s">
        <v>7479</v>
      </c>
      <c r="F7802" s="1" t="s">
        <v>25</v>
      </c>
      <c r="G7802" s="1" t="s">
        <v>19</v>
      </c>
      <c r="H7802" s="1" t="str">
        <f t="shared" ref="H7802:H7805" si="5585">"66"</f>
        <v>66</v>
      </c>
      <c r="I7802" s="1" t="str">
        <f>"155.57"</f>
        <v>155.57</v>
      </c>
      <c r="J7802" s="1" t="str">
        <f t="shared" ref="J7802:N7802" si="5586">"0"</f>
        <v>0</v>
      </c>
      <c r="K7802" s="1" t="str">
        <f t="shared" si="5551"/>
        <v>103</v>
      </c>
      <c r="L7802" s="1" t="str">
        <f t="shared" si="5552"/>
        <v>47</v>
      </c>
      <c r="M7802" s="1" t="str">
        <f t="shared" si="5586"/>
        <v>0</v>
      </c>
      <c r="N7802" s="1" t="str">
        <f t="shared" si="5586"/>
        <v>0</v>
      </c>
      <c r="O7802" s="1" t="str">
        <f>"5.57"</f>
        <v>5.57</v>
      </c>
    </row>
    <row r="7803" s="1" customFormat="1" spans="1:15">
      <c r="A7803" s="1" t="str">
        <f t="shared" si="5522"/>
        <v>202406</v>
      </c>
      <c r="B7803" s="1" t="str">
        <f t="shared" si="5523"/>
        <v>150525100</v>
      </c>
      <c r="C7803" s="1" t="str">
        <f>"1040689776"</f>
        <v>1040689776</v>
      </c>
      <c r="D7803" s="1" t="str">
        <f>"152326195409203821"</f>
        <v>152326195409203821</v>
      </c>
      <c r="E7803" s="1" t="s">
        <v>7480</v>
      </c>
      <c r="F7803" s="1" t="s">
        <v>16</v>
      </c>
      <c r="G7803" s="1" t="s">
        <v>17</v>
      </c>
      <c r="H7803" s="1" t="str">
        <f>"70"</f>
        <v>70</v>
      </c>
      <c r="I7803" s="1" t="str">
        <f>"153.29"</f>
        <v>153.29</v>
      </c>
      <c r="J7803" s="1" t="str">
        <f t="shared" ref="J7803:N7803" si="5587">"0"</f>
        <v>0</v>
      </c>
      <c r="K7803" s="1" t="str">
        <f t="shared" si="5551"/>
        <v>103</v>
      </c>
      <c r="L7803" s="1" t="str">
        <f t="shared" si="5552"/>
        <v>47</v>
      </c>
      <c r="M7803" s="1" t="str">
        <f t="shared" si="5587"/>
        <v>0</v>
      </c>
      <c r="N7803" s="1" t="str">
        <f t="shared" si="5587"/>
        <v>0</v>
      </c>
      <c r="O7803" s="1" t="str">
        <f>"3.29"</f>
        <v>3.29</v>
      </c>
    </row>
    <row r="7804" s="1" customFormat="1" spans="1:15">
      <c r="A7804" s="1" t="str">
        <f t="shared" si="5522"/>
        <v>202406</v>
      </c>
      <c r="B7804" s="1" t="str">
        <f t="shared" si="5523"/>
        <v>150525100</v>
      </c>
      <c r="C7804" s="1" t="str">
        <f>"1040689417"</f>
        <v>1040689417</v>
      </c>
      <c r="D7804" s="1" t="str">
        <f>"152326195805140666"</f>
        <v>152326195805140666</v>
      </c>
      <c r="E7804" s="1" t="s">
        <v>2796</v>
      </c>
      <c r="F7804" s="1" t="s">
        <v>16</v>
      </c>
      <c r="G7804" s="1" t="s">
        <v>17</v>
      </c>
      <c r="H7804" s="1" t="str">
        <f t="shared" si="5585"/>
        <v>66</v>
      </c>
      <c r="I7804" s="1" t="str">
        <f>"156.97"</f>
        <v>156.97</v>
      </c>
      <c r="J7804" s="1" t="str">
        <f t="shared" ref="J7804:N7804" si="5588">"0"</f>
        <v>0</v>
      </c>
      <c r="K7804" s="1" t="str">
        <f t="shared" si="5551"/>
        <v>103</v>
      </c>
      <c r="L7804" s="1" t="str">
        <f t="shared" si="5552"/>
        <v>47</v>
      </c>
      <c r="M7804" s="1" t="str">
        <f t="shared" si="5588"/>
        <v>0</v>
      </c>
      <c r="N7804" s="1" t="str">
        <f t="shared" si="5588"/>
        <v>0</v>
      </c>
      <c r="O7804" s="1" t="str">
        <f>"6.97"</f>
        <v>6.97</v>
      </c>
    </row>
    <row r="7805" s="1" customFormat="1" spans="1:15">
      <c r="A7805" s="1" t="str">
        <f t="shared" si="5522"/>
        <v>202406</v>
      </c>
      <c r="B7805" s="1" t="str">
        <f t="shared" si="5523"/>
        <v>150525100</v>
      </c>
      <c r="C7805" s="1" t="str">
        <f>"1040689572"</f>
        <v>1040689572</v>
      </c>
      <c r="D7805" s="1" t="s">
        <v>7481</v>
      </c>
      <c r="E7805" s="1" t="s">
        <v>7482</v>
      </c>
      <c r="F7805" s="1" t="s">
        <v>16</v>
      </c>
      <c r="G7805" s="1" t="s">
        <v>19</v>
      </c>
      <c r="H7805" s="1" t="str">
        <f t="shared" si="5585"/>
        <v>66</v>
      </c>
      <c r="I7805" s="1" t="str">
        <f>"157.1"</f>
        <v>157.1</v>
      </c>
      <c r="J7805" s="1" t="str">
        <f t="shared" ref="J7805:N7805" si="5589">"0"</f>
        <v>0</v>
      </c>
      <c r="K7805" s="1" t="str">
        <f t="shared" si="5551"/>
        <v>103</v>
      </c>
      <c r="L7805" s="1" t="str">
        <f t="shared" si="5552"/>
        <v>47</v>
      </c>
      <c r="M7805" s="1" t="str">
        <f t="shared" si="5589"/>
        <v>0</v>
      </c>
      <c r="N7805" s="1" t="str">
        <f t="shared" si="5589"/>
        <v>0</v>
      </c>
      <c r="O7805" s="1" t="str">
        <f>"7.1"</f>
        <v>7.1</v>
      </c>
    </row>
    <row r="7806" s="1" customFormat="1" spans="1:15">
      <c r="A7806" s="1" t="str">
        <f t="shared" si="5522"/>
        <v>202406</v>
      </c>
      <c r="B7806" s="1" t="str">
        <f t="shared" si="5523"/>
        <v>150525100</v>
      </c>
      <c r="C7806" s="1" t="str">
        <f>"1040689651"</f>
        <v>1040689651</v>
      </c>
      <c r="D7806" s="1" t="str">
        <f>"152326195909253075"</f>
        <v>152326195909253075</v>
      </c>
      <c r="E7806" s="1" t="s">
        <v>7483</v>
      </c>
      <c r="F7806" s="1" t="s">
        <v>25</v>
      </c>
      <c r="G7806" s="1" t="s">
        <v>17</v>
      </c>
      <c r="H7806" s="1" t="str">
        <f>"65"</f>
        <v>65</v>
      </c>
      <c r="I7806" s="1" t="str">
        <f>"157.25"</f>
        <v>157.25</v>
      </c>
      <c r="J7806" s="1" t="str">
        <f t="shared" ref="J7806:N7806" si="5590">"0"</f>
        <v>0</v>
      </c>
      <c r="K7806" s="1" t="str">
        <f t="shared" si="5551"/>
        <v>103</v>
      </c>
      <c r="L7806" s="1" t="str">
        <f t="shared" si="5552"/>
        <v>47</v>
      </c>
      <c r="M7806" s="1" t="str">
        <f t="shared" si="5590"/>
        <v>0</v>
      </c>
      <c r="N7806" s="1" t="str">
        <f t="shared" si="5590"/>
        <v>0</v>
      </c>
      <c r="O7806" s="1" t="str">
        <f>"7.25"</f>
        <v>7.25</v>
      </c>
    </row>
    <row r="7807" s="1" customFormat="1" spans="1:15">
      <c r="A7807" s="1" t="str">
        <f t="shared" si="5522"/>
        <v>202406</v>
      </c>
      <c r="B7807" s="1" t="str">
        <f t="shared" si="5523"/>
        <v>150525100</v>
      </c>
      <c r="C7807" s="1" t="str">
        <f>"1040689783"</f>
        <v>1040689783</v>
      </c>
      <c r="D7807" s="1" t="str">
        <f>"152326195505293812"</f>
        <v>152326195505293812</v>
      </c>
      <c r="E7807" s="1" t="s">
        <v>7484</v>
      </c>
      <c r="F7807" s="1" t="s">
        <v>25</v>
      </c>
      <c r="G7807" s="1" t="s">
        <v>17</v>
      </c>
      <c r="H7807" s="1" t="str">
        <f>"69"</f>
        <v>69</v>
      </c>
      <c r="I7807" s="1" t="str">
        <f>"164.01"</f>
        <v>164.01</v>
      </c>
      <c r="J7807" s="1" t="str">
        <f t="shared" ref="J7807:N7807" si="5591">"0"</f>
        <v>0</v>
      </c>
      <c r="K7807" s="1" t="str">
        <f t="shared" si="5551"/>
        <v>103</v>
      </c>
      <c r="L7807" s="1" t="str">
        <f t="shared" si="5552"/>
        <v>47</v>
      </c>
      <c r="M7807" s="1" t="str">
        <f t="shared" si="5591"/>
        <v>0</v>
      </c>
      <c r="N7807" s="1" t="str">
        <f t="shared" si="5591"/>
        <v>0</v>
      </c>
      <c r="O7807" s="1" t="str">
        <f>"14.01"</f>
        <v>14.01</v>
      </c>
    </row>
    <row r="7808" s="1" customFormat="1" spans="1:15">
      <c r="A7808" s="1" t="str">
        <f t="shared" si="5522"/>
        <v>202406</v>
      </c>
      <c r="B7808" s="1" t="str">
        <f t="shared" si="5523"/>
        <v>150525100</v>
      </c>
      <c r="C7808" s="1" t="str">
        <f>"1040689787"</f>
        <v>1040689787</v>
      </c>
      <c r="D7808" s="1" t="str">
        <f>"152326195808203829"</f>
        <v>152326195808203829</v>
      </c>
      <c r="E7808" s="1" t="s">
        <v>7485</v>
      </c>
      <c r="F7808" s="1" t="s">
        <v>16</v>
      </c>
      <c r="G7808" s="1" t="s">
        <v>17</v>
      </c>
      <c r="H7808" s="1" t="str">
        <f>"66"</f>
        <v>66</v>
      </c>
      <c r="I7808" s="1" t="str">
        <f>"156.2"</f>
        <v>156.2</v>
      </c>
      <c r="J7808" s="1" t="str">
        <f t="shared" ref="J7808:N7808" si="5592">"0"</f>
        <v>0</v>
      </c>
      <c r="K7808" s="1" t="str">
        <f t="shared" si="5551"/>
        <v>103</v>
      </c>
      <c r="L7808" s="1" t="str">
        <f t="shared" si="5552"/>
        <v>47</v>
      </c>
      <c r="M7808" s="1" t="str">
        <f t="shared" si="5592"/>
        <v>0</v>
      </c>
      <c r="N7808" s="1" t="str">
        <f t="shared" si="5592"/>
        <v>0</v>
      </c>
      <c r="O7808" s="1" t="str">
        <f>"6.2"</f>
        <v>6.2</v>
      </c>
    </row>
    <row r="7809" s="1" customFormat="1" spans="1:15">
      <c r="A7809" s="1" t="str">
        <f t="shared" si="5522"/>
        <v>202406</v>
      </c>
      <c r="B7809" s="1" t="str">
        <f t="shared" si="5523"/>
        <v>150525100</v>
      </c>
      <c r="C7809" s="1" t="str">
        <f>"1040689798"</f>
        <v>1040689798</v>
      </c>
      <c r="D7809" s="1" t="str">
        <f>"152326195412163816"</f>
        <v>152326195412163816</v>
      </c>
      <c r="E7809" s="1" t="s">
        <v>7467</v>
      </c>
      <c r="F7809" s="1" t="s">
        <v>25</v>
      </c>
      <c r="G7809" s="1" t="s">
        <v>17</v>
      </c>
      <c r="H7809" s="1" t="str">
        <f t="shared" ref="H7809:H7811" si="5593">"70"</f>
        <v>70</v>
      </c>
      <c r="I7809" s="1" t="str">
        <f>"153.25"</f>
        <v>153.25</v>
      </c>
      <c r="J7809" s="1" t="str">
        <f t="shared" ref="J7809:N7809" si="5594">"0"</f>
        <v>0</v>
      </c>
      <c r="K7809" s="1" t="str">
        <f t="shared" si="5551"/>
        <v>103</v>
      </c>
      <c r="L7809" s="1" t="str">
        <f t="shared" si="5552"/>
        <v>47</v>
      </c>
      <c r="M7809" s="1" t="str">
        <f t="shared" si="5594"/>
        <v>0</v>
      </c>
      <c r="N7809" s="1" t="str">
        <f t="shared" si="5594"/>
        <v>0</v>
      </c>
      <c r="O7809" s="1" t="str">
        <f>"3.25"</f>
        <v>3.25</v>
      </c>
    </row>
    <row r="7810" s="1" customFormat="1" spans="1:15">
      <c r="A7810" s="1" t="str">
        <f t="shared" ref="A7810:A7873" si="5595">"202406"</f>
        <v>202406</v>
      </c>
      <c r="B7810" s="1" t="str">
        <f t="shared" ref="B7810:B7873" si="5596">"150525100"</f>
        <v>150525100</v>
      </c>
      <c r="C7810" s="1" t="str">
        <f>"1040689421"</f>
        <v>1040689421</v>
      </c>
      <c r="D7810" s="1" t="str">
        <f>"152326195405180669"</f>
        <v>152326195405180669</v>
      </c>
      <c r="E7810" s="1" t="s">
        <v>6090</v>
      </c>
      <c r="F7810" s="1" t="s">
        <v>16</v>
      </c>
      <c r="G7810" s="1" t="s">
        <v>17</v>
      </c>
      <c r="H7810" s="1" t="str">
        <f t="shared" si="5593"/>
        <v>70</v>
      </c>
      <c r="I7810" s="1" t="str">
        <f>"163.26"</f>
        <v>163.26</v>
      </c>
      <c r="J7810" s="1" t="str">
        <f t="shared" ref="J7810:N7810" si="5597">"0"</f>
        <v>0</v>
      </c>
      <c r="K7810" s="1" t="str">
        <f t="shared" si="5551"/>
        <v>103</v>
      </c>
      <c r="L7810" s="1" t="str">
        <f t="shared" si="5552"/>
        <v>47</v>
      </c>
      <c r="M7810" s="1" t="str">
        <f t="shared" si="5597"/>
        <v>0</v>
      </c>
      <c r="N7810" s="1" t="str">
        <f t="shared" si="5597"/>
        <v>0</v>
      </c>
      <c r="O7810" s="1" t="str">
        <f>"3.26"</f>
        <v>3.26</v>
      </c>
    </row>
    <row r="7811" s="1" customFormat="1" spans="1:15">
      <c r="A7811" s="1" t="str">
        <f t="shared" si="5595"/>
        <v>202406</v>
      </c>
      <c r="B7811" s="1" t="str">
        <f t="shared" si="5596"/>
        <v>150525100</v>
      </c>
      <c r="C7811" s="1" t="str">
        <f>"1040689448"</f>
        <v>1040689448</v>
      </c>
      <c r="D7811" s="1" t="str">
        <f>"152326195408160444"</f>
        <v>152326195408160444</v>
      </c>
      <c r="E7811" s="1" t="s">
        <v>4641</v>
      </c>
      <c r="F7811" s="1" t="s">
        <v>16</v>
      </c>
      <c r="G7811" s="1" t="s">
        <v>19</v>
      </c>
      <c r="H7811" s="1" t="str">
        <f t="shared" si="5593"/>
        <v>70</v>
      </c>
      <c r="I7811" s="1" t="str">
        <f>"153.28"</f>
        <v>153.28</v>
      </c>
      <c r="J7811" s="1" t="str">
        <f t="shared" ref="J7811:N7811" si="5598">"0"</f>
        <v>0</v>
      </c>
      <c r="K7811" s="1" t="str">
        <f t="shared" si="5551"/>
        <v>103</v>
      </c>
      <c r="L7811" s="1" t="str">
        <f t="shared" si="5552"/>
        <v>47</v>
      </c>
      <c r="M7811" s="1" t="str">
        <f t="shared" si="5598"/>
        <v>0</v>
      </c>
      <c r="N7811" s="1" t="str">
        <f t="shared" si="5598"/>
        <v>0</v>
      </c>
      <c r="O7811" s="1" t="str">
        <f>"3.28"</f>
        <v>3.28</v>
      </c>
    </row>
    <row r="7812" s="1" customFormat="1" spans="1:15">
      <c r="A7812" s="1" t="str">
        <f t="shared" si="5595"/>
        <v>202406</v>
      </c>
      <c r="B7812" s="1" t="str">
        <f t="shared" si="5596"/>
        <v>150525100</v>
      </c>
      <c r="C7812" s="1" t="str">
        <f>"1040689511"</f>
        <v>1040689511</v>
      </c>
      <c r="D7812" s="1" t="str">
        <f>"152326195712030425"</f>
        <v>152326195712030425</v>
      </c>
      <c r="E7812" s="1" t="s">
        <v>7486</v>
      </c>
      <c r="F7812" s="1" t="s">
        <v>16</v>
      </c>
      <c r="G7812" s="1" t="s">
        <v>17</v>
      </c>
      <c r="H7812" s="1" t="str">
        <f>"67"</f>
        <v>67</v>
      </c>
      <c r="I7812" s="1" t="str">
        <f>"156.16"</f>
        <v>156.16</v>
      </c>
      <c r="J7812" s="1" t="str">
        <f t="shared" ref="J7812:N7812" si="5599">"0"</f>
        <v>0</v>
      </c>
      <c r="K7812" s="1" t="str">
        <f t="shared" si="5551"/>
        <v>103</v>
      </c>
      <c r="L7812" s="1" t="str">
        <f t="shared" si="5552"/>
        <v>47</v>
      </c>
      <c r="M7812" s="1" t="str">
        <f t="shared" si="5599"/>
        <v>0</v>
      </c>
      <c r="N7812" s="1" t="str">
        <f t="shared" si="5599"/>
        <v>0</v>
      </c>
      <c r="O7812" s="1" t="str">
        <f>"6.16"</f>
        <v>6.16</v>
      </c>
    </row>
    <row r="7813" s="1" customFormat="1" spans="1:15">
      <c r="A7813" s="1" t="str">
        <f t="shared" si="5595"/>
        <v>202406</v>
      </c>
      <c r="B7813" s="1" t="str">
        <f t="shared" si="5596"/>
        <v>150525100</v>
      </c>
      <c r="C7813" s="1" t="str">
        <f>"1040689378"</f>
        <v>1040689378</v>
      </c>
      <c r="D7813" s="1" t="str">
        <f>"152326195711130678"</f>
        <v>152326195711130678</v>
      </c>
      <c r="E7813" s="1" t="s">
        <v>7487</v>
      </c>
      <c r="F7813" s="1" t="s">
        <v>25</v>
      </c>
      <c r="G7813" s="1" t="s">
        <v>17</v>
      </c>
      <c r="H7813" s="1" t="str">
        <f>"67"</f>
        <v>67</v>
      </c>
      <c r="I7813" s="1" t="str">
        <f>"155.22"</f>
        <v>155.22</v>
      </c>
      <c r="J7813" s="1" t="str">
        <f t="shared" ref="J7813:N7813" si="5600">"0"</f>
        <v>0</v>
      </c>
      <c r="K7813" s="1" t="str">
        <f t="shared" si="5551"/>
        <v>103</v>
      </c>
      <c r="L7813" s="1" t="str">
        <f t="shared" si="5552"/>
        <v>47</v>
      </c>
      <c r="M7813" s="1" t="str">
        <f t="shared" si="5600"/>
        <v>0</v>
      </c>
      <c r="N7813" s="1" t="str">
        <f t="shared" si="5600"/>
        <v>0</v>
      </c>
      <c r="O7813" s="1" t="str">
        <f>"5.22"</f>
        <v>5.22</v>
      </c>
    </row>
    <row r="7814" s="1" customFormat="1" spans="1:15">
      <c r="A7814" s="1" t="str">
        <f t="shared" si="5595"/>
        <v>202406</v>
      </c>
      <c r="B7814" s="1" t="str">
        <f t="shared" si="5596"/>
        <v>150525100</v>
      </c>
      <c r="C7814" s="1" t="str">
        <f>"1040689530"</f>
        <v>1040689530</v>
      </c>
      <c r="D7814" s="1" t="str">
        <f>"152326195504030690"</f>
        <v>152326195504030690</v>
      </c>
      <c r="E7814" s="1" t="s">
        <v>7488</v>
      </c>
      <c r="F7814" s="1" t="s">
        <v>25</v>
      </c>
      <c r="G7814" s="1" t="s">
        <v>17</v>
      </c>
      <c r="H7814" s="1" t="str">
        <f>"69"</f>
        <v>69</v>
      </c>
      <c r="I7814" s="1" t="str">
        <f>"169.65"</f>
        <v>169.65</v>
      </c>
      <c r="J7814" s="1" t="str">
        <f t="shared" ref="J7814:N7814" si="5601">"0"</f>
        <v>0</v>
      </c>
      <c r="K7814" s="1" t="str">
        <f t="shared" si="5551"/>
        <v>103</v>
      </c>
      <c r="L7814" s="1" t="str">
        <f t="shared" si="5552"/>
        <v>47</v>
      </c>
      <c r="M7814" s="1" t="str">
        <f t="shared" si="5601"/>
        <v>0</v>
      </c>
      <c r="N7814" s="1" t="str">
        <f t="shared" si="5601"/>
        <v>0</v>
      </c>
      <c r="O7814" s="1" t="str">
        <f>"19.65"</f>
        <v>19.65</v>
      </c>
    </row>
    <row r="7815" s="1" customFormat="1" spans="1:15">
      <c r="A7815" s="1" t="str">
        <f t="shared" si="5595"/>
        <v>202406</v>
      </c>
      <c r="B7815" s="1" t="str">
        <f t="shared" si="5596"/>
        <v>150525100</v>
      </c>
      <c r="C7815" s="1" t="str">
        <f>"1040689544"</f>
        <v>1040689544</v>
      </c>
      <c r="D7815" s="1" t="str">
        <f>"152326195901080675"</f>
        <v>152326195901080675</v>
      </c>
      <c r="E7815" s="1" t="s">
        <v>7489</v>
      </c>
      <c r="F7815" s="1" t="s">
        <v>25</v>
      </c>
      <c r="G7815" s="1" t="s">
        <v>17</v>
      </c>
      <c r="H7815" s="1" t="str">
        <f>"65"</f>
        <v>65</v>
      </c>
      <c r="I7815" s="1" t="str">
        <f>"157.19"</f>
        <v>157.19</v>
      </c>
      <c r="J7815" s="1" t="str">
        <f t="shared" ref="J7815:N7815" si="5602">"0"</f>
        <v>0</v>
      </c>
      <c r="K7815" s="1" t="str">
        <f t="shared" si="5551"/>
        <v>103</v>
      </c>
      <c r="L7815" s="1" t="str">
        <f t="shared" si="5552"/>
        <v>47</v>
      </c>
      <c r="M7815" s="1" t="str">
        <f t="shared" si="5602"/>
        <v>0</v>
      </c>
      <c r="N7815" s="1" t="str">
        <f t="shared" si="5602"/>
        <v>0</v>
      </c>
      <c r="O7815" s="1" t="str">
        <f>"7.19"</f>
        <v>7.19</v>
      </c>
    </row>
    <row r="7816" s="1" customFormat="1" spans="1:15">
      <c r="A7816" s="1" t="str">
        <f t="shared" si="5595"/>
        <v>202406</v>
      </c>
      <c r="B7816" s="1" t="str">
        <f t="shared" si="5596"/>
        <v>150525100</v>
      </c>
      <c r="C7816" s="1" t="str">
        <f>"1040689697"</f>
        <v>1040689697</v>
      </c>
      <c r="D7816" s="1" t="str">
        <f>"152326196401010683"</f>
        <v>152326196401010683</v>
      </c>
      <c r="E7816" s="1" t="s">
        <v>7490</v>
      </c>
      <c r="F7816" s="1" t="s">
        <v>16</v>
      </c>
      <c r="G7816" s="1" t="s">
        <v>17</v>
      </c>
      <c r="H7816" s="1" t="str">
        <f>"61"</f>
        <v>61</v>
      </c>
      <c r="I7816" s="1" t="str">
        <f>"165.86"</f>
        <v>165.86</v>
      </c>
      <c r="J7816" s="1" t="str">
        <f t="shared" ref="J7816:N7816" si="5603">"0"</f>
        <v>0</v>
      </c>
      <c r="K7816" s="1" t="str">
        <f t="shared" si="5551"/>
        <v>103</v>
      </c>
      <c r="L7816" s="1" t="str">
        <f t="shared" si="5552"/>
        <v>47</v>
      </c>
      <c r="M7816" s="1" t="str">
        <f t="shared" si="5603"/>
        <v>0</v>
      </c>
      <c r="N7816" s="1" t="str">
        <f t="shared" si="5603"/>
        <v>0</v>
      </c>
      <c r="O7816" s="1" t="str">
        <f>"15.86"</f>
        <v>15.86</v>
      </c>
    </row>
    <row r="7817" s="1" customFormat="1" spans="1:15">
      <c r="A7817" s="1" t="str">
        <f t="shared" si="5595"/>
        <v>202406</v>
      </c>
      <c r="B7817" s="1" t="str">
        <f t="shared" si="5596"/>
        <v>150525100</v>
      </c>
      <c r="C7817" s="1" t="str">
        <f>"1040693332"</f>
        <v>1040693332</v>
      </c>
      <c r="D7817" s="1" t="str">
        <f>"152326195410260663"</f>
        <v>152326195410260663</v>
      </c>
      <c r="E7817" s="1" t="s">
        <v>1751</v>
      </c>
      <c r="F7817" s="1" t="s">
        <v>16</v>
      </c>
      <c r="G7817" s="1" t="s">
        <v>17</v>
      </c>
      <c r="H7817" s="1" t="str">
        <f>"70"</f>
        <v>70</v>
      </c>
      <c r="I7817" s="1" t="str">
        <f>"152.93"</f>
        <v>152.93</v>
      </c>
      <c r="J7817" s="1" t="str">
        <f t="shared" ref="J7817:N7817" si="5604">"0"</f>
        <v>0</v>
      </c>
      <c r="K7817" s="1" t="str">
        <f t="shared" si="5551"/>
        <v>103</v>
      </c>
      <c r="L7817" s="1" t="str">
        <f t="shared" si="5552"/>
        <v>47</v>
      </c>
      <c r="M7817" s="1" t="str">
        <f t="shared" si="5604"/>
        <v>0</v>
      </c>
      <c r="N7817" s="1" t="str">
        <f t="shared" si="5604"/>
        <v>0</v>
      </c>
      <c r="O7817" s="1" t="str">
        <f>"2.93"</f>
        <v>2.93</v>
      </c>
    </row>
    <row r="7818" s="1" customFormat="1" spans="1:15">
      <c r="A7818" s="1" t="str">
        <f t="shared" si="5595"/>
        <v>202406</v>
      </c>
      <c r="B7818" s="1" t="str">
        <f t="shared" si="5596"/>
        <v>150525100</v>
      </c>
      <c r="C7818" s="1" t="str">
        <f>"1014630182"</f>
        <v>1014630182</v>
      </c>
      <c r="D7818" s="1" t="str">
        <f>"152326194406173829"</f>
        <v>152326194406173829</v>
      </c>
      <c r="E7818" s="1" t="s">
        <v>5673</v>
      </c>
      <c r="F7818" s="1" t="s">
        <v>16</v>
      </c>
      <c r="G7818" s="1" t="s">
        <v>17</v>
      </c>
      <c r="H7818" s="1" t="str">
        <f>"80"</f>
        <v>80</v>
      </c>
      <c r="I7818" s="1" t="str">
        <f t="shared" ref="I7818:I7833" si="5605">"160"</f>
        <v>160</v>
      </c>
      <c r="J7818" s="1" t="str">
        <f t="shared" ref="J7818:O7818" si="5606">"0"</f>
        <v>0</v>
      </c>
      <c r="K7818" s="1" t="str">
        <f t="shared" si="5551"/>
        <v>103</v>
      </c>
      <c r="L7818" s="1" t="str">
        <f t="shared" si="5552"/>
        <v>47</v>
      </c>
      <c r="M7818" s="1" t="str">
        <f t="shared" si="5606"/>
        <v>0</v>
      </c>
      <c r="N7818" s="1" t="str">
        <f t="shared" si="5606"/>
        <v>0</v>
      </c>
      <c r="O7818" s="1" t="str">
        <f t="shared" si="5606"/>
        <v>0</v>
      </c>
    </row>
    <row r="7819" s="1" customFormat="1" spans="1:15">
      <c r="A7819" s="1" t="str">
        <f t="shared" si="5595"/>
        <v>202406</v>
      </c>
      <c r="B7819" s="1" t="str">
        <f t="shared" si="5596"/>
        <v>150525100</v>
      </c>
      <c r="C7819" s="1" t="str">
        <f>"1014630205"</f>
        <v>1014630205</v>
      </c>
      <c r="D7819" s="1" t="str">
        <f>"152326194911110423"</f>
        <v>152326194911110423</v>
      </c>
      <c r="E7819" s="1" t="s">
        <v>2531</v>
      </c>
      <c r="F7819" s="1" t="s">
        <v>16</v>
      </c>
      <c r="G7819" s="1" t="s">
        <v>17</v>
      </c>
      <c r="H7819" s="1" t="str">
        <f>"75"</f>
        <v>75</v>
      </c>
      <c r="I7819" s="1" t="str">
        <f t="shared" si="5605"/>
        <v>160</v>
      </c>
      <c r="J7819" s="1" t="str">
        <f t="shared" ref="J7819:O7819" si="5607">"0"</f>
        <v>0</v>
      </c>
      <c r="K7819" s="1" t="str">
        <f t="shared" si="5551"/>
        <v>103</v>
      </c>
      <c r="L7819" s="1" t="str">
        <f t="shared" si="5552"/>
        <v>47</v>
      </c>
      <c r="M7819" s="1" t="str">
        <f t="shared" si="5607"/>
        <v>0</v>
      </c>
      <c r="N7819" s="1" t="str">
        <f t="shared" si="5607"/>
        <v>0</v>
      </c>
      <c r="O7819" s="1" t="str">
        <f t="shared" si="5607"/>
        <v>0</v>
      </c>
    </row>
    <row r="7820" s="1" customFormat="1" spans="1:15">
      <c r="A7820" s="1" t="str">
        <f t="shared" si="5595"/>
        <v>202406</v>
      </c>
      <c r="B7820" s="1" t="str">
        <f t="shared" si="5596"/>
        <v>150525100</v>
      </c>
      <c r="C7820" s="1" t="str">
        <f>"1014625017"</f>
        <v>1014625017</v>
      </c>
      <c r="D7820" s="1" t="str">
        <f>"152326194402043824"</f>
        <v>152326194402043824</v>
      </c>
      <c r="E7820" s="1" t="s">
        <v>7491</v>
      </c>
      <c r="F7820" s="1" t="s">
        <v>16</v>
      </c>
      <c r="G7820" s="1" t="s">
        <v>17</v>
      </c>
      <c r="H7820" s="1" t="str">
        <f>"80"</f>
        <v>80</v>
      </c>
      <c r="I7820" s="1" t="str">
        <f>"170"</f>
        <v>170</v>
      </c>
      <c r="J7820" s="1" t="str">
        <f t="shared" ref="J7820:O7820" si="5608">"0"</f>
        <v>0</v>
      </c>
      <c r="K7820" s="1" t="str">
        <f t="shared" si="5551"/>
        <v>103</v>
      </c>
      <c r="L7820" s="1" t="str">
        <f t="shared" si="5552"/>
        <v>47</v>
      </c>
      <c r="M7820" s="1" t="str">
        <f t="shared" si="5608"/>
        <v>0</v>
      </c>
      <c r="N7820" s="1" t="str">
        <f t="shared" si="5608"/>
        <v>0</v>
      </c>
      <c r="O7820" s="1" t="str">
        <f t="shared" si="5608"/>
        <v>0</v>
      </c>
    </row>
    <row r="7821" s="1" customFormat="1" spans="1:15">
      <c r="A7821" s="1" t="str">
        <f t="shared" si="5595"/>
        <v>202406</v>
      </c>
      <c r="B7821" s="1" t="str">
        <f t="shared" si="5596"/>
        <v>150525100</v>
      </c>
      <c r="C7821" s="1" t="str">
        <f>"1014625524"</f>
        <v>1014625524</v>
      </c>
      <c r="D7821" s="1" t="str">
        <f>"152326193710100419"</f>
        <v>152326193710100419</v>
      </c>
      <c r="E7821" s="1" t="s">
        <v>7492</v>
      </c>
      <c r="F7821" s="1" t="s">
        <v>25</v>
      </c>
      <c r="G7821" s="1" t="s">
        <v>17</v>
      </c>
      <c r="H7821" s="1" t="str">
        <f>"87"</f>
        <v>87</v>
      </c>
      <c r="I7821" s="1" t="str">
        <f>"170"</f>
        <v>170</v>
      </c>
      <c r="J7821" s="1" t="str">
        <f t="shared" ref="J7821:O7821" si="5609">"0"</f>
        <v>0</v>
      </c>
      <c r="K7821" s="1" t="str">
        <f t="shared" si="5551"/>
        <v>103</v>
      </c>
      <c r="L7821" s="1" t="str">
        <f t="shared" si="5552"/>
        <v>47</v>
      </c>
      <c r="M7821" s="1" t="str">
        <f t="shared" si="5609"/>
        <v>0</v>
      </c>
      <c r="N7821" s="1" t="str">
        <f t="shared" si="5609"/>
        <v>0</v>
      </c>
      <c r="O7821" s="1" t="str">
        <f t="shared" si="5609"/>
        <v>0</v>
      </c>
    </row>
    <row r="7822" s="1" customFormat="1" spans="1:15">
      <c r="A7822" s="1" t="str">
        <f t="shared" si="5595"/>
        <v>202406</v>
      </c>
      <c r="B7822" s="1" t="str">
        <f t="shared" si="5596"/>
        <v>150525100</v>
      </c>
      <c r="C7822" s="1" t="str">
        <f>"1014625037"</f>
        <v>1014625037</v>
      </c>
      <c r="D7822" s="1" t="str">
        <f>"152326195007093324"</f>
        <v>152326195007093324</v>
      </c>
      <c r="E7822" s="1" t="s">
        <v>7493</v>
      </c>
      <c r="F7822" s="1" t="s">
        <v>16</v>
      </c>
      <c r="G7822" s="1" t="s">
        <v>17</v>
      </c>
      <c r="H7822" s="1" t="str">
        <f>"74"</f>
        <v>74</v>
      </c>
      <c r="I7822" s="1" t="str">
        <f t="shared" si="5605"/>
        <v>160</v>
      </c>
      <c r="J7822" s="1" t="str">
        <f t="shared" ref="J7822:O7822" si="5610">"0"</f>
        <v>0</v>
      </c>
      <c r="K7822" s="1" t="str">
        <f t="shared" si="5551"/>
        <v>103</v>
      </c>
      <c r="L7822" s="1" t="str">
        <f t="shared" si="5552"/>
        <v>47</v>
      </c>
      <c r="M7822" s="1" t="str">
        <f t="shared" si="5610"/>
        <v>0</v>
      </c>
      <c r="N7822" s="1" t="str">
        <f t="shared" si="5610"/>
        <v>0</v>
      </c>
      <c r="O7822" s="1" t="str">
        <f t="shared" si="5610"/>
        <v>0</v>
      </c>
    </row>
    <row r="7823" s="1" customFormat="1" spans="1:15">
      <c r="A7823" s="1" t="str">
        <f t="shared" si="5595"/>
        <v>202406</v>
      </c>
      <c r="B7823" s="1" t="str">
        <f t="shared" si="5596"/>
        <v>150525100</v>
      </c>
      <c r="C7823" s="1" t="str">
        <f>"1014625042"</f>
        <v>1014625042</v>
      </c>
      <c r="D7823" s="1" t="str">
        <f>"152326194604080025"</f>
        <v>152326194604080025</v>
      </c>
      <c r="E7823" s="1" t="s">
        <v>390</v>
      </c>
      <c r="F7823" s="1" t="s">
        <v>16</v>
      </c>
      <c r="G7823" s="1" t="s">
        <v>17</v>
      </c>
      <c r="H7823" s="1" t="str">
        <f>"78"</f>
        <v>78</v>
      </c>
      <c r="I7823" s="1" t="str">
        <f t="shared" si="5605"/>
        <v>160</v>
      </c>
      <c r="J7823" s="1" t="str">
        <f t="shared" ref="J7823:O7823" si="5611">"0"</f>
        <v>0</v>
      </c>
      <c r="K7823" s="1" t="str">
        <f t="shared" si="5551"/>
        <v>103</v>
      </c>
      <c r="L7823" s="1" t="str">
        <f t="shared" si="5552"/>
        <v>47</v>
      </c>
      <c r="M7823" s="1" t="str">
        <f t="shared" si="5611"/>
        <v>0</v>
      </c>
      <c r="N7823" s="1" t="str">
        <f t="shared" si="5611"/>
        <v>0</v>
      </c>
      <c r="O7823" s="1" t="str">
        <f t="shared" si="5611"/>
        <v>0</v>
      </c>
    </row>
    <row r="7824" s="1" customFormat="1" spans="1:15">
      <c r="A7824" s="1" t="str">
        <f t="shared" si="5595"/>
        <v>202406</v>
      </c>
      <c r="B7824" s="1" t="str">
        <f t="shared" si="5596"/>
        <v>150525100</v>
      </c>
      <c r="C7824" s="1" t="str">
        <f>"1014630247"</f>
        <v>1014630247</v>
      </c>
      <c r="D7824" s="1" t="str">
        <f>"152326194505253816"</f>
        <v>152326194505253816</v>
      </c>
      <c r="E7824" s="1" t="s">
        <v>7494</v>
      </c>
      <c r="F7824" s="1" t="s">
        <v>25</v>
      </c>
      <c r="G7824" s="1" t="s">
        <v>17</v>
      </c>
      <c r="H7824" s="1" t="str">
        <f>"79"</f>
        <v>79</v>
      </c>
      <c r="I7824" s="1" t="str">
        <f t="shared" si="5605"/>
        <v>160</v>
      </c>
      <c r="J7824" s="1" t="str">
        <f t="shared" ref="J7824:O7824" si="5612">"0"</f>
        <v>0</v>
      </c>
      <c r="K7824" s="1" t="str">
        <f t="shared" si="5551"/>
        <v>103</v>
      </c>
      <c r="L7824" s="1" t="str">
        <f t="shared" si="5552"/>
        <v>47</v>
      </c>
      <c r="M7824" s="1" t="str">
        <f t="shared" si="5612"/>
        <v>0</v>
      </c>
      <c r="N7824" s="1" t="str">
        <f t="shared" si="5612"/>
        <v>0</v>
      </c>
      <c r="O7824" s="1" t="str">
        <f t="shared" si="5612"/>
        <v>0</v>
      </c>
    </row>
    <row r="7825" s="1" customFormat="1" spans="1:15">
      <c r="A7825" s="1" t="str">
        <f t="shared" si="5595"/>
        <v>202406</v>
      </c>
      <c r="B7825" s="1" t="str">
        <f t="shared" si="5596"/>
        <v>150525100</v>
      </c>
      <c r="C7825" s="1" t="str">
        <f>"1014625102"</f>
        <v>1014625102</v>
      </c>
      <c r="D7825" s="1" t="str">
        <f>"152326194410150427"</f>
        <v>152326194410150427</v>
      </c>
      <c r="E7825" s="1" t="s">
        <v>2406</v>
      </c>
      <c r="F7825" s="1" t="s">
        <v>16</v>
      </c>
      <c r="G7825" s="1" t="s">
        <v>17</v>
      </c>
      <c r="H7825" s="1" t="str">
        <f>"80"</f>
        <v>80</v>
      </c>
      <c r="I7825" s="1" t="str">
        <f t="shared" si="5605"/>
        <v>160</v>
      </c>
      <c r="J7825" s="1" t="str">
        <f t="shared" ref="J7825:O7825" si="5613">"0"</f>
        <v>0</v>
      </c>
      <c r="K7825" s="1" t="str">
        <f t="shared" si="5551"/>
        <v>103</v>
      </c>
      <c r="L7825" s="1" t="str">
        <f t="shared" si="5552"/>
        <v>47</v>
      </c>
      <c r="M7825" s="1" t="str">
        <f t="shared" si="5613"/>
        <v>0</v>
      </c>
      <c r="N7825" s="1" t="str">
        <f t="shared" si="5613"/>
        <v>0</v>
      </c>
      <c r="O7825" s="1" t="str">
        <f t="shared" si="5613"/>
        <v>0</v>
      </c>
    </row>
    <row r="7826" s="1" customFormat="1" spans="1:15">
      <c r="A7826" s="1" t="str">
        <f t="shared" si="5595"/>
        <v>202406</v>
      </c>
      <c r="B7826" s="1" t="str">
        <f t="shared" si="5596"/>
        <v>150525100</v>
      </c>
      <c r="C7826" s="1" t="str">
        <f>"1014625117"</f>
        <v>1014625117</v>
      </c>
      <c r="D7826" s="1" t="str">
        <f>"152326194710190420"</f>
        <v>152326194710190420</v>
      </c>
      <c r="E7826" s="1" t="s">
        <v>7495</v>
      </c>
      <c r="F7826" s="1" t="s">
        <v>16</v>
      </c>
      <c r="G7826" s="1" t="s">
        <v>19</v>
      </c>
      <c r="H7826" s="1" t="str">
        <f>"77"</f>
        <v>77</v>
      </c>
      <c r="I7826" s="1" t="str">
        <f t="shared" si="5605"/>
        <v>160</v>
      </c>
      <c r="J7826" s="1" t="str">
        <f t="shared" ref="J7826:O7826" si="5614">"0"</f>
        <v>0</v>
      </c>
      <c r="K7826" s="1" t="str">
        <f t="shared" si="5551"/>
        <v>103</v>
      </c>
      <c r="L7826" s="1" t="str">
        <f t="shared" si="5552"/>
        <v>47</v>
      </c>
      <c r="M7826" s="1" t="str">
        <f t="shared" si="5614"/>
        <v>0</v>
      </c>
      <c r="N7826" s="1" t="str">
        <f t="shared" si="5614"/>
        <v>0</v>
      </c>
      <c r="O7826" s="1" t="str">
        <f t="shared" si="5614"/>
        <v>0</v>
      </c>
    </row>
    <row r="7827" s="1" customFormat="1" spans="1:15">
      <c r="A7827" s="1" t="str">
        <f t="shared" si="5595"/>
        <v>202406</v>
      </c>
      <c r="B7827" s="1" t="str">
        <f t="shared" si="5596"/>
        <v>150525100</v>
      </c>
      <c r="C7827" s="1" t="str">
        <f>"1014625124"</f>
        <v>1014625124</v>
      </c>
      <c r="D7827" s="1" t="str">
        <f>"152326195112300428"</f>
        <v>152326195112300428</v>
      </c>
      <c r="E7827" s="1" t="s">
        <v>7496</v>
      </c>
      <c r="F7827" s="1" t="s">
        <v>16</v>
      </c>
      <c r="G7827" s="1" t="s">
        <v>96</v>
      </c>
      <c r="H7827" s="1" t="str">
        <f>"73"</f>
        <v>73</v>
      </c>
      <c r="I7827" s="1" t="str">
        <f t="shared" si="5605"/>
        <v>160</v>
      </c>
      <c r="J7827" s="1" t="str">
        <f t="shared" ref="J7827:O7827" si="5615">"0"</f>
        <v>0</v>
      </c>
      <c r="K7827" s="1" t="str">
        <f t="shared" si="5551"/>
        <v>103</v>
      </c>
      <c r="L7827" s="1" t="str">
        <f t="shared" si="5552"/>
        <v>47</v>
      </c>
      <c r="M7827" s="1" t="str">
        <f t="shared" si="5615"/>
        <v>0</v>
      </c>
      <c r="N7827" s="1" t="str">
        <f t="shared" si="5615"/>
        <v>0</v>
      </c>
      <c r="O7827" s="1" t="str">
        <f t="shared" si="5615"/>
        <v>0</v>
      </c>
    </row>
    <row r="7828" s="1" customFormat="1" spans="1:15">
      <c r="A7828" s="1" t="str">
        <f t="shared" si="5595"/>
        <v>202406</v>
      </c>
      <c r="B7828" s="1" t="str">
        <f t="shared" si="5596"/>
        <v>150525100</v>
      </c>
      <c r="C7828" s="1" t="str">
        <f>"1014625148"</f>
        <v>1014625148</v>
      </c>
      <c r="D7828" s="1" t="str">
        <f>"152326194608100425"</f>
        <v>152326194608100425</v>
      </c>
      <c r="E7828" s="1" t="s">
        <v>3979</v>
      </c>
      <c r="F7828" s="1" t="s">
        <v>16</v>
      </c>
      <c r="G7828" s="1" t="s">
        <v>17</v>
      </c>
      <c r="H7828" s="1" t="str">
        <f>"78"</f>
        <v>78</v>
      </c>
      <c r="I7828" s="1" t="str">
        <f t="shared" si="5605"/>
        <v>160</v>
      </c>
      <c r="J7828" s="1" t="str">
        <f t="shared" ref="J7828:O7828" si="5616">"0"</f>
        <v>0</v>
      </c>
      <c r="K7828" s="1" t="str">
        <f t="shared" si="5551"/>
        <v>103</v>
      </c>
      <c r="L7828" s="1" t="str">
        <f t="shared" si="5552"/>
        <v>47</v>
      </c>
      <c r="M7828" s="1" t="str">
        <f t="shared" si="5616"/>
        <v>0</v>
      </c>
      <c r="N7828" s="1" t="str">
        <f t="shared" si="5616"/>
        <v>0</v>
      </c>
      <c r="O7828" s="1" t="str">
        <f t="shared" si="5616"/>
        <v>0</v>
      </c>
    </row>
    <row r="7829" s="1" customFormat="1" spans="1:15">
      <c r="A7829" s="1" t="str">
        <f t="shared" si="5595"/>
        <v>202406</v>
      </c>
      <c r="B7829" s="1" t="str">
        <f t="shared" si="5596"/>
        <v>150525100</v>
      </c>
      <c r="C7829" s="1" t="str">
        <f>"1014625167"</f>
        <v>1014625167</v>
      </c>
      <c r="D7829" s="1" t="str">
        <f>"152326194907180461"</f>
        <v>152326194907180461</v>
      </c>
      <c r="E7829" s="1" t="s">
        <v>7497</v>
      </c>
      <c r="F7829" s="1" t="s">
        <v>16</v>
      </c>
      <c r="G7829" s="1" t="s">
        <v>17</v>
      </c>
      <c r="H7829" s="1" t="str">
        <f t="shared" ref="H7829:H7833" si="5617">"75"</f>
        <v>75</v>
      </c>
      <c r="I7829" s="1" t="str">
        <f t="shared" si="5605"/>
        <v>160</v>
      </c>
      <c r="J7829" s="1" t="str">
        <f t="shared" ref="J7829:O7829" si="5618">"0"</f>
        <v>0</v>
      </c>
      <c r="K7829" s="1" t="str">
        <f t="shared" si="5551"/>
        <v>103</v>
      </c>
      <c r="L7829" s="1" t="str">
        <f t="shared" si="5552"/>
        <v>47</v>
      </c>
      <c r="M7829" s="1" t="str">
        <f t="shared" si="5618"/>
        <v>0</v>
      </c>
      <c r="N7829" s="1" t="str">
        <f t="shared" si="5618"/>
        <v>0</v>
      </c>
      <c r="O7829" s="1" t="str">
        <f t="shared" si="5618"/>
        <v>0</v>
      </c>
    </row>
    <row r="7830" s="1" customFormat="1" spans="1:15">
      <c r="A7830" s="1" t="str">
        <f t="shared" si="5595"/>
        <v>202406</v>
      </c>
      <c r="B7830" s="1" t="str">
        <f t="shared" si="5596"/>
        <v>150525100</v>
      </c>
      <c r="C7830" s="1" t="str">
        <f>"1014625200"</f>
        <v>1014625200</v>
      </c>
      <c r="D7830" s="1" t="str">
        <f>"152326194912040666"</f>
        <v>152326194912040666</v>
      </c>
      <c r="E7830" s="1" t="s">
        <v>65</v>
      </c>
      <c r="F7830" s="1" t="s">
        <v>16</v>
      </c>
      <c r="G7830" s="1" t="s">
        <v>17</v>
      </c>
      <c r="H7830" s="1" t="str">
        <f t="shared" si="5617"/>
        <v>75</v>
      </c>
      <c r="I7830" s="1" t="str">
        <f t="shared" si="5605"/>
        <v>160</v>
      </c>
      <c r="J7830" s="1" t="str">
        <f t="shared" ref="J7830:O7830" si="5619">"0"</f>
        <v>0</v>
      </c>
      <c r="K7830" s="1" t="str">
        <f t="shared" si="5551"/>
        <v>103</v>
      </c>
      <c r="L7830" s="1" t="str">
        <f t="shared" si="5552"/>
        <v>47</v>
      </c>
      <c r="M7830" s="1" t="str">
        <f t="shared" si="5619"/>
        <v>0</v>
      </c>
      <c r="N7830" s="1" t="str">
        <f t="shared" si="5619"/>
        <v>0</v>
      </c>
      <c r="O7830" s="1" t="str">
        <f t="shared" si="5619"/>
        <v>0</v>
      </c>
    </row>
    <row r="7831" s="1" customFormat="1" spans="1:15">
      <c r="A7831" s="1" t="str">
        <f t="shared" si="5595"/>
        <v>202406</v>
      </c>
      <c r="B7831" s="1" t="str">
        <f t="shared" si="5596"/>
        <v>150525100</v>
      </c>
      <c r="C7831" s="1" t="str">
        <f>"1014624798"</f>
        <v>1014624798</v>
      </c>
      <c r="D7831" s="1" t="str">
        <f>"152326195106220683"</f>
        <v>152326195106220683</v>
      </c>
      <c r="E7831" s="1" t="s">
        <v>7498</v>
      </c>
      <c r="F7831" s="1" t="s">
        <v>16</v>
      </c>
      <c r="G7831" s="1" t="s">
        <v>17</v>
      </c>
      <c r="H7831" s="1" t="str">
        <f>"73"</f>
        <v>73</v>
      </c>
      <c r="I7831" s="1" t="str">
        <f t="shared" si="5605"/>
        <v>160</v>
      </c>
      <c r="J7831" s="1" t="str">
        <f t="shared" ref="J7831:O7831" si="5620">"0"</f>
        <v>0</v>
      </c>
      <c r="K7831" s="1" t="str">
        <f t="shared" si="5551"/>
        <v>103</v>
      </c>
      <c r="L7831" s="1" t="str">
        <f t="shared" si="5552"/>
        <v>47</v>
      </c>
      <c r="M7831" s="1" t="str">
        <f t="shared" si="5620"/>
        <v>0</v>
      </c>
      <c r="N7831" s="1" t="str">
        <f t="shared" si="5620"/>
        <v>0</v>
      </c>
      <c r="O7831" s="1" t="str">
        <f t="shared" si="5620"/>
        <v>0</v>
      </c>
    </row>
    <row r="7832" s="1" customFormat="1" spans="1:15">
      <c r="A7832" s="1" t="str">
        <f t="shared" si="5595"/>
        <v>202406</v>
      </c>
      <c r="B7832" s="1" t="str">
        <f t="shared" si="5596"/>
        <v>150525100</v>
      </c>
      <c r="C7832" s="1" t="str">
        <f>"1014625219"</f>
        <v>1014625219</v>
      </c>
      <c r="D7832" s="1" t="str">
        <f>"152326194607010663"</f>
        <v>152326194607010663</v>
      </c>
      <c r="E7832" s="1" t="s">
        <v>7499</v>
      </c>
      <c r="F7832" s="1" t="s">
        <v>16</v>
      </c>
      <c r="G7832" s="1" t="s">
        <v>17</v>
      </c>
      <c r="H7832" s="1" t="str">
        <f>"78"</f>
        <v>78</v>
      </c>
      <c r="I7832" s="1" t="str">
        <f t="shared" si="5605"/>
        <v>160</v>
      </c>
      <c r="J7832" s="1" t="str">
        <f t="shared" ref="J7832:O7832" si="5621">"0"</f>
        <v>0</v>
      </c>
      <c r="K7832" s="1" t="str">
        <f t="shared" si="5551"/>
        <v>103</v>
      </c>
      <c r="L7832" s="1" t="str">
        <f t="shared" si="5552"/>
        <v>47</v>
      </c>
      <c r="M7832" s="1" t="str">
        <f t="shared" si="5621"/>
        <v>0</v>
      </c>
      <c r="N7832" s="1" t="str">
        <f t="shared" si="5621"/>
        <v>0</v>
      </c>
      <c r="O7832" s="1" t="str">
        <f t="shared" si="5621"/>
        <v>0</v>
      </c>
    </row>
    <row r="7833" s="1" customFormat="1" spans="1:15">
      <c r="A7833" s="1" t="str">
        <f t="shared" si="5595"/>
        <v>202406</v>
      </c>
      <c r="B7833" s="1" t="str">
        <f t="shared" si="5596"/>
        <v>150525100</v>
      </c>
      <c r="C7833" s="1" t="str">
        <f>"1014625222"</f>
        <v>1014625222</v>
      </c>
      <c r="D7833" s="1" t="str">
        <f>"152326194907120688"</f>
        <v>152326194907120688</v>
      </c>
      <c r="E7833" s="1" t="s">
        <v>1124</v>
      </c>
      <c r="F7833" s="1" t="s">
        <v>16</v>
      </c>
      <c r="G7833" s="1" t="s">
        <v>17</v>
      </c>
      <c r="H7833" s="1" t="str">
        <f t="shared" si="5617"/>
        <v>75</v>
      </c>
      <c r="I7833" s="1" t="str">
        <f t="shared" si="5605"/>
        <v>160</v>
      </c>
      <c r="J7833" s="1" t="str">
        <f t="shared" ref="J7833:O7833" si="5622">"0"</f>
        <v>0</v>
      </c>
      <c r="K7833" s="1" t="str">
        <f t="shared" si="5551"/>
        <v>103</v>
      </c>
      <c r="L7833" s="1" t="str">
        <f t="shared" si="5552"/>
        <v>47</v>
      </c>
      <c r="M7833" s="1" t="str">
        <f t="shared" si="5622"/>
        <v>0</v>
      </c>
      <c r="N7833" s="1" t="str">
        <f t="shared" si="5622"/>
        <v>0</v>
      </c>
      <c r="O7833" s="1" t="str">
        <f t="shared" si="5622"/>
        <v>0</v>
      </c>
    </row>
    <row r="7834" s="1" customFormat="1" spans="1:15">
      <c r="A7834" s="1" t="str">
        <f t="shared" si="5595"/>
        <v>202406</v>
      </c>
      <c r="B7834" s="1" t="str">
        <f t="shared" si="5596"/>
        <v>150525100</v>
      </c>
      <c r="C7834" s="1" t="str">
        <f>"1014625224"</f>
        <v>1014625224</v>
      </c>
      <c r="D7834" s="1" t="str">
        <f>"152326193909030665"</f>
        <v>152326193909030665</v>
      </c>
      <c r="E7834" s="1" t="s">
        <v>4497</v>
      </c>
      <c r="F7834" s="1" t="s">
        <v>16</v>
      </c>
      <c r="G7834" s="1" t="s">
        <v>17</v>
      </c>
      <c r="H7834" s="1" t="str">
        <f>"85"</f>
        <v>85</v>
      </c>
      <c r="I7834" s="1" t="str">
        <f>"170"</f>
        <v>170</v>
      </c>
      <c r="J7834" s="1" t="str">
        <f t="shared" ref="J7834:O7834" si="5623">"0"</f>
        <v>0</v>
      </c>
      <c r="K7834" s="1" t="str">
        <f t="shared" ref="K7834:K7845" si="5624">"103"</f>
        <v>103</v>
      </c>
      <c r="L7834" s="1" t="str">
        <f t="shared" ref="L7834:L7845" si="5625">"47"</f>
        <v>47</v>
      </c>
      <c r="M7834" s="1" t="str">
        <f t="shared" si="5623"/>
        <v>0</v>
      </c>
      <c r="N7834" s="1" t="str">
        <f t="shared" si="5623"/>
        <v>0</v>
      </c>
      <c r="O7834" s="1" t="str">
        <f t="shared" si="5623"/>
        <v>0</v>
      </c>
    </row>
    <row r="7835" s="1" customFormat="1" spans="1:15">
      <c r="A7835" s="1" t="str">
        <f t="shared" si="5595"/>
        <v>202406</v>
      </c>
      <c r="B7835" s="1" t="str">
        <f t="shared" si="5596"/>
        <v>150525100</v>
      </c>
      <c r="C7835" s="1" t="str">
        <f>"1041123179"</f>
        <v>1041123179</v>
      </c>
      <c r="D7835" s="1" t="str">
        <f>"152326195206150029"</f>
        <v>152326195206150029</v>
      </c>
      <c r="E7835" s="1" t="s">
        <v>5612</v>
      </c>
      <c r="F7835" s="1" t="s">
        <v>16</v>
      </c>
      <c r="G7835" s="1" t="s">
        <v>17</v>
      </c>
      <c r="H7835" s="1" t="str">
        <f>"72"</f>
        <v>72</v>
      </c>
      <c r="I7835" s="1" t="str">
        <f>"161.55"</f>
        <v>161.55</v>
      </c>
      <c r="J7835" s="1" t="str">
        <f t="shared" ref="J7835:N7835" si="5626">"0"</f>
        <v>0</v>
      </c>
      <c r="K7835" s="1" t="str">
        <f t="shared" si="5624"/>
        <v>103</v>
      </c>
      <c r="L7835" s="1" t="str">
        <f t="shared" si="5625"/>
        <v>47</v>
      </c>
      <c r="M7835" s="1" t="str">
        <f t="shared" si="5626"/>
        <v>0</v>
      </c>
      <c r="N7835" s="1" t="str">
        <f t="shared" si="5626"/>
        <v>0</v>
      </c>
      <c r="O7835" s="1" t="str">
        <f>"1.55"</f>
        <v>1.55</v>
      </c>
    </row>
    <row r="7836" s="1" customFormat="1" spans="1:15">
      <c r="A7836" s="1" t="str">
        <f t="shared" si="5595"/>
        <v>202406</v>
      </c>
      <c r="B7836" s="1" t="str">
        <f t="shared" si="5596"/>
        <v>150525100</v>
      </c>
      <c r="C7836" s="1" t="str">
        <f>"1042688999"</f>
        <v>1042688999</v>
      </c>
      <c r="D7836" s="1" t="str">
        <f>"152326196208200418"</f>
        <v>152326196208200418</v>
      </c>
      <c r="E7836" s="1" t="s">
        <v>7500</v>
      </c>
      <c r="F7836" s="1" t="s">
        <v>25</v>
      </c>
      <c r="G7836" s="1" t="s">
        <v>17</v>
      </c>
      <c r="H7836" s="1" t="str">
        <f>"62"</f>
        <v>62</v>
      </c>
      <c r="I7836" s="1" t="str">
        <f>"166.25"</f>
        <v>166.25</v>
      </c>
      <c r="J7836" s="1" t="str">
        <f t="shared" ref="J7836:N7836" si="5627">"0"</f>
        <v>0</v>
      </c>
      <c r="K7836" s="1" t="str">
        <f t="shared" si="5624"/>
        <v>103</v>
      </c>
      <c r="L7836" s="1" t="str">
        <f t="shared" si="5625"/>
        <v>47</v>
      </c>
      <c r="M7836" s="1" t="str">
        <f t="shared" si="5627"/>
        <v>0</v>
      </c>
      <c r="N7836" s="1" t="str">
        <f t="shared" si="5627"/>
        <v>0</v>
      </c>
      <c r="O7836" s="1" t="str">
        <f>"16.25"</f>
        <v>16.25</v>
      </c>
    </row>
    <row r="7837" s="1" customFormat="1" spans="1:15">
      <c r="A7837" s="1" t="str">
        <f t="shared" si="5595"/>
        <v>202406</v>
      </c>
      <c r="B7837" s="1" t="str">
        <f t="shared" si="5596"/>
        <v>150525100</v>
      </c>
      <c r="C7837" s="1" t="str">
        <f>"1015307328"</f>
        <v>1015307328</v>
      </c>
      <c r="D7837" s="1" t="s">
        <v>7501</v>
      </c>
      <c r="E7837" s="1" t="s">
        <v>7502</v>
      </c>
      <c r="F7837" s="1" t="s">
        <v>16</v>
      </c>
      <c r="G7837" s="1" t="s">
        <v>19</v>
      </c>
      <c r="H7837" s="1" t="str">
        <f>"74"</f>
        <v>74</v>
      </c>
      <c r="I7837" s="1" t="str">
        <f t="shared" ref="I7837:I7841" si="5628">"160"</f>
        <v>160</v>
      </c>
      <c r="J7837" s="1" t="str">
        <f t="shared" ref="J7837:O7837" si="5629">"0"</f>
        <v>0</v>
      </c>
      <c r="K7837" s="1" t="str">
        <f t="shared" si="5624"/>
        <v>103</v>
      </c>
      <c r="L7837" s="1" t="str">
        <f t="shared" si="5625"/>
        <v>47</v>
      </c>
      <c r="M7837" s="1" t="str">
        <f t="shared" si="5629"/>
        <v>0</v>
      </c>
      <c r="N7837" s="1" t="str">
        <f t="shared" si="5629"/>
        <v>0</v>
      </c>
      <c r="O7837" s="1" t="str">
        <f t="shared" si="5629"/>
        <v>0</v>
      </c>
    </row>
    <row r="7838" s="1" customFormat="1" spans="1:15">
      <c r="A7838" s="1" t="str">
        <f t="shared" si="5595"/>
        <v>202406</v>
      </c>
      <c r="B7838" s="1" t="str">
        <f t="shared" si="5596"/>
        <v>150525100</v>
      </c>
      <c r="C7838" s="1" t="str">
        <f>"1014613389"</f>
        <v>1014613389</v>
      </c>
      <c r="D7838" s="1" t="str">
        <f>"152326194602010429"</f>
        <v>152326194602010429</v>
      </c>
      <c r="E7838" s="1" t="s">
        <v>7503</v>
      </c>
      <c r="F7838" s="1" t="s">
        <v>16</v>
      </c>
      <c r="G7838" s="1" t="s">
        <v>19</v>
      </c>
      <c r="H7838" s="1" t="str">
        <f>"78"</f>
        <v>78</v>
      </c>
      <c r="I7838" s="1" t="str">
        <f t="shared" si="5628"/>
        <v>160</v>
      </c>
      <c r="J7838" s="1" t="str">
        <f t="shared" ref="J7838:O7838" si="5630">"0"</f>
        <v>0</v>
      </c>
      <c r="K7838" s="1" t="str">
        <f t="shared" si="5624"/>
        <v>103</v>
      </c>
      <c r="L7838" s="1" t="str">
        <f t="shared" si="5625"/>
        <v>47</v>
      </c>
      <c r="M7838" s="1" t="str">
        <f t="shared" si="5630"/>
        <v>0</v>
      </c>
      <c r="N7838" s="1" t="str">
        <f t="shared" si="5630"/>
        <v>0</v>
      </c>
      <c r="O7838" s="1" t="str">
        <f t="shared" si="5630"/>
        <v>0</v>
      </c>
    </row>
    <row r="7839" s="1" customFormat="1" spans="1:15">
      <c r="A7839" s="1" t="str">
        <f t="shared" si="5595"/>
        <v>202406</v>
      </c>
      <c r="B7839" s="1" t="str">
        <f t="shared" si="5596"/>
        <v>150525100</v>
      </c>
      <c r="C7839" s="1" t="str">
        <f>"1014624195"</f>
        <v>1014624195</v>
      </c>
      <c r="D7839" s="1" t="str">
        <f>"152326194412210673"</f>
        <v>152326194412210673</v>
      </c>
      <c r="E7839" s="1" t="s">
        <v>3430</v>
      </c>
      <c r="F7839" s="1" t="s">
        <v>25</v>
      </c>
      <c r="G7839" s="1" t="s">
        <v>17</v>
      </c>
      <c r="H7839" s="1" t="str">
        <f>"80"</f>
        <v>80</v>
      </c>
      <c r="I7839" s="1" t="str">
        <f t="shared" si="5628"/>
        <v>160</v>
      </c>
      <c r="J7839" s="1" t="str">
        <f t="shared" ref="J7839:O7839" si="5631">"0"</f>
        <v>0</v>
      </c>
      <c r="K7839" s="1" t="str">
        <f t="shared" si="5624"/>
        <v>103</v>
      </c>
      <c r="L7839" s="1" t="str">
        <f t="shared" si="5625"/>
        <v>47</v>
      </c>
      <c r="M7839" s="1" t="str">
        <f t="shared" si="5631"/>
        <v>0</v>
      </c>
      <c r="N7839" s="1" t="str">
        <f t="shared" si="5631"/>
        <v>0</v>
      </c>
      <c r="O7839" s="1" t="str">
        <f t="shared" si="5631"/>
        <v>0</v>
      </c>
    </row>
    <row r="7840" s="1" customFormat="1" spans="1:15">
      <c r="A7840" s="1" t="str">
        <f t="shared" si="5595"/>
        <v>202406</v>
      </c>
      <c r="B7840" s="1" t="str">
        <f t="shared" si="5596"/>
        <v>150525100</v>
      </c>
      <c r="C7840" s="1" t="str">
        <f>"1014613042"</f>
        <v>1014613042</v>
      </c>
      <c r="D7840" s="1" t="str">
        <f>"152326194612123822"</f>
        <v>152326194612123822</v>
      </c>
      <c r="E7840" s="1" t="s">
        <v>7504</v>
      </c>
      <c r="F7840" s="1" t="s">
        <v>16</v>
      </c>
      <c r="G7840" s="1" t="s">
        <v>19</v>
      </c>
      <c r="H7840" s="1" t="str">
        <f>"78"</f>
        <v>78</v>
      </c>
      <c r="I7840" s="1" t="str">
        <f t="shared" si="5628"/>
        <v>160</v>
      </c>
      <c r="J7840" s="1" t="str">
        <f t="shared" ref="J7840:O7840" si="5632">"0"</f>
        <v>0</v>
      </c>
      <c r="K7840" s="1" t="str">
        <f t="shared" si="5624"/>
        <v>103</v>
      </c>
      <c r="L7840" s="1" t="str">
        <f t="shared" si="5625"/>
        <v>47</v>
      </c>
      <c r="M7840" s="1" t="str">
        <f t="shared" si="5632"/>
        <v>0</v>
      </c>
      <c r="N7840" s="1" t="str">
        <f t="shared" si="5632"/>
        <v>0</v>
      </c>
      <c r="O7840" s="1" t="str">
        <f t="shared" si="5632"/>
        <v>0</v>
      </c>
    </row>
    <row r="7841" s="1" customFormat="1" spans="1:15">
      <c r="A7841" s="1" t="str">
        <f t="shared" si="5595"/>
        <v>202406</v>
      </c>
      <c r="B7841" s="1" t="str">
        <f t="shared" si="5596"/>
        <v>150525100</v>
      </c>
      <c r="C7841" s="1" t="str">
        <f>"1014613049"</f>
        <v>1014613049</v>
      </c>
      <c r="D7841" s="1" t="str">
        <f>"152326195112230925"</f>
        <v>152326195112230925</v>
      </c>
      <c r="E7841" s="1" t="s">
        <v>7505</v>
      </c>
      <c r="F7841" s="1" t="s">
        <v>16</v>
      </c>
      <c r="G7841" s="1" t="s">
        <v>19</v>
      </c>
      <c r="H7841" s="1" t="str">
        <f>"73"</f>
        <v>73</v>
      </c>
      <c r="I7841" s="1" t="str">
        <f t="shared" si="5628"/>
        <v>160</v>
      </c>
      <c r="J7841" s="1" t="str">
        <f t="shared" ref="J7841:O7841" si="5633">"0"</f>
        <v>0</v>
      </c>
      <c r="K7841" s="1" t="str">
        <f t="shared" si="5624"/>
        <v>103</v>
      </c>
      <c r="L7841" s="1" t="str">
        <f t="shared" si="5625"/>
        <v>47</v>
      </c>
      <c r="M7841" s="1" t="str">
        <f t="shared" si="5633"/>
        <v>0</v>
      </c>
      <c r="N7841" s="1" t="str">
        <f t="shared" si="5633"/>
        <v>0</v>
      </c>
      <c r="O7841" s="1" t="str">
        <f t="shared" si="5633"/>
        <v>0</v>
      </c>
    </row>
    <row r="7842" s="1" customFormat="1" spans="1:15">
      <c r="A7842" s="1" t="str">
        <f t="shared" si="5595"/>
        <v>202406</v>
      </c>
      <c r="B7842" s="1" t="str">
        <f t="shared" si="5596"/>
        <v>150525100</v>
      </c>
      <c r="C7842" s="1" t="str">
        <f>"1014613339"</f>
        <v>1014613339</v>
      </c>
      <c r="D7842" s="1" t="str">
        <f>"152326194312190417"</f>
        <v>152326194312190417</v>
      </c>
      <c r="E7842" s="1" t="s">
        <v>7506</v>
      </c>
      <c r="F7842" s="1" t="s">
        <v>25</v>
      </c>
      <c r="G7842" s="1" t="s">
        <v>17</v>
      </c>
      <c r="H7842" s="1" t="str">
        <f>"81"</f>
        <v>81</v>
      </c>
      <c r="I7842" s="1" t="str">
        <f t="shared" ref="I7842:I7848" si="5634">"170"</f>
        <v>170</v>
      </c>
      <c r="J7842" s="1" t="str">
        <f t="shared" ref="J7842:O7842" si="5635">"0"</f>
        <v>0</v>
      </c>
      <c r="K7842" s="1" t="str">
        <f t="shared" si="5624"/>
        <v>103</v>
      </c>
      <c r="L7842" s="1" t="str">
        <f t="shared" si="5625"/>
        <v>47</v>
      </c>
      <c r="M7842" s="1" t="str">
        <f t="shared" si="5635"/>
        <v>0</v>
      </c>
      <c r="N7842" s="1" t="str">
        <f t="shared" si="5635"/>
        <v>0</v>
      </c>
      <c r="O7842" s="1" t="str">
        <f t="shared" si="5635"/>
        <v>0</v>
      </c>
    </row>
    <row r="7843" s="1" customFormat="1" spans="1:15">
      <c r="A7843" s="1" t="str">
        <f t="shared" si="5595"/>
        <v>202406</v>
      </c>
      <c r="B7843" s="1" t="str">
        <f t="shared" si="5596"/>
        <v>150525100</v>
      </c>
      <c r="C7843" s="1" t="str">
        <f>"1014613348"</f>
        <v>1014613348</v>
      </c>
      <c r="D7843" s="1" t="str">
        <f>"152326195010023810"</f>
        <v>152326195010023810</v>
      </c>
      <c r="E7843" s="1" t="s">
        <v>7507</v>
      </c>
      <c r="F7843" s="1" t="s">
        <v>25</v>
      </c>
      <c r="G7843" s="1" t="s">
        <v>17</v>
      </c>
      <c r="H7843" s="1" t="str">
        <f>"74"</f>
        <v>74</v>
      </c>
      <c r="I7843" s="1" t="str">
        <f>"160"</f>
        <v>160</v>
      </c>
      <c r="J7843" s="1" t="str">
        <f t="shared" ref="J7843:O7843" si="5636">"0"</f>
        <v>0</v>
      </c>
      <c r="K7843" s="1" t="str">
        <f t="shared" si="5624"/>
        <v>103</v>
      </c>
      <c r="L7843" s="1" t="str">
        <f t="shared" si="5625"/>
        <v>47</v>
      </c>
      <c r="M7843" s="1" t="str">
        <f t="shared" si="5636"/>
        <v>0</v>
      </c>
      <c r="N7843" s="1" t="str">
        <f t="shared" si="5636"/>
        <v>0</v>
      </c>
      <c r="O7843" s="1" t="str">
        <f t="shared" si="5636"/>
        <v>0</v>
      </c>
    </row>
    <row r="7844" s="1" customFormat="1" spans="1:15">
      <c r="A7844" s="1" t="str">
        <f t="shared" si="5595"/>
        <v>202406</v>
      </c>
      <c r="B7844" s="1" t="str">
        <f t="shared" si="5596"/>
        <v>150525100</v>
      </c>
      <c r="C7844" s="1" t="str">
        <f>"1014621983"</f>
        <v>1014621983</v>
      </c>
      <c r="D7844" s="1" t="str">
        <f>"152326194301220676"</f>
        <v>152326194301220676</v>
      </c>
      <c r="E7844" s="1" t="s">
        <v>7508</v>
      </c>
      <c r="F7844" s="1" t="s">
        <v>25</v>
      </c>
      <c r="G7844" s="1" t="s">
        <v>19</v>
      </c>
      <c r="H7844" s="1" t="str">
        <f>"81"</f>
        <v>81</v>
      </c>
      <c r="I7844" s="1" t="str">
        <f t="shared" si="5634"/>
        <v>170</v>
      </c>
      <c r="J7844" s="1" t="str">
        <f t="shared" ref="J7844:O7844" si="5637">"0"</f>
        <v>0</v>
      </c>
      <c r="K7844" s="1" t="str">
        <f t="shared" si="5624"/>
        <v>103</v>
      </c>
      <c r="L7844" s="1" t="str">
        <f t="shared" si="5625"/>
        <v>47</v>
      </c>
      <c r="M7844" s="1" t="str">
        <f t="shared" si="5637"/>
        <v>0</v>
      </c>
      <c r="N7844" s="1" t="str">
        <f t="shared" si="5637"/>
        <v>0</v>
      </c>
      <c r="O7844" s="1" t="str">
        <f t="shared" si="5637"/>
        <v>0</v>
      </c>
    </row>
    <row r="7845" s="1" customFormat="1" spans="1:15">
      <c r="A7845" s="1" t="str">
        <f t="shared" si="5595"/>
        <v>202406</v>
      </c>
      <c r="B7845" s="1" t="str">
        <f t="shared" si="5596"/>
        <v>150525100</v>
      </c>
      <c r="C7845" s="1" t="str">
        <f>"1014621996"</f>
        <v>1014621996</v>
      </c>
      <c r="D7845" s="1" t="s">
        <v>7509</v>
      </c>
      <c r="E7845" s="1" t="s">
        <v>7510</v>
      </c>
      <c r="F7845" s="1" t="s">
        <v>16</v>
      </c>
      <c r="G7845" s="1" t="s">
        <v>19</v>
      </c>
      <c r="H7845" s="1" t="str">
        <f>"73"</f>
        <v>73</v>
      </c>
      <c r="I7845" s="1" t="str">
        <f t="shared" ref="I7845:I7850" si="5638">"160"</f>
        <v>160</v>
      </c>
      <c r="J7845" s="1" t="str">
        <f t="shared" ref="J7845:O7845" si="5639">"0"</f>
        <v>0</v>
      </c>
      <c r="K7845" s="1" t="str">
        <f t="shared" si="5624"/>
        <v>103</v>
      </c>
      <c r="L7845" s="1" t="str">
        <f t="shared" si="5625"/>
        <v>47</v>
      </c>
      <c r="M7845" s="1" t="str">
        <f t="shared" si="5639"/>
        <v>0</v>
      </c>
      <c r="N7845" s="1" t="str">
        <f t="shared" si="5639"/>
        <v>0</v>
      </c>
      <c r="O7845" s="1" t="str">
        <f t="shared" si="5639"/>
        <v>0</v>
      </c>
    </row>
    <row r="7846" s="1" customFormat="1" spans="1:15">
      <c r="A7846" s="1" t="str">
        <f t="shared" si="5595"/>
        <v>202406</v>
      </c>
      <c r="B7846" s="1" t="str">
        <f t="shared" si="5596"/>
        <v>150525100</v>
      </c>
      <c r="C7846" s="1" t="str">
        <f>"1014622365"</f>
        <v>1014622365</v>
      </c>
      <c r="D7846" s="1" t="str">
        <f>"152326194909070426"</f>
        <v>152326194909070426</v>
      </c>
      <c r="E7846" s="1" t="s">
        <v>7511</v>
      </c>
      <c r="F7846" s="1" t="s">
        <v>16</v>
      </c>
      <c r="G7846" s="1" t="s">
        <v>17</v>
      </c>
      <c r="H7846" s="1" t="str">
        <f>"75"</f>
        <v>75</v>
      </c>
      <c r="I7846" s="1" t="str">
        <f>"2075"</f>
        <v>2075</v>
      </c>
      <c r="J7846" s="1" t="str">
        <f>"1915"</f>
        <v>1915</v>
      </c>
      <c r="K7846" s="1" t="str">
        <f>"1334"</f>
        <v>1334</v>
      </c>
      <c r="L7846" s="1" t="str">
        <f>"611"</f>
        <v>611</v>
      </c>
      <c r="M7846" s="1" t="str">
        <f t="shared" ref="M7846:O7846" si="5640">"0"</f>
        <v>0</v>
      </c>
      <c r="N7846" s="1" t="str">
        <f t="shared" si="5640"/>
        <v>0</v>
      </c>
      <c r="O7846" s="1" t="str">
        <f t="shared" si="5640"/>
        <v>0</v>
      </c>
    </row>
    <row r="7847" s="1" customFormat="1" spans="1:15">
      <c r="A7847" s="1" t="str">
        <f t="shared" si="5595"/>
        <v>202406</v>
      </c>
      <c r="B7847" s="1" t="str">
        <f t="shared" si="5596"/>
        <v>150525100</v>
      </c>
      <c r="C7847" s="1" t="str">
        <f>"1014622392"</f>
        <v>1014622392</v>
      </c>
      <c r="D7847" s="1" t="str">
        <f>"152326194212200665"</f>
        <v>152326194212200665</v>
      </c>
      <c r="E7847" s="1" t="s">
        <v>7401</v>
      </c>
      <c r="F7847" s="1" t="s">
        <v>16</v>
      </c>
      <c r="G7847" s="1" t="s">
        <v>17</v>
      </c>
      <c r="H7847" s="1" t="str">
        <f>"82"</f>
        <v>82</v>
      </c>
      <c r="I7847" s="1" t="str">
        <f t="shared" si="5634"/>
        <v>170</v>
      </c>
      <c r="J7847" s="1" t="str">
        <f t="shared" ref="J7847:O7847" si="5641">"0"</f>
        <v>0</v>
      </c>
      <c r="K7847" s="1" t="str">
        <f t="shared" ref="K7847:K7870" si="5642">"103"</f>
        <v>103</v>
      </c>
      <c r="L7847" s="1" t="str">
        <f t="shared" ref="L7847:L7870" si="5643">"47"</f>
        <v>47</v>
      </c>
      <c r="M7847" s="1" t="str">
        <f t="shared" si="5641"/>
        <v>0</v>
      </c>
      <c r="N7847" s="1" t="str">
        <f t="shared" si="5641"/>
        <v>0</v>
      </c>
      <c r="O7847" s="1" t="str">
        <f t="shared" si="5641"/>
        <v>0</v>
      </c>
    </row>
    <row r="7848" s="1" customFormat="1" spans="1:15">
      <c r="A7848" s="1" t="str">
        <f t="shared" si="5595"/>
        <v>202406</v>
      </c>
      <c r="B7848" s="1" t="str">
        <f t="shared" si="5596"/>
        <v>150525100</v>
      </c>
      <c r="C7848" s="1" t="str">
        <f>"1014622772"</f>
        <v>1014622772</v>
      </c>
      <c r="D7848" s="1" t="str">
        <f>"152326194302253314"</f>
        <v>152326194302253314</v>
      </c>
      <c r="E7848" s="1" t="s">
        <v>7512</v>
      </c>
      <c r="F7848" s="1" t="s">
        <v>25</v>
      </c>
      <c r="G7848" s="1" t="s">
        <v>19</v>
      </c>
      <c r="H7848" s="1" t="str">
        <f>"81"</f>
        <v>81</v>
      </c>
      <c r="I7848" s="1" t="str">
        <f t="shared" si="5634"/>
        <v>170</v>
      </c>
      <c r="J7848" s="1" t="str">
        <f t="shared" ref="J7848:O7848" si="5644">"0"</f>
        <v>0</v>
      </c>
      <c r="K7848" s="1" t="str">
        <f t="shared" si="5642"/>
        <v>103</v>
      </c>
      <c r="L7848" s="1" t="str">
        <f t="shared" si="5643"/>
        <v>47</v>
      </c>
      <c r="M7848" s="1" t="str">
        <f t="shared" si="5644"/>
        <v>0</v>
      </c>
      <c r="N7848" s="1" t="str">
        <f t="shared" si="5644"/>
        <v>0</v>
      </c>
      <c r="O7848" s="1" t="str">
        <f t="shared" si="5644"/>
        <v>0</v>
      </c>
    </row>
    <row r="7849" s="1" customFormat="1" spans="1:15">
      <c r="A7849" s="1" t="str">
        <f t="shared" si="5595"/>
        <v>202406</v>
      </c>
      <c r="B7849" s="1" t="str">
        <f t="shared" si="5596"/>
        <v>150525100</v>
      </c>
      <c r="C7849" s="1" t="str">
        <f>"1014622780"</f>
        <v>1014622780</v>
      </c>
      <c r="D7849" s="1" t="str">
        <f>"152326194710173321"</f>
        <v>152326194710173321</v>
      </c>
      <c r="E7849" s="1" t="s">
        <v>1561</v>
      </c>
      <c r="F7849" s="1" t="s">
        <v>16</v>
      </c>
      <c r="G7849" s="1" t="s">
        <v>17</v>
      </c>
      <c r="H7849" s="1" t="str">
        <f>"77"</f>
        <v>77</v>
      </c>
      <c r="I7849" s="1" t="str">
        <f t="shared" si="5638"/>
        <v>160</v>
      </c>
      <c r="J7849" s="1" t="str">
        <f t="shared" ref="J7849:O7849" si="5645">"0"</f>
        <v>0</v>
      </c>
      <c r="K7849" s="1" t="str">
        <f t="shared" si="5642"/>
        <v>103</v>
      </c>
      <c r="L7849" s="1" t="str">
        <f t="shared" si="5643"/>
        <v>47</v>
      </c>
      <c r="M7849" s="1" t="str">
        <f t="shared" si="5645"/>
        <v>0</v>
      </c>
      <c r="N7849" s="1" t="str">
        <f t="shared" si="5645"/>
        <v>0</v>
      </c>
      <c r="O7849" s="1" t="str">
        <f t="shared" si="5645"/>
        <v>0</v>
      </c>
    </row>
    <row r="7850" s="1" customFormat="1" spans="1:15">
      <c r="A7850" s="1" t="str">
        <f t="shared" si="5595"/>
        <v>202406</v>
      </c>
      <c r="B7850" s="1" t="str">
        <f t="shared" si="5596"/>
        <v>150525100</v>
      </c>
      <c r="C7850" s="1" t="str">
        <f>"1014619630"</f>
        <v>1014619630</v>
      </c>
      <c r="D7850" s="1" t="str">
        <f>"152326195111293086"</f>
        <v>152326195111293086</v>
      </c>
      <c r="E7850" s="1" t="s">
        <v>1573</v>
      </c>
      <c r="F7850" s="1" t="s">
        <v>16</v>
      </c>
      <c r="G7850" s="1" t="s">
        <v>17</v>
      </c>
      <c r="H7850" s="1" t="str">
        <f>"73"</f>
        <v>73</v>
      </c>
      <c r="I7850" s="1" t="str">
        <f t="shared" si="5638"/>
        <v>160</v>
      </c>
      <c r="J7850" s="1" t="str">
        <f t="shared" ref="J7850:O7850" si="5646">"0"</f>
        <v>0</v>
      </c>
      <c r="K7850" s="1" t="str">
        <f t="shared" si="5642"/>
        <v>103</v>
      </c>
      <c r="L7850" s="1" t="str">
        <f t="shared" si="5643"/>
        <v>47</v>
      </c>
      <c r="M7850" s="1" t="str">
        <f t="shared" si="5646"/>
        <v>0</v>
      </c>
      <c r="N7850" s="1" t="str">
        <f t="shared" si="5646"/>
        <v>0</v>
      </c>
      <c r="O7850" s="1" t="str">
        <f t="shared" si="5646"/>
        <v>0</v>
      </c>
    </row>
    <row r="7851" s="1" customFormat="1" spans="1:15">
      <c r="A7851" s="1" t="str">
        <f t="shared" si="5595"/>
        <v>202406</v>
      </c>
      <c r="B7851" s="1" t="str">
        <f t="shared" si="5596"/>
        <v>150525100</v>
      </c>
      <c r="C7851" s="1" t="str">
        <f>"1014613352"</f>
        <v>1014613352</v>
      </c>
      <c r="D7851" s="1" t="str">
        <f>"152326193111053817"</f>
        <v>152326193111053817</v>
      </c>
      <c r="E7851" s="1" t="s">
        <v>7513</v>
      </c>
      <c r="F7851" s="1" t="s">
        <v>25</v>
      </c>
      <c r="G7851" s="1" t="s">
        <v>17</v>
      </c>
      <c r="H7851" s="1" t="str">
        <f>"93"</f>
        <v>93</v>
      </c>
      <c r="I7851" s="1" t="str">
        <f>"170"</f>
        <v>170</v>
      </c>
      <c r="J7851" s="1" t="str">
        <f t="shared" ref="J7851:O7851" si="5647">"0"</f>
        <v>0</v>
      </c>
      <c r="K7851" s="1" t="str">
        <f t="shared" si="5642"/>
        <v>103</v>
      </c>
      <c r="L7851" s="1" t="str">
        <f t="shared" si="5643"/>
        <v>47</v>
      </c>
      <c r="M7851" s="1" t="str">
        <f t="shared" si="5647"/>
        <v>0</v>
      </c>
      <c r="N7851" s="1" t="str">
        <f t="shared" si="5647"/>
        <v>0</v>
      </c>
      <c r="O7851" s="1" t="str">
        <f t="shared" si="5647"/>
        <v>0</v>
      </c>
    </row>
    <row r="7852" s="1" customFormat="1" spans="1:15">
      <c r="A7852" s="1" t="str">
        <f t="shared" si="5595"/>
        <v>202406</v>
      </c>
      <c r="B7852" s="1" t="str">
        <f t="shared" si="5596"/>
        <v>150525100</v>
      </c>
      <c r="C7852" s="1" t="str">
        <f>"1014622415"</f>
        <v>1014622415</v>
      </c>
      <c r="D7852" s="1" t="str">
        <f>"152326195106263325"</f>
        <v>152326195106263325</v>
      </c>
      <c r="E7852" s="1" t="s">
        <v>7514</v>
      </c>
      <c r="F7852" s="1" t="s">
        <v>16</v>
      </c>
      <c r="G7852" s="1" t="s">
        <v>19</v>
      </c>
      <c r="H7852" s="1" t="str">
        <f>"73"</f>
        <v>73</v>
      </c>
      <c r="I7852" s="1" t="str">
        <f t="shared" ref="I7852:I7856" si="5648">"160"</f>
        <v>160</v>
      </c>
      <c r="J7852" s="1" t="str">
        <f t="shared" ref="J7852:O7852" si="5649">"0"</f>
        <v>0</v>
      </c>
      <c r="K7852" s="1" t="str">
        <f t="shared" si="5642"/>
        <v>103</v>
      </c>
      <c r="L7852" s="1" t="str">
        <f t="shared" si="5643"/>
        <v>47</v>
      </c>
      <c r="M7852" s="1" t="str">
        <f t="shared" si="5649"/>
        <v>0</v>
      </c>
      <c r="N7852" s="1" t="str">
        <f t="shared" si="5649"/>
        <v>0</v>
      </c>
      <c r="O7852" s="1" t="str">
        <f t="shared" si="5649"/>
        <v>0</v>
      </c>
    </row>
    <row r="7853" s="1" customFormat="1" spans="1:15">
      <c r="A7853" s="1" t="str">
        <f t="shared" si="5595"/>
        <v>202406</v>
      </c>
      <c r="B7853" s="1" t="str">
        <f t="shared" si="5596"/>
        <v>150525100</v>
      </c>
      <c r="C7853" s="1" t="str">
        <f>"1014623174"</f>
        <v>1014623174</v>
      </c>
      <c r="D7853" s="1" t="str">
        <f>"152326195009130416"</f>
        <v>152326195009130416</v>
      </c>
      <c r="E7853" s="1" t="s">
        <v>1133</v>
      </c>
      <c r="F7853" s="1" t="s">
        <v>25</v>
      </c>
      <c r="G7853" s="1" t="s">
        <v>17</v>
      </c>
      <c r="H7853" s="1" t="str">
        <f>"74"</f>
        <v>74</v>
      </c>
      <c r="I7853" s="1" t="str">
        <f t="shared" si="5648"/>
        <v>160</v>
      </c>
      <c r="J7853" s="1" t="str">
        <f t="shared" ref="J7853:O7853" si="5650">"0"</f>
        <v>0</v>
      </c>
      <c r="K7853" s="1" t="str">
        <f t="shared" si="5642"/>
        <v>103</v>
      </c>
      <c r="L7853" s="1" t="str">
        <f t="shared" si="5643"/>
        <v>47</v>
      </c>
      <c r="M7853" s="1" t="str">
        <f t="shared" si="5650"/>
        <v>0</v>
      </c>
      <c r="N7853" s="1" t="str">
        <f t="shared" si="5650"/>
        <v>0</v>
      </c>
      <c r="O7853" s="1" t="str">
        <f t="shared" si="5650"/>
        <v>0</v>
      </c>
    </row>
    <row r="7854" s="1" customFormat="1" spans="1:15">
      <c r="A7854" s="1" t="str">
        <f t="shared" si="5595"/>
        <v>202406</v>
      </c>
      <c r="B7854" s="1" t="str">
        <f t="shared" si="5596"/>
        <v>150525100</v>
      </c>
      <c r="C7854" s="1" t="str">
        <f>"1014623177"</f>
        <v>1014623177</v>
      </c>
      <c r="D7854" s="1" t="str">
        <f>"152326194404260419"</f>
        <v>152326194404260419</v>
      </c>
      <c r="E7854" s="1" t="s">
        <v>3697</v>
      </c>
      <c r="F7854" s="1" t="s">
        <v>25</v>
      </c>
      <c r="G7854" s="1" t="s">
        <v>17</v>
      </c>
      <c r="H7854" s="1" t="str">
        <f>"80"</f>
        <v>80</v>
      </c>
      <c r="I7854" s="1" t="str">
        <f>"170"</f>
        <v>170</v>
      </c>
      <c r="J7854" s="1" t="str">
        <f t="shared" ref="J7854:O7854" si="5651">"0"</f>
        <v>0</v>
      </c>
      <c r="K7854" s="1" t="str">
        <f t="shared" si="5642"/>
        <v>103</v>
      </c>
      <c r="L7854" s="1" t="str">
        <f t="shared" si="5643"/>
        <v>47</v>
      </c>
      <c r="M7854" s="1" t="str">
        <f t="shared" si="5651"/>
        <v>0</v>
      </c>
      <c r="N7854" s="1" t="str">
        <f t="shared" si="5651"/>
        <v>0</v>
      </c>
      <c r="O7854" s="1" t="str">
        <f t="shared" si="5651"/>
        <v>0</v>
      </c>
    </row>
    <row r="7855" s="1" customFormat="1" spans="1:15">
      <c r="A7855" s="1" t="str">
        <f t="shared" si="5595"/>
        <v>202406</v>
      </c>
      <c r="B7855" s="1" t="str">
        <f t="shared" si="5596"/>
        <v>150525100</v>
      </c>
      <c r="C7855" s="1" t="str">
        <f>"1014589253"</f>
        <v>1014589253</v>
      </c>
      <c r="D7855" s="1" t="s">
        <v>7515</v>
      </c>
      <c r="E7855" s="1" t="s">
        <v>7516</v>
      </c>
      <c r="F7855" s="1" t="s">
        <v>16</v>
      </c>
      <c r="G7855" s="1" t="s">
        <v>17</v>
      </c>
      <c r="H7855" s="1" t="str">
        <f>"67"</f>
        <v>67</v>
      </c>
      <c r="I7855" s="1" t="str">
        <f>"156.07"</f>
        <v>156.07</v>
      </c>
      <c r="J7855" s="1" t="str">
        <f t="shared" ref="J7855:N7855" si="5652">"0"</f>
        <v>0</v>
      </c>
      <c r="K7855" s="1" t="str">
        <f t="shared" si="5642"/>
        <v>103</v>
      </c>
      <c r="L7855" s="1" t="str">
        <f t="shared" si="5643"/>
        <v>47</v>
      </c>
      <c r="M7855" s="1" t="str">
        <f t="shared" si="5652"/>
        <v>0</v>
      </c>
      <c r="N7855" s="1" t="str">
        <f t="shared" si="5652"/>
        <v>0</v>
      </c>
      <c r="O7855" s="1" t="str">
        <f>"6.07"</f>
        <v>6.07</v>
      </c>
    </row>
    <row r="7856" s="1" customFormat="1" spans="1:15">
      <c r="A7856" s="1" t="str">
        <f t="shared" si="5595"/>
        <v>202406</v>
      </c>
      <c r="B7856" s="1" t="str">
        <f t="shared" si="5596"/>
        <v>150525100</v>
      </c>
      <c r="C7856" s="1" t="str">
        <f>"1014619184"</f>
        <v>1014619184</v>
      </c>
      <c r="D7856" s="1" t="str">
        <f>"152326194910240672"</f>
        <v>152326194910240672</v>
      </c>
      <c r="E7856" s="1" t="s">
        <v>7517</v>
      </c>
      <c r="F7856" s="1" t="s">
        <v>25</v>
      </c>
      <c r="G7856" s="1" t="s">
        <v>19</v>
      </c>
      <c r="H7856" s="1" t="str">
        <f>"75"</f>
        <v>75</v>
      </c>
      <c r="I7856" s="1" t="str">
        <f t="shared" si="5648"/>
        <v>160</v>
      </c>
      <c r="J7856" s="1" t="str">
        <f t="shared" ref="J7856:O7856" si="5653">"0"</f>
        <v>0</v>
      </c>
      <c r="K7856" s="1" t="str">
        <f t="shared" si="5642"/>
        <v>103</v>
      </c>
      <c r="L7856" s="1" t="str">
        <f t="shared" si="5643"/>
        <v>47</v>
      </c>
      <c r="M7856" s="1" t="str">
        <f t="shared" si="5653"/>
        <v>0</v>
      </c>
      <c r="N7856" s="1" t="str">
        <f t="shared" si="5653"/>
        <v>0</v>
      </c>
      <c r="O7856" s="1" t="str">
        <f t="shared" si="5653"/>
        <v>0</v>
      </c>
    </row>
    <row r="7857" s="1" customFormat="1" spans="1:15">
      <c r="A7857" s="1" t="str">
        <f t="shared" si="5595"/>
        <v>202406</v>
      </c>
      <c r="B7857" s="1" t="str">
        <f t="shared" si="5596"/>
        <v>150525100</v>
      </c>
      <c r="C7857" s="1" t="str">
        <f>"1014619187"</f>
        <v>1014619187</v>
      </c>
      <c r="D7857" s="1" t="str">
        <f>"152326194310050664"</f>
        <v>152326194310050664</v>
      </c>
      <c r="E7857" s="1" t="s">
        <v>2260</v>
      </c>
      <c r="F7857" s="1" t="s">
        <v>16</v>
      </c>
      <c r="G7857" s="1" t="s">
        <v>17</v>
      </c>
      <c r="H7857" s="1" t="str">
        <f>"81"</f>
        <v>81</v>
      </c>
      <c r="I7857" s="1" t="str">
        <f>"170"</f>
        <v>170</v>
      </c>
      <c r="J7857" s="1" t="str">
        <f t="shared" ref="J7857:O7857" si="5654">"0"</f>
        <v>0</v>
      </c>
      <c r="K7857" s="1" t="str">
        <f t="shared" si="5642"/>
        <v>103</v>
      </c>
      <c r="L7857" s="1" t="str">
        <f t="shared" si="5643"/>
        <v>47</v>
      </c>
      <c r="M7857" s="1" t="str">
        <f t="shared" si="5654"/>
        <v>0</v>
      </c>
      <c r="N7857" s="1" t="str">
        <f t="shared" si="5654"/>
        <v>0</v>
      </c>
      <c r="O7857" s="1" t="str">
        <f t="shared" si="5654"/>
        <v>0</v>
      </c>
    </row>
    <row r="7858" s="1" customFormat="1" spans="1:15">
      <c r="A7858" s="1" t="str">
        <f t="shared" si="5595"/>
        <v>202406</v>
      </c>
      <c r="B7858" s="1" t="str">
        <f t="shared" si="5596"/>
        <v>150525100</v>
      </c>
      <c r="C7858" s="1" t="str">
        <f>"1014619196"</f>
        <v>1014619196</v>
      </c>
      <c r="D7858" s="1" t="s">
        <v>7518</v>
      </c>
      <c r="E7858" s="1" t="s">
        <v>7519</v>
      </c>
      <c r="F7858" s="1" t="s">
        <v>16</v>
      </c>
      <c r="G7858" s="1" t="s">
        <v>17</v>
      </c>
      <c r="H7858" s="1" t="str">
        <f>"79"</f>
        <v>79</v>
      </c>
      <c r="I7858" s="1" t="str">
        <f t="shared" ref="I7858:I7862" si="5655">"160"</f>
        <v>160</v>
      </c>
      <c r="J7858" s="1" t="str">
        <f t="shared" ref="J7858:O7858" si="5656">"0"</f>
        <v>0</v>
      </c>
      <c r="K7858" s="1" t="str">
        <f t="shared" si="5642"/>
        <v>103</v>
      </c>
      <c r="L7858" s="1" t="str">
        <f t="shared" si="5643"/>
        <v>47</v>
      </c>
      <c r="M7858" s="1" t="str">
        <f t="shared" si="5656"/>
        <v>0</v>
      </c>
      <c r="N7858" s="1" t="str">
        <f t="shared" si="5656"/>
        <v>0</v>
      </c>
      <c r="O7858" s="1" t="str">
        <f t="shared" si="5656"/>
        <v>0</v>
      </c>
    </row>
    <row r="7859" s="1" customFormat="1" spans="1:15">
      <c r="A7859" s="1" t="str">
        <f t="shared" si="5595"/>
        <v>202406</v>
      </c>
      <c r="B7859" s="1" t="str">
        <f t="shared" si="5596"/>
        <v>150525100</v>
      </c>
      <c r="C7859" s="1" t="str">
        <f>"1014619202"</f>
        <v>1014619202</v>
      </c>
      <c r="D7859" s="1" t="str">
        <f>"152326195108240661"</f>
        <v>152326195108240661</v>
      </c>
      <c r="E7859" s="1" t="s">
        <v>15</v>
      </c>
      <c r="F7859" s="1" t="s">
        <v>16</v>
      </c>
      <c r="G7859" s="1" t="s">
        <v>17</v>
      </c>
      <c r="H7859" s="1" t="str">
        <f>"73"</f>
        <v>73</v>
      </c>
      <c r="I7859" s="1" t="str">
        <f t="shared" si="5655"/>
        <v>160</v>
      </c>
      <c r="J7859" s="1" t="str">
        <f t="shared" ref="J7859:O7859" si="5657">"0"</f>
        <v>0</v>
      </c>
      <c r="K7859" s="1" t="str">
        <f t="shared" si="5642"/>
        <v>103</v>
      </c>
      <c r="L7859" s="1" t="str">
        <f t="shared" si="5643"/>
        <v>47</v>
      </c>
      <c r="M7859" s="1" t="str">
        <f t="shared" si="5657"/>
        <v>0</v>
      </c>
      <c r="N7859" s="1" t="str">
        <f t="shared" si="5657"/>
        <v>0</v>
      </c>
      <c r="O7859" s="1" t="str">
        <f t="shared" si="5657"/>
        <v>0</v>
      </c>
    </row>
    <row r="7860" s="1" customFormat="1" spans="1:15">
      <c r="A7860" s="1" t="str">
        <f t="shared" si="5595"/>
        <v>202406</v>
      </c>
      <c r="B7860" s="1" t="str">
        <f t="shared" si="5596"/>
        <v>150525100</v>
      </c>
      <c r="C7860" s="1" t="str">
        <f>"1015307351"</f>
        <v>1015307351</v>
      </c>
      <c r="D7860" s="1" t="str">
        <f>"152326194809156126"</f>
        <v>152326194809156126</v>
      </c>
      <c r="E7860" s="1" t="s">
        <v>7520</v>
      </c>
      <c r="F7860" s="1" t="s">
        <v>16</v>
      </c>
      <c r="G7860" s="1" t="s">
        <v>17</v>
      </c>
      <c r="H7860" s="1" t="str">
        <f>"76"</f>
        <v>76</v>
      </c>
      <c r="I7860" s="1" t="str">
        <f t="shared" si="5655"/>
        <v>160</v>
      </c>
      <c r="J7860" s="1" t="str">
        <f t="shared" ref="J7860:O7860" si="5658">"0"</f>
        <v>0</v>
      </c>
      <c r="K7860" s="1" t="str">
        <f t="shared" si="5642"/>
        <v>103</v>
      </c>
      <c r="L7860" s="1" t="str">
        <f t="shared" si="5643"/>
        <v>47</v>
      </c>
      <c r="M7860" s="1" t="str">
        <f t="shared" si="5658"/>
        <v>0</v>
      </c>
      <c r="N7860" s="1" t="str">
        <f t="shared" si="5658"/>
        <v>0</v>
      </c>
      <c r="O7860" s="1" t="str">
        <f t="shared" si="5658"/>
        <v>0</v>
      </c>
    </row>
    <row r="7861" s="1" customFormat="1" spans="1:15">
      <c r="A7861" s="1" t="str">
        <f t="shared" si="5595"/>
        <v>202406</v>
      </c>
      <c r="B7861" s="1" t="str">
        <f t="shared" si="5596"/>
        <v>150525100</v>
      </c>
      <c r="C7861" s="1" t="str">
        <f>"1015307364"</f>
        <v>1015307364</v>
      </c>
      <c r="D7861" s="1" t="str">
        <f>"152326194902230925"</f>
        <v>152326194902230925</v>
      </c>
      <c r="E7861" s="1" t="s">
        <v>491</v>
      </c>
      <c r="F7861" s="1" t="s">
        <v>16</v>
      </c>
      <c r="G7861" s="1" t="s">
        <v>19</v>
      </c>
      <c r="H7861" s="1" t="str">
        <f>"75"</f>
        <v>75</v>
      </c>
      <c r="I7861" s="1" t="str">
        <f t="shared" si="5655"/>
        <v>160</v>
      </c>
      <c r="J7861" s="1" t="str">
        <f t="shared" ref="J7861:O7861" si="5659">"0"</f>
        <v>0</v>
      </c>
      <c r="K7861" s="1" t="str">
        <f t="shared" si="5642"/>
        <v>103</v>
      </c>
      <c r="L7861" s="1" t="str">
        <f t="shared" si="5643"/>
        <v>47</v>
      </c>
      <c r="M7861" s="1" t="str">
        <f t="shared" si="5659"/>
        <v>0</v>
      </c>
      <c r="N7861" s="1" t="str">
        <f t="shared" si="5659"/>
        <v>0</v>
      </c>
      <c r="O7861" s="1" t="str">
        <f t="shared" si="5659"/>
        <v>0</v>
      </c>
    </row>
    <row r="7862" s="1" customFormat="1" spans="1:15">
      <c r="A7862" s="1" t="str">
        <f t="shared" si="5595"/>
        <v>202406</v>
      </c>
      <c r="B7862" s="1" t="str">
        <f t="shared" si="5596"/>
        <v>150525100</v>
      </c>
      <c r="C7862" s="1" t="str">
        <f>"1014622856"</f>
        <v>1014622856</v>
      </c>
      <c r="D7862" s="1" t="str">
        <f>"152326194808203816"</f>
        <v>152326194808203816</v>
      </c>
      <c r="E7862" s="1" t="s">
        <v>7521</v>
      </c>
      <c r="F7862" s="1" t="s">
        <v>25</v>
      </c>
      <c r="G7862" s="1" t="s">
        <v>19</v>
      </c>
      <c r="H7862" s="1" t="str">
        <f>"76"</f>
        <v>76</v>
      </c>
      <c r="I7862" s="1" t="str">
        <f t="shared" si="5655"/>
        <v>160</v>
      </c>
      <c r="J7862" s="1" t="str">
        <f t="shared" ref="J7862:O7862" si="5660">"0"</f>
        <v>0</v>
      </c>
      <c r="K7862" s="1" t="str">
        <f t="shared" si="5642"/>
        <v>103</v>
      </c>
      <c r="L7862" s="1" t="str">
        <f t="shared" si="5643"/>
        <v>47</v>
      </c>
      <c r="M7862" s="1" t="str">
        <f t="shared" si="5660"/>
        <v>0</v>
      </c>
      <c r="N7862" s="1" t="str">
        <f t="shared" si="5660"/>
        <v>0</v>
      </c>
      <c r="O7862" s="1" t="str">
        <f t="shared" si="5660"/>
        <v>0</v>
      </c>
    </row>
    <row r="7863" s="1" customFormat="1" spans="1:15">
      <c r="A7863" s="1" t="str">
        <f t="shared" si="5595"/>
        <v>202406</v>
      </c>
      <c r="B7863" s="1" t="str">
        <f t="shared" si="5596"/>
        <v>150525100</v>
      </c>
      <c r="C7863" s="1" t="str">
        <f>"1014589292"</f>
        <v>1014589292</v>
      </c>
      <c r="D7863" s="1" t="str">
        <f>"152326195210050426"</f>
        <v>152326195210050426</v>
      </c>
      <c r="E7863" s="1" t="s">
        <v>7522</v>
      </c>
      <c r="F7863" s="1" t="s">
        <v>16</v>
      </c>
      <c r="G7863" s="1" t="s">
        <v>17</v>
      </c>
      <c r="H7863" s="1" t="str">
        <f>"72"</f>
        <v>72</v>
      </c>
      <c r="I7863" s="1" t="str">
        <f>"162.15"</f>
        <v>162.15</v>
      </c>
      <c r="J7863" s="1" t="str">
        <f t="shared" ref="J7863:N7863" si="5661">"0"</f>
        <v>0</v>
      </c>
      <c r="K7863" s="1" t="str">
        <f t="shared" si="5642"/>
        <v>103</v>
      </c>
      <c r="L7863" s="1" t="str">
        <f t="shared" si="5643"/>
        <v>47</v>
      </c>
      <c r="M7863" s="1" t="str">
        <f t="shared" si="5661"/>
        <v>0</v>
      </c>
      <c r="N7863" s="1" t="str">
        <f t="shared" si="5661"/>
        <v>0</v>
      </c>
      <c r="O7863" s="1" t="str">
        <f>"2.15"</f>
        <v>2.15</v>
      </c>
    </row>
    <row r="7864" s="1" customFormat="1" spans="1:15">
      <c r="A7864" s="1" t="str">
        <f t="shared" si="5595"/>
        <v>202406</v>
      </c>
      <c r="B7864" s="1" t="str">
        <f t="shared" si="5596"/>
        <v>150525100</v>
      </c>
      <c r="C7864" s="1" t="str">
        <f>"1014613426"</f>
        <v>1014613426</v>
      </c>
      <c r="D7864" s="1" t="str">
        <f>"152326195005283327"</f>
        <v>152326195005283327</v>
      </c>
      <c r="E7864" s="1" t="s">
        <v>7523</v>
      </c>
      <c r="F7864" s="1" t="s">
        <v>16</v>
      </c>
      <c r="G7864" s="1" t="s">
        <v>17</v>
      </c>
      <c r="H7864" s="1" t="str">
        <f>"74"</f>
        <v>74</v>
      </c>
      <c r="I7864" s="1" t="str">
        <f t="shared" ref="I7864:I7870" si="5662">"160"</f>
        <v>160</v>
      </c>
      <c r="J7864" s="1" t="str">
        <f t="shared" ref="J7864:O7864" si="5663">"0"</f>
        <v>0</v>
      </c>
      <c r="K7864" s="1" t="str">
        <f t="shared" si="5642"/>
        <v>103</v>
      </c>
      <c r="L7864" s="1" t="str">
        <f t="shared" si="5643"/>
        <v>47</v>
      </c>
      <c r="M7864" s="1" t="str">
        <f t="shared" si="5663"/>
        <v>0</v>
      </c>
      <c r="N7864" s="1" t="str">
        <f t="shared" si="5663"/>
        <v>0</v>
      </c>
      <c r="O7864" s="1" t="str">
        <f t="shared" si="5663"/>
        <v>0</v>
      </c>
    </row>
    <row r="7865" s="1" customFormat="1" spans="1:15">
      <c r="A7865" s="1" t="str">
        <f t="shared" si="5595"/>
        <v>202406</v>
      </c>
      <c r="B7865" s="1" t="str">
        <f t="shared" si="5596"/>
        <v>150525100</v>
      </c>
      <c r="C7865" s="1" t="str">
        <f>"1014613439"</f>
        <v>1014613439</v>
      </c>
      <c r="D7865" s="1" t="str">
        <f>"152326194601073321"</f>
        <v>152326194601073321</v>
      </c>
      <c r="E7865" s="1" t="s">
        <v>2831</v>
      </c>
      <c r="F7865" s="1" t="s">
        <v>16</v>
      </c>
      <c r="G7865" s="1" t="s">
        <v>17</v>
      </c>
      <c r="H7865" s="1" t="str">
        <f>"79"</f>
        <v>79</v>
      </c>
      <c r="I7865" s="1" t="str">
        <f t="shared" si="5662"/>
        <v>160</v>
      </c>
      <c r="J7865" s="1" t="str">
        <f t="shared" ref="J7865:O7865" si="5664">"0"</f>
        <v>0</v>
      </c>
      <c r="K7865" s="1" t="str">
        <f t="shared" si="5642"/>
        <v>103</v>
      </c>
      <c r="L7865" s="1" t="str">
        <f t="shared" si="5643"/>
        <v>47</v>
      </c>
      <c r="M7865" s="1" t="str">
        <f t="shared" si="5664"/>
        <v>0</v>
      </c>
      <c r="N7865" s="1" t="str">
        <f t="shared" si="5664"/>
        <v>0</v>
      </c>
      <c r="O7865" s="1" t="str">
        <f t="shared" si="5664"/>
        <v>0</v>
      </c>
    </row>
    <row r="7866" s="1" customFormat="1" spans="1:15">
      <c r="A7866" s="1" t="str">
        <f t="shared" si="5595"/>
        <v>202406</v>
      </c>
      <c r="B7866" s="1" t="str">
        <f t="shared" si="5596"/>
        <v>150525100</v>
      </c>
      <c r="C7866" s="1" t="str">
        <f>"1014624222"</f>
        <v>1014624222</v>
      </c>
      <c r="D7866" s="1" t="str">
        <f>"152326195107290667"</f>
        <v>152326195107290667</v>
      </c>
      <c r="E7866" s="1" t="s">
        <v>7524</v>
      </c>
      <c r="F7866" s="1" t="s">
        <v>16</v>
      </c>
      <c r="G7866" s="1" t="s">
        <v>17</v>
      </c>
      <c r="H7866" s="1" t="str">
        <f t="shared" ref="H7866:H7871" si="5665">"73"</f>
        <v>73</v>
      </c>
      <c r="I7866" s="1" t="str">
        <f t="shared" si="5662"/>
        <v>160</v>
      </c>
      <c r="J7866" s="1" t="str">
        <f t="shared" ref="J7866:O7866" si="5666">"0"</f>
        <v>0</v>
      </c>
      <c r="K7866" s="1" t="str">
        <f t="shared" si="5642"/>
        <v>103</v>
      </c>
      <c r="L7866" s="1" t="str">
        <f t="shared" si="5643"/>
        <v>47</v>
      </c>
      <c r="M7866" s="1" t="str">
        <f t="shared" si="5666"/>
        <v>0</v>
      </c>
      <c r="N7866" s="1" t="str">
        <f t="shared" si="5666"/>
        <v>0</v>
      </c>
      <c r="O7866" s="1" t="str">
        <f t="shared" si="5666"/>
        <v>0</v>
      </c>
    </row>
    <row r="7867" s="1" customFormat="1" spans="1:15">
      <c r="A7867" s="1" t="str">
        <f t="shared" si="5595"/>
        <v>202406</v>
      </c>
      <c r="B7867" s="1" t="str">
        <f t="shared" si="5596"/>
        <v>150525100</v>
      </c>
      <c r="C7867" s="1" t="str">
        <f>"1014624223"</f>
        <v>1014624223</v>
      </c>
      <c r="D7867" s="1" t="str">
        <f>"152326194701290681"</f>
        <v>152326194701290681</v>
      </c>
      <c r="E7867" s="1" t="s">
        <v>1293</v>
      </c>
      <c r="F7867" s="1" t="s">
        <v>16</v>
      </c>
      <c r="G7867" s="1" t="s">
        <v>17</v>
      </c>
      <c r="H7867" s="1" t="str">
        <f>"77"</f>
        <v>77</v>
      </c>
      <c r="I7867" s="1" t="str">
        <f t="shared" si="5662"/>
        <v>160</v>
      </c>
      <c r="J7867" s="1" t="str">
        <f t="shared" ref="J7867:O7867" si="5667">"0"</f>
        <v>0</v>
      </c>
      <c r="K7867" s="1" t="str">
        <f t="shared" si="5642"/>
        <v>103</v>
      </c>
      <c r="L7867" s="1" t="str">
        <f t="shared" si="5643"/>
        <v>47</v>
      </c>
      <c r="M7867" s="1" t="str">
        <f t="shared" si="5667"/>
        <v>0</v>
      </c>
      <c r="N7867" s="1" t="str">
        <f t="shared" si="5667"/>
        <v>0</v>
      </c>
      <c r="O7867" s="1" t="str">
        <f t="shared" si="5667"/>
        <v>0</v>
      </c>
    </row>
    <row r="7868" s="1" customFormat="1" spans="1:15">
      <c r="A7868" s="1" t="str">
        <f t="shared" si="5595"/>
        <v>202406</v>
      </c>
      <c r="B7868" s="1" t="str">
        <f t="shared" si="5596"/>
        <v>150525100</v>
      </c>
      <c r="C7868" s="1" t="str">
        <f>"1014624224"</f>
        <v>1014624224</v>
      </c>
      <c r="D7868" s="1" t="str">
        <f>"152326194811080677"</f>
        <v>152326194811080677</v>
      </c>
      <c r="E7868" s="1" t="s">
        <v>7525</v>
      </c>
      <c r="F7868" s="1" t="s">
        <v>25</v>
      </c>
      <c r="G7868" s="1" t="s">
        <v>17</v>
      </c>
      <c r="H7868" s="1" t="str">
        <f>"76"</f>
        <v>76</v>
      </c>
      <c r="I7868" s="1" t="str">
        <f t="shared" si="5662"/>
        <v>160</v>
      </c>
      <c r="J7868" s="1" t="str">
        <f t="shared" ref="J7868:O7868" si="5668">"0"</f>
        <v>0</v>
      </c>
      <c r="K7868" s="1" t="str">
        <f t="shared" si="5642"/>
        <v>103</v>
      </c>
      <c r="L7868" s="1" t="str">
        <f t="shared" si="5643"/>
        <v>47</v>
      </c>
      <c r="M7868" s="1" t="str">
        <f t="shared" si="5668"/>
        <v>0</v>
      </c>
      <c r="N7868" s="1" t="str">
        <f t="shared" si="5668"/>
        <v>0</v>
      </c>
      <c r="O7868" s="1" t="str">
        <f t="shared" si="5668"/>
        <v>0</v>
      </c>
    </row>
    <row r="7869" s="1" customFormat="1" spans="1:15">
      <c r="A7869" s="1" t="str">
        <f t="shared" si="5595"/>
        <v>202406</v>
      </c>
      <c r="B7869" s="1" t="str">
        <f t="shared" si="5596"/>
        <v>150525100</v>
      </c>
      <c r="C7869" s="1" t="str">
        <f>"1014619212"</f>
        <v>1014619212</v>
      </c>
      <c r="D7869" s="1" t="str">
        <f>"152326195011060664"</f>
        <v>152326195011060664</v>
      </c>
      <c r="E7869" s="1" t="s">
        <v>7526</v>
      </c>
      <c r="F7869" s="1" t="s">
        <v>16</v>
      </c>
      <c r="G7869" s="1" t="s">
        <v>17</v>
      </c>
      <c r="H7869" s="1" t="str">
        <f>"74"</f>
        <v>74</v>
      </c>
      <c r="I7869" s="1" t="str">
        <f t="shared" si="5662"/>
        <v>160</v>
      </c>
      <c r="J7869" s="1" t="str">
        <f t="shared" ref="J7869:O7869" si="5669">"0"</f>
        <v>0</v>
      </c>
      <c r="K7869" s="1" t="str">
        <f t="shared" si="5642"/>
        <v>103</v>
      </c>
      <c r="L7869" s="1" t="str">
        <f t="shared" si="5643"/>
        <v>47</v>
      </c>
      <c r="M7869" s="1" t="str">
        <f t="shared" si="5669"/>
        <v>0</v>
      </c>
      <c r="N7869" s="1" t="str">
        <f t="shared" si="5669"/>
        <v>0</v>
      </c>
      <c r="O7869" s="1" t="str">
        <f t="shared" si="5669"/>
        <v>0</v>
      </c>
    </row>
    <row r="7870" s="1" customFormat="1" spans="1:15">
      <c r="A7870" s="1" t="str">
        <f t="shared" si="5595"/>
        <v>202406</v>
      </c>
      <c r="B7870" s="1" t="str">
        <f t="shared" si="5596"/>
        <v>150525100</v>
      </c>
      <c r="C7870" s="1" t="str">
        <f>"1014619218"</f>
        <v>1014619218</v>
      </c>
      <c r="D7870" s="1" t="str">
        <f>"152326195111160662"</f>
        <v>152326195111160662</v>
      </c>
      <c r="E7870" s="1" t="s">
        <v>80</v>
      </c>
      <c r="F7870" s="1" t="s">
        <v>16</v>
      </c>
      <c r="G7870" s="1" t="s">
        <v>17</v>
      </c>
      <c r="H7870" s="1" t="str">
        <f t="shared" si="5665"/>
        <v>73</v>
      </c>
      <c r="I7870" s="1" t="str">
        <f t="shared" si="5662"/>
        <v>160</v>
      </c>
      <c r="J7870" s="1" t="str">
        <f t="shared" ref="J7870:O7870" si="5670">"0"</f>
        <v>0</v>
      </c>
      <c r="K7870" s="1" t="str">
        <f t="shared" si="5642"/>
        <v>103</v>
      </c>
      <c r="L7870" s="1" t="str">
        <f t="shared" si="5643"/>
        <v>47</v>
      </c>
      <c r="M7870" s="1" t="str">
        <f t="shared" si="5670"/>
        <v>0</v>
      </c>
      <c r="N7870" s="1" t="str">
        <f t="shared" si="5670"/>
        <v>0</v>
      </c>
      <c r="O7870" s="1" t="str">
        <f t="shared" si="5670"/>
        <v>0</v>
      </c>
    </row>
    <row r="7871" s="1" customFormat="1" spans="1:15">
      <c r="A7871" s="1" t="str">
        <f t="shared" si="5595"/>
        <v>202406</v>
      </c>
      <c r="B7871" s="1" t="str">
        <f t="shared" si="5596"/>
        <v>150525100</v>
      </c>
      <c r="C7871" s="1" t="str">
        <f>"1014619225"</f>
        <v>1014619225</v>
      </c>
      <c r="D7871" s="1" t="str">
        <f>"152326195106203824"</f>
        <v>152326195106203824</v>
      </c>
      <c r="E7871" s="1" t="s">
        <v>7527</v>
      </c>
      <c r="F7871" s="1" t="s">
        <v>16</v>
      </c>
      <c r="G7871" s="1" t="s">
        <v>17</v>
      </c>
      <c r="H7871" s="1" t="str">
        <f t="shared" si="5665"/>
        <v>73</v>
      </c>
      <c r="I7871" s="1" t="str">
        <f>"640"</f>
        <v>640</v>
      </c>
      <c r="J7871" s="1" t="str">
        <f>"480"</f>
        <v>480</v>
      </c>
      <c r="K7871" s="1" t="str">
        <f>"412"</f>
        <v>412</v>
      </c>
      <c r="L7871" s="1" t="str">
        <f>"188"</f>
        <v>188</v>
      </c>
      <c r="M7871" s="1" t="str">
        <f t="shared" ref="M7871:O7871" si="5671">"0"</f>
        <v>0</v>
      </c>
      <c r="N7871" s="1" t="str">
        <f t="shared" si="5671"/>
        <v>0</v>
      </c>
      <c r="O7871" s="1" t="str">
        <f t="shared" si="5671"/>
        <v>0</v>
      </c>
    </row>
    <row r="7872" s="1" customFormat="1" spans="1:15">
      <c r="A7872" s="1" t="str">
        <f t="shared" si="5595"/>
        <v>202406</v>
      </c>
      <c r="B7872" s="1" t="str">
        <f t="shared" si="5596"/>
        <v>150525100</v>
      </c>
      <c r="C7872" s="1" t="str">
        <f>"1014622889"</f>
        <v>1014622889</v>
      </c>
      <c r="D7872" s="1" t="str">
        <f>"152326194810130425"</f>
        <v>152326194810130425</v>
      </c>
      <c r="E7872" s="1" t="s">
        <v>7528</v>
      </c>
      <c r="F7872" s="1" t="s">
        <v>16</v>
      </c>
      <c r="G7872" s="1" t="s">
        <v>17</v>
      </c>
      <c r="H7872" s="1" t="str">
        <f>"76"</f>
        <v>76</v>
      </c>
      <c r="I7872" s="1" t="str">
        <f t="shared" ref="I7872:I7875" si="5672">"160"</f>
        <v>160</v>
      </c>
      <c r="J7872" s="1" t="str">
        <f t="shared" ref="J7872:O7872" si="5673">"0"</f>
        <v>0</v>
      </c>
      <c r="K7872" s="1" t="str">
        <f t="shared" ref="K7872:K7903" si="5674">"103"</f>
        <v>103</v>
      </c>
      <c r="L7872" s="1" t="str">
        <f t="shared" ref="L7872:L7903" si="5675">"47"</f>
        <v>47</v>
      </c>
      <c r="M7872" s="1" t="str">
        <f t="shared" si="5673"/>
        <v>0</v>
      </c>
      <c r="N7872" s="1" t="str">
        <f t="shared" si="5673"/>
        <v>0</v>
      </c>
      <c r="O7872" s="1" t="str">
        <f t="shared" si="5673"/>
        <v>0</v>
      </c>
    </row>
    <row r="7873" s="1" customFormat="1" spans="1:15">
      <c r="A7873" s="1" t="str">
        <f t="shared" si="5595"/>
        <v>202406</v>
      </c>
      <c r="B7873" s="1" t="str">
        <f t="shared" si="5596"/>
        <v>150525100</v>
      </c>
      <c r="C7873" s="1" t="str">
        <f>"1014623690"</f>
        <v>1014623690</v>
      </c>
      <c r="D7873" s="1" t="str">
        <f>"152326195005040413"</f>
        <v>152326195005040413</v>
      </c>
      <c r="E7873" s="1" t="s">
        <v>7529</v>
      </c>
      <c r="F7873" s="1" t="s">
        <v>25</v>
      </c>
      <c r="G7873" s="1" t="s">
        <v>17</v>
      </c>
      <c r="H7873" s="1" t="str">
        <f>"74"</f>
        <v>74</v>
      </c>
      <c r="I7873" s="1" t="str">
        <f t="shared" si="5672"/>
        <v>160</v>
      </c>
      <c r="J7873" s="1" t="str">
        <f t="shared" ref="J7873:O7873" si="5676">"0"</f>
        <v>0</v>
      </c>
      <c r="K7873" s="1" t="str">
        <f t="shared" si="5674"/>
        <v>103</v>
      </c>
      <c r="L7873" s="1" t="str">
        <f t="shared" si="5675"/>
        <v>47</v>
      </c>
      <c r="M7873" s="1" t="str">
        <f t="shared" si="5676"/>
        <v>0</v>
      </c>
      <c r="N7873" s="1" t="str">
        <f t="shared" si="5676"/>
        <v>0</v>
      </c>
      <c r="O7873" s="1" t="str">
        <f t="shared" si="5676"/>
        <v>0</v>
      </c>
    </row>
    <row r="7874" s="1" customFormat="1" spans="1:15">
      <c r="A7874" s="1" t="str">
        <f t="shared" ref="A7874:A7937" si="5677">"202406"</f>
        <v>202406</v>
      </c>
      <c r="B7874" s="1" t="str">
        <f t="shared" ref="B7874:B7937" si="5678">"150525100"</f>
        <v>150525100</v>
      </c>
      <c r="C7874" s="1" t="str">
        <f>"1014613512"</f>
        <v>1014613512</v>
      </c>
      <c r="D7874" s="1" t="str">
        <f>"152326194910173326"</f>
        <v>152326194910173326</v>
      </c>
      <c r="E7874" s="1" t="s">
        <v>7530</v>
      </c>
      <c r="F7874" s="1" t="s">
        <v>16</v>
      </c>
      <c r="G7874" s="1" t="s">
        <v>17</v>
      </c>
      <c r="H7874" s="1" t="str">
        <f>"75"</f>
        <v>75</v>
      </c>
      <c r="I7874" s="1" t="str">
        <f t="shared" si="5672"/>
        <v>160</v>
      </c>
      <c r="J7874" s="1" t="str">
        <f t="shared" ref="J7874:O7874" si="5679">"0"</f>
        <v>0</v>
      </c>
      <c r="K7874" s="1" t="str">
        <f t="shared" si="5674"/>
        <v>103</v>
      </c>
      <c r="L7874" s="1" t="str">
        <f t="shared" si="5675"/>
        <v>47</v>
      </c>
      <c r="M7874" s="1" t="str">
        <f t="shared" si="5679"/>
        <v>0</v>
      </c>
      <c r="N7874" s="1" t="str">
        <f t="shared" si="5679"/>
        <v>0</v>
      </c>
      <c r="O7874" s="1" t="str">
        <f t="shared" si="5679"/>
        <v>0</v>
      </c>
    </row>
    <row r="7875" s="1" customFormat="1" spans="1:15">
      <c r="A7875" s="1" t="str">
        <f t="shared" si="5677"/>
        <v>202406</v>
      </c>
      <c r="B7875" s="1" t="str">
        <f t="shared" si="5678"/>
        <v>150525100</v>
      </c>
      <c r="C7875" s="1" t="str">
        <f>"1014613540"</f>
        <v>1014613540</v>
      </c>
      <c r="D7875" s="1" t="str">
        <f>"152326194912113327"</f>
        <v>152326194912113327</v>
      </c>
      <c r="E7875" s="1" t="s">
        <v>7531</v>
      </c>
      <c r="F7875" s="1" t="s">
        <v>16</v>
      </c>
      <c r="G7875" s="1" t="s">
        <v>19</v>
      </c>
      <c r="H7875" s="1" t="str">
        <f>"75"</f>
        <v>75</v>
      </c>
      <c r="I7875" s="1" t="str">
        <f t="shared" si="5672"/>
        <v>160</v>
      </c>
      <c r="J7875" s="1" t="str">
        <f t="shared" ref="J7875:O7875" si="5680">"0"</f>
        <v>0</v>
      </c>
      <c r="K7875" s="1" t="str">
        <f t="shared" si="5674"/>
        <v>103</v>
      </c>
      <c r="L7875" s="1" t="str">
        <f t="shared" si="5675"/>
        <v>47</v>
      </c>
      <c r="M7875" s="1" t="str">
        <f t="shared" si="5680"/>
        <v>0</v>
      </c>
      <c r="N7875" s="1" t="str">
        <f t="shared" si="5680"/>
        <v>0</v>
      </c>
      <c r="O7875" s="1" t="str">
        <f t="shared" si="5680"/>
        <v>0</v>
      </c>
    </row>
    <row r="7876" s="1" customFormat="1" spans="1:15">
      <c r="A7876" s="1" t="str">
        <f t="shared" si="5677"/>
        <v>202406</v>
      </c>
      <c r="B7876" s="1" t="str">
        <f t="shared" si="5678"/>
        <v>150525100</v>
      </c>
      <c r="C7876" s="1" t="str">
        <f>"1014619317"</f>
        <v>1014619317</v>
      </c>
      <c r="D7876" s="1" t="str">
        <f>"152326194401120680"</f>
        <v>152326194401120680</v>
      </c>
      <c r="E7876" s="1" t="s">
        <v>4055</v>
      </c>
      <c r="F7876" s="1" t="s">
        <v>16</v>
      </c>
      <c r="G7876" s="1" t="s">
        <v>19</v>
      </c>
      <c r="H7876" s="1" t="str">
        <f>"80"</f>
        <v>80</v>
      </c>
      <c r="I7876" s="1" t="str">
        <f t="shared" ref="I7876:I7880" si="5681">"170"</f>
        <v>170</v>
      </c>
      <c r="J7876" s="1" t="str">
        <f t="shared" ref="J7876:O7876" si="5682">"0"</f>
        <v>0</v>
      </c>
      <c r="K7876" s="1" t="str">
        <f t="shared" si="5674"/>
        <v>103</v>
      </c>
      <c r="L7876" s="1" t="str">
        <f t="shared" si="5675"/>
        <v>47</v>
      </c>
      <c r="M7876" s="1" t="str">
        <f t="shared" si="5682"/>
        <v>0</v>
      </c>
      <c r="N7876" s="1" t="str">
        <f t="shared" si="5682"/>
        <v>0</v>
      </c>
      <c r="O7876" s="1" t="str">
        <f t="shared" si="5682"/>
        <v>0</v>
      </c>
    </row>
    <row r="7877" s="1" customFormat="1" spans="1:15">
      <c r="A7877" s="1" t="str">
        <f t="shared" si="5677"/>
        <v>202406</v>
      </c>
      <c r="B7877" s="1" t="str">
        <f t="shared" si="5678"/>
        <v>150525100</v>
      </c>
      <c r="C7877" s="1" t="str">
        <f>"1014619882"</f>
        <v>1014619882</v>
      </c>
      <c r="D7877" s="1" t="str">
        <f>"152326193710150723"</f>
        <v>152326193710150723</v>
      </c>
      <c r="E7877" s="1" t="s">
        <v>2289</v>
      </c>
      <c r="F7877" s="1" t="s">
        <v>16</v>
      </c>
      <c r="G7877" s="1" t="s">
        <v>17</v>
      </c>
      <c r="H7877" s="1" t="str">
        <f>"87"</f>
        <v>87</v>
      </c>
      <c r="I7877" s="1" t="str">
        <f t="shared" si="5681"/>
        <v>170</v>
      </c>
      <c r="J7877" s="1" t="str">
        <f t="shared" ref="J7877:O7877" si="5683">"0"</f>
        <v>0</v>
      </c>
      <c r="K7877" s="1" t="str">
        <f t="shared" si="5674"/>
        <v>103</v>
      </c>
      <c r="L7877" s="1" t="str">
        <f t="shared" si="5675"/>
        <v>47</v>
      </c>
      <c r="M7877" s="1" t="str">
        <f t="shared" si="5683"/>
        <v>0</v>
      </c>
      <c r="N7877" s="1" t="str">
        <f t="shared" si="5683"/>
        <v>0</v>
      </c>
      <c r="O7877" s="1" t="str">
        <f t="shared" si="5683"/>
        <v>0</v>
      </c>
    </row>
    <row r="7878" s="1" customFormat="1" spans="1:15">
      <c r="A7878" s="1" t="str">
        <f t="shared" si="5677"/>
        <v>202406</v>
      </c>
      <c r="B7878" s="1" t="str">
        <f t="shared" si="5678"/>
        <v>150525100</v>
      </c>
      <c r="C7878" s="1" t="str">
        <f>"1014623330"</f>
        <v>1014623330</v>
      </c>
      <c r="D7878" s="1" t="str">
        <f>"152326193706120046"</f>
        <v>152326193706120046</v>
      </c>
      <c r="E7878" s="1" t="s">
        <v>3728</v>
      </c>
      <c r="F7878" s="1" t="s">
        <v>16</v>
      </c>
      <c r="G7878" s="1" t="s">
        <v>17</v>
      </c>
      <c r="H7878" s="1" t="str">
        <f>"87"</f>
        <v>87</v>
      </c>
      <c r="I7878" s="1" t="str">
        <f t="shared" si="5681"/>
        <v>170</v>
      </c>
      <c r="J7878" s="1" t="str">
        <f t="shared" ref="J7878:O7878" si="5684">"0"</f>
        <v>0</v>
      </c>
      <c r="K7878" s="1" t="str">
        <f t="shared" si="5674"/>
        <v>103</v>
      </c>
      <c r="L7878" s="1" t="str">
        <f t="shared" si="5675"/>
        <v>47</v>
      </c>
      <c r="M7878" s="1" t="str">
        <f t="shared" si="5684"/>
        <v>0</v>
      </c>
      <c r="N7878" s="1" t="str">
        <f t="shared" si="5684"/>
        <v>0</v>
      </c>
      <c r="O7878" s="1" t="str">
        <f t="shared" si="5684"/>
        <v>0</v>
      </c>
    </row>
    <row r="7879" s="1" customFormat="1" spans="1:15">
      <c r="A7879" s="1" t="str">
        <f t="shared" si="5677"/>
        <v>202406</v>
      </c>
      <c r="B7879" s="1" t="str">
        <f t="shared" si="5678"/>
        <v>150525100</v>
      </c>
      <c r="C7879" s="1" t="str">
        <f>"1014623334"</f>
        <v>1014623334</v>
      </c>
      <c r="D7879" s="1" t="str">
        <f>"152326194208060022"</f>
        <v>152326194208060022</v>
      </c>
      <c r="E7879" s="1" t="s">
        <v>7532</v>
      </c>
      <c r="F7879" s="1" t="s">
        <v>16</v>
      </c>
      <c r="G7879" s="1" t="s">
        <v>19</v>
      </c>
      <c r="H7879" s="1" t="str">
        <f>"82"</f>
        <v>82</v>
      </c>
      <c r="I7879" s="1" t="str">
        <f t="shared" si="5681"/>
        <v>170</v>
      </c>
      <c r="J7879" s="1" t="str">
        <f t="shared" ref="J7879:O7879" si="5685">"0"</f>
        <v>0</v>
      </c>
      <c r="K7879" s="1" t="str">
        <f t="shared" si="5674"/>
        <v>103</v>
      </c>
      <c r="L7879" s="1" t="str">
        <f t="shared" si="5675"/>
        <v>47</v>
      </c>
      <c r="M7879" s="1" t="str">
        <f t="shared" si="5685"/>
        <v>0</v>
      </c>
      <c r="N7879" s="1" t="str">
        <f t="shared" si="5685"/>
        <v>0</v>
      </c>
      <c r="O7879" s="1" t="str">
        <f t="shared" si="5685"/>
        <v>0</v>
      </c>
    </row>
    <row r="7880" s="1" customFormat="1" spans="1:15">
      <c r="A7880" s="1" t="str">
        <f t="shared" si="5677"/>
        <v>202406</v>
      </c>
      <c r="B7880" s="1" t="str">
        <f t="shared" si="5678"/>
        <v>150525100</v>
      </c>
      <c r="C7880" s="1" t="str">
        <f>"1014613448"</f>
        <v>1014613448</v>
      </c>
      <c r="D7880" s="1" t="str">
        <f>"152326194307163326"</f>
        <v>152326194307163326</v>
      </c>
      <c r="E7880" s="1" t="s">
        <v>7533</v>
      </c>
      <c r="F7880" s="1" t="s">
        <v>16</v>
      </c>
      <c r="G7880" s="1" t="s">
        <v>17</v>
      </c>
      <c r="H7880" s="1" t="str">
        <f>"81"</f>
        <v>81</v>
      </c>
      <c r="I7880" s="1" t="str">
        <f t="shared" si="5681"/>
        <v>170</v>
      </c>
      <c r="J7880" s="1" t="str">
        <f t="shared" ref="J7880:O7880" si="5686">"0"</f>
        <v>0</v>
      </c>
      <c r="K7880" s="1" t="str">
        <f t="shared" si="5674"/>
        <v>103</v>
      </c>
      <c r="L7880" s="1" t="str">
        <f t="shared" si="5675"/>
        <v>47</v>
      </c>
      <c r="M7880" s="1" t="str">
        <f t="shared" si="5686"/>
        <v>0</v>
      </c>
      <c r="N7880" s="1" t="str">
        <f t="shared" si="5686"/>
        <v>0</v>
      </c>
      <c r="O7880" s="1" t="str">
        <f t="shared" si="5686"/>
        <v>0</v>
      </c>
    </row>
    <row r="7881" s="1" customFormat="1" spans="1:15">
      <c r="A7881" s="1" t="str">
        <f t="shared" si="5677"/>
        <v>202406</v>
      </c>
      <c r="B7881" s="1" t="str">
        <f t="shared" si="5678"/>
        <v>150525100</v>
      </c>
      <c r="C7881" s="1" t="str">
        <f>"1014622067"</f>
        <v>1014622067</v>
      </c>
      <c r="D7881" s="1" t="str">
        <f>"152326194805230421"</f>
        <v>152326194805230421</v>
      </c>
      <c r="E7881" s="1" t="s">
        <v>5186</v>
      </c>
      <c r="F7881" s="1" t="s">
        <v>16</v>
      </c>
      <c r="G7881" s="1" t="s">
        <v>17</v>
      </c>
      <c r="H7881" s="1" t="str">
        <f>"76"</f>
        <v>76</v>
      </c>
      <c r="I7881" s="1" t="str">
        <f t="shared" ref="I7881:I7884" si="5687">"160"</f>
        <v>160</v>
      </c>
      <c r="J7881" s="1" t="str">
        <f t="shared" ref="J7881:O7881" si="5688">"0"</f>
        <v>0</v>
      </c>
      <c r="K7881" s="1" t="str">
        <f t="shared" si="5674"/>
        <v>103</v>
      </c>
      <c r="L7881" s="1" t="str">
        <f t="shared" si="5675"/>
        <v>47</v>
      </c>
      <c r="M7881" s="1" t="str">
        <f t="shared" si="5688"/>
        <v>0</v>
      </c>
      <c r="N7881" s="1" t="str">
        <f t="shared" si="5688"/>
        <v>0</v>
      </c>
      <c r="O7881" s="1" t="str">
        <f t="shared" si="5688"/>
        <v>0</v>
      </c>
    </row>
    <row r="7882" s="1" customFormat="1" spans="1:15">
      <c r="A7882" s="1" t="str">
        <f t="shared" si="5677"/>
        <v>202406</v>
      </c>
      <c r="B7882" s="1" t="str">
        <f t="shared" si="5678"/>
        <v>150525100</v>
      </c>
      <c r="C7882" s="1" t="str">
        <f>"1014622094"</f>
        <v>1014622094</v>
      </c>
      <c r="D7882" s="1" t="str">
        <f>"152326194909036148"</f>
        <v>152326194909036148</v>
      </c>
      <c r="E7882" s="1" t="s">
        <v>413</v>
      </c>
      <c r="F7882" s="1" t="s">
        <v>16</v>
      </c>
      <c r="G7882" s="1" t="s">
        <v>17</v>
      </c>
      <c r="H7882" s="1" t="str">
        <f>"75"</f>
        <v>75</v>
      </c>
      <c r="I7882" s="1" t="str">
        <f t="shared" si="5687"/>
        <v>160</v>
      </c>
      <c r="J7882" s="1" t="str">
        <f t="shared" ref="J7882:O7882" si="5689">"0"</f>
        <v>0</v>
      </c>
      <c r="K7882" s="1" t="str">
        <f t="shared" si="5674"/>
        <v>103</v>
      </c>
      <c r="L7882" s="1" t="str">
        <f t="shared" si="5675"/>
        <v>47</v>
      </c>
      <c r="M7882" s="1" t="str">
        <f t="shared" si="5689"/>
        <v>0</v>
      </c>
      <c r="N7882" s="1" t="str">
        <f t="shared" si="5689"/>
        <v>0</v>
      </c>
      <c r="O7882" s="1" t="str">
        <f t="shared" si="5689"/>
        <v>0</v>
      </c>
    </row>
    <row r="7883" s="1" customFormat="1" spans="1:15">
      <c r="A7883" s="1" t="str">
        <f t="shared" si="5677"/>
        <v>202406</v>
      </c>
      <c r="B7883" s="1" t="str">
        <f t="shared" si="5678"/>
        <v>150525100</v>
      </c>
      <c r="C7883" s="1" t="str">
        <f>"1014624267"</f>
        <v>1014624267</v>
      </c>
      <c r="D7883" s="1" t="str">
        <f>"152326194009103827"</f>
        <v>152326194009103827</v>
      </c>
      <c r="E7883" s="1" t="s">
        <v>4426</v>
      </c>
      <c r="F7883" s="1" t="s">
        <v>16</v>
      </c>
      <c r="G7883" s="1" t="s">
        <v>17</v>
      </c>
      <c r="H7883" s="1" t="str">
        <f>"84"</f>
        <v>84</v>
      </c>
      <c r="I7883" s="1" t="str">
        <f>"170"</f>
        <v>170</v>
      </c>
      <c r="J7883" s="1" t="str">
        <f t="shared" ref="J7883:O7883" si="5690">"0"</f>
        <v>0</v>
      </c>
      <c r="K7883" s="1" t="str">
        <f t="shared" si="5674"/>
        <v>103</v>
      </c>
      <c r="L7883" s="1" t="str">
        <f t="shared" si="5675"/>
        <v>47</v>
      </c>
      <c r="M7883" s="1" t="str">
        <f t="shared" si="5690"/>
        <v>0</v>
      </c>
      <c r="N7883" s="1" t="str">
        <f t="shared" si="5690"/>
        <v>0</v>
      </c>
      <c r="O7883" s="1" t="str">
        <f t="shared" si="5690"/>
        <v>0</v>
      </c>
    </row>
    <row r="7884" s="1" customFormat="1" spans="1:15">
      <c r="A7884" s="1" t="str">
        <f t="shared" si="5677"/>
        <v>202406</v>
      </c>
      <c r="B7884" s="1" t="str">
        <f t="shared" si="5678"/>
        <v>150525100</v>
      </c>
      <c r="C7884" s="1" t="str">
        <f>"1014619256"</f>
        <v>1014619256</v>
      </c>
      <c r="D7884" s="1" t="str">
        <f>"152326194903140665"</f>
        <v>152326194903140665</v>
      </c>
      <c r="E7884" s="1" t="s">
        <v>7394</v>
      </c>
      <c r="F7884" s="1" t="s">
        <v>16</v>
      </c>
      <c r="G7884" s="1" t="s">
        <v>17</v>
      </c>
      <c r="H7884" s="1" t="str">
        <f>"75"</f>
        <v>75</v>
      </c>
      <c r="I7884" s="1" t="str">
        <f t="shared" si="5687"/>
        <v>160</v>
      </c>
      <c r="J7884" s="1" t="str">
        <f t="shared" ref="J7884:O7884" si="5691">"0"</f>
        <v>0</v>
      </c>
      <c r="K7884" s="1" t="str">
        <f t="shared" si="5674"/>
        <v>103</v>
      </c>
      <c r="L7884" s="1" t="str">
        <f t="shared" si="5675"/>
        <v>47</v>
      </c>
      <c r="M7884" s="1" t="str">
        <f t="shared" si="5691"/>
        <v>0</v>
      </c>
      <c r="N7884" s="1" t="str">
        <f t="shared" si="5691"/>
        <v>0</v>
      </c>
      <c r="O7884" s="1" t="str">
        <f t="shared" si="5691"/>
        <v>0</v>
      </c>
    </row>
    <row r="7885" s="1" customFormat="1" spans="1:15">
      <c r="A7885" s="1" t="str">
        <f t="shared" si="5677"/>
        <v>202406</v>
      </c>
      <c r="B7885" s="1" t="str">
        <f t="shared" si="5678"/>
        <v>150525100</v>
      </c>
      <c r="C7885" s="1" t="str">
        <f>"1014619258"</f>
        <v>1014619258</v>
      </c>
      <c r="D7885" s="1" t="str">
        <f>"152326193508180662"</f>
        <v>152326193508180662</v>
      </c>
      <c r="E7885" s="1" t="s">
        <v>7534</v>
      </c>
      <c r="F7885" s="1" t="s">
        <v>16</v>
      </c>
      <c r="G7885" s="1" t="s">
        <v>17</v>
      </c>
      <c r="H7885" s="1" t="str">
        <f>"89"</f>
        <v>89</v>
      </c>
      <c r="I7885" s="1" t="str">
        <f>"170"</f>
        <v>170</v>
      </c>
      <c r="J7885" s="1" t="str">
        <f t="shared" ref="J7885:O7885" si="5692">"0"</f>
        <v>0</v>
      </c>
      <c r="K7885" s="1" t="str">
        <f t="shared" si="5674"/>
        <v>103</v>
      </c>
      <c r="L7885" s="1" t="str">
        <f t="shared" si="5675"/>
        <v>47</v>
      </c>
      <c r="M7885" s="1" t="str">
        <f t="shared" si="5692"/>
        <v>0</v>
      </c>
      <c r="N7885" s="1" t="str">
        <f t="shared" si="5692"/>
        <v>0</v>
      </c>
      <c r="O7885" s="1" t="str">
        <f t="shared" si="5692"/>
        <v>0</v>
      </c>
    </row>
    <row r="7886" s="1" customFormat="1" spans="1:15">
      <c r="A7886" s="1" t="str">
        <f t="shared" si="5677"/>
        <v>202406</v>
      </c>
      <c r="B7886" s="1" t="str">
        <f t="shared" si="5678"/>
        <v>150525100</v>
      </c>
      <c r="C7886" s="1" t="str">
        <f>"1014619268"</f>
        <v>1014619268</v>
      </c>
      <c r="D7886" s="1" t="str">
        <f>"152326194810160421"</f>
        <v>152326194810160421</v>
      </c>
      <c r="E7886" s="1" t="s">
        <v>7535</v>
      </c>
      <c r="F7886" s="1" t="s">
        <v>16</v>
      </c>
      <c r="G7886" s="1" t="s">
        <v>17</v>
      </c>
      <c r="H7886" s="1" t="str">
        <f t="shared" ref="H7886:H7890" si="5693">"76"</f>
        <v>76</v>
      </c>
      <c r="I7886" s="1" t="str">
        <f>"161.87"</f>
        <v>161.87</v>
      </c>
      <c r="J7886" s="1" t="str">
        <f t="shared" ref="J7886:N7886" si="5694">"0"</f>
        <v>0</v>
      </c>
      <c r="K7886" s="1" t="str">
        <f t="shared" si="5674"/>
        <v>103</v>
      </c>
      <c r="L7886" s="1" t="str">
        <f t="shared" si="5675"/>
        <v>47</v>
      </c>
      <c r="M7886" s="1" t="str">
        <f t="shared" si="5694"/>
        <v>0</v>
      </c>
      <c r="N7886" s="1" t="str">
        <f t="shared" si="5694"/>
        <v>0</v>
      </c>
      <c r="O7886" s="1" t="str">
        <f>"1.87"</f>
        <v>1.87</v>
      </c>
    </row>
    <row r="7887" s="1" customFormat="1" spans="1:15">
      <c r="A7887" s="1" t="str">
        <f t="shared" si="5677"/>
        <v>202406</v>
      </c>
      <c r="B7887" s="1" t="str">
        <f t="shared" si="5678"/>
        <v>150525100</v>
      </c>
      <c r="C7887" s="1" t="str">
        <f>"1014619806"</f>
        <v>1014619806</v>
      </c>
      <c r="D7887" s="1" t="s">
        <v>7536</v>
      </c>
      <c r="E7887" s="1" t="s">
        <v>7537</v>
      </c>
      <c r="F7887" s="1" t="s">
        <v>25</v>
      </c>
      <c r="G7887" s="1" t="s">
        <v>19</v>
      </c>
      <c r="H7887" s="1" t="str">
        <f>"73"</f>
        <v>73</v>
      </c>
      <c r="I7887" s="1" t="str">
        <f t="shared" ref="I7887:I7890" si="5695">"160"</f>
        <v>160</v>
      </c>
      <c r="J7887" s="1" t="str">
        <f t="shared" ref="J7887:O7887" si="5696">"0"</f>
        <v>0</v>
      </c>
      <c r="K7887" s="1" t="str">
        <f t="shared" si="5674"/>
        <v>103</v>
      </c>
      <c r="L7887" s="1" t="str">
        <f t="shared" si="5675"/>
        <v>47</v>
      </c>
      <c r="M7887" s="1" t="str">
        <f t="shared" si="5696"/>
        <v>0</v>
      </c>
      <c r="N7887" s="1" t="str">
        <f t="shared" si="5696"/>
        <v>0</v>
      </c>
      <c r="O7887" s="1" t="str">
        <f t="shared" si="5696"/>
        <v>0</v>
      </c>
    </row>
    <row r="7888" s="1" customFormat="1" spans="1:15">
      <c r="A7888" s="1" t="str">
        <f t="shared" si="5677"/>
        <v>202406</v>
      </c>
      <c r="B7888" s="1" t="str">
        <f t="shared" si="5678"/>
        <v>150525100</v>
      </c>
      <c r="C7888" s="1" t="str">
        <f>"1014622897"</f>
        <v>1014622897</v>
      </c>
      <c r="D7888" s="1" t="str">
        <f>"152326195004210425"</f>
        <v>152326195004210425</v>
      </c>
      <c r="E7888" s="1" t="s">
        <v>7538</v>
      </c>
      <c r="F7888" s="1" t="s">
        <v>16</v>
      </c>
      <c r="G7888" s="1" t="s">
        <v>17</v>
      </c>
      <c r="H7888" s="1" t="str">
        <f>"74"</f>
        <v>74</v>
      </c>
      <c r="I7888" s="1" t="str">
        <f t="shared" si="5695"/>
        <v>160</v>
      </c>
      <c r="J7888" s="1" t="str">
        <f t="shared" ref="J7888:O7888" si="5697">"0"</f>
        <v>0</v>
      </c>
      <c r="K7888" s="1" t="str">
        <f t="shared" si="5674"/>
        <v>103</v>
      </c>
      <c r="L7888" s="1" t="str">
        <f t="shared" si="5675"/>
        <v>47</v>
      </c>
      <c r="M7888" s="1" t="str">
        <f t="shared" si="5697"/>
        <v>0</v>
      </c>
      <c r="N7888" s="1" t="str">
        <f t="shared" si="5697"/>
        <v>0</v>
      </c>
      <c r="O7888" s="1" t="str">
        <f t="shared" si="5697"/>
        <v>0</v>
      </c>
    </row>
    <row r="7889" s="1" customFormat="1" spans="1:15">
      <c r="A7889" s="1" t="str">
        <f t="shared" si="5677"/>
        <v>202406</v>
      </c>
      <c r="B7889" s="1" t="str">
        <f t="shared" si="5678"/>
        <v>150525100</v>
      </c>
      <c r="C7889" s="1" t="str">
        <f>"1014622912"</f>
        <v>1014622912</v>
      </c>
      <c r="D7889" s="1" t="str">
        <f>"152326194807020428"</f>
        <v>152326194807020428</v>
      </c>
      <c r="E7889" s="1" t="s">
        <v>7539</v>
      </c>
      <c r="F7889" s="1" t="s">
        <v>16</v>
      </c>
      <c r="G7889" s="1" t="s">
        <v>17</v>
      </c>
      <c r="H7889" s="1" t="str">
        <f t="shared" si="5693"/>
        <v>76</v>
      </c>
      <c r="I7889" s="1" t="str">
        <f t="shared" si="5695"/>
        <v>160</v>
      </c>
      <c r="J7889" s="1" t="str">
        <f t="shared" ref="J7889:O7889" si="5698">"0"</f>
        <v>0</v>
      </c>
      <c r="K7889" s="1" t="str">
        <f t="shared" si="5674"/>
        <v>103</v>
      </c>
      <c r="L7889" s="1" t="str">
        <f t="shared" si="5675"/>
        <v>47</v>
      </c>
      <c r="M7889" s="1" t="str">
        <f t="shared" si="5698"/>
        <v>0</v>
      </c>
      <c r="N7889" s="1" t="str">
        <f t="shared" si="5698"/>
        <v>0</v>
      </c>
      <c r="O7889" s="1" t="str">
        <f t="shared" si="5698"/>
        <v>0</v>
      </c>
    </row>
    <row r="7890" s="1" customFormat="1" spans="1:15">
      <c r="A7890" s="1" t="str">
        <f t="shared" si="5677"/>
        <v>202406</v>
      </c>
      <c r="B7890" s="1" t="str">
        <f t="shared" si="5678"/>
        <v>150525100</v>
      </c>
      <c r="C7890" s="1" t="str">
        <f>"1014623717"</f>
        <v>1014623717</v>
      </c>
      <c r="D7890" s="1" t="str">
        <f>"152326194802263834"</f>
        <v>152326194802263834</v>
      </c>
      <c r="E7890" s="1" t="s">
        <v>7540</v>
      </c>
      <c r="F7890" s="1" t="s">
        <v>25</v>
      </c>
      <c r="G7890" s="1" t="s">
        <v>17</v>
      </c>
      <c r="H7890" s="1" t="str">
        <f t="shared" si="5693"/>
        <v>76</v>
      </c>
      <c r="I7890" s="1" t="str">
        <f t="shared" si="5695"/>
        <v>160</v>
      </c>
      <c r="J7890" s="1" t="str">
        <f t="shared" ref="J7890:O7890" si="5699">"0"</f>
        <v>0</v>
      </c>
      <c r="K7890" s="1" t="str">
        <f t="shared" si="5674"/>
        <v>103</v>
      </c>
      <c r="L7890" s="1" t="str">
        <f t="shared" si="5675"/>
        <v>47</v>
      </c>
      <c r="M7890" s="1" t="str">
        <f t="shared" si="5699"/>
        <v>0</v>
      </c>
      <c r="N7890" s="1" t="str">
        <f t="shared" si="5699"/>
        <v>0</v>
      </c>
      <c r="O7890" s="1" t="str">
        <f t="shared" si="5699"/>
        <v>0</v>
      </c>
    </row>
    <row r="7891" s="1" customFormat="1" spans="1:15">
      <c r="A7891" s="1" t="str">
        <f t="shared" si="5677"/>
        <v>202406</v>
      </c>
      <c r="B7891" s="1" t="str">
        <f t="shared" si="5678"/>
        <v>150525100</v>
      </c>
      <c r="C7891" s="1" t="str">
        <f>"1014623722"</f>
        <v>1014623722</v>
      </c>
      <c r="D7891" s="1" t="s">
        <v>7541</v>
      </c>
      <c r="E7891" s="1" t="s">
        <v>7542</v>
      </c>
      <c r="F7891" s="1" t="s">
        <v>25</v>
      </c>
      <c r="G7891" s="1" t="s">
        <v>17</v>
      </c>
      <c r="H7891" s="1" t="str">
        <f>"82"</f>
        <v>82</v>
      </c>
      <c r="I7891" s="1" t="str">
        <f>"170"</f>
        <v>170</v>
      </c>
      <c r="J7891" s="1" t="str">
        <f t="shared" ref="J7891:O7891" si="5700">"0"</f>
        <v>0</v>
      </c>
      <c r="K7891" s="1" t="str">
        <f t="shared" si="5674"/>
        <v>103</v>
      </c>
      <c r="L7891" s="1" t="str">
        <f t="shared" si="5675"/>
        <v>47</v>
      </c>
      <c r="M7891" s="1" t="str">
        <f t="shared" si="5700"/>
        <v>0</v>
      </c>
      <c r="N7891" s="1" t="str">
        <f t="shared" si="5700"/>
        <v>0</v>
      </c>
      <c r="O7891" s="1" t="str">
        <f t="shared" si="5700"/>
        <v>0</v>
      </c>
    </row>
    <row r="7892" s="1" customFormat="1" spans="1:15">
      <c r="A7892" s="1" t="str">
        <f t="shared" si="5677"/>
        <v>202406</v>
      </c>
      <c r="B7892" s="1" t="str">
        <f t="shared" si="5678"/>
        <v>150525100</v>
      </c>
      <c r="C7892" s="1" t="str">
        <f>"1014623727"</f>
        <v>1014623727</v>
      </c>
      <c r="D7892" s="1" t="str">
        <f>"152326194912043074"</f>
        <v>152326194912043074</v>
      </c>
      <c r="E7892" s="1" t="s">
        <v>7543</v>
      </c>
      <c r="F7892" s="1" t="s">
        <v>25</v>
      </c>
      <c r="G7892" s="1" t="s">
        <v>19</v>
      </c>
      <c r="H7892" s="1" t="str">
        <f t="shared" ref="H7892:H7897" si="5701">"75"</f>
        <v>75</v>
      </c>
      <c r="I7892" s="1" t="str">
        <f t="shared" ref="I7892:I7897" si="5702">"160"</f>
        <v>160</v>
      </c>
      <c r="J7892" s="1" t="str">
        <f t="shared" ref="J7892:O7892" si="5703">"0"</f>
        <v>0</v>
      </c>
      <c r="K7892" s="1" t="str">
        <f t="shared" si="5674"/>
        <v>103</v>
      </c>
      <c r="L7892" s="1" t="str">
        <f t="shared" si="5675"/>
        <v>47</v>
      </c>
      <c r="M7892" s="1" t="str">
        <f t="shared" si="5703"/>
        <v>0</v>
      </c>
      <c r="N7892" s="1" t="str">
        <f t="shared" si="5703"/>
        <v>0</v>
      </c>
      <c r="O7892" s="1" t="str">
        <f t="shared" si="5703"/>
        <v>0</v>
      </c>
    </row>
    <row r="7893" s="1" customFormat="1" spans="1:15">
      <c r="A7893" s="1" t="str">
        <f t="shared" si="5677"/>
        <v>202406</v>
      </c>
      <c r="B7893" s="1" t="str">
        <f t="shared" si="5678"/>
        <v>150525100</v>
      </c>
      <c r="C7893" s="1" t="str">
        <f>"1014623728"</f>
        <v>1014623728</v>
      </c>
      <c r="D7893" s="1" t="str">
        <f>"152326194912193072"</f>
        <v>152326194912193072</v>
      </c>
      <c r="E7893" s="1" t="s">
        <v>7544</v>
      </c>
      <c r="F7893" s="1" t="s">
        <v>25</v>
      </c>
      <c r="G7893" s="1" t="s">
        <v>19</v>
      </c>
      <c r="H7893" s="1" t="str">
        <f t="shared" si="5701"/>
        <v>75</v>
      </c>
      <c r="I7893" s="1" t="str">
        <f t="shared" si="5702"/>
        <v>160</v>
      </c>
      <c r="J7893" s="1" t="str">
        <f t="shared" ref="J7893:O7893" si="5704">"0"</f>
        <v>0</v>
      </c>
      <c r="K7893" s="1" t="str">
        <f t="shared" si="5674"/>
        <v>103</v>
      </c>
      <c r="L7893" s="1" t="str">
        <f t="shared" si="5675"/>
        <v>47</v>
      </c>
      <c r="M7893" s="1" t="str">
        <f t="shared" si="5704"/>
        <v>0</v>
      </c>
      <c r="N7893" s="1" t="str">
        <f t="shared" si="5704"/>
        <v>0</v>
      </c>
      <c r="O7893" s="1" t="str">
        <f t="shared" si="5704"/>
        <v>0</v>
      </c>
    </row>
    <row r="7894" s="1" customFormat="1" spans="1:15">
      <c r="A7894" s="1" t="str">
        <f t="shared" si="5677"/>
        <v>202406</v>
      </c>
      <c r="B7894" s="1" t="str">
        <f t="shared" si="5678"/>
        <v>150525100</v>
      </c>
      <c r="C7894" s="1" t="str">
        <f>"1014622101"</f>
        <v>1014622101</v>
      </c>
      <c r="D7894" s="1" t="str">
        <f>"152326195101046129"</f>
        <v>152326195101046129</v>
      </c>
      <c r="E7894" s="1" t="s">
        <v>7545</v>
      </c>
      <c r="F7894" s="1" t="s">
        <v>16</v>
      </c>
      <c r="G7894" s="1" t="s">
        <v>17</v>
      </c>
      <c r="H7894" s="1" t="str">
        <f>"74"</f>
        <v>74</v>
      </c>
      <c r="I7894" s="1" t="str">
        <f t="shared" si="5702"/>
        <v>160</v>
      </c>
      <c r="J7894" s="1" t="str">
        <f t="shared" ref="J7894:O7894" si="5705">"0"</f>
        <v>0</v>
      </c>
      <c r="K7894" s="1" t="str">
        <f t="shared" si="5674"/>
        <v>103</v>
      </c>
      <c r="L7894" s="1" t="str">
        <f t="shared" si="5675"/>
        <v>47</v>
      </c>
      <c r="M7894" s="1" t="str">
        <f t="shared" si="5705"/>
        <v>0</v>
      </c>
      <c r="N7894" s="1" t="str">
        <f t="shared" si="5705"/>
        <v>0</v>
      </c>
      <c r="O7894" s="1" t="str">
        <f t="shared" si="5705"/>
        <v>0</v>
      </c>
    </row>
    <row r="7895" s="1" customFormat="1" spans="1:15">
      <c r="A7895" s="1" t="str">
        <f t="shared" si="5677"/>
        <v>202406</v>
      </c>
      <c r="B7895" s="1" t="str">
        <f t="shared" si="5678"/>
        <v>150525100</v>
      </c>
      <c r="C7895" s="1" t="str">
        <f>"1014622104"</f>
        <v>1014622104</v>
      </c>
      <c r="D7895" s="1" t="str">
        <f>"152326194712206123"</f>
        <v>152326194712206123</v>
      </c>
      <c r="E7895" s="1" t="s">
        <v>7546</v>
      </c>
      <c r="F7895" s="1" t="s">
        <v>16</v>
      </c>
      <c r="G7895" s="1" t="s">
        <v>17</v>
      </c>
      <c r="H7895" s="1" t="str">
        <f>"77"</f>
        <v>77</v>
      </c>
      <c r="I7895" s="1" t="str">
        <f t="shared" si="5702"/>
        <v>160</v>
      </c>
      <c r="J7895" s="1" t="str">
        <f t="shared" ref="J7895:O7895" si="5706">"0"</f>
        <v>0</v>
      </c>
      <c r="K7895" s="1" t="str">
        <f t="shared" si="5674"/>
        <v>103</v>
      </c>
      <c r="L7895" s="1" t="str">
        <f t="shared" si="5675"/>
        <v>47</v>
      </c>
      <c r="M7895" s="1" t="str">
        <f t="shared" si="5706"/>
        <v>0</v>
      </c>
      <c r="N7895" s="1" t="str">
        <f t="shared" si="5706"/>
        <v>0</v>
      </c>
      <c r="O7895" s="1" t="str">
        <f t="shared" si="5706"/>
        <v>0</v>
      </c>
    </row>
    <row r="7896" s="1" customFormat="1" spans="1:15">
      <c r="A7896" s="1" t="str">
        <f t="shared" si="5677"/>
        <v>202406</v>
      </c>
      <c r="B7896" s="1" t="str">
        <f t="shared" si="5678"/>
        <v>150525100</v>
      </c>
      <c r="C7896" s="1" t="str">
        <f>"1014623840"</f>
        <v>1014623840</v>
      </c>
      <c r="D7896" s="1" t="str">
        <f>"152326194903300665"</f>
        <v>152326194903300665</v>
      </c>
      <c r="E7896" s="1" t="s">
        <v>7547</v>
      </c>
      <c r="F7896" s="1" t="s">
        <v>16</v>
      </c>
      <c r="G7896" s="1" t="s">
        <v>17</v>
      </c>
      <c r="H7896" s="1" t="str">
        <f t="shared" si="5701"/>
        <v>75</v>
      </c>
      <c r="I7896" s="1" t="str">
        <f t="shared" si="5702"/>
        <v>160</v>
      </c>
      <c r="J7896" s="1" t="str">
        <f t="shared" ref="J7896:O7896" si="5707">"0"</f>
        <v>0</v>
      </c>
      <c r="K7896" s="1" t="str">
        <f t="shared" si="5674"/>
        <v>103</v>
      </c>
      <c r="L7896" s="1" t="str">
        <f t="shared" si="5675"/>
        <v>47</v>
      </c>
      <c r="M7896" s="1" t="str">
        <f t="shared" si="5707"/>
        <v>0</v>
      </c>
      <c r="N7896" s="1" t="str">
        <f t="shared" si="5707"/>
        <v>0</v>
      </c>
      <c r="O7896" s="1" t="str">
        <f t="shared" si="5707"/>
        <v>0</v>
      </c>
    </row>
    <row r="7897" s="1" customFormat="1" spans="1:15">
      <c r="A7897" s="1" t="str">
        <f t="shared" si="5677"/>
        <v>202406</v>
      </c>
      <c r="B7897" s="1" t="str">
        <f t="shared" si="5678"/>
        <v>150525100</v>
      </c>
      <c r="C7897" s="1" t="str">
        <f>"1014624306"</f>
        <v>1014624306</v>
      </c>
      <c r="D7897" s="1" t="str">
        <f>"152326194911113085"</f>
        <v>152326194911113085</v>
      </c>
      <c r="E7897" s="1" t="s">
        <v>7548</v>
      </c>
      <c r="F7897" s="1" t="s">
        <v>16</v>
      </c>
      <c r="G7897" s="1" t="s">
        <v>19</v>
      </c>
      <c r="H7897" s="1" t="str">
        <f t="shared" si="5701"/>
        <v>75</v>
      </c>
      <c r="I7897" s="1" t="str">
        <f t="shared" si="5702"/>
        <v>160</v>
      </c>
      <c r="J7897" s="1" t="str">
        <f t="shared" ref="J7897:O7897" si="5708">"0"</f>
        <v>0</v>
      </c>
      <c r="K7897" s="1" t="str">
        <f t="shared" si="5674"/>
        <v>103</v>
      </c>
      <c r="L7897" s="1" t="str">
        <f t="shared" si="5675"/>
        <v>47</v>
      </c>
      <c r="M7897" s="1" t="str">
        <f t="shared" si="5708"/>
        <v>0</v>
      </c>
      <c r="N7897" s="1" t="str">
        <f t="shared" si="5708"/>
        <v>0</v>
      </c>
      <c r="O7897" s="1" t="str">
        <f t="shared" si="5708"/>
        <v>0</v>
      </c>
    </row>
    <row r="7898" s="1" customFormat="1" spans="1:15">
      <c r="A7898" s="1" t="str">
        <f t="shared" si="5677"/>
        <v>202406</v>
      </c>
      <c r="B7898" s="1" t="str">
        <f t="shared" si="5678"/>
        <v>150525100</v>
      </c>
      <c r="C7898" s="1" t="str">
        <f>"1014619293"</f>
        <v>1014619293</v>
      </c>
      <c r="D7898" s="1" t="s">
        <v>7549</v>
      </c>
      <c r="E7898" s="1" t="s">
        <v>123</v>
      </c>
      <c r="F7898" s="1" t="s">
        <v>16</v>
      </c>
      <c r="G7898" s="1" t="s">
        <v>17</v>
      </c>
      <c r="H7898" s="1" t="str">
        <f>"88"</f>
        <v>88</v>
      </c>
      <c r="I7898" s="1" t="str">
        <f>"170"</f>
        <v>170</v>
      </c>
      <c r="J7898" s="1" t="str">
        <f t="shared" ref="J7898:O7898" si="5709">"0"</f>
        <v>0</v>
      </c>
      <c r="K7898" s="1" t="str">
        <f t="shared" si="5674"/>
        <v>103</v>
      </c>
      <c r="L7898" s="1" t="str">
        <f t="shared" si="5675"/>
        <v>47</v>
      </c>
      <c r="M7898" s="1" t="str">
        <f t="shared" si="5709"/>
        <v>0</v>
      </c>
      <c r="N7898" s="1" t="str">
        <f t="shared" si="5709"/>
        <v>0</v>
      </c>
      <c r="O7898" s="1" t="str">
        <f t="shared" si="5709"/>
        <v>0</v>
      </c>
    </row>
    <row r="7899" s="1" customFormat="1" spans="1:15">
      <c r="A7899" s="1" t="str">
        <f t="shared" si="5677"/>
        <v>202406</v>
      </c>
      <c r="B7899" s="1" t="str">
        <f t="shared" si="5678"/>
        <v>150525100</v>
      </c>
      <c r="C7899" s="1" t="str">
        <f>"1014623317"</f>
        <v>1014623317</v>
      </c>
      <c r="D7899" s="1" t="str">
        <f>"152326194803203825"</f>
        <v>152326194803203825</v>
      </c>
      <c r="E7899" s="1" t="s">
        <v>7550</v>
      </c>
      <c r="F7899" s="1" t="s">
        <v>16</v>
      </c>
      <c r="G7899" s="1" t="s">
        <v>17</v>
      </c>
      <c r="H7899" s="1" t="str">
        <f>"76"</f>
        <v>76</v>
      </c>
      <c r="I7899" s="1" t="str">
        <f t="shared" ref="I7899:I7903" si="5710">"160"</f>
        <v>160</v>
      </c>
      <c r="J7899" s="1" t="str">
        <f t="shared" ref="J7899:O7899" si="5711">"0"</f>
        <v>0</v>
      </c>
      <c r="K7899" s="1" t="str">
        <f t="shared" si="5674"/>
        <v>103</v>
      </c>
      <c r="L7899" s="1" t="str">
        <f t="shared" si="5675"/>
        <v>47</v>
      </c>
      <c r="M7899" s="1" t="str">
        <f t="shared" si="5711"/>
        <v>0</v>
      </c>
      <c r="N7899" s="1" t="str">
        <f t="shared" si="5711"/>
        <v>0</v>
      </c>
      <c r="O7899" s="1" t="str">
        <f t="shared" si="5711"/>
        <v>0</v>
      </c>
    </row>
    <row r="7900" s="1" customFormat="1" spans="1:15">
      <c r="A7900" s="1" t="str">
        <f t="shared" si="5677"/>
        <v>202406</v>
      </c>
      <c r="B7900" s="1" t="str">
        <f t="shared" si="5678"/>
        <v>150525100</v>
      </c>
      <c r="C7900" s="1" t="str">
        <f>"1014623319"</f>
        <v>1014623319</v>
      </c>
      <c r="D7900" s="1" t="str">
        <f>"152326195009283842"</f>
        <v>152326195009283842</v>
      </c>
      <c r="E7900" s="1" t="s">
        <v>7551</v>
      </c>
      <c r="F7900" s="1" t="s">
        <v>16</v>
      </c>
      <c r="G7900" s="1" t="s">
        <v>17</v>
      </c>
      <c r="H7900" s="1" t="str">
        <f>"74"</f>
        <v>74</v>
      </c>
      <c r="I7900" s="1" t="str">
        <f t="shared" si="5710"/>
        <v>160</v>
      </c>
      <c r="J7900" s="1" t="str">
        <f t="shared" ref="J7900:O7900" si="5712">"0"</f>
        <v>0</v>
      </c>
      <c r="K7900" s="1" t="str">
        <f t="shared" si="5674"/>
        <v>103</v>
      </c>
      <c r="L7900" s="1" t="str">
        <f t="shared" si="5675"/>
        <v>47</v>
      </c>
      <c r="M7900" s="1" t="str">
        <f t="shared" si="5712"/>
        <v>0</v>
      </c>
      <c r="N7900" s="1" t="str">
        <f t="shared" si="5712"/>
        <v>0</v>
      </c>
      <c r="O7900" s="1" t="str">
        <f t="shared" si="5712"/>
        <v>0</v>
      </c>
    </row>
    <row r="7901" s="1" customFormat="1" spans="1:15">
      <c r="A7901" s="1" t="str">
        <f t="shared" si="5677"/>
        <v>202406</v>
      </c>
      <c r="B7901" s="1" t="str">
        <f t="shared" si="5678"/>
        <v>150525100</v>
      </c>
      <c r="C7901" s="1" t="str">
        <f>"1014623746"</f>
        <v>1014623746</v>
      </c>
      <c r="D7901" s="1" t="str">
        <f>"152326193604143837"</f>
        <v>152326193604143837</v>
      </c>
      <c r="E7901" s="1" t="s">
        <v>7552</v>
      </c>
      <c r="F7901" s="1" t="s">
        <v>25</v>
      </c>
      <c r="G7901" s="1" t="s">
        <v>19</v>
      </c>
      <c r="H7901" s="1" t="str">
        <f>"88"</f>
        <v>88</v>
      </c>
      <c r="I7901" s="1" t="str">
        <f>"170"</f>
        <v>170</v>
      </c>
      <c r="J7901" s="1" t="str">
        <f t="shared" ref="J7901:O7901" si="5713">"0"</f>
        <v>0</v>
      </c>
      <c r="K7901" s="1" t="str">
        <f t="shared" si="5674"/>
        <v>103</v>
      </c>
      <c r="L7901" s="1" t="str">
        <f t="shared" si="5675"/>
        <v>47</v>
      </c>
      <c r="M7901" s="1" t="str">
        <f t="shared" si="5713"/>
        <v>0</v>
      </c>
      <c r="N7901" s="1" t="str">
        <f t="shared" si="5713"/>
        <v>0</v>
      </c>
      <c r="O7901" s="1" t="str">
        <f t="shared" si="5713"/>
        <v>0</v>
      </c>
    </row>
    <row r="7902" s="1" customFormat="1" spans="1:15">
      <c r="A7902" s="1" t="str">
        <f t="shared" si="5677"/>
        <v>202406</v>
      </c>
      <c r="B7902" s="1" t="str">
        <f t="shared" si="5678"/>
        <v>150525100</v>
      </c>
      <c r="C7902" s="1" t="str">
        <f>"1014622500"</f>
        <v>1014622500</v>
      </c>
      <c r="D7902" s="1" t="str">
        <f>"152326195005010660"</f>
        <v>152326195005010660</v>
      </c>
      <c r="E7902" s="1" t="s">
        <v>3153</v>
      </c>
      <c r="F7902" s="1" t="s">
        <v>16</v>
      </c>
      <c r="G7902" s="1" t="s">
        <v>17</v>
      </c>
      <c r="H7902" s="1" t="str">
        <f>"74"</f>
        <v>74</v>
      </c>
      <c r="I7902" s="1" t="str">
        <f t="shared" si="5710"/>
        <v>160</v>
      </c>
      <c r="J7902" s="1" t="str">
        <f t="shared" ref="J7902:O7902" si="5714">"0"</f>
        <v>0</v>
      </c>
      <c r="K7902" s="1" t="str">
        <f t="shared" si="5674"/>
        <v>103</v>
      </c>
      <c r="L7902" s="1" t="str">
        <f t="shared" si="5675"/>
        <v>47</v>
      </c>
      <c r="M7902" s="1" t="str">
        <f t="shared" si="5714"/>
        <v>0</v>
      </c>
      <c r="N7902" s="1" t="str">
        <f t="shared" si="5714"/>
        <v>0</v>
      </c>
      <c r="O7902" s="1" t="str">
        <f t="shared" si="5714"/>
        <v>0</v>
      </c>
    </row>
    <row r="7903" s="1" customFormat="1" spans="1:15">
      <c r="A7903" s="1" t="str">
        <f t="shared" si="5677"/>
        <v>202406</v>
      </c>
      <c r="B7903" s="1" t="str">
        <f t="shared" si="5678"/>
        <v>150525100</v>
      </c>
      <c r="C7903" s="1" t="str">
        <f>"1014623862"</f>
        <v>1014623862</v>
      </c>
      <c r="D7903" s="1" t="str">
        <f>"152326194907080663"</f>
        <v>152326194907080663</v>
      </c>
      <c r="E7903" s="1" t="s">
        <v>7553</v>
      </c>
      <c r="F7903" s="1" t="s">
        <v>16</v>
      </c>
      <c r="G7903" s="1" t="s">
        <v>17</v>
      </c>
      <c r="H7903" s="1" t="str">
        <f t="shared" ref="H7903:H7908" si="5715">"75"</f>
        <v>75</v>
      </c>
      <c r="I7903" s="1" t="str">
        <f t="shared" si="5710"/>
        <v>160</v>
      </c>
      <c r="J7903" s="1" t="str">
        <f t="shared" ref="J7903:O7903" si="5716">"0"</f>
        <v>0</v>
      </c>
      <c r="K7903" s="1" t="str">
        <f t="shared" si="5674"/>
        <v>103</v>
      </c>
      <c r="L7903" s="1" t="str">
        <f t="shared" si="5675"/>
        <v>47</v>
      </c>
      <c r="M7903" s="1" t="str">
        <f t="shared" si="5716"/>
        <v>0</v>
      </c>
      <c r="N7903" s="1" t="str">
        <f t="shared" si="5716"/>
        <v>0</v>
      </c>
      <c r="O7903" s="1" t="str">
        <f t="shared" si="5716"/>
        <v>0</v>
      </c>
    </row>
    <row r="7904" s="1" customFormat="1" spans="1:15">
      <c r="A7904" s="1" t="str">
        <f t="shared" si="5677"/>
        <v>202406</v>
      </c>
      <c r="B7904" s="1" t="str">
        <f t="shared" si="5678"/>
        <v>150525100</v>
      </c>
      <c r="C7904" s="1" t="str">
        <f>"1014624351"</f>
        <v>1014624351</v>
      </c>
      <c r="D7904" s="1" t="str">
        <f>"152326194711250667"</f>
        <v>152326194711250667</v>
      </c>
      <c r="E7904" s="1" t="s">
        <v>7554</v>
      </c>
      <c r="F7904" s="1" t="s">
        <v>16</v>
      </c>
      <c r="G7904" s="1" t="s">
        <v>17</v>
      </c>
      <c r="H7904" s="1" t="str">
        <f>"77"</f>
        <v>77</v>
      </c>
      <c r="I7904" s="1" t="str">
        <f>"1640"</f>
        <v>1640</v>
      </c>
      <c r="J7904" s="1" t="str">
        <f t="shared" ref="J7904:O7904" si="5717">"0"</f>
        <v>0</v>
      </c>
      <c r="K7904" s="1" t="str">
        <f t="shared" si="5717"/>
        <v>0</v>
      </c>
      <c r="L7904" s="1" t="str">
        <f t="shared" si="5717"/>
        <v>0</v>
      </c>
      <c r="M7904" s="1" t="str">
        <f t="shared" si="5717"/>
        <v>0</v>
      </c>
      <c r="N7904" s="1" t="str">
        <f t="shared" si="5717"/>
        <v>0</v>
      </c>
      <c r="O7904" s="1" t="str">
        <f t="shared" si="5717"/>
        <v>0</v>
      </c>
    </row>
    <row r="7905" s="1" customFormat="1" spans="1:15">
      <c r="A7905" s="1" t="str">
        <f t="shared" si="5677"/>
        <v>202406</v>
      </c>
      <c r="B7905" s="1" t="str">
        <f t="shared" si="5678"/>
        <v>150525100</v>
      </c>
      <c r="C7905" s="1" t="str">
        <f>"1014619884"</f>
        <v>1014619884</v>
      </c>
      <c r="D7905" s="1" t="str">
        <f>"152326194406260682"</f>
        <v>152326194406260682</v>
      </c>
      <c r="E7905" s="1" t="s">
        <v>5186</v>
      </c>
      <c r="F7905" s="1" t="s">
        <v>16</v>
      </c>
      <c r="G7905" s="1" t="s">
        <v>17</v>
      </c>
      <c r="H7905" s="1" t="str">
        <f>"80"</f>
        <v>80</v>
      </c>
      <c r="I7905" s="1" t="str">
        <f t="shared" ref="I7905:I7908" si="5718">"160"</f>
        <v>160</v>
      </c>
      <c r="J7905" s="1" t="str">
        <f t="shared" ref="J7905:O7905" si="5719">"0"</f>
        <v>0</v>
      </c>
      <c r="K7905" s="1" t="str">
        <f t="shared" ref="K7905:K7913" si="5720">"103"</f>
        <v>103</v>
      </c>
      <c r="L7905" s="1" t="str">
        <f t="shared" ref="L7905:L7913" si="5721">"47"</f>
        <v>47</v>
      </c>
      <c r="M7905" s="1" t="str">
        <f t="shared" si="5719"/>
        <v>0</v>
      </c>
      <c r="N7905" s="1" t="str">
        <f t="shared" si="5719"/>
        <v>0</v>
      </c>
      <c r="O7905" s="1" t="str">
        <f t="shared" si="5719"/>
        <v>0</v>
      </c>
    </row>
    <row r="7906" s="1" customFormat="1" spans="1:15">
      <c r="A7906" s="1" t="str">
        <f t="shared" si="5677"/>
        <v>202406</v>
      </c>
      <c r="B7906" s="1" t="str">
        <f t="shared" si="5678"/>
        <v>150525100</v>
      </c>
      <c r="C7906" s="1" t="str">
        <f>"1014619888"</f>
        <v>1014619888</v>
      </c>
      <c r="D7906" s="1" t="str">
        <f>"152326194903203822"</f>
        <v>152326194903203822</v>
      </c>
      <c r="E7906" s="1" t="s">
        <v>4849</v>
      </c>
      <c r="F7906" s="1" t="s">
        <v>16</v>
      </c>
      <c r="G7906" s="1" t="s">
        <v>17</v>
      </c>
      <c r="H7906" s="1" t="str">
        <f t="shared" si="5715"/>
        <v>75</v>
      </c>
      <c r="I7906" s="1" t="str">
        <f t="shared" si="5718"/>
        <v>160</v>
      </c>
      <c r="J7906" s="1" t="str">
        <f t="shared" ref="J7906:O7906" si="5722">"0"</f>
        <v>0</v>
      </c>
      <c r="K7906" s="1" t="str">
        <f t="shared" si="5720"/>
        <v>103</v>
      </c>
      <c r="L7906" s="1" t="str">
        <f t="shared" si="5721"/>
        <v>47</v>
      </c>
      <c r="M7906" s="1" t="str">
        <f t="shared" si="5722"/>
        <v>0</v>
      </c>
      <c r="N7906" s="1" t="str">
        <f t="shared" si="5722"/>
        <v>0</v>
      </c>
      <c r="O7906" s="1" t="str">
        <f t="shared" si="5722"/>
        <v>0</v>
      </c>
    </row>
    <row r="7907" s="1" customFormat="1" spans="1:15">
      <c r="A7907" s="1" t="str">
        <f t="shared" si="5677"/>
        <v>202406</v>
      </c>
      <c r="B7907" s="1" t="str">
        <f t="shared" si="5678"/>
        <v>150525100</v>
      </c>
      <c r="C7907" s="1" t="str">
        <f>"1014619896"</f>
        <v>1014619896</v>
      </c>
      <c r="D7907" s="1" t="str">
        <f>"152326194801163823"</f>
        <v>152326194801163823</v>
      </c>
      <c r="E7907" s="1" t="s">
        <v>7555</v>
      </c>
      <c r="F7907" s="1" t="s">
        <v>16</v>
      </c>
      <c r="G7907" s="1" t="s">
        <v>17</v>
      </c>
      <c r="H7907" s="1" t="str">
        <f>"76"</f>
        <v>76</v>
      </c>
      <c r="I7907" s="1" t="str">
        <f t="shared" si="5718"/>
        <v>160</v>
      </c>
      <c r="J7907" s="1" t="str">
        <f t="shared" ref="J7907:O7907" si="5723">"0"</f>
        <v>0</v>
      </c>
      <c r="K7907" s="1" t="str">
        <f t="shared" si="5720"/>
        <v>103</v>
      </c>
      <c r="L7907" s="1" t="str">
        <f t="shared" si="5721"/>
        <v>47</v>
      </c>
      <c r="M7907" s="1" t="str">
        <f t="shared" si="5723"/>
        <v>0</v>
      </c>
      <c r="N7907" s="1" t="str">
        <f t="shared" si="5723"/>
        <v>0</v>
      </c>
      <c r="O7907" s="1" t="str">
        <f t="shared" si="5723"/>
        <v>0</v>
      </c>
    </row>
    <row r="7908" s="1" customFormat="1" spans="1:15">
      <c r="A7908" s="1" t="str">
        <f t="shared" si="5677"/>
        <v>202406</v>
      </c>
      <c r="B7908" s="1" t="str">
        <f t="shared" si="5678"/>
        <v>150525100</v>
      </c>
      <c r="C7908" s="1" t="str">
        <f>"1014619912"</f>
        <v>1014619912</v>
      </c>
      <c r="D7908" s="1" t="str">
        <f>"152326194901120660"</f>
        <v>152326194901120660</v>
      </c>
      <c r="E7908" s="1" t="s">
        <v>7556</v>
      </c>
      <c r="F7908" s="1" t="s">
        <v>16</v>
      </c>
      <c r="G7908" s="1" t="s">
        <v>17</v>
      </c>
      <c r="H7908" s="1" t="str">
        <f t="shared" si="5715"/>
        <v>75</v>
      </c>
      <c r="I7908" s="1" t="str">
        <f t="shared" si="5718"/>
        <v>160</v>
      </c>
      <c r="J7908" s="1" t="str">
        <f t="shared" ref="J7908:O7908" si="5724">"0"</f>
        <v>0</v>
      </c>
      <c r="K7908" s="1" t="str">
        <f t="shared" si="5720"/>
        <v>103</v>
      </c>
      <c r="L7908" s="1" t="str">
        <f t="shared" si="5721"/>
        <v>47</v>
      </c>
      <c r="M7908" s="1" t="str">
        <f t="shared" si="5724"/>
        <v>0</v>
      </c>
      <c r="N7908" s="1" t="str">
        <f t="shared" si="5724"/>
        <v>0</v>
      </c>
      <c r="O7908" s="1" t="str">
        <f t="shared" si="5724"/>
        <v>0</v>
      </c>
    </row>
    <row r="7909" s="1" customFormat="1" spans="1:15">
      <c r="A7909" s="1" t="str">
        <f t="shared" si="5677"/>
        <v>202406</v>
      </c>
      <c r="B7909" s="1" t="str">
        <f t="shared" si="5678"/>
        <v>150525100</v>
      </c>
      <c r="C7909" s="1" t="str">
        <f>"1014629510"</f>
        <v>1014629510</v>
      </c>
      <c r="D7909" s="1" t="str">
        <f>"152326193912160049"</f>
        <v>152326193912160049</v>
      </c>
      <c r="E7909" s="1" t="s">
        <v>7557</v>
      </c>
      <c r="F7909" s="1" t="s">
        <v>16</v>
      </c>
      <c r="G7909" s="1" t="s">
        <v>17</v>
      </c>
      <c r="H7909" s="1" t="str">
        <f>"85"</f>
        <v>85</v>
      </c>
      <c r="I7909" s="1" t="str">
        <f>"170"</f>
        <v>170</v>
      </c>
      <c r="J7909" s="1" t="str">
        <f t="shared" ref="J7909:O7909" si="5725">"0"</f>
        <v>0</v>
      </c>
      <c r="K7909" s="1" t="str">
        <f t="shared" si="5720"/>
        <v>103</v>
      </c>
      <c r="L7909" s="1" t="str">
        <f t="shared" si="5721"/>
        <v>47</v>
      </c>
      <c r="M7909" s="1" t="str">
        <f t="shared" si="5725"/>
        <v>0</v>
      </c>
      <c r="N7909" s="1" t="str">
        <f t="shared" si="5725"/>
        <v>0</v>
      </c>
      <c r="O7909" s="1" t="str">
        <f t="shared" si="5725"/>
        <v>0</v>
      </c>
    </row>
    <row r="7910" s="1" customFormat="1" spans="1:15">
      <c r="A7910" s="1" t="str">
        <f t="shared" si="5677"/>
        <v>202406</v>
      </c>
      <c r="B7910" s="1" t="str">
        <f t="shared" si="5678"/>
        <v>150525100</v>
      </c>
      <c r="C7910" s="1" t="str">
        <f>"1014629515"</f>
        <v>1014629515</v>
      </c>
      <c r="D7910" s="1" t="str">
        <f>"152326194307170024"</f>
        <v>152326194307170024</v>
      </c>
      <c r="E7910" s="1" t="s">
        <v>7558</v>
      </c>
      <c r="F7910" s="1" t="s">
        <v>16</v>
      </c>
      <c r="G7910" s="1" t="s">
        <v>17</v>
      </c>
      <c r="H7910" s="1" t="str">
        <f>"81"</f>
        <v>81</v>
      </c>
      <c r="I7910" s="1" t="str">
        <f>"170"</f>
        <v>170</v>
      </c>
      <c r="J7910" s="1" t="str">
        <f t="shared" ref="J7910:O7910" si="5726">"0"</f>
        <v>0</v>
      </c>
      <c r="K7910" s="1" t="str">
        <f t="shared" si="5720"/>
        <v>103</v>
      </c>
      <c r="L7910" s="1" t="str">
        <f t="shared" si="5721"/>
        <v>47</v>
      </c>
      <c r="M7910" s="1" t="str">
        <f t="shared" si="5726"/>
        <v>0</v>
      </c>
      <c r="N7910" s="1" t="str">
        <f t="shared" si="5726"/>
        <v>0</v>
      </c>
      <c r="O7910" s="1" t="str">
        <f t="shared" si="5726"/>
        <v>0</v>
      </c>
    </row>
    <row r="7911" s="1" customFormat="1" spans="1:15">
      <c r="A7911" s="1" t="str">
        <f t="shared" si="5677"/>
        <v>202406</v>
      </c>
      <c r="B7911" s="1" t="str">
        <f t="shared" si="5678"/>
        <v>150525100</v>
      </c>
      <c r="C7911" s="1" t="str">
        <f>"1014656423"</f>
        <v>1014656423</v>
      </c>
      <c r="D7911" s="1" t="str">
        <f>"152326195411053818"</f>
        <v>152326195411053818</v>
      </c>
      <c r="E7911" s="1" t="s">
        <v>7559</v>
      </c>
      <c r="F7911" s="1" t="s">
        <v>25</v>
      </c>
      <c r="G7911" s="1" t="s">
        <v>17</v>
      </c>
      <c r="H7911" s="1" t="str">
        <f>"70"</f>
        <v>70</v>
      </c>
      <c r="I7911" s="1" t="str">
        <f>"154.13"</f>
        <v>154.13</v>
      </c>
      <c r="J7911" s="1" t="str">
        <f t="shared" ref="J7911:N7911" si="5727">"0"</f>
        <v>0</v>
      </c>
      <c r="K7911" s="1" t="str">
        <f t="shared" si="5720"/>
        <v>103</v>
      </c>
      <c r="L7911" s="1" t="str">
        <f t="shared" si="5721"/>
        <v>47</v>
      </c>
      <c r="M7911" s="1" t="str">
        <f t="shared" si="5727"/>
        <v>0</v>
      </c>
      <c r="N7911" s="1" t="str">
        <f t="shared" si="5727"/>
        <v>0</v>
      </c>
      <c r="O7911" s="1" t="str">
        <f>"4.13"</f>
        <v>4.13</v>
      </c>
    </row>
    <row r="7912" s="1" customFormat="1" spans="1:15">
      <c r="A7912" s="1" t="str">
        <f t="shared" si="5677"/>
        <v>202406</v>
      </c>
      <c r="B7912" s="1" t="str">
        <f t="shared" si="5678"/>
        <v>150525100</v>
      </c>
      <c r="C7912" s="1" t="str">
        <f>"1014660690"</f>
        <v>1014660690</v>
      </c>
      <c r="D7912" s="1" t="str">
        <f>"152326196204260413"</f>
        <v>152326196204260413</v>
      </c>
      <c r="E7912" s="1" t="s">
        <v>7560</v>
      </c>
      <c r="F7912" s="1" t="s">
        <v>25</v>
      </c>
      <c r="G7912" s="1" t="s">
        <v>17</v>
      </c>
      <c r="H7912" s="1" t="str">
        <f>"62"</f>
        <v>62</v>
      </c>
      <c r="I7912" s="1" t="str">
        <f>"162.98"</f>
        <v>162.98</v>
      </c>
      <c r="J7912" s="1" t="str">
        <f t="shared" ref="J7912:N7912" si="5728">"0"</f>
        <v>0</v>
      </c>
      <c r="K7912" s="1" t="str">
        <f t="shared" si="5720"/>
        <v>103</v>
      </c>
      <c r="L7912" s="1" t="str">
        <f t="shared" si="5721"/>
        <v>47</v>
      </c>
      <c r="M7912" s="1" t="str">
        <f t="shared" si="5728"/>
        <v>0</v>
      </c>
      <c r="N7912" s="1" t="str">
        <f t="shared" si="5728"/>
        <v>0</v>
      </c>
      <c r="O7912" s="1" t="str">
        <f>"12.98"</f>
        <v>12.98</v>
      </c>
    </row>
    <row r="7913" s="1" customFormat="1" spans="1:15">
      <c r="A7913" s="1" t="str">
        <f t="shared" si="5677"/>
        <v>202406</v>
      </c>
      <c r="B7913" s="1" t="str">
        <f t="shared" si="5678"/>
        <v>150525100</v>
      </c>
      <c r="C7913" s="1" t="str">
        <f>"1014660693"</f>
        <v>1014660693</v>
      </c>
      <c r="D7913" s="1" t="s">
        <v>7561</v>
      </c>
      <c r="E7913" s="1" t="s">
        <v>7562</v>
      </c>
      <c r="F7913" s="1" t="s">
        <v>25</v>
      </c>
      <c r="G7913" s="1" t="s">
        <v>17</v>
      </c>
      <c r="H7913" s="1" t="str">
        <f>"62"</f>
        <v>62</v>
      </c>
      <c r="I7913" s="1" t="str">
        <f>"162.91"</f>
        <v>162.91</v>
      </c>
      <c r="J7913" s="1" t="str">
        <f t="shared" ref="J7913:N7913" si="5729">"0"</f>
        <v>0</v>
      </c>
      <c r="K7913" s="1" t="str">
        <f t="shared" si="5720"/>
        <v>103</v>
      </c>
      <c r="L7913" s="1" t="str">
        <f t="shared" si="5721"/>
        <v>47</v>
      </c>
      <c r="M7913" s="1" t="str">
        <f t="shared" si="5729"/>
        <v>0</v>
      </c>
      <c r="N7913" s="1" t="str">
        <f t="shared" si="5729"/>
        <v>0</v>
      </c>
      <c r="O7913" s="1" t="str">
        <f>"12.91"</f>
        <v>12.91</v>
      </c>
    </row>
    <row r="7914" s="1" customFormat="1" spans="1:15">
      <c r="A7914" s="1" t="str">
        <f t="shared" si="5677"/>
        <v>202406</v>
      </c>
      <c r="B7914" s="1" t="str">
        <f t="shared" si="5678"/>
        <v>150525100</v>
      </c>
      <c r="C7914" s="1" t="str">
        <f>"1014656032"</f>
        <v>1014656032</v>
      </c>
      <c r="D7914" s="1" t="str">
        <f>"152326195905220671"</f>
        <v>152326195905220671</v>
      </c>
      <c r="E7914" s="1" t="s">
        <v>7563</v>
      </c>
      <c r="F7914" s="1" t="s">
        <v>25</v>
      </c>
      <c r="G7914" s="1" t="s">
        <v>17</v>
      </c>
      <c r="H7914" s="1" t="str">
        <f>"65"</f>
        <v>65</v>
      </c>
      <c r="I7914" s="1" t="str">
        <f>"2404.53"</f>
        <v>2404.53</v>
      </c>
      <c r="J7914" s="1" t="str">
        <f t="shared" ref="J7914:O7914" si="5730">"0"</f>
        <v>0</v>
      </c>
      <c r="K7914" s="1" t="str">
        <f t="shared" si="5730"/>
        <v>0</v>
      </c>
      <c r="L7914" s="1" t="str">
        <f t="shared" si="5730"/>
        <v>0</v>
      </c>
      <c r="M7914" s="1" t="str">
        <f t="shared" si="5730"/>
        <v>0</v>
      </c>
      <c r="N7914" s="1" t="str">
        <f t="shared" si="5730"/>
        <v>0</v>
      </c>
      <c r="O7914" s="1" t="str">
        <f t="shared" si="5730"/>
        <v>0</v>
      </c>
    </row>
    <row r="7915" s="1" customFormat="1" spans="1:15">
      <c r="A7915" s="1" t="str">
        <f t="shared" si="5677"/>
        <v>202406</v>
      </c>
      <c r="B7915" s="1" t="str">
        <f t="shared" si="5678"/>
        <v>150525100</v>
      </c>
      <c r="C7915" s="1" t="str">
        <f>"1014656045"</f>
        <v>1014656045</v>
      </c>
      <c r="D7915" s="1" t="str">
        <f>"152326196007303824"</f>
        <v>152326196007303824</v>
      </c>
      <c r="E7915" s="1" t="s">
        <v>4798</v>
      </c>
      <c r="F7915" s="1" t="s">
        <v>16</v>
      </c>
      <c r="G7915" s="1" t="s">
        <v>19</v>
      </c>
      <c r="H7915" s="1" t="str">
        <f>"64"</f>
        <v>64</v>
      </c>
      <c r="I7915" s="1" t="str">
        <f>"159.23"</f>
        <v>159.23</v>
      </c>
      <c r="J7915" s="1" t="str">
        <f t="shared" ref="J7915:N7915" si="5731">"0"</f>
        <v>0</v>
      </c>
      <c r="K7915" s="1" t="str">
        <f t="shared" ref="K7915:K7917" si="5732">"103"</f>
        <v>103</v>
      </c>
      <c r="L7915" s="1" t="str">
        <f t="shared" ref="L7915:L7917" si="5733">"47"</f>
        <v>47</v>
      </c>
      <c r="M7915" s="1" t="str">
        <f t="shared" si="5731"/>
        <v>0</v>
      </c>
      <c r="N7915" s="1" t="str">
        <f t="shared" si="5731"/>
        <v>0</v>
      </c>
      <c r="O7915" s="1" t="str">
        <f>"9.23"</f>
        <v>9.23</v>
      </c>
    </row>
    <row r="7916" s="1" customFormat="1" spans="1:15">
      <c r="A7916" s="1" t="str">
        <f t="shared" si="5677"/>
        <v>202406</v>
      </c>
      <c r="B7916" s="1" t="str">
        <f t="shared" si="5678"/>
        <v>150525100</v>
      </c>
      <c r="C7916" s="1" t="str">
        <f>"1042701644"</f>
        <v>1042701644</v>
      </c>
      <c r="D7916" s="1" t="str">
        <f>"152326196012210665"</f>
        <v>152326196012210665</v>
      </c>
      <c r="E7916" s="1" t="s">
        <v>7564</v>
      </c>
      <c r="F7916" s="1" t="s">
        <v>16</v>
      </c>
      <c r="G7916" s="1" t="s">
        <v>17</v>
      </c>
      <c r="H7916" s="1" t="str">
        <f>"64"</f>
        <v>64</v>
      </c>
      <c r="I7916" s="1" t="str">
        <f>"162.97"</f>
        <v>162.97</v>
      </c>
      <c r="J7916" s="1" t="str">
        <f t="shared" ref="J7916:N7916" si="5734">"0"</f>
        <v>0</v>
      </c>
      <c r="K7916" s="1" t="str">
        <f t="shared" si="5732"/>
        <v>103</v>
      </c>
      <c r="L7916" s="1" t="str">
        <f t="shared" si="5733"/>
        <v>47</v>
      </c>
      <c r="M7916" s="1" t="str">
        <f t="shared" si="5734"/>
        <v>0</v>
      </c>
      <c r="N7916" s="1" t="str">
        <f t="shared" si="5734"/>
        <v>0</v>
      </c>
      <c r="O7916" s="1" t="str">
        <f>"12.97"</f>
        <v>12.97</v>
      </c>
    </row>
    <row r="7917" s="1" customFormat="1" spans="1:15">
      <c r="A7917" s="1" t="str">
        <f t="shared" si="5677"/>
        <v>202406</v>
      </c>
      <c r="B7917" s="1" t="str">
        <f t="shared" si="5678"/>
        <v>150525100</v>
      </c>
      <c r="C7917" s="1" t="str">
        <f>"1042692419"</f>
        <v>1042692419</v>
      </c>
      <c r="D7917" s="1" t="str">
        <f>"152326196305233828"</f>
        <v>152326196305233828</v>
      </c>
      <c r="E7917" s="1" t="s">
        <v>7565</v>
      </c>
      <c r="F7917" s="1" t="s">
        <v>16</v>
      </c>
      <c r="G7917" s="1" t="s">
        <v>17</v>
      </c>
      <c r="H7917" s="1" t="str">
        <f>"61"</f>
        <v>61</v>
      </c>
      <c r="I7917" s="1" t="str">
        <f>"168.45"</f>
        <v>168.45</v>
      </c>
      <c r="J7917" s="1" t="str">
        <f t="shared" ref="J7917:N7917" si="5735">"0"</f>
        <v>0</v>
      </c>
      <c r="K7917" s="1" t="str">
        <f t="shared" si="5732"/>
        <v>103</v>
      </c>
      <c r="L7917" s="1" t="str">
        <f t="shared" si="5733"/>
        <v>47</v>
      </c>
      <c r="M7917" s="1" t="str">
        <f t="shared" si="5735"/>
        <v>0</v>
      </c>
      <c r="N7917" s="1" t="str">
        <f t="shared" si="5735"/>
        <v>0</v>
      </c>
      <c r="O7917" s="1" t="str">
        <f>"18.45"</f>
        <v>18.45</v>
      </c>
    </row>
    <row r="7918" s="1" customFormat="1" spans="1:15">
      <c r="A7918" s="1" t="str">
        <f t="shared" si="5677"/>
        <v>202406</v>
      </c>
      <c r="B7918" s="1" t="str">
        <f t="shared" si="5678"/>
        <v>150525100</v>
      </c>
      <c r="C7918" s="1" t="str">
        <f>"1015190788"</f>
        <v>1015190788</v>
      </c>
      <c r="D7918" s="1" t="str">
        <f>"152326192809230921"</f>
        <v>152326192809230921</v>
      </c>
      <c r="E7918" s="1" t="s">
        <v>507</v>
      </c>
      <c r="F7918" s="1" t="s">
        <v>16</v>
      </c>
      <c r="G7918" s="1" t="s">
        <v>19</v>
      </c>
      <c r="H7918" s="1" t="str">
        <f>"96"</f>
        <v>96</v>
      </c>
      <c r="I7918" s="1" t="str">
        <f>"1800"</f>
        <v>1800</v>
      </c>
      <c r="J7918" s="1" t="str">
        <f t="shared" ref="J7918:O7918" si="5736">"0"</f>
        <v>0</v>
      </c>
      <c r="K7918" s="1" t="str">
        <f t="shared" si="5736"/>
        <v>0</v>
      </c>
      <c r="L7918" s="1" t="str">
        <f t="shared" si="5736"/>
        <v>0</v>
      </c>
      <c r="M7918" s="1" t="str">
        <f t="shared" si="5736"/>
        <v>0</v>
      </c>
      <c r="N7918" s="1" t="str">
        <f t="shared" si="5736"/>
        <v>0</v>
      </c>
      <c r="O7918" s="1" t="str">
        <f t="shared" si="5736"/>
        <v>0</v>
      </c>
    </row>
    <row r="7919" s="1" customFormat="1" spans="1:15">
      <c r="A7919" s="1" t="str">
        <f t="shared" si="5677"/>
        <v>202406</v>
      </c>
      <c r="B7919" s="1" t="str">
        <f t="shared" si="5678"/>
        <v>150525100</v>
      </c>
      <c r="C7919" s="1" t="str">
        <f>"1040937380"</f>
        <v>1040937380</v>
      </c>
      <c r="D7919" s="1" t="s">
        <v>7566</v>
      </c>
      <c r="E7919" s="1" t="s">
        <v>7567</v>
      </c>
      <c r="F7919" s="1" t="s">
        <v>16</v>
      </c>
      <c r="G7919" s="1" t="s">
        <v>19</v>
      </c>
      <c r="H7919" s="1" t="str">
        <f>"67"</f>
        <v>67</v>
      </c>
      <c r="I7919" s="1" t="str">
        <f>"155.47"</f>
        <v>155.47</v>
      </c>
      <c r="J7919" s="1" t="str">
        <f t="shared" ref="J7919:N7919" si="5737">"0"</f>
        <v>0</v>
      </c>
      <c r="K7919" s="1" t="str">
        <f t="shared" ref="K7919:K7982" si="5738">"103"</f>
        <v>103</v>
      </c>
      <c r="L7919" s="1" t="str">
        <f t="shared" ref="L7919:L7982" si="5739">"47"</f>
        <v>47</v>
      </c>
      <c r="M7919" s="1" t="str">
        <f t="shared" si="5737"/>
        <v>0</v>
      </c>
      <c r="N7919" s="1" t="str">
        <f t="shared" si="5737"/>
        <v>0</v>
      </c>
      <c r="O7919" s="1" t="str">
        <f>"5.47"</f>
        <v>5.47</v>
      </c>
    </row>
    <row r="7920" s="1" customFormat="1" spans="1:15">
      <c r="A7920" s="1" t="str">
        <f t="shared" si="5677"/>
        <v>202406</v>
      </c>
      <c r="B7920" s="1" t="str">
        <f t="shared" si="5678"/>
        <v>150525100</v>
      </c>
      <c r="C7920" s="1" t="str">
        <f>"1040937383"</f>
        <v>1040937383</v>
      </c>
      <c r="D7920" s="1" t="str">
        <f>"152326196401110422"</f>
        <v>152326196401110422</v>
      </c>
      <c r="E7920" s="1" t="s">
        <v>7568</v>
      </c>
      <c r="F7920" s="1" t="s">
        <v>16</v>
      </c>
      <c r="G7920" s="1" t="s">
        <v>17</v>
      </c>
      <c r="H7920" s="1" t="str">
        <f>"60"</f>
        <v>60</v>
      </c>
      <c r="I7920" s="1" t="str">
        <f>"166.16"</f>
        <v>166.16</v>
      </c>
      <c r="J7920" s="1" t="str">
        <f t="shared" ref="J7920:N7920" si="5740">"0"</f>
        <v>0</v>
      </c>
      <c r="K7920" s="1" t="str">
        <f t="shared" si="5738"/>
        <v>103</v>
      </c>
      <c r="L7920" s="1" t="str">
        <f t="shared" si="5739"/>
        <v>47</v>
      </c>
      <c r="M7920" s="1" t="str">
        <f t="shared" si="5740"/>
        <v>0</v>
      </c>
      <c r="N7920" s="1" t="str">
        <f t="shared" si="5740"/>
        <v>0</v>
      </c>
      <c r="O7920" s="1" t="str">
        <f>"16.16"</f>
        <v>16.16</v>
      </c>
    </row>
    <row r="7921" s="1" customFormat="1" spans="1:15">
      <c r="A7921" s="1" t="str">
        <f t="shared" si="5677"/>
        <v>202406</v>
      </c>
      <c r="B7921" s="1" t="str">
        <f t="shared" si="5678"/>
        <v>150525100</v>
      </c>
      <c r="C7921" s="1" t="str">
        <f>"1040937452"</f>
        <v>1040937452</v>
      </c>
      <c r="D7921" s="1" t="s">
        <v>7569</v>
      </c>
      <c r="E7921" s="1" t="s">
        <v>7570</v>
      </c>
      <c r="F7921" s="1" t="s">
        <v>16</v>
      </c>
      <c r="G7921" s="1" t="s">
        <v>19</v>
      </c>
      <c r="H7921" s="1" t="str">
        <f t="shared" ref="H7921:H7926" si="5741">"67"</f>
        <v>67</v>
      </c>
      <c r="I7921" s="1" t="str">
        <f>"172.26"</f>
        <v>172.26</v>
      </c>
      <c r="J7921" s="1" t="str">
        <f t="shared" ref="J7921:N7921" si="5742">"0"</f>
        <v>0</v>
      </c>
      <c r="K7921" s="1" t="str">
        <f t="shared" si="5738"/>
        <v>103</v>
      </c>
      <c r="L7921" s="1" t="str">
        <f t="shared" si="5739"/>
        <v>47</v>
      </c>
      <c r="M7921" s="1" t="str">
        <f t="shared" si="5742"/>
        <v>0</v>
      </c>
      <c r="N7921" s="1" t="str">
        <f t="shared" si="5742"/>
        <v>0</v>
      </c>
      <c r="O7921" s="1" t="str">
        <f>"22.26"</f>
        <v>22.26</v>
      </c>
    </row>
    <row r="7922" s="1" customFormat="1" spans="1:15">
      <c r="A7922" s="1" t="str">
        <f t="shared" si="5677"/>
        <v>202406</v>
      </c>
      <c r="B7922" s="1" t="str">
        <f t="shared" si="5678"/>
        <v>150525100</v>
      </c>
      <c r="C7922" s="1" t="str">
        <f>"1014547865"</f>
        <v>1014547865</v>
      </c>
      <c r="D7922" s="1" t="str">
        <f>"152326195308140665"</f>
        <v>152326195308140665</v>
      </c>
      <c r="E7922" s="1" t="s">
        <v>7571</v>
      </c>
      <c r="F7922" s="1" t="s">
        <v>16</v>
      </c>
      <c r="G7922" s="1" t="s">
        <v>19</v>
      </c>
      <c r="H7922" s="1" t="str">
        <f>"71"</f>
        <v>71</v>
      </c>
      <c r="I7922" s="1" t="str">
        <f>"163.16"</f>
        <v>163.16</v>
      </c>
      <c r="J7922" s="1" t="str">
        <f t="shared" ref="J7922:N7922" si="5743">"0"</f>
        <v>0</v>
      </c>
      <c r="K7922" s="1" t="str">
        <f t="shared" si="5738"/>
        <v>103</v>
      </c>
      <c r="L7922" s="1" t="str">
        <f t="shared" si="5739"/>
        <v>47</v>
      </c>
      <c r="M7922" s="1" t="str">
        <f t="shared" si="5743"/>
        <v>0</v>
      </c>
      <c r="N7922" s="1" t="str">
        <f t="shared" si="5743"/>
        <v>0</v>
      </c>
      <c r="O7922" s="1" t="str">
        <f>"3.16"</f>
        <v>3.16</v>
      </c>
    </row>
    <row r="7923" s="1" customFormat="1" spans="1:15">
      <c r="A7923" s="1" t="str">
        <f t="shared" si="5677"/>
        <v>202406</v>
      </c>
      <c r="B7923" s="1" t="str">
        <f t="shared" si="5678"/>
        <v>150525100</v>
      </c>
      <c r="C7923" s="1" t="str">
        <f>"1014552322"</f>
        <v>1014552322</v>
      </c>
      <c r="D7923" s="1" t="str">
        <f>"152326195611023816"</f>
        <v>152326195611023816</v>
      </c>
      <c r="E7923" s="1" t="s">
        <v>7572</v>
      </c>
      <c r="F7923" s="1" t="s">
        <v>25</v>
      </c>
      <c r="G7923" s="1" t="s">
        <v>19</v>
      </c>
      <c r="H7923" s="1" t="str">
        <f>"68"</f>
        <v>68</v>
      </c>
      <c r="I7923" s="1" t="str">
        <f>"155.64"</f>
        <v>155.64</v>
      </c>
      <c r="J7923" s="1" t="str">
        <f t="shared" ref="J7923:N7923" si="5744">"0"</f>
        <v>0</v>
      </c>
      <c r="K7923" s="1" t="str">
        <f t="shared" si="5738"/>
        <v>103</v>
      </c>
      <c r="L7923" s="1" t="str">
        <f t="shared" si="5739"/>
        <v>47</v>
      </c>
      <c r="M7923" s="1" t="str">
        <f t="shared" si="5744"/>
        <v>0</v>
      </c>
      <c r="N7923" s="1" t="str">
        <f t="shared" si="5744"/>
        <v>0</v>
      </c>
      <c r="O7923" s="1" t="str">
        <f>"5.64"</f>
        <v>5.64</v>
      </c>
    </row>
    <row r="7924" s="1" customFormat="1" spans="1:15">
      <c r="A7924" s="1" t="str">
        <f t="shared" si="5677"/>
        <v>202406</v>
      </c>
      <c r="B7924" s="1" t="str">
        <f t="shared" si="5678"/>
        <v>150525100</v>
      </c>
      <c r="C7924" s="1" t="str">
        <f>"1014575756"</f>
        <v>1014575756</v>
      </c>
      <c r="D7924" s="1" t="str">
        <f>"152326195406030670"</f>
        <v>152326195406030670</v>
      </c>
      <c r="E7924" s="1" t="s">
        <v>7573</v>
      </c>
      <c r="F7924" s="1" t="s">
        <v>25</v>
      </c>
      <c r="G7924" s="1" t="s">
        <v>17</v>
      </c>
      <c r="H7924" s="1" t="str">
        <f>"70"</f>
        <v>70</v>
      </c>
      <c r="I7924" s="1" t="str">
        <f>"154.14"</f>
        <v>154.14</v>
      </c>
      <c r="J7924" s="1" t="str">
        <f t="shared" ref="J7924:N7924" si="5745">"0"</f>
        <v>0</v>
      </c>
      <c r="K7924" s="1" t="str">
        <f t="shared" si="5738"/>
        <v>103</v>
      </c>
      <c r="L7924" s="1" t="str">
        <f t="shared" si="5739"/>
        <v>47</v>
      </c>
      <c r="M7924" s="1" t="str">
        <f t="shared" si="5745"/>
        <v>0</v>
      </c>
      <c r="N7924" s="1" t="str">
        <f t="shared" si="5745"/>
        <v>0</v>
      </c>
      <c r="O7924" s="1" t="str">
        <f>"4.14"</f>
        <v>4.14</v>
      </c>
    </row>
    <row r="7925" s="1" customFormat="1" spans="1:15">
      <c r="A7925" s="1" t="str">
        <f t="shared" si="5677"/>
        <v>202406</v>
      </c>
      <c r="B7925" s="1" t="str">
        <f t="shared" si="5678"/>
        <v>150525100</v>
      </c>
      <c r="C7925" s="1" t="str">
        <f>"1014575778"</f>
        <v>1014575778</v>
      </c>
      <c r="D7925" s="1" t="str">
        <f>"152326195703160690"</f>
        <v>152326195703160690</v>
      </c>
      <c r="E7925" s="1" t="s">
        <v>7574</v>
      </c>
      <c r="F7925" s="1" t="s">
        <v>25</v>
      </c>
      <c r="G7925" s="1" t="s">
        <v>17</v>
      </c>
      <c r="H7925" s="1" t="str">
        <f t="shared" si="5741"/>
        <v>67</v>
      </c>
      <c r="I7925" s="1" t="str">
        <f>"156.04"</f>
        <v>156.04</v>
      </c>
      <c r="J7925" s="1" t="str">
        <f t="shared" ref="J7925:N7925" si="5746">"0"</f>
        <v>0</v>
      </c>
      <c r="K7925" s="1" t="str">
        <f t="shared" si="5738"/>
        <v>103</v>
      </c>
      <c r="L7925" s="1" t="str">
        <f t="shared" si="5739"/>
        <v>47</v>
      </c>
      <c r="M7925" s="1" t="str">
        <f t="shared" si="5746"/>
        <v>0</v>
      </c>
      <c r="N7925" s="1" t="str">
        <f t="shared" si="5746"/>
        <v>0</v>
      </c>
      <c r="O7925" s="1" t="str">
        <f>"6.04"</f>
        <v>6.04</v>
      </c>
    </row>
    <row r="7926" s="1" customFormat="1" spans="1:15">
      <c r="A7926" s="1" t="str">
        <f t="shared" si="5677"/>
        <v>202406</v>
      </c>
      <c r="B7926" s="1" t="str">
        <f t="shared" si="5678"/>
        <v>150525100</v>
      </c>
      <c r="C7926" s="1" t="str">
        <f>"1014575779"</f>
        <v>1014575779</v>
      </c>
      <c r="D7926" s="1" t="str">
        <f>"152326195704070662"</f>
        <v>152326195704070662</v>
      </c>
      <c r="E7926" s="1" t="s">
        <v>7575</v>
      </c>
      <c r="F7926" s="1" t="s">
        <v>16</v>
      </c>
      <c r="G7926" s="1" t="s">
        <v>17</v>
      </c>
      <c r="H7926" s="1" t="str">
        <f t="shared" si="5741"/>
        <v>67</v>
      </c>
      <c r="I7926" s="1" t="str">
        <f>"155.82"</f>
        <v>155.82</v>
      </c>
      <c r="J7926" s="1" t="str">
        <f t="shared" ref="J7926:N7926" si="5747">"0"</f>
        <v>0</v>
      </c>
      <c r="K7926" s="1" t="str">
        <f t="shared" si="5738"/>
        <v>103</v>
      </c>
      <c r="L7926" s="1" t="str">
        <f t="shared" si="5739"/>
        <v>47</v>
      </c>
      <c r="M7926" s="1" t="str">
        <f t="shared" si="5747"/>
        <v>0</v>
      </c>
      <c r="N7926" s="1" t="str">
        <f t="shared" si="5747"/>
        <v>0</v>
      </c>
      <c r="O7926" s="1" t="str">
        <f>"5.82"</f>
        <v>5.82</v>
      </c>
    </row>
    <row r="7927" s="1" customFormat="1" spans="1:15">
      <c r="A7927" s="1" t="str">
        <f t="shared" si="5677"/>
        <v>202406</v>
      </c>
      <c r="B7927" s="1" t="str">
        <f t="shared" si="5678"/>
        <v>150525100</v>
      </c>
      <c r="C7927" s="1" t="str">
        <f>"1014576302"</f>
        <v>1014576302</v>
      </c>
      <c r="D7927" s="1" t="str">
        <f>"152326195410040425"</f>
        <v>152326195410040425</v>
      </c>
      <c r="E7927" s="1" t="s">
        <v>7576</v>
      </c>
      <c r="F7927" s="1" t="s">
        <v>16</v>
      </c>
      <c r="G7927" s="1" t="s">
        <v>17</v>
      </c>
      <c r="H7927" s="1" t="str">
        <f>"70"</f>
        <v>70</v>
      </c>
      <c r="I7927" s="1" t="str">
        <f>"153.91"</f>
        <v>153.91</v>
      </c>
      <c r="J7927" s="1" t="str">
        <f t="shared" ref="J7927:N7927" si="5748">"0"</f>
        <v>0</v>
      </c>
      <c r="K7927" s="1" t="str">
        <f t="shared" si="5738"/>
        <v>103</v>
      </c>
      <c r="L7927" s="1" t="str">
        <f t="shared" si="5739"/>
        <v>47</v>
      </c>
      <c r="M7927" s="1" t="str">
        <f t="shared" si="5748"/>
        <v>0</v>
      </c>
      <c r="N7927" s="1" t="str">
        <f t="shared" si="5748"/>
        <v>0</v>
      </c>
      <c r="O7927" s="1" t="str">
        <f>"3.91"</f>
        <v>3.91</v>
      </c>
    </row>
    <row r="7928" s="1" customFormat="1" spans="1:15">
      <c r="A7928" s="1" t="str">
        <f t="shared" si="5677"/>
        <v>202406</v>
      </c>
      <c r="B7928" s="1" t="str">
        <f t="shared" si="5678"/>
        <v>150525100</v>
      </c>
      <c r="C7928" s="1" t="str">
        <f>"1014576305"</f>
        <v>1014576305</v>
      </c>
      <c r="D7928" s="1" t="str">
        <f>"152326195606250424"</f>
        <v>152326195606250424</v>
      </c>
      <c r="E7928" s="1" t="s">
        <v>2369</v>
      </c>
      <c r="F7928" s="1" t="s">
        <v>16</v>
      </c>
      <c r="G7928" s="1" t="s">
        <v>96</v>
      </c>
      <c r="H7928" s="1" t="str">
        <f>"68"</f>
        <v>68</v>
      </c>
      <c r="I7928" s="1" t="str">
        <f>"155.77"</f>
        <v>155.77</v>
      </c>
      <c r="J7928" s="1" t="str">
        <f t="shared" ref="J7928:N7928" si="5749">"0"</f>
        <v>0</v>
      </c>
      <c r="K7928" s="1" t="str">
        <f t="shared" si="5738"/>
        <v>103</v>
      </c>
      <c r="L7928" s="1" t="str">
        <f t="shared" si="5739"/>
        <v>47</v>
      </c>
      <c r="M7928" s="1" t="str">
        <f t="shared" si="5749"/>
        <v>0</v>
      </c>
      <c r="N7928" s="1" t="str">
        <f t="shared" si="5749"/>
        <v>0</v>
      </c>
      <c r="O7928" s="1" t="str">
        <f>"5.77"</f>
        <v>5.77</v>
      </c>
    </row>
    <row r="7929" s="1" customFormat="1" spans="1:15">
      <c r="A7929" s="1" t="str">
        <f t="shared" si="5677"/>
        <v>202406</v>
      </c>
      <c r="B7929" s="1" t="str">
        <f t="shared" si="5678"/>
        <v>150525100</v>
      </c>
      <c r="C7929" s="1" t="str">
        <f>"1014576319"</f>
        <v>1014576319</v>
      </c>
      <c r="D7929" s="1" t="str">
        <f>"152326196307150444"</f>
        <v>152326196307150444</v>
      </c>
      <c r="E7929" s="1" t="s">
        <v>7577</v>
      </c>
      <c r="F7929" s="1" t="s">
        <v>16</v>
      </c>
      <c r="G7929" s="1" t="s">
        <v>17</v>
      </c>
      <c r="H7929" s="1" t="str">
        <f>"61"</f>
        <v>61</v>
      </c>
      <c r="I7929" s="1" t="str">
        <f>"164.78"</f>
        <v>164.78</v>
      </c>
      <c r="J7929" s="1" t="str">
        <f t="shared" ref="J7929:N7929" si="5750">"0"</f>
        <v>0</v>
      </c>
      <c r="K7929" s="1" t="str">
        <f t="shared" si="5738"/>
        <v>103</v>
      </c>
      <c r="L7929" s="1" t="str">
        <f t="shared" si="5739"/>
        <v>47</v>
      </c>
      <c r="M7929" s="1" t="str">
        <f t="shared" si="5750"/>
        <v>0</v>
      </c>
      <c r="N7929" s="1" t="str">
        <f t="shared" si="5750"/>
        <v>0</v>
      </c>
      <c r="O7929" s="1" t="str">
        <f>"14.78"</f>
        <v>14.78</v>
      </c>
    </row>
    <row r="7930" s="1" customFormat="1" spans="1:15">
      <c r="A7930" s="1" t="str">
        <f t="shared" si="5677"/>
        <v>202406</v>
      </c>
      <c r="B7930" s="1" t="str">
        <f t="shared" si="5678"/>
        <v>150525100</v>
      </c>
      <c r="C7930" s="1" t="str">
        <f>"1014576640"</f>
        <v>1014576640</v>
      </c>
      <c r="D7930" s="1" t="str">
        <f>"152326195709020699"</f>
        <v>152326195709020699</v>
      </c>
      <c r="E7930" s="1" t="s">
        <v>7578</v>
      </c>
      <c r="F7930" s="1" t="s">
        <v>25</v>
      </c>
      <c r="G7930" s="1" t="s">
        <v>19</v>
      </c>
      <c r="H7930" s="1" t="str">
        <f>"67"</f>
        <v>67</v>
      </c>
      <c r="I7930" s="1" t="str">
        <f>"156.09"</f>
        <v>156.09</v>
      </c>
      <c r="J7930" s="1" t="str">
        <f t="shared" ref="J7930:N7930" si="5751">"0"</f>
        <v>0</v>
      </c>
      <c r="K7930" s="1" t="str">
        <f t="shared" si="5738"/>
        <v>103</v>
      </c>
      <c r="L7930" s="1" t="str">
        <f t="shared" si="5739"/>
        <v>47</v>
      </c>
      <c r="M7930" s="1" t="str">
        <f t="shared" si="5751"/>
        <v>0</v>
      </c>
      <c r="N7930" s="1" t="str">
        <f t="shared" si="5751"/>
        <v>0</v>
      </c>
      <c r="O7930" s="1" t="str">
        <f>"6.09"</f>
        <v>6.09</v>
      </c>
    </row>
    <row r="7931" s="1" customFormat="1" spans="1:15">
      <c r="A7931" s="1" t="str">
        <f t="shared" si="5677"/>
        <v>202406</v>
      </c>
      <c r="B7931" s="1" t="str">
        <f t="shared" si="5678"/>
        <v>150525100</v>
      </c>
      <c r="C7931" s="1" t="str">
        <f>"1014576647"</f>
        <v>1014576647</v>
      </c>
      <c r="D7931" s="1" t="str">
        <f>"152326195909020677"</f>
        <v>152326195909020677</v>
      </c>
      <c r="E7931" s="1" t="s">
        <v>7579</v>
      </c>
      <c r="F7931" s="1" t="s">
        <v>25</v>
      </c>
      <c r="G7931" s="1" t="s">
        <v>19</v>
      </c>
      <c r="H7931" s="1" t="str">
        <f>"65"</f>
        <v>65</v>
      </c>
      <c r="I7931" s="1" t="str">
        <f>"158.18"</f>
        <v>158.18</v>
      </c>
      <c r="J7931" s="1" t="str">
        <f t="shared" ref="J7931:N7931" si="5752">"0"</f>
        <v>0</v>
      </c>
      <c r="K7931" s="1" t="str">
        <f t="shared" si="5738"/>
        <v>103</v>
      </c>
      <c r="L7931" s="1" t="str">
        <f t="shared" si="5739"/>
        <v>47</v>
      </c>
      <c r="M7931" s="1" t="str">
        <f t="shared" si="5752"/>
        <v>0</v>
      </c>
      <c r="N7931" s="1" t="str">
        <f t="shared" si="5752"/>
        <v>0</v>
      </c>
      <c r="O7931" s="1" t="str">
        <f>"8.18"</f>
        <v>8.18</v>
      </c>
    </row>
    <row r="7932" s="1" customFormat="1" spans="1:15">
      <c r="A7932" s="1" t="str">
        <f t="shared" si="5677"/>
        <v>202406</v>
      </c>
      <c r="B7932" s="1" t="str">
        <f t="shared" si="5678"/>
        <v>150525100</v>
      </c>
      <c r="C7932" s="1" t="str">
        <f>"1014576652"</f>
        <v>1014576652</v>
      </c>
      <c r="D7932" s="1" t="str">
        <f>"152326196009130672"</f>
        <v>152326196009130672</v>
      </c>
      <c r="E7932" s="1" t="s">
        <v>7580</v>
      </c>
      <c r="F7932" s="1" t="s">
        <v>25</v>
      </c>
      <c r="G7932" s="1" t="s">
        <v>19</v>
      </c>
      <c r="H7932" s="1" t="str">
        <f>"64"</f>
        <v>64</v>
      </c>
      <c r="I7932" s="1" t="str">
        <f>"159.29"</f>
        <v>159.29</v>
      </c>
      <c r="J7932" s="1" t="str">
        <f t="shared" ref="J7932:N7932" si="5753">"0"</f>
        <v>0</v>
      </c>
      <c r="K7932" s="1" t="str">
        <f t="shared" si="5738"/>
        <v>103</v>
      </c>
      <c r="L7932" s="1" t="str">
        <f t="shared" si="5739"/>
        <v>47</v>
      </c>
      <c r="M7932" s="1" t="str">
        <f t="shared" si="5753"/>
        <v>0</v>
      </c>
      <c r="N7932" s="1" t="str">
        <f t="shared" si="5753"/>
        <v>0</v>
      </c>
      <c r="O7932" s="1" t="str">
        <f>"9.29"</f>
        <v>9.29</v>
      </c>
    </row>
    <row r="7933" s="1" customFormat="1" spans="1:15">
      <c r="A7933" s="1" t="str">
        <f t="shared" si="5677"/>
        <v>202406</v>
      </c>
      <c r="B7933" s="1" t="str">
        <f t="shared" si="5678"/>
        <v>150525100</v>
      </c>
      <c r="C7933" s="1" t="str">
        <f>"1014548035"</f>
        <v>1014548035</v>
      </c>
      <c r="D7933" s="1" t="str">
        <f>"152326195211203826"</f>
        <v>152326195211203826</v>
      </c>
      <c r="E7933" s="1" t="s">
        <v>7581</v>
      </c>
      <c r="F7933" s="1" t="s">
        <v>16</v>
      </c>
      <c r="G7933" s="1" t="s">
        <v>17</v>
      </c>
      <c r="H7933" s="1" t="str">
        <f>"72"</f>
        <v>72</v>
      </c>
      <c r="I7933" s="1" t="str">
        <f>"162.15"</f>
        <v>162.15</v>
      </c>
      <c r="J7933" s="1" t="str">
        <f t="shared" ref="J7933:N7933" si="5754">"0"</f>
        <v>0</v>
      </c>
      <c r="K7933" s="1" t="str">
        <f t="shared" si="5738"/>
        <v>103</v>
      </c>
      <c r="L7933" s="1" t="str">
        <f t="shared" si="5739"/>
        <v>47</v>
      </c>
      <c r="M7933" s="1" t="str">
        <f t="shared" si="5754"/>
        <v>0</v>
      </c>
      <c r="N7933" s="1" t="str">
        <f t="shared" si="5754"/>
        <v>0</v>
      </c>
      <c r="O7933" s="1" t="str">
        <f>"2.15"</f>
        <v>2.15</v>
      </c>
    </row>
    <row r="7934" s="1" customFormat="1" spans="1:15">
      <c r="A7934" s="1" t="str">
        <f t="shared" si="5677"/>
        <v>202406</v>
      </c>
      <c r="B7934" s="1" t="str">
        <f t="shared" si="5678"/>
        <v>150525100</v>
      </c>
      <c r="C7934" s="1" t="str">
        <f>"1014548039"</f>
        <v>1014548039</v>
      </c>
      <c r="D7934" s="1" t="str">
        <f>"152326195412293821"</f>
        <v>152326195412293821</v>
      </c>
      <c r="E7934" s="1" t="s">
        <v>5868</v>
      </c>
      <c r="F7934" s="1" t="s">
        <v>16</v>
      </c>
      <c r="G7934" s="1" t="s">
        <v>17</v>
      </c>
      <c r="H7934" s="1" t="str">
        <f>"70"</f>
        <v>70</v>
      </c>
      <c r="I7934" s="1" t="str">
        <f>"153.91"</f>
        <v>153.91</v>
      </c>
      <c r="J7934" s="1" t="str">
        <f t="shared" ref="J7934:N7934" si="5755">"0"</f>
        <v>0</v>
      </c>
      <c r="K7934" s="1" t="str">
        <f t="shared" si="5738"/>
        <v>103</v>
      </c>
      <c r="L7934" s="1" t="str">
        <f t="shared" si="5739"/>
        <v>47</v>
      </c>
      <c r="M7934" s="1" t="str">
        <f t="shared" si="5755"/>
        <v>0</v>
      </c>
      <c r="N7934" s="1" t="str">
        <f t="shared" si="5755"/>
        <v>0</v>
      </c>
      <c r="O7934" s="1" t="str">
        <f>"3.91"</f>
        <v>3.91</v>
      </c>
    </row>
    <row r="7935" s="1" customFormat="1" spans="1:15">
      <c r="A7935" s="1" t="str">
        <f t="shared" si="5677"/>
        <v>202406</v>
      </c>
      <c r="B7935" s="1" t="str">
        <f t="shared" si="5678"/>
        <v>150525100</v>
      </c>
      <c r="C7935" s="1" t="str">
        <f>"1014548040"</f>
        <v>1014548040</v>
      </c>
      <c r="D7935" s="1" t="str">
        <f>"152326195601173810"</f>
        <v>152326195601173810</v>
      </c>
      <c r="E7935" s="1" t="s">
        <v>7582</v>
      </c>
      <c r="F7935" s="1" t="s">
        <v>25</v>
      </c>
      <c r="G7935" s="1" t="s">
        <v>17</v>
      </c>
      <c r="H7935" s="1" t="str">
        <f>"68"</f>
        <v>68</v>
      </c>
      <c r="I7935" s="1" t="str">
        <f>"155.78"</f>
        <v>155.78</v>
      </c>
      <c r="J7935" s="1" t="str">
        <f t="shared" ref="J7935:N7935" si="5756">"0"</f>
        <v>0</v>
      </c>
      <c r="K7935" s="1" t="str">
        <f t="shared" si="5738"/>
        <v>103</v>
      </c>
      <c r="L7935" s="1" t="str">
        <f t="shared" si="5739"/>
        <v>47</v>
      </c>
      <c r="M7935" s="1" t="str">
        <f t="shared" si="5756"/>
        <v>0</v>
      </c>
      <c r="N7935" s="1" t="str">
        <f t="shared" si="5756"/>
        <v>0</v>
      </c>
      <c r="O7935" s="1" t="str">
        <f>"5.78"</f>
        <v>5.78</v>
      </c>
    </row>
    <row r="7936" s="1" customFormat="1" spans="1:15">
      <c r="A7936" s="1" t="str">
        <f t="shared" si="5677"/>
        <v>202406</v>
      </c>
      <c r="B7936" s="1" t="str">
        <f t="shared" si="5678"/>
        <v>150525100</v>
      </c>
      <c r="C7936" s="1" t="str">
        <f>"1014548133"</f>
        <v>1014548133</v>
      </c>
      <c r="D7936" s="1" t="str">
        <f>"152326196202243070"</f>
        <v>152326196202243070</v>
      </c>
      <c r="E7936" s="1" t="s">
        <v>7583</v>
      </c>
      <c r="F7936" s="1" t="s">
        <v>25</v>
      </c>
      <c r="G7936" s="1" t="s">
        <v>17</v>
      </c>
      <c r="H7936" s="1" t="str">
        <f>"62"</f>
        <v>62</v>
      </c>
      <c r="I7936" s="1" t="str">
        <f>"160.31"</f>
        <v>160.31</v>
      </c>
      <c r="J7936" s="1" t="str">
        <f t="shared" ref="J7936:N7936" si="5757">"0"</f>
        <v>0</v>
      </c>
      <c r="K7936" s="1" t="str">
        <f t="shared" si="5738"/>
        <v>103</v>
      </c>
      <c r="L7936" s="1" t="str">
        <f t="shared" si="5739"/>
        <v>47</v>
      </c>
      <c r="M7936" s="1" t="str">
        <f t="shared" si="5757"/>
        <v>0</v>
      </c>
      <c r="N7936" s="1" t="str">
        <f t="shared" si="5757"/>
        <v>0</v>
      </c>
      <c r="O7936" s="1" t="str">
        <f>"10.31"</f>
        <v>10.31</v>
      </c>
    </row>
    <row r="7937" s="1" customFormat="1" spans="1:15">
      <c r="A7937" s="1" t="str">
        <f t="shared" si="5677"/>
        <v>202406</v>
      </c>
      <c r="B7937" s="1" t="str">
        <f t="shared" si="5678"/>
        <v>150525100</v>
      </c>
      <c r="C7937" s="1" t="str">
        <f>"1014572173"</f>
        <v>1014572173</v>
      </c>
      <c r="D7937" s="1" t="s">
        <v>7584</v>
      </c>
      <c r="E7937" s="1" t="s">
        <v>7585</v>
      </c>
      <c r="F7937" s="1" t="s">
        <v>25</v>
      </c>
      <c r="G7937" s="1" t="s">
        <v>17</v>
      </c>
      <c r="H7937" s="1" t="str">
        <f t="shared" ref="H7937:H7941" si="5758">"64"</f>
        <v>64</v>
      </c>
      <c r="I7937" s="1" t="str">
        <f>"212.36"</f>
        <v>212.36</v>
      </c>
      <c r="J7937" s="1" t="str">
        <f t="shared" ref="J7937:N7937" si="5759">"0"</f>
        <v>0</v>
      </c>
      <c r="K7937" s="1" t="str">
        <f t="shared" si="5738"/>
        <v>103</v>
      </c>
      <c r="L7937" s="1" t="str">
        <f t="shared" si="5739"/>
        <v>47</v>
      </c>
      <c r="M7937" s="1" t="str">
        <f t="shared" si="5759"/>
        <v>0</v>
      </c>
      <c r="N7937" s="1" t="str">
        <f t="shared" si="5759"/>
        <v>0</v>
      </c>
      <c r="O7937" s="1" t="str">
        <f>"62.36"</f>
        <v>62.36</v>
      </c>
    </row>
    <row r="7938" s="1" customFormat="1" spans="1:15">
      <c r="A7938" s="1" t="str">
        <f t="shared" ref="A7938:A8001" si="5760">"202406"</f>
        <v>202406</v>
      </c>
      <c r="B7938" s="1" t="str">
        <f t="shared" ref="B7938:B8001" si="5761">"150525100"</f>
        <v>150525100</v>
      </c>
      <c r="C7938" s="1" t="str">
        <f>"1014576170"</f>
        <v>1014576170</v>
      </c>
      <c r="D7938" s="1" t="s">
        <v>7586</v>
      </c>
      <c r="E7938" s="1" t="s">
        <v>498</v>
      </c>
      <c r="F7938" s="1" t="s">
        <v>16</v>
      </c>
      <c r="G7938" s="1" t="s">
        <v>96</v>
      </c>
      <c r="H7938" s="1" t="str">
        <f t="shared" si="5758"/>
        <v>64</v>
      </c>
      <c r="I7938" s="1" t="str">
        <f>"159.19"</f>
        <v>159.19</v>
      </c>
      <c r="J7938" s="1" t="str">
        <f t="shared" ref="J7938:N7938" si="5762">"0"</f>
        <v>0</v>
      </c>
      <c r="K7938" s="1" t="str">
        <f t="shared" si="5738"/>
        <v>103</v>
      </c>
      <c r="L7938" s="1" t="str">
        <f t="shared" si="5739"/>
        <v>47</v>
      </c>
      <c r="M7938" s="1" t="str">
        <f t="shared" si="5762"/>
        <v>0</v>
      </c>
      <c r="N7938" s="1" t="str">
        <f t="shared" si="5762"/>
        <v>0</v>
      </c>
      <c r="O7938" s="1" t="str">
        <f>"9.19"</f>
        <v>9.19</v>
      </c>
    </row>
    <row r="7939" s="1" customFormat="1" spans="1:15">
      <c r="A7939" s="1" t="str">
        <f t="shared" si="5760"/>
        <v>202406</v>
      </c>
      <c r="B7939" s="1" t="str">
        <f t="shared" si="5761"/>
        <v>150525100</v>
      </c>
      <c r="C7939" s="1" t="str">
        <f>"1014576347"</f>
        <v>1014576347</v>
      </c>
      <c r="D7939" s="1" t="str">
        <f>"152326196210140661"</f>
        <v>152326196210140661</v>
      </c>
      <c r="E7939" s="1" t="s">
        <v>7587</v>
      </c>
      <c r="F7939" s="1" t="s">
        <v>16</v>
      </c>
      <c r="G7939" s="1" t="s">
        <v>19</v>
      </c>
      <c r="H7939" s="1" t="str">
        <f>"62"</f>
        <v>62</v>
      </c>
      <c r="I7939" s="1" t="str">
        <f>"163.95"</f>
        <v>163.95</v>
      </c>
      <c r="J7939" s="1" t="str">
        <f t="shared" ref="J7939:N7939" si="5763">"0"</f>
        <v>0</v>
      </c>
      <c r="K7939" s="1" t="str">
        <f t="shared" si="5738"/>
        <v>103</v>
      </c>
      <c r="L7939" s="1" t="str">
        <f t="shared" si="5739"/>
        <v>47</v>
      </c>
      <c r="M7939" s="1" t="str">
        <f t="shared" si="5763"/>
        <v>0</v>
      </c>
      <c r="N7939" s="1" t="str">
        <f t="shared" si="5763"/>
        <v>0</v>
      </c>
      <c r="O7939" s="1" t="str">
        <f>"13.95"</f>
        <v>13.95</v>
      </c>
    </row>
    <row r="7940" s="1" customFormat="1" spans="1:15">
      <c r="A7940" s="1" t="str">
        <f t="shared" si="5760"/>
        <v>202406</v>
      </c>
      <c r="B7940" s="1" t="str">
        <f t="shared" si="5761"/>
        <v>150525100</v>
      </c>
      <c r="C7940" s="1" t="str">
        <f>"1014576476"</f>
        <v>1014576476</v>
      </c>
      <c r="D7940" s="1" t="str">
        <f>"152326195708086370"</f>
        <v>152326195708086370</v>
      </c>
      <c r="E7940" s="1" t="s">
        <v>7588</v>
      </c>
      <c r="F7940" s="1" t="s">
        <v>25</v>
      </c>
      <c r="G7940" s="1" t="s">
        <v>17</v>
      </c>
      <c r="H7940" s="1" t="str">
        <f>"67"</f>
        <v>67</v>
      </c>
      <c r="I7940" s="1" t="str">
        <f>"156.08"</f>
        <v>156.08</v>
      </c>
      <c r="J7940" s="1" t="str">
        <f t="shared" ref="J7940:N7940" si="5764">"0"</f>
        <v>0</v>
      </c>
      <c r="K7940" s="1" t="str">
        <f t="shared" si="5738"/>
        <v>103</v>
      </c>
      <c r="L7940" s="1" t="str">
        <f t="shared" si="5739"/>
        <v>47</v>
      </c>
      <c r="M7940" s="1" t="str">
        <f t="shared" si="5764"/>
        <v>0</v>
      </c>
      <c r="N7940" s="1" t="str">
        <f t="shared" si="5764"/>
        <v>0</v>
      </c>
      <c r="O7940" s="1" t="str">
        <f>"6.08"</f>
        <v>6.08</v>
      </c>
    </row>
    <row r="7941" s="1" customFormat="1" spans="1:15">
      <c r="A7941" s="1" t="str">
        <f t="shared" si="5760"/>
        <v>202406</v>
      </c>
      <c r="B7941" s="1" t="str">
        <f t="shared" si="5761"/>
        <v>150525100</v>
      </c>
      <c r="C7941" s="1" t="str">
        <f>"1014576484"</f>
        <v>1014576484</v>
      </c>
      <c r="D7941" s="1" t="str">
        <f>"152326196005176112"</f>
        <v>152326196005176112</v>
      </c>
      <c r="E7941" s="1" t="s">
        <v>7589</v>
      </c>
      <c r="F7941" s="1" t="s">
        <v>25</v>
      </c>
      <c r="G7941" s="1" t="s">
        <v>17</v>
      </c>
      <c r="H7941" s="1" t="str">
        <f t="shared" si="5758"/>
        <v>64</v>
      </c>
      <c r="I7941" s="1" t="str">
        <f>"158.99"</f>
        <v>158.99</v>
      </c>
      <c r="J7941" s="1" t="str">
        <f t="shared" ref="J7941:N7941" si="5765">"0"</f>
        <v>0</v>
      </c>
      <c r="K7941" s="1" t="str">
        <f t="shared" si="5738"/>
        <v>103</v>
      </c>
      <c r="L7941" s="1" t="str">
        <f t="shared" si="5739"/>
        <v>47</v>
      </c>
      <c r="M7941" s="1" t="str">
        <f t="shared" si="5765"/>
        <v>0</v>
      </c>
      <c r="N7941" s="1" t="str">
        <f t="shared" si="5765"/>
        <v>0</v>
      </c>
      <c r="O7941" s="1" t="str">
        <f>"8.99"</f>
        <v>8.99</v>
      </c>
    </row>
    <row r="7942" s="1" customFormat="1" spans="1:15">
      <c r="A7942" s="1" t="str">
        <f t="shared" si="5760"/>
        <v>202406</v>
      </c>
      <c r="B7942" s="1" t="str">
        <f t="shared" si="5761"/>
        <v>150525100</v>
      </c>
      <c r="C7942" s="1" t="str">
        <f>"1014576676"</f>
        <v>1014576676</v>
      </c>
      <c r="D7942" s="1" t="str">
        <f>"152326195506090662"</f>
        <v>152326195506090662</v>
      </c>
      <c r="E7942" s="1" t="s">
        <v>7590</v>
      </c>
      <c r="F7942" s="1" t="s">
        <v>16</v>
      </c>
      <c r="G7942" s="1" t="s">
        <v>19</v>
      </c>
      <c r="H7942" s="1" t="str">
        <f>"69"</f>
        <v>69</v>
      </c>
      <c r="I7942" s="1" t="str">
        <f>"155.09"</f>
        <v>155.09</v>
      </c>
      <c r="J7942" s="1" t="str">
        <f t="shared" ref="J7942:N7942" si="5766">"0"</f>
        <v>0</v>
      </c>
      <c r="K7942" s="1" t="str">
        <f t="shared" si="5738"/>
        <v>103</v>
      </c>
      <c r="L7942" s="1" t="str">
        <f t="shared" si="5739"/>
        <v>47</v>
      </c>
      <c r="M7942" s="1" t="str">
        <f t="shared" si="5766"/>
        <v>0</v>
      </c>
      <c r="N7942" s="1" t="str">
        <f t="shared" si="5766"/>
        <v>0</v>
      </c>
      <c r="O7942" s="1" t="str">
        <f>"5.09"</f>
        <v>5.09</v>
      </c>
    </row>
    <row r="7943" s="1" customFormat="1" spans="1:15">
      <c r="A7943" s="1" t="str">
        <f t="shared" si="5760"/>
        <v>202406</v>
      </c>
      <c r="B7943" s="1" t="str">
        <f t="shared" si="5761"/>
        <v>150525100</v>
      </c>
      <c r="C7943" s="1" t="str">
        <f>"1014576679"</f>
        <v>1014576679</v>
      </c>
      <c r="D7943" s="1" t="str">
        <f>"152326195411103096"</f>
        <v>152326195411103096</v>
      </c>
      <c r="E7943" s="1" t="s">
        <v>7591</v>
      </c>
      <c r="F7943" s="1" t="s">
        <v>25</v>
      </c>
      <c r="G7943" s="1" t="s">
        <v>17</v>
      </c>
      <c r="H7943" s="1" t="str">
        <f>"70"</f>
        <v>70</v>
      </c>
      <c r="I7943" s="1" t="str">
        <f>"154.14"</f>
        <v>154.14</v>
      </c>
      <c r="J7943" s="1" t="str">
        <f t="shared" ref="J7943:N7943" si="5767">"0"</f>
        <v>0</v>
      </c>
      <c r="K7943" s="1" t="str">
        <f t="shared" si="5738"/>
        <v>103</v>
      </c>
      <c r="L7943" s="1" t="str">
        <f t="shared" si="5739"/>
        <v>47</v>
      </c>
      <c r="M7943" s="1" t="str">
        <f t="shared" si="5767"/>
        <v>0</v>
      </c>
      <c r="N7943" s="1" t="str">
        <f t="shared" si="5767"/>
        <v>0</v>
      </c>
      <c r="O7943" s="1" t="str">
        <f>"4.14"</f>
        <v>4.14</v>
      </c>
    </row>
    <row r="7944" s="1" customFormat="1" spans="1:15">
      <c r="A7944" s="1" t="str">
        <f t="shared" si="5760"/>
        <v>202406</v>
      </c>
      <c r="B7944" s="1" t="str">
        <f t="shared" si="5761"/>
        <v>150525100</v>
      </c>
      <c r="C7944" s="1" t="str">
        <f>"1014576692"</f>
        <v>1014576692</v>
      </c>
      <c r="D7944" s="1" t="str">
        <f>"152326195211130663"</f>
        <v>152326195211130663</v>
      </c>
      <c r="E7944" s="1" t="s">
        <v>7592</v>
      </c>
      <c r="F7944" s="1" t="s">
        <v>16</v>
      </c>
      <c r="G7944" s="1" t="s">
        <v>17</v>
      </c>
      <c r="H7944" s="1" t="str">
        <f>"72"</f>
        <v>72</v>
      </c>
      <c r="I7944" s="1" t="str">
        <f>"162.14"</f>
        <v>162.14</v>
      </c>
      <c r="J7944" s="1" t="str">
        <f t="shared" ref="J7944:N7944" si="5768">"0"</f>
        <v>0</v>
      </c>
      <c r="K7944" s="1" t="str">
        <f t="shared" si="5738"/>
        <v>103</v>
      </c>
      <c r="L7944" s="1" t="str">
        <f t="shared" si="5739"/>
        <v>47</v>
      </c>
      <c r="M7944" s="1" t="str">
        <f t="shared" si="5768"/>
        <v>0</v>
      </c>
      <c r="N7944" s="1" t="str">
        <f t="shared" si="5768"/>
        <v>0</v>
      </c>
      <c r="O7944" s="1" t="str">
        <f>"2.14"</f>
        <v>2.14</v>
      </c>
    </row>
    <row r="7945" s="1" customFormat="1" spans="1:15">
      <c r="A7945" s="1" t="str">
        <f t="shared" si="5760"/>
        <v>202406</v>
      </c>
      <c r="B7945" s="1" t="str">
        <f t="shared" si="5761"/>
        <v>150525100</v>
      </c>
      <c r="C7945" s="1" t="str">
        <f>"1014548086"</f>
        <v>1014548086</v>
      </c>
      <c r="D7945" s="1" t="str">
        <f>"152326195207110686"</f>
        <v>152326195207110686</v>
      </c>
      <c r="E7945" s="1" t="s">
        <v>7593</v>
      </c>
      <c r="F7945" s="1" t="s">
        <v>16</v>
      </c>
      <c r="G7945" s="1" t="s">
        <v>17</v>
      </c>
      <c r="H7945" s="1" t="str">
        <f>"72"</f>
        <v>72</v>
      </c>
      <c r="I7945" s="1" t="str">
        <f>"162.15"</f>
        <v>162.15</v>
      </c>
      <c r="J7945" s="1" t="str">
        <f t="shared" ref="J7945:N7945" si="5769">"0"</f>
        <v>0</v>
      </c>
      <c r="K7945" s="1" t="str">
        <f t="shared" si="5738"/>
        <v>103</v>
      </c>
      <c r="L7945" s="1" t="str">
        <f t="shared" si="5739"/>
        <v>47</v>
      </c>
      <c r="M7945" s="1" t="str">
        <f t="shared" si="5769"/>
        <v>0</v>
      </c>
      <c r="N7945" s="1" t="str">
        <f t="shared" si="5769"/>
        <v>0</v>
      </c>
      <c r="O7945" s="1" t="str">
        <f>"2.15"</f>
        <v>2.15</v>
      </c>
    </row>
    <row r="7946" s="1" customFormat="1" spans="1:15">
      <c r="A7946" s="1" t="str">
        <f t="shared" si="5760"/>
        <v>202406</v>
      </c>
      <c r="B7946" s="1" t="str">
        <f t="shared" si="5761"/>
        <v>150525100</v>
      </c>
      <c r="C7946" s="1" t="str">
        <f>"1014548088"</f>
        <v>1014548088</v>
      </c>
      <c r="D7946" s="1" t="str">
        <f>"152326195312083077"</f>
        <v>152326195312083077</v>
      </c>
      <c r="E7946" s="1" t="s">
        <v>7594</v>
      </c>
      <c r="F7946" s="1" t="s">
        <v>25</v>
      </c>
      <c r="G7946" s="1" t="s">
        <v>17</v>
      </c>
      <c r="H7946" s="1" t="str">
        <f>"71"</f>
        <v>71</v>
      </c>
      <c r="I7946" s="1" t="str">
        <f>"163.16"</f>
        <v>163.16</v>
      </c>
      <c r="J7946" s="1" t="str">
        <f t="shared" ref="J7946:N7946" si="5770">"0"</f>
        <v>0</v>
      </c>
      <c r="K7946" s="1" t="str">
        <f t="shared" si="5738"/>
        <v>103</v>
      </c>
      <c r="L7946" s="1" t="str">
        <f t="shared" si="5739"/>
        <v>47</v>
      </c>
      <c r="M7946" s="1" t="str">
        <f t="shared" si="5770"/>
        <v>0</v>
      </c>
      <c r="N7946" s="1" t="str">
        <f t="shared" si="5770"/>
        <v>0</v>
      </c>
      <c r="O7946" s="1" t="str">
        <f>"3.16"</f>
        <v>3.16</v>
      </c>
    </row>
    <row r="7947" s="1" customFormat="1" spans="1:15">
      <c r="A7947" s="1" t="str">
        <f t="shared" si="5760"/>
        <v>202406</v>
      </c>
      <c r="B7947" s="1" t="str">
        <f t="shared" si="5761"/>
        <v>150525100</v>
      </c>
      <c r="C7947" s="1" t="str">
        <f>"1014548089"</f>
        <v>1014548089</v>
      </c>
      <c r="D7947" s="1" t="str">
        <f>"152326195404023071"</f>
        <v>152326195404023071</v>
      </c>
      <c r="E7947" s="1" t="s">
        <v>7595</v>
      </c>
      <c r="F7947" s="1" t="s">
        <v>25</v>
      </c>
      <c r="G7947" s="1" t="s">
        <v>17</v>
      </c>
      <c r="H7947" s="1" t="str">
        <f t="shared" ref="H7947:H7953" si="5771">"70"</f>
        <v>70</v>
      </c>
      <c r="I7947" s="1" t="str">
        <f>"164.14"</f>
        <v>164.14</v>
      </c>
      <c r="J7947" s="1" t="str">
        <f t="shared" ref="J7947:N7947" si="5772">"0"</f>
        <v>0</v>
      </c>
      <c r="K7947" s="1" t="str">
        <f t="shared" si="5738"/>
        <v>103</v>
      </c>
      <c r="L7947" s="1" t="str">
        <f t="shared" si="5739"/>
        <v>47</v>
      </c>
      <c r="M7947" s="1" t="str">
        <f t="shared" si="5772"/>
        <v>0</v>
      </c>
      <c r="N7947" s="1" t="str">
        <f t="shared" si="5772"/>
        <v>0</v>
      </c>
      <c r="O7947" s="1" t="str">
        <f t="shared" ref="O7947:O7953" si="5773">"4.14"</f>
        <v>4.14</v>
      </c>
    </row>
    <row r="7948" s="1" customFormat="1" spans="1:15">
      <c r="A7948" s="1" t="str">
        <f t="shared" si="5760"/>
        <v>202406</v>
      </c>
      <c r="B7948" s="1" t="str">
        <f t="shared" si="5761"/>
        <v>150525100</v>
      </c>
      <c r="C7948" s="1" t="str">
        <f>"1014570251"</f>
        <v>1014570251</v>
      </c>
      <c r="D7948" s="1" t="str">
        <f>"152326195810043836"</f>
        <v>152326195810043836</v>
      </c>
      <c r="E7948" s="1" t="s">
        <v>674</v>
      </c>
      <c r="F7948" s="1" t="s">
        <v>25</v>
      </c>
      <c r="G7948" s="1" t="s">
        <v>17</v>
      </c>
      <c r="H7948" s="1" t="str">
        <f>"66"</f>
        <v>66</v>
      </c>
      <c r="I7948" s="1" t="str">
        <f>"156.93"</f>
        <v>156.93</v>
      </c>
      <c r="J7948" s="1" t="str">
        <f t="shared" ref="J7948:N7948" si="5774">"0"</f>
        <v>0</v>
      </c>
      <c r="K7948" s="1" t="str">
        <f t="shared" si="5738"/>
        <v>103</v>
      </c>
      <c r="L7948" s="1" t="str">
        <f t="shared" si="5739"/>
        <v>47</v>
      </c>
      <c r="M7948" s="1" t="str">
        <f t="shared" si="5774"/>
        <v>0</v>
      </c>
      <c r="N7948" s="1" t="str">
        <f t="shared" si="5774"/>
        <v>0</v>
      </c>
      <c r="O7948" s="1" t="str">
        <f>"6.93"</f>
        <v>6.93</v>
      </c>
    </row>
    <row r="7949" s="1" customFormat="1" spans="1:15">
      <c r="A7949" s="1" t="str">
        <f t="shared" si="5760"/>
        <v>202406</v>
      </c>
      <c r="B7949" s="1" t="str">
        <f t="shared" si="5761"/>
        <v>150525100</v>
      </c>
      <c r="C7949" s="1" t="str">
        <f>"1014552428"</f>
        <v>1014552428</v>
      </c>
      <c r="D7949" s="1" t="str">
        <f>"152326195801023817"</f>
        <v>152326195801023817</v>
      </c>
      <c r="E7949" s="1" t="s">
        <v>7596</v>
      </c>
      <c r="F7949" s="1" t="s">
        <v>25</v>
      </c>
      <c r="G7949" s="1" t="s">
        <v>17</v>
      </c>
      <c r="H7949" s="1" t="str">
        <f>"67"</f>
        <v>67</v>
      </c>
      <c r="I7949" s="1" t="str">
        <f>"156.72"</f>
        <v>156.72</v>
      </c>
      <c r="J7949" s="1" t="str">
        <f t="shared" ref="J7949:N7949" si="5775">"0"</f>
        <v>0</v>
      </c>
      <c r="K7949" s="1" t="str">
        <f t="shared" si="5738"/>
        <v>103</v>
      </c>
      <c r="L7949" s="1" t="str">
        <f t="shared" si="5739"/>
        <v>47</v>
      </c>
      <c r="M7949" s="1" t="str">
        <f t="shared" si="5775"/>
        <v>0</v>
      </c>
      <c r="N7949" s="1" t="str">
        <f t="shared" si="5775"/>
        <v>0</v>
      </c>
      <c r="O7949" s="1" t="str">
        <f>"6.72"</f>
        <v>6.72</v>
      </c>
    </row>
    <row r="7950" s="1" customFormat="1" spans="1:15">
      <c r="A7950" s="1" t="str">
        <f t="shared" si="5760"/>
        <v>202406</v>
      </c>
      <c r="B7950" s="1" t="str">
        <f t="shared" si="5761"/>
        <v>150525100</v>
      </c>
      <c r="C7950" s="1" t="str">
        <f>"1014552446"</f>
        <v>1014552446</v>
      </c>
      <c r="D7950" s="1" t="str">
        <f>"152326195312203833"</f>
        <v>152326195312203833</v>
      </c>
      <c r="E7950" s="1" t="s">
        <v>623</v>
      </c>
      <c r="F7950" s="1" t="s">
        <v>25</v>
      </c>
      <c r="G7950" s="1" t="s">
        <v>19</v>
      </c>
      <c r="H7950" s="1" t="str">
        <f>"71"</f>
        <v>71</v>
      </c>
      <c r="I7950" s="1" t="str">
        <f>"173.26"</f>
        <v>173.26</v>
      </c>
      <c r="J7950" s="1" t="str">
        <f t="shared" ref="J7950:N7950" si="5776">"0"</f>
        <v>0</v>
      </c>
      <c r="K7950" s="1" t="str">
        <f t="shared" si="5738"/>
        <v>103</v>
      </c>
      <c r="L7950" s="1" t="str">
        <f t="shared" si="5739"/>
        <v>47</v>
      </c>
      <c r="M7950" s="1" t="str">
        <f t="shared" si="5776"/>
        <v>0</v>
      </c>
      <c r="N7950" s="1" t="str">
        <f t="shared" si="5776"/>
        <v>0</v>
      </c>
      <c r="O7950" s="1" t="str">
        <f>"13.26"</f>
        <v>13.26</v>
      </c>
    </row>
    <row r="7951" s="1" customFormat="1" spans="1:15">
      <c r="A7951" s="1" t="str">
        <f t="shared" si="5760"/>
        <v>202406</v>
      </c>
      <c r="B7951" s="1" t="str">
        <f t="shared" si="5761"/>
        <v>150525100</v>
      </c>
      <c r="C7951" s="1" t="str">
        <f>"1014576713"</f>
        <v>1014576713</v>
      </c>
      <c r="D7951" s="1" t="str">
        <f>"152326195408060662"</f>
        <v>152326195408060662</v>
      </c>
      <c r="E7951" s="1" t="s">
        <v>7597</v>
      </c>
      <c r="F7951" s="1" t="s">
        <v>16</v>
      </c>
      <c r="G7951" s="1" t="s">
        <v>17</v>
      </c>
      <c r="H7951" s="1" t="str">
        <f t="shared" si="5771"/>
        <v>70</v>
      </c>
      <c r="I7951" s="1" t="str">
        <f t="shared" ref="I7951:I7953" si="5777">"154.14"</f>
        <v>154.14</v>
      </c>
      <c r="J7951" s="1" t="str">
        <f t="shared" ref="J7951:N7951" si="5778">"0"</f>
        <v>0</v>
      </c>
      <c r="K7951" s="1" t="str">
        <f t="shared" si="5738"/>
        <v>103</v>
      </c>
      <c r="L7951" s="1" t="str">
        <f t="shared" si="5739"/>
        <v>47</v>
      </c>
      <c r="M7951" s="1" t="str">
        <f t="shared" si="5778"/>
        <v>0</v>
      </c>
      <c r="N7951" s="1" t="str">
        <f t="shared" si="5778"/>
        <v>0</v>
      </c>
      <c r="O7951" s="1" t="str">
        <f t="shared" si="5773"/>
        <v>4.14</v>
      </c>
    </row>
    <row r="7952" s="1" customFormat="1" spans="1:15">
      <c r="A7952" s="1" t="str">
        <f t="shared" si="5760"/>
        <v>202406</v>
      </c>
      <c r="B7952" s="1" t="str">
        <f t="shared" si="5761"/>
        <v>150525100</v>
      </c>
      <c r="C7952" s="1" t="str">
        <f>"1014576715"</f>
        <v>1014576715</v>
      </c>
      <c r="D7952" s="1" t="str">
        <f>"152326195410030673"</f>
        <v>152326195410030673</v>
      </c>
      <c r="E7952" s="1" t="s">
        <v>7598</v>
      </c>
      <c r="F7952" s="1" t="s">
        <v>25</v>
      </c>
      <c r="G7952" s="1" t="s">
        <v>17</v>
      </c>
      <c r="H7952" s="1" t="str">
        <f t="shared" si="5771"/>
        <v>70</v>
      </c>
      <c r="I7952" s="1" t="str">
        <f t="shared" si="5777"/>
        <v>154.14</v>
      </c>
      <c r="J7952" s="1" t="str">
        <f t="shared" ref="J7952:N7952" si="5779">"0"</f>
        <v>0</v>
      </c>
      <c r="K7952" s="1" t="str">
        <f t="shared" si="5738"/>
        <v>103</v>
      </c>
      <c r="L7952" s="1" t="str">
        <f t="shared" si="5739"/>
        <v>47</v>
      </c>
      <c r="M7952" s="1" t="str">
        <f t="shared" si="5779"/>
        <v>0</v>
      </c>
      <c r="N7952" s="1" t="str">
        <f t="shared" si="5779"/>
        <v>0</v>
      </c>
      <c r="O7952" s="1" t="str">
        <f t="shared" si="5773"/>
        <v>4.14</v>
      </c>
    </row>
    <row r="7953" s="1" customFormat="1" spans="1:15">
      <c r="A7953" s="1" t="str">
        <f t="shared" si="5760"/>
        <v>202406</v>
      </c>
      <c r="B7953" s="1" t="str">
        <f t="shared" si="5761"/>
        <v>150525100</v>
      </c>
      <c r="C7953" s="1" t="str">
        <f>"1014576716"</f>
        <v>1014576716</v>
      </c>
      <c r="D7953" s="1" t="str">
        <f>"152326195410230667"</f>
        <v>152326195410230667</v>
      </c>
      <c r="E7953" s="1" t="s">
        <v>5773</v>
      </c>
      <c r="F7953" s="1" t="s">
        <v>16</v>
      </c>
      <c r="G7953" s="1" t="s">
        <v>17</v>
      </c>
      <c r="H7953" s="1" t="str">
        <f t="shared" si="5771"/>
        <v>70</v>
      </c>
      <c r="I7953" s="1" t="str">
        <f t="shared" si="5777"/>
        <v>154.14</v>
      </c>
      <c r="J7953" s="1" t="str">
        <f t="shared" ref="J7953:N7953" si="5780">"0"</f>
        <v>0</v>
      </c>
      <c r="K7953" s="1" t="str">
        <f t="shared" si="5738"/>
        <v>103</v>
      </c>
      <c r="L7953" s="1" t="str">
        <f t="shared" si="5739"/>
        <v>47</v>
      </c>
      <c r="M7953" s="1" t="str">
        <f t="shared" si="5780"/>
        <v>0</v>
      </c>
      <c r="N7953" s="1" t="str">
        <f t="shared" si="5780"/>
        <v>0</v>
      </c>
      <c r="O7953" s="1" t="str">
        <f t="shared" si="5773"/>
        <v>4.14</v>
      </c>
    </row>
    <row r="7954" s="1" customFormat="1" spans="1:15">
      <c r="A7954" s="1" t="str">
        <f t="shared" si="5760"/>
        <v>202406</v>
      </c>
      <c r="B7954" s="1" t="str">
        <f t="shared" si="5761"/>
        <v>150525100</v>
      </c>
      <c r="C7954" s="1" t="str">
        <f>"1014576720"</f>
        <v>1014576720</v>
      </c>
      <c r="D7954" s="1" t="str">
        <f>"152326195503250683"</f>
        <v>152326195503250683</v>
      </c>
      <c r="E7954" s="1" t="s">
        <v>7599</v>
      </c>
      <c r="F7954" s="1" t="s">
        <v>16</v>
      </c>
      <c r="G7954" s="1" t="s">
        <v>17</v>
      </c>
      <c r="H7954" s="1" t="str">
        <f>"69"</f>
        <v>69</v>
      </c>
      <c r="I7954" s="1" t="str">
        <f>"164.92"</f>
        <v>164.92</v>
      </c>
      <c r="J7954" s="1" t="str">
        <f t="shared" ref="J7954:N7954" si="5781">"0"</f>
        <v>0</v>
      </c>
      <c r="K7954" s="1" t="str">
        <f t="shared" si="5738"/>
        <v>103</v>
      </c>
      <c r="L7954" s="1" t="str">
        <f t="shared" si="5739"/>
        <v>47</v>
      </c>
      <c r="M7954" s="1" t="str">
        <f t="shared" si="5781"/>
        <v>0</v>
      </c>
      <c r="N7954" s="1" t="str">
        <f t="shared" si="5781"/>
        <v>0</v>
      </c>
      <c r="O7954" s="1" t="str">
        <f>"14.92"</f>
        <v>14.92</v>
      </c>
    </row>
    <row r="7955" s="1" customFormat="1" spans="1:15">
      <c r="A7955" s="1" t="str">
        <f t="shared" si="5760"/>
        <v>202406</v>
      </c>
      <c r="B7955" s="1" t="str">
        <f t="shared" si="5761"/>
        <v>150525100</v>
      </c>
      <c r="C7955" s="1" t="str">
        <f>"1014572093"</f>
        <v>1014572093</v>
      </c>
      <c r="D7955" s="1" t="s">
        <v>7600</v>
      </c>
      <c r="E7955" s="1" t="s">
        <v>7601</v>
      </c>
      <c r="F7955" s="1" t="s">
        <v>25</v>
      </c>
      <c r="G7955" s="1" t="s">
        <v>17</v>
      </c>
      <c r="H7955" s="1" t="str">
        <f t="shared" ref="H7955:H7959" si="5782">"66"</f>
        <v>66</v>
      </c>
      <c r="I7955" s="1" t="str">
        <f>"157.11"</f>
        <v>157.11</v>
      </c>
      <c r="J7955" s="1" t="str">
        <f t="shared" ref="J7955:N7955" si="5783">"0"</f>
        <v>0</v>
      </c>
      <c r="K7955" s="1" t="str">
        <f t="shared" si="5738"/>
        <v>103</v>
      </c>
      <c r="L7955" s="1" t="str">
        <f t="shared" si="5739"/>
        <v>47</v>
      </c>
      <c r="M7955" s="1" t="str">
        <f t="shared" si="5783"/>
        <v>0</v>
      </c>
      <c r="N7955" s="1" t="str">
        <f t="shared" si="5783"/>
        <v>0</v>
      </c>
      <c r="O7955" s="1" t="str">
        <f>"7.11"</f>
        <v>7.11</v>
      </c>
    </row>
    <row r="7956" s="1" customFormat="1" spans="1:15">
      <c r="A7956" s="1" t="str">
        <f t="shared" si="5760"/>
        <v>202406</v>
      </c>
      <c r="B7956" s="1" t="str">
        <f t="shared" si="5761"/>
        <v>150525100</v>
      </c>
      <c r="C7956" s="1" t="str">
        <f>"1014570386"</f>
        <v>1014570386</v>
      </c>
      <c r="D7956" s="1" t="str">
        <f>"152326196203073819"</f>
        <v>152326196203073819</v>
      </c>
      <c r="E7956" s="1" t="s">
        <v>7602</v>
      </c>
      <c r="F7956" s="1" t="s">
        <v>25</v>
      </c>
      <c r="G7956" s="1" t="s">
        <v>17</v>
      </c>
      <c r="H7956" s="1" t="str">
        <f>"62"</f>
        <v>62</v>
      </c>
      <c r="I7956" s="1" t="str">
        <f>"162.96"</f>
        <v>162.96</v>
      </c>
      <c r="J7956" s="1" t="str">
        <f t="shared" ref="J7956:N7956" si="5784">"0"</f>
        <v>0</v>
      </c>
      <c r="K7956" s="1" t="str">
        <f t="shared" si="5738"/>
        <v>103</v>
      </c>
      <c r="L7956" s="1" t="str">
        <f t="shared" si="5739"/>
        <v>47</v>
      </c>
      <c r="M7956" s="1" t="str">
        <f t="shared" si="5784"/>
        <v>0</v>
      </c>
      <c r="N7956" s="1" t="str">
        <f t="shared" si="5784"/>
        <v>0</v>
      </c>
      <c r="O7956" s="1" t="str">
        <f>"12.96"</f>
        <v>12.96</v>
      </c>
    </row>
    <row r="7957" s="1" customFormat="1" spans="1:15">
      <c r="A7957" s="1" t="str">
        <f t="shared" si="5760"/>
        <v>202406</v>
      </c>
      <c r="B7957" s="1" t="str">
        <f t="shared" si="5761"/>
        <v>150525100</v>
      </c>
      <c r="C7957" s="1" t="str">
        <f>"1014570401"</f>
        <v>1014570401</v>
      </c>
      <c r="D7957" s="1" t="str">
        <f>"152326195411123820"</f>
        <v>152326195411123820</v>
      </c>
      <c r="E7957" s="1" t="s">
        <v>7603</v>
      </c>
      <c r="F7957" s="1" t="s">
        <v>16</v>
      </c>
      <c r="G7957" s="1" t="s">
        <v>17</v>
      </c>
      <c r="H7957" s="1" t="str">
        <f>"70"</f>
        <v>70</v>
      </c>
      <c r="I7957" s="1" t="str">
        <f>"154.15"</f>
        <v>154.15</v>
      </c>
      <c r="J7957" s="1" t="str">
        <f t="shared" ref="J7957:N7957" si="5785">"0"</f>
        <v>0</v>
      </c>
      <c r="K7957" s="1" t="str">
        <f t="shared" si="5738"/>
        <v>103</v>
      </c>
      <c r="L7957" s="1" t="str">
        <f t="shared" si="5739"/>
        <v>47</v>
      </c>
      <c r="M7957" s="1" t="str">
        <f t="shared" si="5785"/>
        <v>0</v>
      </c>
      <c r="N7957" s="1" t="str">
        <f t="shared" si="5785"/>
        <v>0</v>
      </c>
      <c r="O7957" s="1" t="str">
        <f>"4.15"</f>
        <v>4.15</v>
      </c>
    </row>
    <row r="7958" s="1" customFormat="1" spans="1:15">
      <c r="A7958" s="1" t="str">
        <f t="shared" si="5760"/>
        <v>202406</v>
      </c>
      <c r="B7958" s="1" t="str">
        <f t="shared" si="5761"/>
        <v>150525100</v>
      </c>
      <c r="C7958" s="1" t="str">
        <f>"1014570408"</f>
        <v>1014570408</v>
      </c>
      <c r="D7958" s="1" t="s">
        <v>7604</v>
      </c>
      <c r="E7958" s="1" t="s">
        <v>7605</v>
      </c>
      <c r="F7958" s="1" t="s">
        <v>25</v>
      </c>
      <c r="G7958" s="1" t="s">
        <v>17</v>
      </c>
      <c r="H7958" s="1" t="str">
        <f t="shared" si="5782"/>
        <v>66</v>
      </c>
      <c r="I7958" s="1" t="str">
        <f>"157.15"</f>
        <v>157.15</v>
      </c>
      <c r="J7958" s="1" t="str">
        <f t="shared" ref="J7958:N7958" si="5786">"0"</f>
        <v>0</v>
      </c>
      <c r="K7958" s="1" t="str">
        <f t="shared" si="5738"/>
        <v>103</v>
      </c>
      <c r="L7958" s="1" t="str">
        <f t="shared" si="5739"/>
        <v>47</v>
      </c>
      <c r="M7958" s="1" t="str">
        <f t="shared" si="5786"/>
        <v>0</v>
      </c>
      <c r="N7958" s="1" t="str">
        <f t="shared" si="5786"/>
        <v>0</v>
      </c>
      <c r="O7958" s="1" t="str">
        <f>"7.15"</f>
        <v>7.15</v>
      </c>
    </row>
    <row r="7959" s="1" customFormat="1" spans="1:15">
      <c r="A7959" s="1" t="str">
        <f t="shared" si="5760"/>
        <v>202406</v>
      </c>
      <c r="B7959" s="1" t="str">
        <f t="shared" si="5761"/>
        <v>150525100</v>
      </c>
      <c r="C7959" s="1" t="str">
        <f>"1014576559"</f>
        <v>1014576559</v>
      </c>
      <c r="D7959" s="1" t="str">
        <f>"152326195811260410"</f>
        <v>152326195811260410</v>
      </c>
      <c r="E7959" s="1" t="s">
        <v>7606</v>
      </c>
      <c r="F7959" s="1" t="s">
        <v>25</v>
      </c>
      <c r="G7959" s="1" t="s">
        <v>19</v>
      </c>
      <c r="H7959" s="1" t="str">
        <f t="shared" si="5782"/>
        <v>66</v>
      </c>
      <c r="I7959" s="1" t="str">
        <f>"156.91"</f>
        <v>156.91</v>
      </c>
      <c r="J7959" s="1" t="str">
        <f t="shared" ref="J7959:N7959" si="5787">"0"</f>
        <v>0</v>
      </c>
      <c r="K7959" s="1" t="str">
        <f t="shared" si="5738"/>
        <v>103</v>
      </c>
      <c r="L7959" s="1" t="str">
        <f t="shared" si="5739"/>
        <v>47</v>
      </c>
      <c r="M7959" s="1" t="str">
        <f t="shared" si="5787"/>
        <v>0</v>
      </c>
      <c r="N7959" s="1" t="str">
        <f t="shared" si="5787"/>
        <v>0</v>
      </c>
      <c r="O7959" s="1" t="str">
        <f>"6.91"</f>
        <v>6.91</v>
      </c>
    </row>
    <row r="7960" s="1" customFormat="1" spans="1:15">
      <c r="A7960" s="1" t="str">
        <f t="shared" si="5760"/>
        <v>202406</v>
      </c>
      <c r="B7960" s="1" t="str">
        <f t="shared" si="5761"/>
        <v>150525100</v>
      </c>
      <c r="C7960" s="1" t="str">
        <f>"1014576741"</f>
        <v>1014576741</v>
      </c>
      <c r="D7960" s="1" t="str">
        <f>"152326195709010677"</f>
        <v>152326195709010677</v>
      </c>
      <c r="E7960" s="1" t="s">
        <v>7607</v>
      </c>
      <c r="F7960" s="1" t="s">
        <v>25</v>
      </c>
      <c r="G7960" s="1" t="s">
        <v>19</v>
      </c>
      <c r="H7960" s="1" t="str">
        <f>"67"</f>
        <v>67</v>
      </c>
      <c r="I7960" s="1" t="str">
        <f>"156.08"</f>
        <v>156.08</v>
      </c>
      <c r="J7960" s="1" t="str">
        <f t="shared" ref="J7960:N7960" si="5788">"0"</f>
        <v>0</v>
      </c>
      <c r="K7960" s="1" t="str">
        <f t="shared" si="5738"/>
        <v>103</v>
      </c>
      <c r="L7960" s="1" t="str">
        <f t="shared" si="5739"/>
        <v>47</v>
      </c>
      <c r="M7960" s="1" t="str">
        <f t="shared" si="5788"/>
        <v>0</v>
      </c>
      <c r="N7960" s="1" t="str">
        <f t="shared" si="5788"/>
        <v>0</v>
      </c>
      <c r="O7960" s="1" t="str">
        <f>"6.08"</f>
        <v>6.08</v>
      </c>
    </row>
    <row r="7961" s="1" customFormat="1" spans="1:15">
      <c r="A7961" s="1" t="str">
        <f t="shared" si="5760"/>
        <v>202406</v>
      </c>
      <c r="B7961" s="1" t="str">
        <f t="shared" si="5761"/>
        <v>150525100</v>
      </c>
      <c r="C7961" s="1" t="str">
        <f>"1014576761"</f>
        <v>1014576761</v>
      </c>
      <c r="D7961" s="1" t="str">
        <f>"152326195610100699"</f>
        <v>152326195610100699</v>
      </c>
      <c r="E7961" s="1" t="s">
        <v>7608</v>
      </c>
      <c r="F7961" s="1" t="s">
        <v>25</v>
      </c>
      <c r="G7961" s="1" t="s">
        <v>17</v>
      </c>
      <c r="H7961" s="1" t="str">
        <f>"68"</f>
        <v>68</v>
      </c>
      <c r="I7961" s="1" t="str">
        <f>"160.85"</f>
        <v>160.85</v>
      </c>
      <c r="J7961" s="1" t="str">
        <f t="shared" ref="J7961:N7961" si="5789">"0"</f>
        <v>0</v>
      </c>
      <c r="K7961" s="1" t="str">
        <f t="shared" si="5738"/>
        <v>103</v>
      </c>
      <c r="L7961" s="1" t="str">
        <f t="shared" si="5739"/>
        <v>47</v>
      </c>
      <c r="M7961" s="1" t="str">
        <f t="shared" si="5789"/>
        <v>0</v>
      </c>
      <c r="N7961" s="1" t="str">
        <f t="shared" si="5789"/>
        <v>0</v>
      </c>
      <c r="O7961" s="1" t="str">
        <f>"10.85"</f>
        <v>10.85</v>
      </c>
    </row>
    <row r="7962" s="1" customFormat="1" spans="1:15">
      <c r="A7962" s="1" t="str">
        <f t="shared" si="5760"/>
        <v>202406</v>
      </c>
      <c r="B7962" s="1" t="str">
        <f t="shared" si="5761"/>
        <v>150525100</v>
      </c>
      <c r="C7962" s="1" t="str">
        <f>"1014576984"</f>
        <v>1014576984</v>
      </c>
      <c r="D7962" s="1" t="str">
        <f>"152326195209190675"</f>
        <v>152326195209190675</v>
      </c>
      <c r="E7962" s="1" t="s">
        <v>7609</v>
      </c>
      <c r="F7962" s="1" t="s">
        <v>25</v>
      </c>
      <c r="G7962" s="1" t="s">
        <v>17</v>
      </c>
      <c r="H7962" s="1" t="str">
        <f>"72"</f>
        <v>72</v>
      </c>
      <c r="I7962" s="1" t="str">
        <f>"162.14"</f>
        <v>162.14</v>
      </c>
      <c r="J7962" s="1" t="str">
        <f t="shared" ref="J7962:N7962" si="5790">"0"</f>
        <v>0</v>
      </c>
      <c r="K7962" s="1" t="str">
        <f t="shared" si="5738"/>
        <v>103</v>
      </c>
      <c r="L7962" s="1" t="str">
        <f t="shared" si="5739"/>
        <v>47</v>
      </c>
      <c r="M7962" s="1" t="str">
        <f t="shared" si="5790"/>
        <v>0</v>
      </c>
      <c r="N7962" s="1" t="str">
        <f t="shared" si="5790"/>
        <v>0</v>
      </c>
      <c r="O7962" s="1" t="str">
        <f>"2.14"</f>
        <v>2.14</v>
      </c>
    </row>
    <row r="7963" s="1" customFormat="1" spans="1:15">
      <c r="A7963" s="1" t="str">
        <f t="shared" si="5760"/>
        <v>202406</v>
      </c>
      <c r="B7963" s="1" t="str">
        <f t="shared" si="5761"/>
        <v>150525100</v>
      </c>
      <c r="C7963" s="1" t="str">
        <f>"1014577007"</f>
        <v>1014577007</v>
      </c>
      <c r="D7963" s="1" t="s">
        <v>7610</v>
      </c>
      <c r="E7963" s="1" t="s">
        <v>6679</v>
      </c>
      <c r="F7963" s="1" t="s">
        <v>25</v>
      </c>
      <c r="G7963" s="1" t="s">
        <v>17</v>
      </c>
      <c r="H7963" s="1" t="str">
        <f>"71"</f>
        <v>71</v>
      </c>
      <c r="I7963" s="1" t="str">
        <f>"163.16"</f>
        <v>163.16</v>
      </c>
      <c r="J7963" s="1" t="str">
        <f t="shared" ref="J7963:N7963" si="5791">"0"</f>
        <v>0</v>
      </c>
      <c r="K7963" s="1" t="str">
        <f t="shared" si="5738"/>
        <v>103</v>
      </c>
      <c r="L7963" s="1" t="str">
        <f t="shared" si="5739"/>
        <v>47</v>
      </c>
      <c r="M7963" s="1" t="str">
        <f t="shared" si="5791"/>
        <v>0</v>
      </c>
      <c r="N7963" s="1" t="str">
        <f t="shared" si="5791"/>
        <v>0</v>
      </c>
      <c r="O7963" s="1" t="str">
        <f>"3.16"</f>
        <v>3.16</v>
      </c>
    </row>
    <row r="7964" s="1" customFormat="1" spans="1:15">
      <c r="A7964" s="1" t="str">
        <f t="shared" si="5760"/>
        <v>202406</v>
      </c>
      <c r="B7964" s="1" t="str">
        <f t="shared" si="5761"/>
        <v>150525100</v>
      </c>
      <c r="C7964" s="1" t="str">
        <f>"1014577009"</f>
        <v>1014577009</v>
      </c>
      <c r="D7964" s="1" t="s">
        <v>7611</v>
      </c>
      <c r="E7964" s="1" t="s">
        <v>7612</v>
      </c>
      <c r="F7964" s="1" t="s">
        <v>25</v>
      </c>
      <c r="G7964" s="1" t="s">
        <v>17</v>
      </c>
      <c r="H7964" s="1" t="str">
        <f>"62"</f>
        <v>62</v>
      </c>
      <c r="I7964" s="1" t="str">
        <f>"162.91"</f>
        <v>162.91</v>
      </c>
      <c r="J7964" s="1" t="str">
        <f t="shared" ref="J7964:N7964" si="5792">"0"</f>
        <v>0</v>
      </c>
      <c r="K7964" s="1" t="str">
        <f t="shared" si="5738"/>
        <v>103</v>
      </c>
      <c r="L7964" s="1" t="str">
        <f t="shared" si="5739"/>
        <v>47</v>
      </c>
      <c r="M7964" s="1" t="str">
        <f t="shared" si="5792"/>
        <v>0</v>
      </c>
      <c r="N7964" s="1" t="str">
        <f t="shared" si="5792"/>
        <v>0</v>
      </c>
      <c r="O7964" s="1" t="str">
        <f>"12.91"</f>
        <v>12.91</v>
      </c>
    </row>
    <row r="7965" s="1" customFormat="1" spans="1:15">
      <c r="A7965" s="1" t="str">
        <f t="shared" si="5760"/>
        <v>202406</v>
      </c>
      <c r="B7965" s="1" t="str">
        <f t="shared" si="5761"/>
        <v>150525100</v>
      </c>
      <c r="C7965" s="1" t="str">
        <f>"1014570302"</f>
        <v>1014570302</v>
      </c>
      <c r="D7965" s="1" t="str">
        <f>"152326196110243815"</f>
        <v>152326196110243815</v>
      </c>
      <c r="E7965" s="1" t="s">
        <v>7613</v>
      </c>
      <c r="F7965" s="1" t="s">
        <v>25</v>
      </c>
      <c r="G7965" s="1" t="s">
        <v>19</v>
      </c>
      <c r="H7965" s="1" t="str">
        <f>"63"</f>
        <v>63</v>
      </c>
      <c r="I7965" s="1" t="str">
        <f>"164.9"</f>
        <v>164.9</v>
      </c>
      <c r="J7965" s="1" t="str">
        <f t="shared" ref="J7965:N7965" si="5793">"0"</f>
        <v>0</v>
      </c>
      <c r="K7965" s="1" t="str">
        <f t="shared" si="5738"/>
        <v>103</v>
      </c>
      <c r="L7965" s="1" t="str">
        <f t="shared" si="5739"/>
        <v>47</v>
      </c>
      <c r="M7965" s="1" t="str">
        <f t="shared" si="5793"/>
        <v>0</v>
      </c>
      <c r="N7965" s="1" t="str">
        <f t="shared" si="5793"/>
        <v>0</v>
      </c>
      <c r="O7965" s="1" t="str">
        <f>"14.9"</f>
        <v>14.9</v>
      </c>
    </row>
    <row r="7966" s="1" customFormat="1" spans="1:15">
      <c r="A7966" s="1" t="str">
        <f t="shared" si="5760"/>
        <v>202406</v>
      </c>
      <c r="B7966" s="1" t="str">
        <f t="shared" si="5761"/>
        <v>150525100</v>
      </c>
      <c r="C7966" s="1" t="str">
        <f>"1014552495"</f>
        <v>1014552495</v>
      </c>
      <c r="D7966" s="1" t="str">
        <f>"152326195303063816"</f>
        <v>152326195303063816</v>
      </c>
      <c r="E7966" s="1" t="s">
        <v>7614</v>
      </c>
      <c r="F7966" s="1" t="s">
        <v>25</v>
      </c>
      <c r="G7966" s="1" t="s">
        <v>19</v>
      </c>
      <c r="H7966" s="1" t="str">
        <f>"71"</f>
        <v>71</v>
      </c>
      <c r="I7966" s="1" t="str">
        <f>"174.68"</f>
        <v>174.68</v>
      </c>
      <c r="J7966" s="1" t="str">
        <f t="shared" ref="J7966:N7966" si="5794">"0"</f>
        <v>0</v>
      </c>
      <c r="K7966" s="1" t="str">
        <f t="shared" si="5738"/>
        <v>103</v>
      </c>
      <c r="L7966" s="1" t="str">
        <f t="shared" si="5739"/>
        <v>47</v>
      </c>
      <c r="M7966" s="1" t="str">
        <f t="shared" si="5794"/>
        <v>0</v>
      </c>
      <c r="N7966" s="1" t="str">
        <f t="shared" si="5794"/>
        <v>0</v>
      </c>
      <c r="O7966" s="1" t="str">
        <f>"14.68"</f>
        <v>14.68</v>
      </c>
    </row>
    <row r="7967" s="1" customFormat="1" spans="1:15">
      <c r="A7967" s="1" t="str">
        <f t="shared" si="5760"/>
        <v>202406</v>
      </c>
      <c r="B7967" s="1" t="str">
        <f t="shared" si="5761"/>
        <v>150525100</v>
      </c>
      <c r="C7967" s="1" t="str">
        <f>"1014552502"</f>
        <v>1014552502</v>
      </c>
      <c r="D7967" s="1" t="str">
        <f>"152326196401013817"</f>
        <v>152326196401013817</v>
      </c>
      <c r="E7967" s="1" t="s">
        <v>7615</v>
      </c>
      <c r="F7967" s="1" t="s">
        <v>25</v>
      </c>
      <c r="G7967" s="1" t="s">
        <v>19</v>
      </c>
      <c r="H7967" s="1" t="str">
        <f>"61"</f>
        <v>61</v>
      </c>
      <c r="I7967" s="1" t="str">
        <f>"164.29"</f>
        <v>164.29</v>
      </c>
      <c r="J7967" s="1" t="str">
        <f t="shared" ref="J7967:N7967" si="5795">"0"</f>
        <v>0</v>
      </c>
      <c r="K7967" s="1" t="str">
        <f t="shared" si="5738"/>
        <v>103</v>
      </c>
      <c r="L7967" s="1" t="str">
        <f t="shared" si="5739"/>
        <v>47</v>
      </c>
      <c r="M7967" s="1" t="str">
        <f t="shared" si="5795"/>
        <v>0</v>
      </c>
      <c r="N7967" s="1" t="str">
        <f t="shared" si="5795"/>
        <v>0</v>
      </c>
      <c r="O7967" s="1" t="str">
        <f>"14.29"</f>
        <v>14.29</v>
      </c>
    </row>
    <row r="7968" s="1" customFormat="1" spans="1:15">
      <c r="A7968" s="1" t="str">
        <f t="shared" si="5760"/>
        <v>202406</v>
      </c>
      <c r="B7968" s="1" t="str">
        <f t="shared" si="5761"/>
        <v>150525100</v>
      </c>
      <c r="C7968" s="1" t="str">
        <f>"1014576781"</f>
        <v>1014576781</v>
      </c>
      <c r="D7968" s="1" t="str">
        <f>"152326195509163089"</f>
        <v>152326195509163089</v>
      </c>
      <c r="E7968" s="1" t="s">
        <v>7616</v>
      </c>
      <c r="F7968" s="1" t="s">
        <v>16</v>
      </c>
      <c r="G7968" s="1" t="s">
        <v>96</v>
      </c>
      <c r="H7968" s="1" t="str">
        <f>"69"</f>
        <v>69</v>
      </c>
      <c r="I7968" s="1" t="str">
        <f>"155.09"</f>
        <v>155.09</v>
      </c>
      <c r="J7968" s="1" t="str">
        <f t="shared" ref="J7968:N7968" si="5796">"0"</f>
        <v>0</v>
      </c>
      <c r="K7968" s="1" t="str">
        <f t="shared" si="5738"/>
        <v>103</v>
      </c>
      <c r="L7968" s="1" t="str">
        <f t="shared" si="5739"/>
        <v>47</v>
      </c>
      <c r="M7968" s="1" t="str">
        <f t="shared" si="5796"/>
        <v>0</v>
      </c>
      <c r="N7968" s="1" t="str">
        <f t="shared" si="5796"/>
        <v>0</v>
      </c>
      <c r="O7968" s="1" t="str">
        <f>"5.09"</f>
        <v>5.09</v>
      </c>
    </row>
    <row r="7969" s="1" customFormat="1" spans="1:15">
      <c r="A7969" s="1" t="str">
        <f t="shared" si="5760"/>
        <v>202406</v>
      </c>
      <c r="B7969" s="1" t="str">
        <f t="shared" si="5761"/>
        <v>150525100</v>
      </c>
      <c r="C7969" s="1" t="str">
        <f>"1014577030"</f>
        <v>1014577030</v>
      </c>
      <c r="D7969" s="1" t="str">
        <f>"152326195209040677"</f>
        <v>152326195209040677</v>
      </c>
      <c r="E7969" s="1" t="s">
        <v>7617</v>
      </c>
      <c r="F7969" s="1" t="s">
        <v>25</v>
      </c>
      <c r="G7969" s="1" t="s">
        <v>17</v>
      </c>
      <c r="H7969" s="1" t="str">
        <f t="shared" ref="H7969:H7971" si="5797">"72"</f>
        <v>72</v>
      </c>
      <c r="I7969" s="1" t="str">
        <f t="shared" ref="I7969:I7971" si="5798">"162.14"</f>
        <v>162.14</v>
      </c>
      <c r="J7969" s="1" t="str">
        <f t="shared" ref="J7969:N7969" si="5799">"0"</f>
        <v>0</v>
      </c>
      <c r="K7969" s="1" t="str">
        <f t="shared" si="5738"/>
        <v>103</v>
      </c>
      <c r="L7969" s="1" t="str">
        <f t="shared" si="5739"/>
        <v>47</v>
      </c>
      <c r="M7969" s="1" t="str">
        <f t="shared" si="5799"/>
        <v>0</v>
      </c>
      <c r="N7969" s="1" t="str">
        <f t="shared" si="5799"/>
        <v>0</v>
      </c>
      <c r="O7969" s="1" t="str">
        <f t="shared" ref="O7969:O7971" si="5800">"2.14"</f>
        <v>2.14</v>
      </c>
    </row>
    <row r="7970" s="1" customFormat="1" spans="1:15">
      <c r="A7970" s="1" t="str">
        <f t="shared" si="5760"/>
        <v>202406</v>
      </c>
      <c r="B7970" s="1" t="str">
        <f t="shared" si="5761"/>
        <v>150525100</v>
      </c>
      <c r="C7970" s="1" t="str">
        <f>"1014572496"</f>
        <v>1014572496</v>
      </c>
      <c r="D7970" s="1" t="str">
        <f>"152326195202103081"</f>
        <v>152326195202103081</v>
      </c>
      <c r="E7970" s="1" t="s">
        <v>7618</v>
      </c>
      <c r="F7970" s="1" t="s">
        <v>16</v>
      </c>
      <c r="G7970" s="1" t="s">
        <v>17</v>
      </c>
      <c r="H7970" s="1" t="str">
        <f t="shared" si="5797"/>
        <v>72</v>
      </c>
      <c r="I7970" s="1" t="str">
        <f t="shared" si="5798"/>
        <v>162.14</v>
      </c>
      <c r="J7970" s="1" t="str">
        <f t="shared" ref="J7970:N7970" si="5801">"0"</f>
        <v>0</v>
      </c>
      <c r="K7970" s="1" t="str">
        <f t="shared" si="5738"/>
        <v>103</v>
      </c>
      <c r="L7970" s="1" t="str">
        <f t="shared" si="5739"/>
        <v>47</v>
      </c>
      <c r="M7970" s="1" t="str">
        <f t="shared" si="5801"/>
        <v>0</v>
      </c>
      <c r="N7970" s="1" t="str">
        <f t="shared" si="5801"/>
        <v>0</v>
      </c>
      <c r="O7970" s="1" t="str">
        <f t="shared" si="5800"/>
        <v>2.14</v>
      </c>
    </row>
    <row r="7971" s="1" customFormat="1" spans="1:15">
      <c r="A7971" s="1" t="str">
        <f t="shared" si="5760"/>
        <v>202406</v>
      </c>
      <c r="B7971" s="1" t="str">
        <f t="shared" si="5761"/>
        <v>150525100</v>
      </c>
      <c r="C7971" s="1" t="str">
        <f>"1014572518"</f>
        <v>1014572518</v>
      </c>
      <c r="D7971" s="1" t="str">
        <f>"152326195209290422"</f>
        <v>152326195209290422</v>
      </c>
      <c r="E7971" s="1" t="s">
        <v>7619</v>
      </c>
      <c r="F7971" s="1" t="s">
        <v>16</v>
      </c>
      <c r="G7971" s="1" t="s">
        <v>17</v>
      </c>
      <c r="H7971" s="1" t="str">
        <f t="shared" si="5797"/>
        <v>72</v>
      </c>
      <c r="I7971" s="1" t="str">
        <f t="shared" si="5798"/>
        <v>162.14</v>
      </c>
      <c r="J7971" s="1" t="str">
        <f t="shared" ref="J7971:N7971" si="5802">"0"</f>
        <v>0</v>
      </c>
      <c r="K7971" s="1" t="str">
        <f t="shared" si="5738"/>
        <v>103</v>
      </c>
      <c r="L7971" s="1" t="str">
        <f t="shared" si="5739"/>
        <v>47</v>
      </c>
      <c r="M7971" s="1" t="str">
        <f t="shared" si="5802"/>
        <v>0</v>
      </c>
      <c r="N7971" s="1" t="str">
        <f t="shared" si="5802"/>
        <v>0</v>
      </c>
      <c r="O7971" s="1" t="str">
        <f t="shared" si="5800"/>
        <v>2.14</v>
      </c>
    </row>
    <row r="7972" s="1" customFormat="1" spans="1:15">
      <c r="A7972" s="1" t="str">
        <f t="shared" si="5760"/>
        <v>202406</v>
      </c>
      <c r="B7972" s="1" t="str">
        <f t="shared" si="5761"/>
        <v>150525100</v>
      </c>
      <c r="C7972" s="1" t="str">
        <f>"1014577064"</f>
        <v>1014577064</v>
      </c>
      <c r="D7972" s="1" t="str">
        <f>"152326195708180674"</f>
        <v>152326195708180674</v>
      </c>
      <c r="E7972" s="1" t="s">
        <v>7620</v>
      </c>
      <c r="F7972" s="1" t="s">
        <v>25</v>
      </c>
      <c r="G7972" s="1" t="s">
        <v>17</v>
      </c>
      <c r="H7972" s="1" t="str">
        <f>"67"</f>
        <v>67</v>
      </c>
      <c r="I7972" s="1" t="str">
        <f>"156.07"</f>
        <v>156.07</v>
      </c>
      <c r="J7972" s="1" t="str">
        <f t="shared" ref="J7972:N7972" si="5803">"0"</f>
        <v>0</v>
      </c>
      <c r="K7972" s="1" t="str">
        <f t="shared" si="5738"/>
        <v>103</v>
      </c>
      <c r="L7972" s="1" t="str">
        <f t="shared" si="5739"/>
        <v>47</v>
      </c>
      <c r="M7972" s="1" t="str">
        <f t="shared" si="5803"/>
        <v>0</v>
      </c>
      <c r="N7972" s="1" t="str">
        <f t="shared" si="5803"/>
        <v>0</v>
      </c>
      <c r="O7972" s="1" t="str">
        <f>"6.07"</f>
        <v>6.07</v>
      </c>
    </row>
    <row r="7973" s="1" customFormat="1" spans="1:15">
      <c r="A7973" s="1" t="str">
        <f t="shared" si="5760"/>
        <v>202406</v>
      </c>
      <c r="B7973" s="1" t="str">
        <f t="shared" si="5761"/>
        <v>150525100</v>
      </c>
      <c r="C7973" s="1" t="str">
        <f>"1014577072"</f>
        <v>1014577072</v>
      </c>
      <c r="D7973" s="1" t="str">
        <f>"152326196009220678"</f>
        <v>152326196009220678</v>
      </c>
      <c r="E7973" s="1" t="s">
        <v>7621</v>
      </c>
      <c r="F7973" s="1" t="s">
        <v>25</v>
      </c>
      <c r="G7973" s="1" t="s">
        <v>17</v>
      </c>
      <c r="H7973" s="1" t="str">
        <f>"64"</f>
        <v>64</v>
      </c>
      <c r="I7973" s="1" t="str">
        <f>"159.24"</f>
        <v>159.24</v>
      </c>
      <c r="J7973" s="1" t="str">
        <f t="shared" ref="J7973:N7973" si="5804">"0"</f>
        <v>0</v>
      </c>
      <c r="K7973" s="1" t="str">
        <f t="shared" si="5738"/>
        <v>103</v>
      </c>
      <c r="L7973" s="1" t="str">
        <f t="shared" si="5739"/>
        <v>47</v>
      </c>
      <c r="M7973" s="1" t="str">
        <f t="shared" si="5804"/>
        <v>0</v>
      </c>
      <c r="N7973" s="1" t="str">
        <f t="shared" si="5804"/>
        <v>0</v>
      </c>
      <c r="O7973" s="1" t="str">
        <f>"9.24"</f>
        <v>9.24</v>
      </c>
    </row>
    <row r="7974" s="1" customFormat="1" spans="1:15">
      <c r="A7974" s="1" t="str">
        <f t="shared" si="5760"/>
        <v>202406</v>
      </c>
      <c r="B7974" s="1" t="str">
        <f t="shared" si="5761"/>
        <v>150525100</v>
      </c>
      <c r="C7974" s="1" t="str">
        <f>"1014548294"</f>
        <v>1014548294</v>
      </c>
      <c r="D7974" s="1" t="str">
        <f>"152326195610293849"</f>
        <v>152326195610293849</v>
      </c>
      <c r="E7974" s="1" t="s">
        <v>7622</v>
      </c>
      <c r="F7974" s="1" t="s">
        <v>16</v>
      </c>
      <c r="G7974" s="1" t="s">
        <v>17</v>
      </c>
      <c r="H7974" s="1" t="str">
        <f>"68"</f>
        <v>68</v>
      </c>
      <c r="I7974" s="1" t="str">
        <f>"157.55"</f>
        <v>157.55</v>
      </c>
      <c r="J7974" s="1" t="str">
        <f t="shared" ref="J7974:N7974" si="5805">"0"</f>
        <v>0</v>
      </c>
      <c r="K7974" s="1" t="str">
        <f t="shared" si="5738"/>
        <v>103</v>
      </c>
      <c r="L7974" s="1" t="str">
        <f t="shared" si="5739"/>
        <v>47</v>
      </c>
      <c r="M7974" s="1" t="str">
        <f t="shared" si="5805"/>
        <v>0</v>
      </c>
      <c r="N7974" s="1" t="str">
        <f t="shared" si="5805"/>
        <v>0</v>
      </c>
      <c r="O7974" s="1" t="str">
        <f>"7.55"</f>
        <v>7.55</v>
      </c>
    </row>
    <row r="7975" s="1" customFormat="1" spans="1:15">
      <c r="A7975" s="1" t="str">
        <f t="shared" si="5760"/>
        <v>202406</v>
      </c>
      <c r="B7975" s="1" t="str">
        <f t="shared" si="5761"/>
        <v>150525100</v>
      </c>
      <c r="C7975" s="1" t="str">
        <f>"1014570326"</f>
        <v>1014570326</v>
      </c>
      <c r="D7975" s="1" t="str">
        <f>"152326196301063825"</f>
        <v>152326196301063825</v>
      </c>
      <c r="E7975" s="1" t="s">
        <v>7623</v>
      </c>
      <c r="F7975" s="1" t="s">
        <v>16</v>
      </c>
      <c r="G7975" s="1" t="s">
        <v>19</v>
      </c>
      <c r="H7975" s="1" t="str">
        <f>"62"</f>
        <v>62</v>
      </c>
      <c r="I7975" s="1" t="str">
        <f>"164.92"</f>
        <v>164.92</v>
      </c>
      <c r="J7975" s="1" t="str">
        <f t="shared" ref="J7975:N7975" si="5806">"0"</f>
        <v>0</v>
      </c>
      <c r="K7975" s="1" t="str">
        <f t="shared" si="5738"/>
        <v>103</v>
      </c>
      <c r="L7975" s="1" t="str">
        <f t="shared" si="5739"/>
        <v>47</v>
      </c>
      <c r="M7975" s="1" t="str">
        <f t="shared" si="5806"/>
        <v>0</v>
      </c>
      <c r="N7975" s="1" t="str">
        <f t="shared" si="5806"/>
        <v>0</v>
      </c>
      <c r="O7975" s="1" t="str">
        <f>"14.92"</f>
        <v>14.92</v>
      </c>
    </row>
    <row r="7976" s="1" customFormat="1" spans="1:15">
      <c r="A7976" s="1" t="str">
        <f t="shared" si="5760"/>
        <v>202406</v>
      </c>
      <c r="B7976" s="1" t="str">
        <f t="shared" si="5761"/>
        <v>150525100</v>
      </c>
      <c r="C7976" s="1" t="str">
        <f>"1014572299"</f>
        <v>1014572299</v>
      </c>
      <c r="D7976" s="1" t="str">
        <f>"152326196007100429"</f>
        <v>152326196007100429</v>
      </c>
      <c r="E7976" s="1" t="s">
        <v>7624</v>
      </c>
      <c r="F7976" s="1" t="s">
        <v>16</v>
      </c>
      <c r="G7976" s="1" t="s">
        <v>96</v>
      </c>
      <c r="H7976" s="1" t="str">
        <f>"64"</f>
        <v>64</v>
      </c>
      <c r="I7976" s="1" t="str">
        <f>"159.23"</f>
        <v>159.23</v>
      </c>
      <c r="J7976" s="1" t="str">
        <f t="shared" ref="J7976:N7976" si="5807">"0"</f>
        <v>0</v>
      </c>
      <c r="K7976" s="1" t="str">
        <f t="shared" si="5738"/>
        <v>103</v>
      </c>
      <c r="L7976" s="1" t="str">
        <f t="shared" si="5739"/>
        <v>47</v>
      </c>
      <c r="M7976" s="1" t="str">
        <f t="shared" si="5807"/>
        <v>0</v>
      </c>
      <c r="N7976" s="1" t="str">
        <f t="shared" si="5807"/>
        <v>0</v>
      </c>
      <c r="O7976" s="1" t="str">
        <f>"9.23"</f>
        <v>9.23</v>
      </c>
    </row>
    <row r="7977" s="1" customFormat="1" spans="1:15">
      <c r="A7977" s="1" t="str">
        <f t="shared" si="5760"/>
        <v>202406</v>
      </c>
      <c r="B7977" s="1" t="str">
        <f t="shared" si="5761"/>
        <v>150525100</v>
      </c>
      <c r="C7977" s="1" t="str">
        <f>"1014572618"</f>
        <v>1014572618</v>
      </c>
      <c r="D7977" s="1" t="str">
        <f>"152326195211100413"</f>
        <v>152326195211100413</v>
      </c>
      <c r="E7977" s="1" t="s">
        <v>623</v>
      </c>
      <c r="F7977" s="1" t="s">
        <v>25</v>
      </c>
      <c r="G7977" s="1" t="s">
        <v>17</v>
      </c>
      <c r="H7977" s="1" t="str">
        <f t="shared" ref="H7977:H7981" si="5808">"72"</f>
        <v>72</v>
      </c>
      <c r="I7977" s="1" t="str">
        <f>"162.14"</f>
        <v>162.14</v>
      </c>
      <c r="J7977" s="1" t="str">
        <f t="shared" ref="J7977:N7977" si="5809">"0"</f>
        <v>0</v>
      </c>
      <c r="K7977" s="1" t="str">
        <f t="shared" si="5738"/>
        <v>103</v>
      </c>
      <c r="L7977" s="1" t="str">
        <f t="shared" si="5739"/>
        <v>47</v>
      </c>
      <c r="M7977" s="1" t="str">
        <f t="shared" si="5809"/>
        <v>0</v>
      </c>
      <c r="N7977" s="1" t="str">
        <f t="shared" si="5809"/>
        <v>0</v>
      </c>
      <c r="O7977" s="1" t="str">
        <f>"2.14"</f>
        <v>2.14</v>
      </c>
    </row>
    <row r="7978" s="1" customFormat="1" spans="1:15">
      <c r="A7978" s="1" t="str">
        <f t="shared" si="5760"/>
        <v>202406</v>
      </c>
      <c r="B7978" s="1" t="str">
        <f t="shared" si="5761"/>
        <v>150525100</v>
      </c>
      <c r="C7978" s="1" t="str">
        <f>"1014548313"</f>
        <v>1014548313</v>
      </c>
      <c r="D7978" s="1" t="str">
        <f>"152326196306190663"</f>
        <v>152326196306190663</v>
      </c>
      <c r="E7978" s="1" t="s">
        <v>7625</v>
      </c>
      <c r="F7978" s="1" t="s">
        <v>16</v>
      </c>
      <c r="G7978" s="1" t="s">
        <v>17</v>
      </c>
      <c r="H7978" s="1" t="str">
        <f>"61"</f>
        <v>61</v>
      </c>
      <c r="I7978" s="1" t="str">
        <f>"165.82"</f>
        <v>165.82</v>
      </c>
      <c r="J7978" s="1" t="str">
        <f t="shared" ref="J7978:N7978" si="5810">"0"</f>
        <v>0</v>
      </c>
      <c r="K7978" s="1" t="str">
        <f t="shared" si="5738"/>
        <v>103</v>
      </c>
      <c r="L7978" s="1" t="str">
        <f t="shared" si="5739"/>
        <v>47</v>
      </c>
      <c r="M7978" s="1" t="str">
        <f t="shared" si="5810"/>
        <v>0</v>
      </c>
      <c r="N7978" s="1" t="str">
        <f t="shared" si="5810"/>
        <v>0</v>
      </c>
      <c r="O7978" s="1" t="str">
        <f>"15.82"</f>
        <v>15.82</v>
      </c>
    </row>
    <row r="7979" s="1" customFormat="1" spans="1:15">
      <c r="A7979" s="1" t="str">
        <f t="shared" si="5760"/>
        <v>202406</v>
      </c>
      <c r="B7979" s="1" t="str">
        <f t="shared" si="5761"/>
        <v>150525100</v>
      </c>
      <c r="C7979" s="1" t="str">
        <f>"1014548331"</f>
        <v>1014548331</v>
      </c>
      <c r="D7979" s="1" t="str">
        <f>"152326195201080674"</f>
        <v>152326195201080674</v>
      </c>
      <c r="E7979" s="1" t="s">
        <v>7626</v>
      </c>
      <c r="F7979" s="1" t="s">
        <v>25</v>
      </c>
      <c r="G7979" s="1" t="s">
        <v>17</v>
      </c>
      <c r="H7979" s="1" t="str">
        <f t="shared" si="5808"/>
        <v>72</v>
      </c>
      <c r="I7979" s="1" t="str">
        <f t="shared" ref="I7979:I7981" si="5811">"162.15"</f>
        <v>162.15</v>
      </c>
      <c r="J7979" s="1" t="str">
        <f t="shared" ref="J7979:N7979" si="5812">"0"</f>
        <v>0</v>
      </c>
      <c r="K7979" s="1" t="str">
        <f t="shared" si="5738"/>
        <v>103</v>
      </c>
      <c r="L7979" s="1" t="str">
        <f t="shared" si="5739"/>
        <v>47</v>
      </c>
      <c r="M7979" s="1" t="str">
        <f t="shared" si="5812"/>
        <v>0</v>
      </c>
      <c r="N7979" s="1" t="str">
        <f t="shared" si="5812"/>
        <v>0</v>
      </c>
      <c r="O7979" s="1" t="str">
        <f t="shared" ref="O7979:O7981" si="5813">"2.15"</f>
        <v>2.15</v>
      </c>
    </row>
    <row r="7980" s="1" customFormat="1" spans="1:15">
      <c r="A7980" s="1" t="str">
        <f t="shared" si="5760"/>
        <v>202406</v>
      </c>
      <c r="B7980" s="1" t="str">
        <f t="shared" si="5761"/>
        <v>150525100</v>
      </c>
      <c r="C7980" s="1" t="str">
        <f>"1014548337"</f>
        <v>1014548337</v>
      </c>
      <c r="D7980" s="1" t="str">
        <f>"152326195205140662"</f>
        <v>152326195205140662</v>
      </c>
      <c r="E7980" s="1" t="s">
        <v>7627</v>
      </c>
      <c r="F7980" s="1" t="s">
        <v>16</v>
      </c>
      <c r="G7980" s="1" t="s">
        <v>17</v>
      </c>
      <c r="H7980" s="1" t="str">
        <f t="shared" si="5808"/>
        <v>72</v>
      </c>
      <c r="I7980" s="1" t="str">
        <f t="shared" si="5811"/>
        <v>162.15</v>
      </c>
      <c r="J7980" s="1" t="str">
        <f t="shared" ref="J7980:N7980" si="5814">"0"</f>
        <v>0</v>
      </c>
      <c r="K7980" s="1" t="str">
        <f t="shared" si="5738"/>
        <v>103</v>
      </c>
      <c r="L7980" s="1" t="str">
        <f t="shared" si="5739"/>
        <v>47</v>
      </c>
      <c r="M7980" s="1" t="str">
        <f t="shared" si="5814"/>
        <v>0</v>
      </c>
      <c r="N7980" s="1" t="str">
        <f t="shared" si="5814"/>
        <v>0</v>
      </c>
      <c r="O7980" s="1" t="str">
        <f t="shared" si="5813"/>
        <v>2.15</v>
      </c>
    </row>
    <row r="7981" s="1" customFormat="1" spans="1:15">
      <c r="A7981" s="1" t="str">
        <f t="shared" si="5760"/>
        <v>202406</v>
      </c>
      <c r="B7981" s="1" t="str">
        <f t="shared" si="5761"/>
        <v>150525100</v>
      </c>
      <c r="C7981" s="1" t="str">
        <f>"1014548341"</f>
        <v>1014548341</v>
      </c>
      <c r="D7981" s="1" t="str">
        <f>"152326195211060693"</f>
        <v>152326195211060693</v>
      </c>
      <c r="E7981" s="1" t="s">
        <v>7628</v>
      </c>
      <c r="F7981" s="1" t="s">
        <v>25</v>
      </c>
      <c r="G7981" s="1" t="s">
        <v>17</v>
      </c>
      <c r="H7981" s="1" t="str">
        <f t="shared" si="5808"/>
        <v>72</v>
      </c>
      <c r="I7981" s="1" t="str">
        <f t="shared" si="5811"/>
        <v>162.15</v>
      </c>
      <c r="J7981" s="1" t="str">
        <f t="shared" ref="J7981:N7981" si="5815">"0"</f>
        <v>0</v>
      </c>
      <c r="K7981" s="1" t="str">
        <f t="shared" si="5738"/>
        <v>103</v>
      </c>
      <c r="L7981" s="1" t="str">
        <f t="shared" si="5739"/>
        <v>47</v>
      </c>
      <c r="M7981" s="1" t="str">
        <f t="shared" si="5815"/>
        <v>0</v>
      </c>
      <c r="N7981" s="1" t="str">
        <f t="shared" si="5815"/>
        <v>0</v>
      </c>
      <c r="O7981" s="1" t="str">
        <f t="shared" si="5813"/>
        <v>2.15</v>
      </c>
    </row>
    <row r="7982" s="1" customFormat="1" spans="1:15">
      <c r="A7982" s="1" t="str">
        <f t="shared" si="5760"/>
        <v>202406</v>
      </c>
      <c r="B7982" s="1" t="str">
        <f t="shared" si="5761"/>
        <v>150525100</v>
      </c>
      <c r="C7982" s="1" t="str">
        <f>"1014570223"</f>
        <v>1014570223</v>
      </c>
      <c r="D7982" s="1" t="str">
        <f>"152326196302133813"</f>
        <v>152326196302133813</v>
      </c>
      <c r="E7982" s="1" t="s">
        <v>7629</v>
      </c>
      <c r="F7982" s="1" t="s">
        <v>25</v>
      </c>
      <c r="G7982" s="1" t="s">
        <v>19</v>
      </c>
      <c r="H7982" s="1" t="str">
        <f t="shared" ref="H7982:H7985" si="5816">"61"</f>
        <v>61</v>
      </c>
      <c r="I7982" s="1" t="str">
        <f>"165.96"</f>
        <v>165.96</v>
      </c>
      <c r="J7982" s="1" t="str">
        <f t="shared" ref="J7982:N7982" si="5817">"0"</f>
        <v>0</v>
      </c>
      <c r="K7982" s="1" t="str">
        <f t="shared" si="5738"/>
        <v>103</v>
      </c>
      <c r="L7982" s="1" t="str">
        <f t="shared" si="5739"/>
        <v>47</v>
      </c>
      <c r="M7982" s="1" t="str">
        <f t="shared" si="5817"/>
        <v>0</v>
      </c>
      <c r="N7982" s="1" t="str">
        <f t="shared" si="5817"/>
        <v>0</v>
      </c>
      <c r="O7982" s="1" t="str">
        <f>"15.96"</f>
        <v>15.96</v>
      </c>
    </row>
    <row r="7983" s="1" customFormat="1" spans="1:15">
      <c r="A7983" s="1" t="str">
        <f t="shared" si="5760"/>
        <v>202406</v>
      </c>
      <c r="B7983" s="1" t="str">
        <f t="shared" si="5761"/>
        <v>150525100</v>
      </c>
      <c r="C7983" s="1" t="str">
        <f>"1014570361"</f>
        <v>1014570361</v>
      </c>
      <c r="D7983" s="1" t="str">
        <f>"152326195306163820"</f>
        <v>152326195306163820</v>
      </c>
      <c r="E7983" s="1" t="s">
        <v>7630</v>
      </c>
      <c r="F7983" s="1" t="s">
        <v>16</v>
      </c>
      <c r="G7983" s="1" t="s">
        <v>17</v>
      </c>
      <c r="H7983" s="1" t="str">
        <f>"71"</f>
        <v>71</v>
      </c>
      <c r="I7983" s="1" t="str">
        <f>"163.17"</f>
        <v>163.17</v>
      </c>
      <c r="J7983" s="1" t="str">
        <f t="shared" ref="J7983:N7983" si="5818">"0"</f>
        <v>0</v>
      </c>
      <c r="K7983" s="1" t="str">
        <f t="shared" ref="K7983:K7993" si="5819">"103"</f>
        <v>103</v>
      </c>
      <c r="L7983" s="1" t="str">
        <f t="shared" ref="L7983:L7993" si="5820">"47"</f>
        <v>47</v>
      </c>
      <c r="M7983" s="1" t="str">
        <f t="shared" si="5818"/>
        <v>0</v>
      </c>
      <c r="N7983" s="1" t="str">
        <f t="shared" si="5818"/>
        <v>0</v>
      </c>
      <c r="O7983" s="1" t="str">
        <f>"3.17"</f>
        <v>3.17</v>
      </c>
    </row>
    <row r="7984" s="1" customFormat="1" spans="1:15">
      <c r="A7984" s="1" t="str">
        <f t="shared" si="5760"/>
        <v>202406</v>
      </c>
      <c r="B7984" s="1" t="str">
        <f t="shared" si="5761"/>
        <v>150525100</v>
      </c>
      <c r="C7984" s="1" t="str">
        <f>"1014570373"</f>
        <v>1014570373</v>
      </c>
      <c r="D7984" s="1" t="str">
        <f>"152326196306213853"</f>
        <v>152326196306213853</v>
      </c>
      <c r="E7984" s="1" t="s">
        <v>7631</v>
      </c>
      <c r="F7984" s="1" t="s">
        <v>25</v>
      </c>
      <c r="G7984" s="1" t="s">
        <v>17</v>
      </c>
      <c r="H7984" s="1" t="str">
        <f t="shared" si="5816"/>
        <v>61</v>
      </c>
      <c r="I7984" s="1" t="str">
        <f>"165.05"</f>
        <v>165.05</v>
      </c>
      <c r="J7984" s="1" t="str">
        <f t="shared" ref="J7984:N7984" si="5821">"0"</f>
        <v>0</v>
      </c>
      <c r="K7984" s="1" t="str">
        <f t="shared" si="5819"/>
        <v>103</v>
      </c>
      <c r="L7984" s="1" t="str">
        <f t="shared" si="5820"/>
        <v>47</v>
      </c>
      <c r="M7984" s="1" t="str">
        <f t="shared" si="5821"/>
        <v>0</v>
      </c>
      <c r="N7984" s="1" t="str">
        <f t="shared" si="5821"/>
        <v>0</v>
      </c>
      <c r="O7984" s="1" t="str">
        <f>"15.05"</f>
        <v>15.05</v>
      </c>
    </row>
    <row r="7985" s="1" customFormat="1" spans="1:15">
      <c r="A7985" s="1" t="str">
        <f t="shared" si="5760"/>
        <v>202406</v>
      </c>
      <c r="B7985" s="1" t="str">
        <f t="shared" si="5761"/>
        <v>150525100</v>
      </c>
      <c r="C7985" s="1" t="str">
        <f>"1014570381"</f>
        <v>1014570381</v>
      </c>
      <c r="D7985" s="1" t="str">
        <f>"152326196312093827"</f>
        <v>152326196312093827</v>
      </c>
      <c r="E7985" s="1" t="s">
        <v>3992</v>
      </c>
      <c r="F7985" s="1" t="s">
        <v>16</v>
      </c>
      <c r="G7985" s="1" t="s">
        <v>17</v>
      </c>
      <c r="H7985" s="1" t="str">
        <f t="shared" si="5816"/>
        <v>61</v>
      </c>
      <c r="I7985" s="1" t="str">
        <f>"165.13"</f>
        <v>165.13</v>
      </c>
      <c r="J7985" s="1" t="str">
        <f t="shared" ref="J7985:N7985" si="5822">"0"</f>
        <v>0</v>
      </c>
      <c r="K7985" s="1" t="str">
        <f t="shared" si="5819"/>
        <v>103</v>
      </c>
      <c r="L7985" s="1" t="str">
        <f t="shared" si="5820"/>
        <v>47</v>
      </c>
      <c r="M7985" s="1" t="str">
        <f t="shared" si="5822"/>
        <v>0</v>
      </c>
      <c r="N7985" s="1" t="str">
        <f t="shared" si="5822"/>
        <v>0</v>
      </c>
      <c r="O7985" s="1" t="str">
        <f>"15.13"</f>
        <v>15.13</v>
      </c>
    </row>
    <row r="7986" s="1" customFormat="1" spans="1:15">
      <c r="A7986" s="1" t="str">
        <f t="shared" si="5760"/>
        <v>202406</v>
      </c>
      <c r="B7986" s="1" t="str">
        <f t="shared" si="5761"/>
        <v>150525100</v>
      </c>
      <c r="C7986" s="1" t="str">
        <f>"1014572575"</f>
        <v>1014572575</v>
      </c>
      <c r="D7986" s="1" t="str">
        <f>"152326195412240922"</f>
        <v>152326195412240922</v>
      </c>
      <c r="E7986" s="1" t="s">
        <v>7632</v>
      </c>
      <c r="F7986" s="1" t="s">
        <v>16</v>
      </c>
      <c r="G7986" s="1" t="s">
        <v>19</v>
      </c>
      <c r="H7986" s="1" t="str">
        <f>"70"</f>
        <v>70</v>
      </c>
      <c r="I7986" s="1" t="str">
        <f>"154.14"</f>
        <v>154.14</v>
      </c>
      <c r="J7986" s="1" t="str">
        <f t="shared" ref="J7986:N7986" si="5823">"0"</f>
        <v>0</v>
      </c>
      <c r="K7986" s="1" t="str">
        <f t="shared" si="5819"/>
        <v>103</v>
      </c>
      <c r="L7986" s="1" t="str">
        <f t="shared" si="5820"/>
        <v>47</v>
      </c>
      <c r="M7986" s="1" t="str">
        <f t="shared" si="5823"/>
        <v>0</v>
      </c>
      <c r="N7986" s="1" t="str">
        <f t="shared" si="5823"/>
        <v>0</v>
      </c>
      <c r="O7986" s="1" t="str">
        <f>"4.14"</f>
        <v>4.14</v>
      </c>
    </row>
    <row r="7987" s="1" customFormat="1" spans="1:15">
      <c r="A7987" s="1" t="str">
        <f t="shared" si="5760"/>
        <v>202406</v>
      </c>
      <c r="B7987" s="1" t="str">
        <f t="shared" si="5761"/>
        <v>150525100</v>
      </c>
      <c r="C7987" s="1" t="str">
        <f>"1014572579"</f>
        <v>1014572579</v>
      </c>
      <c r="D7987" s="1" t="str">
        <f>"152326195507190024"</f>
        <v>152326195507190024</v>
      </c>
      <c r="E7987" s="1" t="s">
        <v>3588</v>
      </c>
      <c r="F7987" s="1" t="s">
        <v>16</v>
      </c>
      <c r="G7987" s="1" t="s">
        <v>19</v>
      </c>
      <c r="H7987" s="1" t="str">
        <f>"69"</f>
        <v>69</v>
      </c>
      <c r="I7987" s="1" t="str">
        <f>"155.09"</f>
        <v>155.09</v>
      </c>
      <c r="J7987" s="1" t="str">
        <f t="shared" ref="J7987:N7987" si="5824">"0"</f>
        <v>0</v>
      </c>
      <c r="K7987" s="1" t="str">
        <f t="shared" si="5819"/>
        <v>103</v>
      </c>
      <c r="L7987" s="1" t="str">
        <f t="shared" si="5820"/>
        <v>47</v>
      </c>
      <c r="M7987" s="1" t="str">
        <f t="shared" si="5824"/>
        <v>0</v>
      </c>
      <c r="N7987" s="1" t="str">
        <f t="shared" si="5824"/>
        <v>0</v>
      </c>
      <c r="O7987" s="1" t="str">
        <f>"5.09"</f>
        <v>5.09</v>
      </c>
    </row>
    <row r="7988" s="1" customFormat="1" spans="1:15">
      <c r="A7988" s="1" t="str">
        <f t="shared" si="5760"/>
        <v>202406</v>
      </c>
      <c r="B7988" s="1" t="str">
        <f t="shared" si="5761"/>
        <v>150525100</v>
      </c>
      <c r="C7988" s="1" t="str">
        <f>"1014572624"</f>
        <v>1014572624</v>
      </c>
      <c r="D7988" s="1" t="str">
        <f>"152326195301023087"</f>
        <v>152326195301023087</v>
      </c>
      <c r="E7988" s="1" t="s">
        <v>7633</v>
      </c>
      <c r="F7988" s="1" t="s">
        <v>16</v>
      </c>
      <c r="G7988" s="1" t="s">
        <v>17</v>
      </c>
      <c r="H7988" s="1" t="str">
        <f>"72"</f>
        <v>72</v>
      </c>
      <c r="I7988" s="1" t="str">
        <f>"162.91"</f>
        <v>162.91</v>
      </c>
      <c r="J7988" s="1" t="str">
        <f t="shared" ref="J7988:N7988" si="5825">"0"</f>
        <v>0</v>
      </c>
      <c r="K7988" s="1" t="str">
        <f t="shared" si="5819"/>
        <v>103</v>
      </c>
      <c r="L7988" s="1" t="str">
        <f t="shared" si="5820"/>
        <v>47</v>
      </c>
      <c r="M7988" s="1" t="str">
        <f t="shared" si="5825"/>
        <v>0</v>
      </c>
      <c r="N7988" s="1" t="str">
        <f t="shared" si="5825"/>
        <v>0</v>
      </c>
      <c r="O7988" s="1" t="str">
        <f>"2.91"</f>
        <v>2.91</v>
      </c>
    </row>
    <row r="7989" s="1" customFormat="1" spans="1:15">
      <c r="A7989" s="1" t="str">
        <f t="shared" si="5760"/>
        <v>202406</v>
      </c>
      <c r="B7989" s="1" t="str">
        <f t="shared" si="5761"/>
        <v>150525100</v>
      </c>
      <c r="C7989" s="1" t="str">
        <f>"1014572635"</f>
        <v>1014572635</v>
      </c>
      <c r="D7989" s="1" t="str">
        <f>"152326195305050410"</f>
        <v>152326195305050410</v>
      </c>
      <c r="E7989" s="1" t="s">
        <v>7634</v>
      </c>
      <c r="F7989" s="1" t="s">
        <v>25</v>
      </c>
      <c r="G7989" s="1" t="s">
        <v>17</v>
      </c>
      <c r="H7989" s="1" t="str">
        <f t="shared" ref="H7989:H7993" si="5826">"71"</f>
        <v>71</v>
      </c>
      <c r="I7989" s="1" t="str">
        <f t="shared" ref="I7989:I7993" si="5827">"163.16"</f>
        <v>163.16</v>
      </c>
      <c r="J7989" s="1" t="str">
        <f t="shared" ref="J7989:N7989" si="5828">"0"</f>
        <v>0</v>
      </c>
      <c r="K7989" s="1" t="str">
        <f t="shared" si="5819"/>
        <v>103</v>
      </c>
      <c r="L7989" s="1" t="str">
        <f t="shared" si="5820"/>
        <v>47</v>
      </c>
      <c r="M7989" s="1" t="str">
        <f t="shared" si="5828"/>
        <v>0</v>
      </c>
      <c r="N7989" s="1" t="str">
        <f t="shared" si="5828"/>
        <v>0</v>
      </c>
      <c r="O7989" s="1" t="str">
        <f t="shared" ref="O7989:O7993" si="5829">"3.16"</f>
        <v>3.16</v>
      </c>
    </row>
    <row r="7990" s="1" customFormat="1" spans="1:15">
      <c r="A7990" s="1" t="str">
        <f t="shared" si="5760"/>
        <v>202406</v>
      </c>
      <c r="B7990" s="1" t="str">
        <f t="shared" si="5761"/>
        <v>150525100</v>
      </c>
      <c r="C7990" s="1" t="str">
        <f>"1014572639"</f>
        <v>1014572639</v>
      </c>
      <c r="D7990" s="1" t="str">
        <f>"152326195306073075"</f>
        <v>152326195306073075</v>
      </c>
      <c r="E7990" s="1" t="s">
        <v>7635</v>
      </c>
      <c r="F7990" s="1" t="s">
        <v>25</v>
      </c>
      <c r="G7990" s="1" t="s">
        <v>17</v>
      </c>
      <c r="H7990" s="1" t="str">
        <f t="shared" si="5826"/>
        <v>71</v>
      </c>
      <c r="I7990" s="1" t="str">
        <f t="shared" si="5827"/>
        <v>163.16</v>
      </c>
      <c r="J7990" s="1" t="str">
        <f t="shared" ref="J7990:N7990" si="5830">"0"</f>
        <v>0</v>
      </c>
      <c r="K7990" s="1" t="str">
        <f t="shared" si="5819"/>
        <v>103</v>
      </c>
      <c r="L7990" s="1" t="str">
        <f t="shared" si="5820"/>
        <v>47</v>
      </c>
      <c r="M7990" s="1" t="str">
        <f t="shared" si="5830"/>
        <v>0</v>
      </c>
      <c r="N7990" s="1" t="str">
        <f t="shared" si="5830"/>
        <v>0</v>
      </c>
      <c r="O7990" s="1" t="str">
        <f t="shared" si="5829"/>
        <v>3.16</v>
      </c>
    </row>
    <row r="7991" s="1" customFormat="1" spans="1:15">
      <c r="A7991" s="1" t="str">
        <f t="shared" si="5760"/>
        <v>202406</v>
      </c>
      <c r="B7991" s="1" t="str">
        <f t="shared" si="5761"/>
        <v>150525100</v>
      </c>
      <c r="C7991" s="1" t="str">
        <f>"1014572641"</f>
        <v>1014572641</v>
      </c>
      <c r="D7991" s="1" t="str">
        <f>"152326195306200062"</f>
        <v>152326195306200062</v>
      </c>
      <c r="E7991" s="1" t="s">
        <v>7636</v>
      </c>
      <c r="F7991" s="1" t="s">
        <v>16</v>
      </c>
      <c r="G7991" s="1" t="s">
        <v>17</v>
      </c>
      <c r="H7991" s="1" t="str">
        <f t="shared" si="5826"/>
        <v>71</v>
      </c>
      <c r="I7991" s="1" t="str">
        <f t="shared" si="5827"/>
        <v>163.16</v>
      </c>
      <c r="J7991" s="1" t="str">
        <f t="shared" ref="J7991:N7991" si="5831">"0"</f>
        <v>0</v>
      </c>
      <c r="K7991" s="1" t="str">
        <f t="shared" si="5819"/>
        <v>103</v>
      </c>
      <c r="L7991" s="1" t="str">
        <f t="shared" si="5820"/>
        <v>47</v>
      </c>
      <c r="M7991" s="1" t="str">
        <f t="shared" si="5831"/>
        <v>0</v>
      </c>
      <c r="N7991" s="1" t="str">
        <f t="shared" si="5831"/>
        <v>0</v>
      </c>
      <c r="O7991" s="1" t="str">
        <f t="shared" si="5829"/>
        <v>3.16</v>
      </c>
    </row>
    <row r="7992" s="1" customFormat="1" spans="1:15">
      <c r="A7992" s="1" t="str">
        <f t="shared" si="5760"/>
        <v>202406</v>
      </c>
      <c r="B7992" s="1" t="str">
        <f t="shared" si="5761"/>
        <v>150525100</v>
      </c>
      <c r="C7992" s="1" t="str">
        <f>"1014572643"</f>
        <v>1014572643</v>
      </c>
      <c r="D7992" s="1" t="str">
        <f>"152326195307173086"</f>
        <v>152326195307173086</v>
      </c>
      <c r="E7992" s="1" t="s">
        <v>7637</v>
      </c>
      <c r="F7992" s="1" t="s">
        <v>16</v>
      </c>
      <c r="G7992" s="1" t="s">
        <v>17</v>
      </c>
      <c r="H7992" s="1" t="str">
        <f t="shared" si="5826"/>
        <v>71</v>
      </c>
      <c r="I7992" s="1" t="str">
        <f t="shared" si="5827"/>
        <v>163.16</v>
      </c>
      <c r="J7992" s="1" t="str">
        <f t="shared" ref="J7992:N7992" si="5832">"0"</f>
        <v>0</v>
      </c>
      <c r="K7992" s="1" t="str">
        <f t="shared" si="5819"/>
        <v>103</v>
      </c>
      <c r="L7992" s="1" t="str">
        <f t="shared" si="5820"/>
        <v>47</v>
      </c>
      <c r="M7992" s="1" t="str">
        <f t="shared" si="5832"/>
        <v>0</v>
      </c>
      <c r="N7992" s="1" t="str">
        <f t="shared" si="5832"/>
        <v>0</v>
      </c>
      <c r="O7992" s="1" t="str">
        <f t="shared" si="5829"/>
        <v>3.16</v>
      </c>
    </row>
    <row r="7993" s="1" customFormat="1" spans="1:15">
      <c r="A7993" s="1" t="str">
        <f t="shared" si="5760"/>
        <v>202406</v>
      </c>
      <c r="B7993" s="1" t="str">
        <f t="shared" si="5761"/>
        <v>150525100</v>
      </c>
      <c r="C7993" s="1" t="str">
        <f>"1014572660"</f>
        <v>1014572660</v>
      </c>
      <c r="D7993" s="1" t="str">
        <f>"152326195311130011"</f>
        <v>152326195311130011</v>
      </c>
      <c r="E7993" s="1" t="s">
        <v>7638</v>
      </c>
      <c r="F7993" s="1" t="s">
        <v>25</v>
      </c>
      <c r="G7993" s="1" t="s">
        <v>17</v>
      </c>
      <c r="H7993" s="1" t="str">
        <f t="shared" si="5826"/>
        <v>71</v>
      </c>
      <c r="I7993" s="1" t="str">
        <f t="shared" si="5827"/>
        <v>163.16</v>
      </c>
      <c r="J7993" s="1" t="str">
        <f t="shared" ref="J7993:N7993" si="5833">"0"</f>
        <v>0</v>
      </c>
      <c r="K7993" s="1" t="str">
        <f t="shared" si="5819"/>
        <v>103</v>
      </c>
      <c r="L7993" s="1" t="str">
        <f t="shared" si="5820"/>
        <v>47</v>
      </c>
      <c r="M7993" s="1" t="str">
        <f t="shared" si="5833"/>
        <v>0</v>
      </c>
      <c r="N7993" s="1" t="str">
        <f t="shared" si="5833"/>
        <v>0</v>
      </c>
      <c r="O7993" s="1" t="str">
        <f t="shared" si="5829"/>
        <v>3.16</v>
      </c>
    </row>
    <row r="7994" s="1" customFormat="1" spans="1:15">
      <c r="A7994" s="1" t="str">
        <f t="shared" si="5760"/>
        <v>202406</v>
      </c>
      <c r="B7994" s="1" t="str">
        <f t="shared" si="5761"/>
        <v>150525100</v>
      </c>
      <c r="C7994" s="1" t="str">
        <f>"1014644455"</f>
        <v>1014644455</v>
      </c>
      <c r="D7994" s="1" t="str">
        <f>"152326196001180675"</f>
        <v>152326196001180675</v>
      </c>
      <c r="E7994" s="1" t="s">
        <v>7639</v>
      </c>
      <c r="F7994" s="1" t="s">
        <v>25</v>
      </c>
      <c r="G7994" s="1" t="s">
        <v>17</v>
      </c>
      <c r="H7994" s="1" t="str">
        <f>"64"</f>
        <v>64</v>
      </c>
      <c r="I7994" s="1" t="str">
        <f>"636.64"</f>
        <v>636.64</v>
      </c>
      <c r="J7994" s="1" t="str">
        <f>"477.48"</f>
        <v>477.48</v>
      </c>
      <c r="K7994" s="1" t="str">
        <f>"412"</f>
        <v>412</v>
      </c>
      <c r="L7994" s="1" t="str">
        <f>"188"</f>
        <v>188</v>
      </c>
      <c r="M7994" s="1" t="str">
        <f>"0"</f>
        <v>0</v>
      </c>
      <c r="N7994" s="1" t="str">
        <f>"0"</f>
        <v>0</v>
      </c>
      <c r="O7994" s="1" t="str">
        <f>"36.64"</f>
        <v>36.64</v>
      </c>
    </row>
    <row r="7995" s="1" customFormat="1" spans="1:15">
      <c r="A7995" s="1" t="str">
        <f t="shared" si="5760"/>
        <v>202406</v>
      </c>
      <c r="B7995" s="1" t="str">
        <f t="shared" si="5761"/>
        <v>150525100</v>
      </c>
      <c r="C7995" s="1" t="str">
        <f>"1041429766"</f>
        <v>1041429766</v>
      </c>
      <c r="D7995" s="1" t="str">
        <f>"152326195901070418"</f>
        <v>152326195901070418</v>
      </c>
      <c r="E7995" s="1" t="s">
        <v>7640</v>
      </c>
      <c r="F7995" s="1" t="s">
        <v>25</v>
      </c>
      <c r="G7995" s="1" t="s">
        <v>17</v>
      </c>
      <c r="H7995" s="1" t="str">
        <f>"66"</f>
        <v>66</v>
      </c>
      <c r="I7995" s="1" t="str">
        <f>"156.93"</f>
        <v>156.93</v>
      </c>
      <c r="J7995" s="1" t="str">
        <f t="shared" ref="J7995:N7995" si="5834">"0"</f>
        <v>0</v>
      </c>
      <c r="K7995" s="1" t="str">
        <f t="shared" ref="K7995:K8010" si="5835">"103"</f>
        <v>103</v>
      </c>
      <c r="L7995" s="1" t="str">
        <f t="shared" ref="L7995:L8010" si="5836">"47"</f>
        <v>47</v>
      </c>
      <c r="M7995" s="1" t="str">
        <f t="shared" si="5834"/>
        <v>0</v>
      </c>
      <c r="N7995" s="1" t="str">
        <f t="shared" si="5834"/>
        <v>0</v>
      </c>
      <c r="O7995" s="1" t="str">
        <f>"6.93"</f>
        <v>6.93</v>
      </c>
    </row>
    <row r="7996" s="1" customFormat="1" spans="1:15">
      <c r="A7996" s="1" t="str">
        <f t="shared" si="5760"/>
        <v>202406</v>
      </c>
      <c r="B7996" s="1" t="str">
        <f t="shared" si="5761"/>
        <v>150525100</v>
      </c>
      <c r="C7996" s="1" t="str">
        <f>"1014567739"</f>
        <v>1014567739</v>
      </c>
      <c r="D7996" s="1" t="s">
        <v>7641</v>
      </c>
      <c r="E7996" s="1" t="s">
        <v>7642</v>
      </c>
      <c r="F7996" s="1" t="s">
        <v>25</v>
      </c>
      <c r="G7996" s="1" t="s">
        <v>17</v>
      </c>
      <c r="H7996" s="1" t="str">
        <f>"67"</f>
        <v>67</v>
      </c>
      <c r="I7996" s="1" t="str">
        <f>"156.11"</f>
        <v>156.11</v>
      </c>
      <c r="J7996" s="1" t="str">
        <f t="shared" ref="J7996:N7996" si="5837">"0"</f>
        <v>0</v>
      </c>
      <c r="K7996" s="1" t="str">
        <f t="shared" si="5835"/>
        <v>103</v>
      </c>
      <c r="L7996" s="1" t="str">
        <f t="shared" si="5836"/>
        <v>47</v>
      </c>
      <c r="M7996" s="1" t="str">
        <f t="shared" si="5837"/>
        <v>0</v>
      </c>
      <c r="N7996" s="1" t="str">
        <f t="shared" si="5837"/>
        <v>0</v>
      </c>
      <c r="O7996" s="1" t="str">
        <f>"6.11"</f>
        <v>6.11</v>
      </c>
    </row>
    <row r="7997" s="1" customFormat="1" spans="1:15">
      <c r="A7997" s="1" t="str">
        <f t="shared" si="5760"/>
        <v>202406</v>
      </c>
      <c r="B7997" s="1" t="str">
        <f t="shared" si="5761"/>
        <v>150525100</v>
      </c>
      <c r="C7997" s="1" t="str">
        <f>"1014567747"</f>
        <v>1014567747</v>
      </c>
      <c r="D7997" s="1" t="str">
        <f>"152326195612113848"</f>
        <v>152326195612113848</v>
      </c>
      <c r="E7997" s="1" t="s">
        <v>7643</v>
      </c>
      <c r="F7997" s="1" t="s">
        <v>16</v>
      </c>
      <c r="G7997" s="1" t="s">
        <v>17</v>
      </c>
      <c r="H7997" s="1" t="str">
        <f>"68"</f>
        <v>68</v>
      </c>
      <c r="I7997" s="1" t="str">
        <f>"156.03"</f>
        <v>156.03</v>
      </c>
      <c r="J7997" s="1" t="str">
        <f t="shared" ref="J7997:N7997" si="5838">"0"</f>
        <v>0</v>
      </c>
      <c r="K7997" s="1" t="str">
        <f t="shared" si="5835"/>
        <v>103</v>
      </c>
      <c r="L7997" s="1" t="str">
        <f t="shared" si="5836"/>
        <v>47</v>
      </c>
      <c r="M7997" s="1" t="str">
        <f t="shared" si="5838"/>
        <v>0</v>
      </c>
      <c r="N7997" s="1" t="str">
        <f t="shared" si="5838"/>
        <v>0</v>
      </c>
      <c r="O7997" s="1" t="str">
        <f>"6.03"</f>
        <v>6.03</v>
      </c>
    </row>
    <row r="7998" s="1" customFormat="1" spans="1:15">
      <c r="A7998" s="1" t="str">
        <f t="shared" si="5760"/>
        <v>202406</v>
      </c>
      <c r="B7998" s="1" t="str">
        <f t="shared" si="5761"/>
        <v>150525100</v>
      </c>
      <c r="C7998" s="1" t="str">
        <f>"1014568751"</f>
        <v>1014568751</v>
      </c>
      <c r="D7998" s="1" t="s">
        <v>7644</v>
      </c>
      <c r="E7998" s="1" t="s">
        <v>7645</v>
      </c>
      <c r="F7998" s="1" t="s">
        <v>25</v>
      </c>
      <c r="G7998" s="1" t="s">
        <v>19</v>
      </c>
      <c r="H7998" s="1" t="str">
        <f>"71"</f>
        <v>71</v>
      </c>
      <c r="I7998" s="1" t="str">
        <f>"163.16"</f>
        <v>163.16</v>
      </c>
      <c r="J7998" s="1" t="str">
        <f t="shared" ref="J7998:N7998" si="5839">"0"</f>
        <v>0</v>
      </c>
      <c r="K7998" s="1" t="str">
        <f t="shared" si="5835"/>
        <v>103</v>
      </c>
      <c r="L7998" s="1" t="str">
        <f t="shared" si="5836"/>
        <v>47</v>
      </c>
      <c r="M7998" s="1" t="str">
        <f t="shared" si="5839"/>
        <v>0</v>
      </c>
      <c r="N7998" s="1" t="str">
        <f t="shared" si="5839"/>
        <v>0</v>
      </c>
      <c r="O7998" s="1" t="str">
        <f>"3.16"</f>
        <v>3.16</v>
      </c>
    </row>
    <row r="7999" s="1" customFormat="1" spans="1:15">
      <c r="A7999" s="1" t="str">
        <f t="shared" si="5760"/>
        <v>202406</v>
      </c>
      <c r="B7999" s="1" t="str">
        <f t="shared" si="5761"/>
        <v>150525100</v>
      </c>
      <c r="C7999" s="1" t="str">
        <f>"1014568760"</f>
        <v>1014568760</v>
      </c>
      <c r="D7999" s="1" t="str">
        <f>"152326195111283822"</f>
        <v>152326195111283822</v>
      </c>
      <c r="E7999" s="1" t="s">
        <v>7646</v>
      </c>
      <c r="F7999" s="1" t="s">
        <v>16</v>
      </c>
      <c r="G7999" s="1" t="s">
        <v>19</v>
      </c>
      <c r="H7999" s="1" t="str">
        <f>"73"</f>
        <v>73</v>
      </c>
      <c r="I7999" s="1" t="str">
        <f>"160"</f>
        <v>160</v>
      </c>
      <c r="J7999" s="1" t="str">
        <f t="shared" ref="J7999:O7999" si="5840">"0"</f>
        <v>0</v>
      </c>
      <c r="K7999" s="1" t="str">
        <f t="shared" si="5835"/>
        <v>103</v>
      </c>
      <c r="L7999" s="1" t="str">
        <f t="shared" si="5836"/>
        <v>47</v>
      </c>
      <c r="M7999" s="1" t="str">
        <f t="shared" si="5840"/>
        <v>0</v>
      </c>
      <c r="N7999" s="1" t="str">
        <f t="shared" si="5840"/>
        <v>0</v>
      </c>
      <c r="O7999" s="1" t="str">
        <f t="shared" si="5840"/>
        <v>0</v>
      </c>
    </row>
    <row r="8000" s="1" customFormat="1" spans="1:15">
      <c r="A8000" s="1" t="str">
        <f t="shared" si="5760"/>
        <v>202406</v>
      </c>
      <c r="B8000" s="1" t="str">
        <f t="shared" si="5761"/>
        <v>150525100</v>
      </c>
      <c r="C8000" s="1" t="str">
        <f>"1014563196"</f>
        <v>1014563196</v>
      </c>
      <c r="D8000" s="1" t="str">
        <f>"152326195809050414"</f>
        <v>152326195809050414</v>
      </c>
      <c r="E8000" s="1" t="s">
        <v>6295</v>
      </c>
      <c r="F8000" s="1" t="s">
        <v>25</v>
      </c>
      <c r="G8000" s="1" t="s">
        <v>17</v>
      </c>
      <c r="H8000" s="1" t="str">
        <f>"66"</f>
        <v>66</v>
      </c>
      <c r="I8000" s="1" t="str">
        <f>"157.15"</f>
        <v>157.15</v>
      </c>
      <c r="J8000" s="1" t="str">
        <f t="shared" ref="J8000:N8000" si="5841">"0"</f>
        <v>0</v>
      </c>
      <c r="K8000" s="1" t="str">
        <f t="shared" si="5835"/>
        <v>103</v>
      </c>
      <c r="L8000" s="1" t="str">
        <f t="shared" si="5836"/>
        <v>47</v>
      </c>
      <c r="M8000" s="1" t="str">
        <f t="shared" si="5841"/>
        <v>0</v>
      </c>
      <c r="N8000" s="1" t="str">
        <f t="shared" si="5841"/>
        <v>0</v>
      </c>
      <c r="O8000" s="1" t="str">
        <f>"7.15"</f>
        <v>7.15</v>
      </c>
    </row>
    <row r="8001" s="1" customFormat="1" spans="1:15">
      <c r="A8001" s="1" t="str">
        <f t="shared" si="5760"/>
        <v>202406</v>
      </c>
      <c r="B8001" s="1" t="str">
        <f t="shared" si="5761"/>
        <v>150525100</v>
      </c>
      <c r="C8001" s="1" t="str">
        <f>"1014563198"</f>
        <v>1014563198</v>
      </c>
      <c r="D8001" s="1" t="str">
        <f>"152326196210120425"</f>
        <v>152326196210120425</v>
      </c>
      <c r="E8001" s="1" t="s">
        <v>7647</v>
      </c>
      <c r="F8001" s="1" t="s">
        <v>16</v>
      </c>
      <c r="G8001" s="1" t="s">
        <v>17</v>
      </c>
      <c r="H8001" s="1" t="str">
        <f>"62"</f>
        <v>62</v>
      </c>
      <c r="I8001" s="1" t="str">
        <f>"163.17"</f>
        <v>163.17</v>
      </c>
      <c r="J8001" s="1" t="str">
        <f t="shared" ref="J8001:N8001" si="5842">"0"</f>
        <v>0</v>
      </c>
      <c r="K8001" s="1" t="str">
        <f t="shared" si="5835"/>
        <v>103</v>
      </c>
      <c r="L8001" s="1" t="str">
        <f t="shared" si="5836"/>
        <v>47</v>
      </c>
      <c r="M8001" s="1" t="str">
        <f t="shared" si="5842"/>
        <v>0</v>
      </c>
      <c r="N8001" s="1" t="str">
        <f t="shared" si="5842"/>
        <v>0</v>
      </c>
      <c r="O8001" s="1" t="str">
        <f>"13.17"</f>
        <v>13.17</v>
      </c>
    </row>
    <row r="8002" s="1" customFormat="1" spans="1:15">
      <c r="A8002" s="1" t="str">
        <f t="shared" ref="A8002:A8065" si="5843">"202406"</f>
        <v>202406</v>
      </c>
      <c r="B8002" s="1" t="str">
        <f t="shared" ref="B8002:B8065" si="5844">"150525100"</f>
        <v>150525100</v>
      </c>
      <c r="C8002" s="1" t="str">
        <f>"1014563199"</f>
        <v>1014563199</v>
      </c>
      <c r="D8002" s="1" t="str">
        <f>"152326196108070425"</f>
        <v>152326196108070425</v>
      </c>
      <c r="E8002" s="1" t="s">
        <v>7648</v>
      </c>
      <c r="F8002" s="1" t="s">
        <v>16</v>
      </c>
      <c r="G8002" s="1" t="s">
        <v>17</v>
      </c>
      <c r="H8002" s="1" t="str">
        <f>"63"</f>
        <v>63</v>
      </c>
      <c r="I8002" s="1" t="str">
        <f>"161.12"</f>
        <v>161.12</v>
      </c>
      <c r="J8002" s="1" t="str">
        <f t="shared" ref="J8002:N8002" si="5845">"0"</f>
        <v>0</v>
      </c>
      <c r="K8002" s="1" t="str">
        <f t="shared" si="5835"/>
        <v>103</v>
      </c>
      <c r="L8002" s="1" t="str">
        <f t="shared" si="5836"/>
        <v>47</v>
      </c>
      <c r="M8002" s="1" t="str">
        <f t="shared" si="5845"/>
        <v>0</v>
      </c>
      <c r="N8002" s="1" t="str">
        <f t="shared" si="5845"/>
        <v>0</v>
      </c>
      <c r="O8002" s="1" t="str">
        <f>"11.12"</f>
        <v>11.12</v>
      </c>
    </row>
    <row r="8003" s="1" customFormat="1" spans="1:15">
      <c r="A8003" s="1" t="str">
        <f t="shared" si="5843"/>
        <v>202406</v>
      </c>
      <c r="B8003" s="1" t="str">
        <f t="shared" si="5844"/>
        <v>150525100</v>
      </c>
      <c r="C8003" s="1" t="str">
        <f>"1014569635"</f>
        <v>1014569635</v>
      </c>
      <c r="D8003" s="1" t="s">
        <v>7649</v>
      </c>
      <c r="E8003" s="1" t="s">
        <v>7650</v>
      </c>
      <c r="F8003" s="1" t="s">
        <v>16</v>
      </c>
      <c r="G8003" s="1" t="s">
        <v>19</v>
      </c>
      <c r="H8003" s="1" t="str">
        <f>"61"</f>
        <v>61</v>
      </c>
      <c r="I8003" s="1" t="str">
        <f>"165.11"</f>
        <v>165.11</v>
      </c>
      <c r="J8003" s="1" t="str">
        <f t="shared" ref="J8003:N8003" si="5846">"0"</f>
        <v>0</v>
      </c>
      <c r="K8003" s="1" t="str">
        <f t="shared" si="5835"/>
        <v>103</v>
      </c>
      <c r="L8003" s="1" t="str">
        <f t="shared" si="5836"/>
        <v>47</v>
      </c>
      <c r="M8003" s="1" t="str">
        <f t="shared" si="5846"/>
        <v>0</v>
      </c>
      <c r="N8003" s="1" t="str">
        <f t="shared" si="5846"/>
        <v>0</v>
      </c>
      <c r="O8003" s="1" t="str">
        <f>"15.11"</f>
        <v>15.11</v>
      </c>
    </row>
    <row r="8004" s="1" customFormat="1" spans="1:15">
      <c r="A8004" s="1" t="str">
        <f t="shared" si="5843"/>
        <v>202406</v>
      </c>
      <c r="B8004" s="1" t="str">
        <f t="shared" si="5844"/>
        <v>150525100</v>
      </c>
      <c r="C8004" s="1" t="str">
        <f>"1014584023"</f>
        <v>1014584023</v>
      </c>
      <c r="D8004" s="1" t="str">
        <f>"152326195708140437"</f>
        <v>152326195708140437</v>
      </c>
      <c r="E8004" s="1" t="s">
        <v>7651</v>
      </c>
      <c r="F8004" s="1" t="s">
        <v>25</v>
      </c>
      <c r="G8004" s="1" t="s">
        <v>17</v>
      </c>
      <c r="H8004" s="1" t="str">
        <f>"67"</f>
        <v>67</v>
      </c>
      <c r="I8004" s="1" t="str">
        <f>"156.08"</f>
        <v>156.08</v>
      </c>
      <c r="J8004" s="1" t="str">
        <f t="shared" ref="J8004:N8004" si="5847">"0"</f>
        <v>0</v>
      </c>
      <c r="K8004" s="1" t="str">
        <f t="shared" si="5835"/>
        <v>103</v>
      </c>
      <c r="L8004" s="1" t="str">
        <f t="shared" si="5836"/>
        <v>47</v>
      </c>
      <c r="M8004" s="1" t="str">
        <f t="shared" si="5847"/>
        <v>0</v>
      </c>
      <c r="N8004" s="1" t="str">
        <f t="shared" si="5847"/>
        <v>0</v>
      </c>
      <c r="O8004" s="1" t="str">
        <f>"6.08"</f>
        <v>6.08</v>
      </c>
    </row>
    <row r="8005" s="1" customFormat="1" spans="1:15">
      <c r="A8005" s="1" t="str">
        <f t="shared" si="5843"/>
        <v>202406</v>
      </c>
      <c r="B8005" s="1" t="str">
        <f t="shared" si="5844"/>
        <v>150525100</v>
      </c>
      <c r="C8005" s="1" t="str">
        <f>"1014584024"</f>
        <v>1014584024</v>
      </c>
      <c r="D8005" s="1" t="str">
        <f>"152326195708180420"</f>
        <v>152326195708180420</v>
      </c>
      <c r="E8005" s="1" t="s">
        <v>7652</v>
      </c>
      <c r="F8005" s="1" t="s">
        <v>16</v>
      </c>
      <c r="G8005" s="1" t="s">
        <v>17</v>
      </c>
      <c r="H8005" s="1" t="str">
        <f>"67"</f>
        <v>67</v>
      </c>
      <c r="I8005" s="1" t="str">
        <f>"156.08"</f>
        <v>156.08</v>
      </c>
      <c r="J8005" s="1" t="str">
        <f t="shared" ref="J8005:N8005" si="5848">"0"</f>
        <v>0</v>
      </c>
      <c r="K8005" s="1" t="str">
        <f t="shared" si="5835"/>
        <v>103</v>
      </c>
      <c r="L8005" s="1" t="str">
        <f t="shared" si="5836"/>
        <v>47</v>
      </c>
      <c r="M8005" s="1" t="str">
        <f t="shared" si="5848"/>
        <v>0</v>
      </c>
      <c r="N8005" s="1" t="str">
        <f t="shared" si="5848"/>
        <v>0</v>
      </c>
      <c r="O8005" s="1" t="str">
        <f>"6.08"</f>
        <v>6.08</v>
      </c>
    </row>
    <row r="8006" s="1" customFormat="1" spans="1:15">
      <c r="A8006" s="1" t="str">
        <f t="shared" si="5843"/>
        <v>202406</v>
      </c>
      <c r="B8006" s="1" t="str">
        <f t="shared" si="5844"/>
        <v>150525100</v>
      </c>
      <c r="C8006" s="1" t="str">
        <f>"1014550420"</f>
        <v>1014550420</v>
      </c>
      <c r="D8006" s="1" t="str">
        <f>"152326196401240665"</f>
        <v>152326196401240665</v>
      </c>
      <c r="E8006" s="1" t="s">
        <v>7653</v>
      </c>
      <c r="F8006" s="1" t="s">
        <v>16</v>
      </c>
      <c r="G8006" s="1" t="s">
        <v>17</v>
      </c>
      <c r="H8006" s="1" t="str">
        <f>"60"</f>
        <v>60</v>
      </c>
      <c r="I8006" s="1" t="str">
        <f>"166.83"</f>
        <v>166.83</v>
      </c>
      <c r="J8006" s="1" t="str">
        <f t="shared" ref="J8006:N8006" si="5849">"0"</f>
        <v>0</v>
      </c>
      <c r="K8006" s="1" t="str">
        <f t="shared" si="5835"/>
        <v>103</v>
      </c>
      <c r="L8006" s="1" t="str">
        <f t="shared" si="5836"/>
        <v>47</v>
      </c>
      <c r="M8006" s="1" t="str">
        <f t="shared" si="5849"/>
        <v>0</v>
      </c>
      <c r="N8006" s="1" t="str">
        <f t="shared" si="5849"/>
        <v>0</v>
      </c>
      <c r="O8006" s="1" t="str">
        <f>"16.83"</f>
        <v>16.83</v>
      </c>
    </row>
    <row r="8007" s="1" customFormat="1" spans="1:15">
      <c r="A8007" s="1" t="str">
        <f t="shared" si="5843"/>
        <v>202406</v>
      </c>
      <c r="B8007" s="1" t="str">
        <f t="shared" si="5844"/>
        <v>150525100</v>
      </c>
      <c r="C8007" s="1" t="str">
        <f>"1014584445"</f>
        <v>1014584445</v>
      </c>
      <c r="D8007" s="1" t="str">
        <f>"152326195211220415"</f>
        <v>152326195211220415</v>
      </c>
      <c r="E8007" s="1" t="s">
        <v>7654</v>
      </c>
      <c r="F8007" s="1" t="s">
        <v>25</v>
      </c>
      <c r="G8007" s="1" t="s">
        <v>17</v>
      </c>
      <c r="H8007" s="1" t="str">
        <f>"72"</f>
        <v>72</v>
      </c>
      <c r="I8007" s="1" t="str">
        <f>"162.14"</f>
        <v>162.14</v>
      </c>
      <c r="J8007" s="1" t="str">
        <f t="shared" ref="J8007:N8007" si="5850">"0"</f>
        <v>0</v>
      </c>
      <c r="K8007" s="1" t="str">
        <f t="shared" si="5835"/>
        <v>103</v>
      </c>
      <c r="L8007" s="1" t="str">
        <f t="shared" si="5836"/>
        <v>47</v>
      </c>
      <c r="M8007" s="1" t="str">
        <f t="shared" si="5850"/>
        <v>0</v>
      </c>
      <c r="N8007" s="1" t="str">
        <f t="shared" si="5850"/>
        <v>0</v>
      </c>
      <c r="O8007" s="1" t="str">
        <f>"2.14"</f>
        <v>2.14</v>
      </c>
    </row>
    <row r="8008" s="1" customFormat="1" spans="1:15">
      <c r="A8008" s="1" t="str">
        <f t="shared" si="5843"/>
        <v>202406</v>
      </c>
      <c r="B8008" s="1" t="str">
        <f t="shared" si="5844"/>
        <v>150525100</v>
      </c>
      <c r="C8008" s="1" t="str">
        <f>"1014584943"</f>
        <v>1014584943</v>
      </c>
      <c r="D8008" s="1" t="str">
        <f>"152326195310100670"</f>
        <v>152326195310100670</v>
      </c>
      <c r="E8008" s="1" t="s">
        <v>7655</v>
      </c>
      <c r="F8008" s="1" t="s">
        <v>25</v>
      </c>
      <c r="G8008" s="1" t="s">
        <v>17</v>
      </c>
      <c r="H8008" s="1" t="str">
        <f>"71"</f>
        <v>71</v>
      </c>
      <c r="I8008" s="1" t="str">
        <f>"163.16"</f>
        <v>163.16</v>
      </c>
      <c r="J8008" s="1" t="str">
        <f t="shared" ref="J8008:N8008" si="5851">"0"</f>
        <v>0</v>
      </c>
      <c r="K8008" s="1" t="str">
        <f t="shared" si="5835"/>
        <v>103</v>
      </c>
      <c r="L8008" s="1" t="str">
        <f t="shared" si="5836"/>
        <v>47</v>
      </c>
      <c r="M8008" s="1" t="str">
        <f t="shared" si="5851"/>
        <v>0</v>
      </c>
      <c r="N8008" s="1" t="str">
        <f t="shared" si="5851"/>
        <v>0</v>
      </c>
      <c r="O8008" s="1" t="str">
        <f>"3.16"</f>
        <v>3.16</v>
      </c>
    </row>
    <row r="8009" s="1" customFormat="1" spans="1:15">
      <c r="A8009" s="1" t="str">
        <f t="shared" si="5843"/>
        <v>202406</v>
      </c>
      <c r="B8009" s="1" t="str">
        <f t="shared" si="5844"/>
        <v>150525100</v>
      </c>
      <c r="C8009" s="1" t="str">
        <f>"1014584962"</f>
        <v>1014584962</v>
      </c>
      <c r="D8009" s="1" t="str">
        <f>"152326195511100415"</f>
        <v>152326195511100415</v>
      </c>
      <c r="E8009" s="1" t="s">
        <v>7656</v>
      </c>
      <c r="F8009" s="1" t="s">
        <v>25</v>
      </c>
      <c r="G8009" s="1" t="s">
        <v>17</v>
      </c>
      <c r="H8009" s="1" t="str">
        <f t="shared" ref="H8009:H8013" si="5852">"69"</f>
        <v>69</v>
      </c>
      <c r="I8009" s="1" t="str">
        <f>"155.1"</f>
        <v>155.1</v>
      </c>
      <c r="J8009" s="1" t="str">
        <f t="shared" ref="J8009:N8009" si="5853">"0"</f>
        <v>0</v>
      </c>
      <c r="K8009" s="1" t="str">
        <f t="shared" si="5835"/>
        <v>103</v>
      </c>
      <c r="L8009" s="1" t="str">
        <f t="shared" si="5836"/>
        <v>47</v>
      </c>
      <c r="M8009" s="1" t="str">
        <f t="shared" si="5853"/>
        <v>0</v>
      </c>
      <c r="N8009" s="1" t="str">
        <f t="shared" si="5853"/>
        <v>0</v>
      </c>
      <c r="O8009" s="1" t="str">
        <f>"5.1"</f>
        <v>5.1</v>
      </c>
    </row>
    <row r="8010" s="1" customFormat="1" spans="1:15">
      <c r="A8010" s="1" t="str">
        <f t="shared" si="5843"/>
        <v>202406</v>
      </c>
      <c r="B8010" s="1" t="str">
        <f t="shared" si="5844"/>
        <v>150525100</v>
      </c>
      <c r="C8010" s="1" t="str">
        <f>"1014584964"</f>
        <v>1014584964</v>
      </c>
      <c r="D8010" s="1" t="str">
        <f>"152326195512130675"</f>
        <v>152326195512130675</v>
      </c>
      <c r="E8010" s="1" t="s">
        <v>7657</v>
      </c>
      <c r="F8010" s="1" t="s">
        <v>25</v>
      </c>
      <c r="G8010" s="1" t="s">
        <v>17</v>
      </c>
      <c r="H8010" s="1" t="str">
        <f t="shared" si="5852"/>
        <v>69</v>
      </c>
      <c r="I8010" s="1" t="str">
        <f>"155.1"</f>
        <v>155.1</v>
      </c>
      <c r="J8010" s="1" t="str">
        <f t="shared" ref="J8010:N8010" si="5854">"0"</f>
        <v>0</v>
      </c>
      <c r="K8010" s="1" t="str">
        <f t="shared" si="5835"/>
        <v>103</v>
      </c>
      <c r="L8010" s="1" t="str">
        <f t="shared" si="5836"/>
        <v>47</v>
      </c>
      <c r="M8010" s="1" t="str">
        <f t="shared" si="5854"/>
        <v>0</v>
      </c>
      <c r="N8010" s="1" t="str">
        <f t="shared" si="5854"/>
        <v>0</v>
      </c>
      <c r="O8010" s="1" t="str">
        <f>"5.1"</f>
        <v>5.1</v>
      </c>
    </row>
    <row r="8011" s="1" customFormat="1" spans="1:15">
      <c r="A8011" s="1" t="str">
        <f t="shared" si="5843"/>
        <v>202406</v>
      </c>
      <c r="B8011" s="1" t="str">
        <f t="shared" si="5844"/>
        <v>150525100</v>
      </c>
      <c r="C8011" s="1" t="str">
        <f>"1014567749"</f>
        <v>1014567749</v>
      </c>
      <c r="D8011" s="1" t="str">
        <f>"152326195601263840"</f>
        <v>152326195601263840</v>
      </c>
      <c r="E8011" s="1" t="s">
        <v>7658</v>
      </c>
      <c r="F8011" s="1" t="s">
        <v>16</v>
      </c>
      <c r="G8011" s="1" t="s">
        <v>17</v>
      </c>
      <c r="H8011" s="1" t="str">
        <f>"68"</f>
        <v>68</v>
      </c>
      <c r="I8011" s="1" t="str">
        <f>"2184.2"</f>
        <v>2184.2</v>
      </c>
      <c r="J8011" s="1" t="str">
        <f t="shared" ref="J8011:O8011" si="5855">"0"</f>
        <v>0</v>
      </c>
      <c r="K8011" s="1" t="str">
        <f t="shared" si="5855"/>
        <v>0</v>
      </c>
      <c r="L8011" s="1" t="str">
        <f t="shared" si="5855"/>
        <v>0</v>
      </c>
      <c r="M8011" s="1" t="str">
        <f t="shared" si="5855"/>
        <v>0</v>
      </c>
      <c r="N8011" s="1" t="str">
        <f t="shared" si="5855"/>
        <v>0</v>
      </c>
      <c r="O8011" s="1" t="str">
        <f t="shared" si="5855"/>
        <v>0</v>
      </c>
    </row>
    <row r="8012" s="1" customFormat="1" spans="1:15">
      <c r="A8012" s="1" t="str">
        <f t="shared" si="5843"/>
        <v>202406</v>
      </c>
      <c r="B8012" s="1" t="str">
        <f t="shared" si="5844"/>
        <v>150525100</v>
      </c>
      <c r="C8012" s="1" t="str">
        <f>"1014568793"</f>
        <v>1014568793</v>
      </c>
      <c r="D8012" s="1" t="str">
        <f>"152326195908153814"</f>
        <v>152326195908153814</v>
      </c>
      <c r="E8012" s="1" t="s">
        <v>7659</v>
      </c>
      <c r="F8012" s="1" t="s">
        <v>25</v>
      </c>
      <c r="G8012" s="1" t="s">
        <v>19</v>
      </c>
      <c r="H8012" s="1" t="str">
        <f>"65"</f>
        <v>65</v>
      </c>
      <c r="I8012" s="1" t="str">
        <f>"158.18"</f>
        <v>158.18</v>
      </c>
      <c r="J8012" s="1" t="str">
        <f t="shared" ref="J8012:N8012" si="5856">"0"</f>
        <v>0</v>
      </c>
      <c r="K8012" s="1" t="str">
        <f t="shared" ref="K8012:K8060" si="5857">"103"</f>
        <v>103</v>
      </c>
      <c r="L8012" s="1" t="str">
        <f t="shared" ref="L8012:L8060" si="5858">"47"</f>
        <v>47</v>
      </c>
      <c r="M8012" s="1" t="str">
        <f t="shared" si="5856"/>
        <v>0</v>
      </c>
      <c r="N8012" s="1" t="str">
        <f t="shared" si="5856"/>
        <v>0</v>
      </c>
      <c r="O8012" s="1" t="str">
        <f>"8.18"</f>
        <v>8.18</v>
      </c>
    </row>
    <row r="8013" s="1" customFormat="1" spans="1:15">
      <c r="A8013" s="1" t="str">
        <f t="shared" si="5843"/>
        <v>202406</v>
      </c>
      <c r="B8013" s="1" t="str">
        <f t="shared" si="5844"/>
        <v>150525100</v>
      </c>
      <c r="C8013" s="1" t="str">
        <f>"1014562833"</f>
        <v>1014562833</v>
      </c>
      <c r="D8013" s="1" t="str">
        <f>"152326195512130413"</f>
        <v>152326195512130413</v>
      </c>
      <c r="E8013" s="1" t="s">
        <v>3062</v>
      </c>
      <c r="F8013" s="1" t="s">
        <v>25</v>
      </c>
      <c r="G8013" s="1" t="s">
        <v>17</v>
      </c>
      <c r="H8013" s="1" t="str">
        <f t="shared" si="5852"/>
        <v>69</v>
      </c>
      <c r="I8013" s="1" t="str">
        <f>"155.12"</f>
        <v>155.12</v>
      </c>
      <c r="J8013" s="1" t="str">
        <f t="shared" ref="J8013:N8013" si="5859">"0"</f>
        <v>0</v>
      </c>
      <c r="K8013" s="1" t="str">
        <f t="shared" si="5857"/>
        <v>103</v>
      </c>
      <c r="L8013" s="1" t="str">
        <f t="shared" si="5858"/>
        <v>47</v>
      </c>
      <c r="M8013" s="1" t="str">
        <f t="shared" si="5859"/>
        <v>0</v>
      </c>
      <c r="N8013" s="1" t="str">
        <f t="shared" si="5859"/>
        <v>0</v>
      </c>
      <c r="O8013" s="1" t="str">
        <f>"5.12"</f>
        <v>5.12</v>
      </c>
    </row>
    <row r="8014" s="1" customFormat="1" spans="1:15">
      <c r="A8014" s="1" t="str">
        <f t="shared" si="5843"/>
        <v>202406</v>
      </c>
      <c r="B8014" s="1" t="str">
        <f t="shared" si="5844"/>
        <v>150525100</v>
      </c>
      <c r="C8014" s="1" t="str">
        <f>"1014562847"</f>
        <v>1014562847</v>
      </c>
      <c r="D8014" s="1" t="str">
        <f>"152326196308200423"</f>
        <v>152326196308200423</v>
      </c>
      <c r="E8014" s="1" t="s">
        <v>7660</v>
      </c>
      <c r="F8014" s="1" t="s">
        <v>16</v>
      </c>
      <c r="G8014" s="1" t="s">
        <v>96</v>
      </c>
      <c r="H8014" s="1" t="str">
        <f>"61"</f>
        <v>61</v>
      </c>
      <c r="I8014" s="1" t="str">
        <f>"165.06"</f>
        <v>165.06</v>
      </c>
      <c r="J8014" s="1" t="str">
        <f t="shared" ref="J8014:N8014" si="5860">"0"</f>
        <v>0</v>
      </c>
      <c r="K8014" s="1" t="str">
        <f t="shared" si="5857"/>
        <v>103</v>
      </c>
      <c r="L8014" s="1" t="str">
        <f t="shared" si="5858"/>
        <v>47</v>
      </c>
      <c r="M8014" s="1" t="str">
        <f t="shared" si="5860"/>
        <v>0</v>
      </c>
      <c r="N8014" s="1" t="str">
        <f t="shared" si="5860"/>
        <v>0</v>
      </c>
      <c r="O8014" s="1" t="str">
        <f>"15.06"</f>
        <v>15.06</v>
      </c>
    </row>
    <row r="8015" s="1" customFormat="1" spans="1:15">
      <c r="A8015" s="1" t="str">
        <f t="shared" si="5843"/>
        <v>202406</v>
      </c>
      <c r="B8015" s="1" t="str">
        <f t="shared" si="5844"/>
        <v>150525100</v>
      </c>
      <c r="C8015" s="1" t="str">
        <f>"1014563216"</f>
        <v>1014563216</v>
      </c>
      <c r="D8015" s="1" t="str">
        <f>"152326195502040449"</f>
        <v>152326195502040449</v>
      </c>
      <c r="E8015" s="1" t="s">
        <v>4559</v>
      </c>
      <c r="F8015" s="1" t="s">
        <v>16</v>
      </c>
      <c r="G8015" s="1" t="s">
        <v>17</v>
      </c>
      <c r="H8015" s="1" t="str">
        <f>"69"</f>
        <v>69</v>
      </c>
      <c r="I8015" s="1" t="str">
        <f>"155.12"</f>
        <v>155.12</v>
      </c>
      <c r="J8015" s="1" t="str">
        <f t="shared" ref="J8015:N8015" si="5861">"0"</f>
        <v>0</v>
      </c>
      <c r="K8015" s="1" t="str">
        <f t="shared" si="5857"/>
        <v>103</v>
      </c>
      <c r="L8015" s="1" t="str">
        <f t="shared" si="5858"/>
        <v>47</v>
      </c>
      <c r="M8015" s="1" t="str">
        <f t="shared" si="5861"/>
        <v>0</v>
      </c>
      <c r="N8015" s="1" t="str">
        <f t="shared" si="5861"/>
        <v>0</v>
      </c>
      <c r="O8015" s="1" t="str">
        <f>"5.12"</f>
        <v>5.12</v>
      </c>
    </row>
    <row r="8016" s="1" customFormat="1" spans="1:15">
      <c r="A8016" s="1" t="str">
        <f t="shared" si="5843"/>
        <v>202406</v>
      </c>
      <c r="B8016" s="1" t="str">
        <f t="shared" si="5844"/>
        <v>150525100</v>
      </c>
      <c r="C8016" s="1" t="str">
        <f>"1014563229"</f>
        <v>1014563229</v>
      </c>
      <c r="D8016" s="1" t="s">
        <v>7661</v>
      </c>
      <c r="E8016" s="1" t="s">
        <v>7662</v>
      </c>
      <c r="F8016" s="1" t="s">
        <v>25</v>
      </c>
      <c r="G8016" s="1" t="s">
        <v>17</v>
      </c>
      <c r="H8016" s="1" t="str">
        <f>"67"</f>
        <v>67</v>
      </c>
      <c r="I8016" s="1" t="str">
        <f>"156.1"</f>
        <v>156.1</v>
      </c>
      <c r="J8016" s="1" t="str">
        <f t="shared" ref="J8016:N8016" si="5862">"0"</f>
        <v>0</v>
      </c>
      <c r="K8016" s="1" t="str">
        <f t="shared" si="5857"/>
        <v>103</v>
      </c>
      <c r="L8016" s="1" t="str">
        <f t="shared" si="5858"/>
        <v>47</v>
      </c>
      <c r="M8016" s="1" t="str">
        <f t="shared" si="5862"/>
        <v>0</v>
      </c>
      <c r="N8016" s="1" t="str">
        <f t="shared" si="5862"/>
        <v>0</v>
      </c>
      <c r="O8016" s="1" t="str">
        <f>"6.1"</f>
        <v>6.1</v>
      </c>
    </row>
    <row r="8017" s="1" customFormat="1" spans="1:15">
      <c r="A8017" s="1" t="str">
        <f t="shared" si="5843"/>
        <v>202406</v>
      </c>
      <c r="B8017" s="1" t="str">
        <f t="shared" si="5844"/>
        <v>150525100</v>
      </c>
      <c r="C8017" s="1" t="str">
        <f>"1014569650"</f>
        <v>1014569650</v>
      </c>
      <c r="D8017" s="1" t="str">
        <f>"152326195304250429"</f>
        <v>152326195304250429</v>
      </c>
      <c r="E8017" s="1" t="s">
        <v>7663</v>
      </c>
      <c r="F8017" s="1" t="s">
        <v>16</v>
      </c>
      <c r="G8017" s="1" t="s">
        <v>17</v>
      </c>
      <c r="H8017" s="1" t="str">
        <f>"71"</f>
        <v>71</v>
      </c>
      <c r="I8017" s="1" t="str">
        <f>"173.38"</f>
        <v>173.38</v>
      </c>
      <c r="J8017" s="1" t="str">
        <f t="shared" ref="J8017:N8017" si="5863">"0"</f>
        <v>0</v>
      </c>
      <c r="K8017" s="1" t="str">
        <f t="shared" si="5857"/>
        <v>103</v>
      </c>
      <c r="L8017" s="1" t="str">
        <f t="shared" si="5858"/>
        <v>47</v>
      </c>
      <c r="M8017" s="1" t="str">
        <f t="shared" si="5863"/>
        <v>0</v>
      </c>
      <c r="N8017" s="1" t="str">
        <f t="shared" si="5863"/>
        <v>0</v>
      </c>
      <c r="O8017" s="1" t="str">
        <f>"13.38"</f>
        <v>13.38</v>
      </c>
    </row>
    <row r="8018" s="1" customFormat="1" spans="1:15">
      <c r="A8018" s="1" t="str">
        <f t="shared" si="5843"/>
        <v>202406</v>
      </c>
      <c r="B8018" s="1" t="str">
        <f t="shared" si="5844"/>
        <v>150525100</v>
      </c>
      <c r="C8018" s="1" t="str">
        <f>"1014569652"</f>
        <v>1014569652</v>
      </c>
      <c r="D8018" s="1" t="str">
        <f>"152326195411240429"</f>
        <v>152326195411240429</v>
      </c>
      <c r="E8018" s="1" t="s">
        <v>7664</v>
      </c>
      <c r="F8018" s="1" t="s">
        <v>16</v>
      </c>
      <c r="G8018" s="1" t="s">
        <v>17</v>
      </c>
      <c r="H8018" s="1" t="str">
        <f>"70"</f>
        <v>70</v>
      </c>
      <c r="I8018" s="1" t="str">
        <f>"167.53"</f>
        <v>167.53</v>
      </c>
      <c r="J8018" s="1" t="str">
        <f t="shared" ref="J8018:N8018" si="5864">"0"</f>
        <v>0</v>
      </c>
      <c r="K8018" s="1" t="str">
        <f t="shared" si="5857"/>
        <v>103</v>
      </c>
      <c r="L8018" s="1" t="str">
        <f t="shared" si="5858"/>
        <v>47</v>
      </c>
      <c r="M8018" s="1" t="str">
        <f t="shared" si="5864"/>
        <v>0</v>
      </c>
      <c r="N8018" s="1" t="str">
        <f t="shared" si="5864"/>
        <v>0</v>
      </c>
      <c r="O8018" s="1" t="str">
        <f>"17.53"</f>
        <v>17.53</v>
      </c>
    </row>
    <row r="8019" s="1" customFormat="1" spans="1:15">
      <c r="A8019" s="1" t="str">
        <f t="shared" si="5843"/>
        <v>202406</v>
      </c>
      <c r="B8019" s="1" t="str">
        <f t="shared" si="5844"/>
        <v>150525100</v>
      </c>
      <c r="C8019" s="1" t="str">
        <f>"1014569658"</f>
        <v>1014569658</v>
      </c>
      <c r="D8019" s="1" t="str">
        <f>"152326195611040421"</f>
        <v>152326195611040421</v>
      </c>
      <c r="E8019" s="1" t="s">
        <v>3461</v>
      </c>
      <c r="F8019" s="1" t="s">
        <v>16</v>
      </c>
      <c r="G8019" s="1" t="s">
        <v>19</v>
      </c>
      <c r="H8019" s="1" t="str">
        <f>"68"</f>
        <v>68</v>
      </c>
      <c r="I8019" s="1" t="str">
        <f>"156.02"</f>
        <v>156.02</v>
      </c>
      <c r="J8019" s="1" t="str">
        <f t="shared" ref="J8019:N8019" si="5865">"0"</f>
        <v>0</v>
      </c>
      <c r="K8019" s="1" t="str">
        <f t="shared" si="5857"/>
        <v>103</v>
      </c>
      <c r="L8019" s="1" t="str">
        <f t="shared" si="5858"/>
        <v>47</v>
      </c>
      <c r="M8019" s="1" t="str">
        <f t="shared" si="5865"/>
        <v>0</v>
      </c>
      <c r="N8019" s="1" t="str">
        <f t="shared" si="5865"/>
        <v>0</v>
      </c>
      <c r="O8019" s="1" t="str">
        <f>"6.02"</f>
        <v>6.02</v>
      </c>
    </row>
    <row r="8020" s="1" customFormat="1" spans="1:15">
      <c r="A8020" s="1" t="str">
        <f t="shared" si="5843"/>
        <v>202406</v>
      </c>
      <c r="B8020" s="1" t="str">
        <f t="shared" si="5844"/>
        <v>150525100</v>
      </c>
      <c r="C8020" s="1" t="str">
        <f>"1014569664"</f>
        <v>1014569664</v>
      </c>
      <c r="D8020" s="1" t="str">
        <f>"152326195203080424"</f>
        <v>152326195203080424</v>
      </c>
      <c r="E8020" s="1" t="s">
        <v>7665</v>
      </c>
      <c r="F8020" s="1" t="s">
        <v>16</v>
      </c>
      <c r="G8020" s="1" t="s">
        <v>17</v>
      </c>
      <c r="H8020" s="1" t="str">
        <f>"72"</f>
        <v>72</v>
      </c>
      <c r="I8020" s="1" t="str">
        <f>"161.88"</f>
        <v>161.88</v>
      </c>
      <c r="J8020" s="1" t="str">
        <f t="shared" ref="J8020:N8020" si="5866">"0"</f>
        <v>0</v>
      </c>
      <c r="K8020" s="1" t="str">
        <f t="shared" si="5857"/>
        <v>103</v>
      </c>
      <c r="L8020" s="1" t="str">
        <f t="shared" si="5858"/>
        <v>47</v>
      </c>
      <c r="M8020" s="1" t="str">
        <f t="shared" si="5866"/>
        <v>0</v>
      </c>
      <c r="N8020" s="1" t="str">
        <f t="shared" si="5866"/>
        <v>0</v>
      </c>
      <c r="O8020" s="1" t="str">
        <f>"1.88"</f>
        <v>1.88</v>
      </c>
    </row>
    <row r="8021" s="1" customFormat="1" spans="1:15">
      <c r="A8021" s="1" t="str">
        <f t="shared" si="5843"/>
        <v>202406</v>
      </c>
      <c r="B8021" s="1" t="str">
        <f t="shared" si="5844"/>
        <v>150525100</v>
      </c>
      <c r="C8021" s="1" t="str">
        <f>"1014584346"</f>
        <v>1014584346</v>
      </c>
      <c r="D8021" s="1" t="s">
        <v>7666</v>
      </c>
      <c r="E8021" s="1" t="s">
        <v>7667</v>
      </c>
      <c r="F8021" s="1" t="s">
        <v>16</v>
      </c>
      <c r="G8021" s="1" t="s">
        <v>19</v>
      </c>
      <c r="H8021" s="1" t="str">
        <f>"61"</f>
        <v>61</v>
      </c>
      <c r="I8021" s="1" t="str">
        <f>"164.95"</f>
        <v>164.95</v>
      </c>
      <c r="J8021" s="1" t="str">
        <f t="shared" ref="J8021:N8021" si="5867">"0"</f>
        <v>0</v>
      </c>
      <c r="K8021" s="1" t="str">
        <f t="shared" si="5857"/>
        <v>103</v>
      </c>
      <c r="L8021" s="1" t="str">
        <f t="shared" si="5858"/>
        <v>47</v>
      </c>
      <c r="M8021" s="1" t="str">
        <f t="shared" si="5867"/>
        <v>0</v>
      </c>
      <c r="N8021" s="1" t="str">
        <f t="shared" si="5867"/>
        <v>0</v>
      </c>
      <c r="O8021" s="1" t="str">
        <f>"14.95"</f>
        <v>14.95</v>
      </c>
    </row>
    <row r="8022" s="1" customFormat="1" spans="1:15">
      <c r="A8022" s="1" t="str">
        <f t="shared" si="5843"/>
        <v>202406</v>
      </c>
      <c r="B8022" s="1" t="str">
        <f t="shared" si="5844"/>
        <v>150525100</v>
      </c>
      <c r="C8022" s="1" t="str">
        <f>"1014549923"</f>
        <v>1014549923</v>
      </c>
      <c r="D8022" s="1" t="str">
        <f>"152326195501200682"</f>
        <v>152326195501200682</v>
      </c>
      <c r="E8022" s="1" t="s">
        <v>7668</v>
      </c>
      <c r="F8022" s="1" t="s">
        <v>16</v>
      </c>
      <c r="G8022" s="1" t="s">
        <v>17</v>
      </c>
      <c r="H8022" s="1" t="str">
        <f t="shared" ref="H8022:H8026" si="5868">"69"</f>
        <v>69</v>
      </c>
      <c r="I8022" s="1" t="str">
        <f t="shared" ref="I8022:I8026" si="5869">"155.11"</f>
        <v>155.11</v>
      </c>
      <c r="J8022" s="1" t="str">
        <f t="shared" ref="J8022:N8022" si="5870">"0"</f>
        <v>0</v>
      </c>
      <c r="K8022" s="1" t="str">
        <f t="shared" si="5857"/>
        <v>103</v>
      </c>
      <c r="L8022" s="1" t="str">
        <f t="shared" si="5858"/>
        <v>47</v>
      </c>
      <c r="M8022" s="1" t="str">
        <f t="shared" si="5870"/>
        <v>0</v>
      </c>
      <c r="N8022" s="1" t="str">
        <f t="shared" si="5870"/>
        <v>0</v>
      </c>
      <c r="O8022" s="1" t="str">
        <f t="shared" ref="O8022:O8026" si="5871">"5.11"</f>
        <v>5.11</v>
      </c>
    </row>
    <row r="8023" s="1" customFormat="1" spans="1:15">
      <c r="A8023" s="1" t="str">
        <f t="shared" si="5843"/>
        <v>202406</v>
      </c>
      <c r="B8023" s="1" t="str">
        <f t="shared" si="5844"/>
        <v>150525100</v>
      </c>
      <c r="C8023" s="1" t="str">
        <f>"1014549929"</f>
        <v>1014549929</v>
      </c>
      <c r="D8023" s="1" t="str">
        <f>"152326195503050665"</f>
        <v>152326195503050665</v>
      </c>
      <c r="E8023" s="1" t="s">
        <v>4164</v>
      </c>
      <c r="F8023" s="1" t="s">
        <v>16</v>
      </c>
      <c r="G8023" s="1" t="s">
        <v>17</v>
      </c>
      <c r="H8023" s="1" t="str">
        <f t="shared" si="5868"/>
        <v>69</v>
      </c>
      <c r="I8023" s="1" t="str">
        <f t="shared" si="5869"/>
        <v>155.11</v>
      </c>
      <c r="J8023" s="1" t="str">
        <f t="shared" ref="J8023:N8023" si="5872">"0"</f>
        <v>0</v>
      </c>
      <c r="K8023" s="1" t="str">
        <f t="shared" si="5857"/>
        <v>103</v>
      </c>
      <c r="L8023" s="1" t="str">
        <f t="shared" si="5858"/>
        <v>47</v>
      </c>
      <c r="M8023" s="1" t="str">
        <f t="shared" si="5872"/>
        <v>0</v>
      </c>
      <c r="N8023" s="1" t="str">
        <f t="shared" si="5872"/>
        <v>0</v>
      </c>
      <c r="O8023" s="1" t="str">
        <f t="shared" si="5871"/>
        <v>5.11</v>
      </c>
    </row>
    <row r="8024" s="1" customFormat="1" spans="1:15">
      <c r="A8024" s="1" t="str">
        <f t="shared" si="5843"/>
        <v>202406</v>
      </c>
      <c r="B8024" s="1" t="str">
        <f t="shared" si="5844"/>
        <v>150525100</v>
      </c>
      <c r="C8024" s="1" t="str">
        <f>"1014549933"</f>
        <v>1014549933</v>
      </c>
      <c r="D8024" s="1" t="str">
        <f>"152326195503130729"</f>
        <v>152326195503130729</v>
      </c>
      <c r="E8024" s="1" t="s">
        <v>7669</v>
      </c>
      <c r="F8024" s="1" t="s">
        <v>16</v>
      </c>
      <c r="G8024" s="1" t="s">
        <v>17</v>
      </c>
      <c r="H8024" s="1" t="str">
        <f t="shared" si="5868"/>
        <v>69</v>
      </c>
      <c r="I8024" s="1" t="str">
        <f t="shared" si="5869"/>
        <v>155.11</v>
      </c>
      <c r="J8024" s="1" t="str">
        <f t="shared" ref="J8024:N8024" si="5873">"0"</f>
        <v>0</v>
      </c>
      <c r="K8024" s="1" t="str">
        <f t="shared" si="5857"/>
        <v>103</v>
      </c>
      <c r="L8024" s="1" t="str">
        <f t="shared" si="5858"/>
        <v>47</v>
      </c>
      <c r="M8024" s="1" t="str">
        <f t="shared" si="5873"/>
        <v>0</v>
      </c>
      <c r="N8024" s="1" t="str">
        <f t="shared" si="5873"/>
        <v>0</v>
      </c>
      <c r="O8024" s="1" t="str">
        <f t="shared" si="5871"/>
        <v>5.11</v>
      </c>
    </row>
    <row r="8025" s="1" customFormat="1" spans="1:15">
      <c r="A8025" s="1" t="str">
        <f t="shared" si="5843"/>
        <v>202406</v>
      </c>
      <c r="B8025" s="1" t="str">
        <f t="shared" si="5844"/>
        <v>150525100</v>
      </c>
      <c r="C8025" s="1" t="str">
        <f>"1014549941"</f>
        <v>1014549941</v>
      </c>
      <c r="D8025" s="1" t="str">
        <f>"152326195505110684"</f>
        <v>152326195505110684</v>
      </c>
      <c r="E8025" s="1" t="s">
        <v>7670</v>
      </c>
      <c r="F8025" s="1" t="s">
        <v>16</v>
      </c>
      <c r="G8025" s="1" t="s">
        <v>17</v>
      </c>
      <c r="H8025" s="1" t="str">
        <f t="shared" si="5868"/>
        <v>69</v>
      </c>
      <c r="I8025" s="1" t="str">
        <f t="shared" si="5869"/>
        <v>155.11</v>
      </c>
      <c r="J8025" s="1" t="str">
        <f t="shared" ref="J8025:N8025" si="5874">"0"</f>
        <v>0</v>
      </c>
      <c r="K8025" s="1" t="str">
        <f t="shared" si="5857"/>
        <v>103</v>
      </c>
      <c r="L8025" s="1" t="str">
        <f t="shared" si="5858"/>
        <v>47</v>
      </c>
      <c r="M8025" s="1" t="str">
        <f t="shared" si="5874"/>
        <v>0</v>
      </c>
      <c r="N8025" s="1" t="str">
        <f t="shared" si="5874"/>
        <v>0</v>
      </c>
      <c r="O8025" s="1" t="str">
        <f t="shared" si="5871"/>
        <v>5.11</v>
      </c>
    </row>
    <row r="8026" s="1" customFormat="1" spans="1:15">
      <c r="A8026" s="1" t="str">
        <f t="shared" si="5843"/>
        <v>202406</v>
      </c>
      <c r="B8026" s="1" t="str">
        <f t="shared" si="5844"/>
        <v>150525100</v>
      </c>
      <c r="C8026" s="1" t="str">
        <f>"1014549942"</f>
        <v>1014549942</v>
      </c>
      <c r="D8026" s="1" t="str">
        <f>"152326195505120700"</f>
        <v>152326195505120700</v>
      </c>
      <c r="E8026" s="1" t="s">
        <v>4824</v>
      </c>
      <c r="F8026" s="1" t="s">
        <v>16</v>
      </c>
      <c r="G8026" s="1" t="s">
        <v>19</v>
      </c>
      <c r="H8026" s="1" t="str">
        <f t="shared" si="5868"/>
        <v>69</v>
      </c>
      <c r="I8026" s="1" t="str">
        <f t="shared" si="5869"/>
        <v>155.11</v>
      </c>
      <c r="J8026" s="1" t="str">
        <f t="shared" ref="J8026:N8026" si="5875">"0"</f>
        <v>0</v>
      </c>
      <c r="K8026" s="1" t="str">
        <f t="shared" si="5857"/>
        <v>103</v>
      </c>
      <c r="L8026" s="1" t="str">
        <f t="shared" si="5858"/>
        <v>47</v>
      </c>
      <c r="M8026" s="1" t="str">
        <f t="shared" si="5875"/>
        <v>0</v>
      </c>
      <c r="N8026" s="1" t="str">
        <f t="shared" si="5875"/>
        <v>0</v>
      </c>
      <c r="O8026" s="1" t="str">
        <f t="shared" si="5871"/>
        <v>5.11</v>
      </c>
    </row>
    <row r="8027" s="1" customFormat="1" spans="1:15">
      <c r="A8027" s="1" t="str">
        <f t="shared" si="5843"/>
        <v>202406</v>
      </c>
      <c r="B8027" s="1" t="str">
        <f t="shared" si="5844"/>
        <v>150525100</v>
      </c>
      <c r="C8027" s="1" t="str">
        <f>"1014584466"</f>
        <v>1014584466</v>
      </c>
      <c r="D8027" s="1" t="s">
        <v>7671</v>
      </c>
      <c r="E8027" s="1" t="s">
        <v>7672</v>
      </c>
      <c r="F8027" s="1" t="s">
        <v>25</v>
      </c>
      <c r="G8027" s="1" t="s">
        <v>17</v>
      </c>
      <c r="H8027" s="1" t="str">
        <f>"70"</f>
        <v>70</v>
      </c>
      <c r="I8027" s="1" t="str">
        <f>"154.14"</f>
        <v>154.14</v>
      </c>
      <c r="J8027" s="1" t="str">
        <f t="shared" ref="J8027:N8027" si="5876">"0"</f>
        <v>0</v>
      </c>
      <c r="K8027" s="1" t="str">
        <f t="shared" si="5857"/>
        <v>103</v>
      </c>
      <c r="L8027" s="1" t="str">
        <f t="shared" si="5858"/>
        <v>47</v>
      </c>
      <c r="M8027" s="1" t="str">
        <f t="shared" si="5876"/>
        <v>0</v>
      </c>
      <c r="N8027" s="1" t="str">
        <f t="shared" si="5876"/>
        <v>0</v>
      </c>
      <c r="O8027" s="1" t="str">
        <f>"4.14"</f>
        <v>4.14</v>
      </c>
    </row>
    <row r="8028" s="1" customFormat="1" spans="1:15">
      <c r="A8028" s="1" t="str">
        <f t="shared" si="5843"/>
        <v>202406</v>
      </c>
      <c r="B8028" s="1" t="str">
        <f t="shared" si="5844"/>
        <v>150525100</v>
      </c>
      <c r="C8028" s="1" t="str">
        <f>"1014584470"</f>
        <v>1014584470</v>
      </c>
      <c r="D8028" s="1" t="s">
        <v>7673</v>
      </c>
      <c r="E8028" s="1" t="s">
        <v>7674</v>
      </c>
      <c r="F8028" s="1" t="s">
        <v>25</v>
      </c>
      <c r="G8028" s="1" t="s">
        <v>17</v>
      </c>
      <c r="H8028" s="1" t="str">
        <f>"70"</f>
        <v>70</v>
      </c>
      <c r="I8028" s="1" t="str">
        <f>"154.14"</f>
        <v>154.14</v>
      </c>
      <c r="J8028" s="1" t="str">
        <f t="shared" ref="J8028:N8028" si="5877">"0"</f>
        <v>0</v>
      </c>
      <c r="K8028" s="1" t="str">
        <f t="shared" si="5857"/>
        <v>103</v>
      </c>
      <c r="L8028" s="1" t="str">
        <f t="shared" si="5858"/>
        <v>47</v>
      </c>
      <c r="M8028" s="1" t="str">
        <f t="shared" si="5877"/>
        <v>0</v>
      </c>
      <c r="N8028" s="1" t="str">
        <f t="shared" si="5877"/>
        <v>0</v>
      </c>
      <c r="O8028" s="1" t="str">
        <f>"4.14"</f>
        <v>4.14</v>
      </c>
    </row>
    <row r="8029" s="1" customFormat="1" spans="1:15">
      <c r="A8029" s="1" t="str">
        <f t="shared" si="5843"/>
        <v>202406</v>
      </c>
      <c r="B8029" s="1" t="str">
        <f t="shared" si="5844"/>
        <v>150525100</v>
      </c>
      <c r="C8029" s="1" t="str">
        <f>"1014584476"</f>
        <v>1014584476</v>
      </c>
      <c r="D8029" s="1" t="str">
        <f>"152326195501220421"</f>
        <v>152326195501220421</v>
      </c>
      <c r="E8029" s="1" t="s">
        <v>15</v>
      </c>
      <c r="F8029" s="1" t="s">
        <v>16</v>
      </c>
      <c r="G8029" s="1" t="s">
        <v>17</v>
      </c>
      <c r="H8029" s="1" t="str">
        <f>"69"</f>
        <v>69</v>
      </c>
      <c r="I8029" s="1" t="str">
        <f>"155.1"</f>
        <v>155.1</v>
      </c>
      <c r="J8029" s="1" t="str">
        <f t="shared" ref="J8029:N8029" si="5878">"0"</f>
        <v>0</v>
      </c>
      <c r="K8029" s="1" t="str">
        <f t="shared" si="5857"/>
        <v>103</v>
      </c>
      <c r="L8029" s="1" t="str">
        <f t="shared" si="5858"/>
        <v>47</v>
      </c>
      <c r="M8029" s="1" t="str">
        <f t="shared" si="5878"/>
        <v>0</v>
      </c>
      <c r="N8029" s="1" t="str">
        <f t="shared" si="5878"/>
        <v>0</v>
      </c>
      <c r="O8029" s="1" t="str">
        <f>"5.1"</f>
        <v>5.1</v>
      </c>
    </row>
    <row r="8030" s="1" customFormat="1" spans="1:15">
      <c r="A8030" s="1" t="str">
        <f t="shared" si="5843"/>
        <v>202406</v>
      </c>
      <c r="B8030" s="1" t="str">
        <f t="shared" si="5844"/>
        <v>150525100</v>
      </c>
      <c r="C8030" s="1" t="str">
        <f>"1014584971"</f>
        <v>1014584971</v>
      </c>
      <c r="D8030" s="1" t="str">
        <f>"152326195606190425"</f>
        <v>152326195606190425</v>
      </c>
      <c r="E8030" s="1" t="s">
        <v>7675</v>
      </c>
      <c r="F8030" s="1" t="s">
        <v>16</v>
      </c>
      <c r="G8030" s="1" t="s">
        <v>17</v>
      </c>
      <c r="H8030" s="1" t="str">
        <f>"68"</f>
        <v>68</v>
      </c>
      <c r="I8030" s="1" t="str">
        <f>"156"</f>
        <v>156</v>
      </c>
      <c r="J8030" s="1" t="str">
        <f t="shared" ref="J8030:N8030" si="5879">"0"</f>
        <v>0</v>
      </c>
      <c r="K8030" s="1" t="str">
        <f t="shared" si="5857"/>
        <v>103</v>
      </c>
      <c r="L8030" s="1" t="str">
        <f t="shared" si="5858"/>
        <v>47</v>
      </c>
      <c r="M8030" s="1" t="str">
        <f t="shared" si="5879"/>
        <v>0</v>
      </c>
      <c r="N8030" s="1" t="str">
        <f t="shared" si="5879"/>
        <v>0</v>
      </c>
      <c r="O8030" s="1" t="str">
        <f>"6"</f>
        <v>6</v>
      </c>
    </row>
    <row r="8031" s="1" customFormat="1" spans="1:15">
      <c r="A8031" s="1" t="str">
        <f t="shared" si="5843"/>
        <v>202406</v>
      </c>
      <c r="B8031" s="1" t="str">
        <f t="shared" si="5844"/>
        <v>150525100</v>
      </c>
      <c r="C8031" s="1" t="str">
        <f>"1014584997"</f>
        <v>1014584997</v>
      </c>
      <c r="D8031" s="1" t="s">
        <v>7676</v>
      </c>
      <c r="E8031" s="1" t="s">
        <v>7677</v>
      </c>
      <c r="F8031" s="1" t="s">
        <v>16</v>
      </c>
      <c r="G8031" s="1" t="s">
        <v>17</v>
      </c>
      <c r="H8031" s="1" t="str">
        <f>"65"</f>
        <v>65</v>
      </c>
      <c r="I8031" s="1" t="str">
        <f>"158.17"</f>
        <v>158.17</v>
      </c>
      <c r="J8031" s="1" t="str">
        <f t="shared" ref="J8031:N8031" si="5880">"0"</f>
        <v>0</v>
      </c>
      <c r="K8031" s="1" t="str">
        <f t="shared" si="5857"/>
        <v>103</v>
      </c>
      <c r="L8031" s="1" t="str">
        <f t="shared" si="5858"/>
        <v>47</v>
      </c>
      <c r="M8031" s="1" t="str">
        <f t="shared" si="5880"/>
        <v>0</v>
      </c>
      <c r="N8031" s="1" t="str">
        <f t="shared" si="5880"/>
        <v>0</v>
      </c>
      <c r="O8031" s="1" t="str">
        <f>"8.17"</f>
        <v>8.17</v>
      </c>
    </row>
    <row r="8032" s="1" customFormat="1" spans="1:15">
      <c r="A8032" s="1" t="str">
        <f t="shared" si="5843"/>
        <v>202406</v>
      </c>
      <c r="B8032" s="1" t="str">
        <f t="shared" si="5844"/>
        <v>150525100</v>
      </c>
      <c r="C8032" s="1" t="str">
        <f>"1014567797"</f>
        <v>1014567797</v>
      </c>
      <c r="D8032" s="1" t="str">
        <f>"152326195808223811"</f>
        <v>152326195808223811</v>
      </c>
      <c r="E8032" s="1" t="s">
        <v>3260</v>
      </c>
      <c r="F8032" s="1" t="s">
        <v>25</v>
      </c>
      <c r="G8032" s="1" t="s">
        <v>19</v>
      </c>
      <c r="H8032" s="1" t="str">
        <f>"66"</f>
        <v>66</v>
      </c>
      <c r="I8032" s="1" t="str">
        <f>"158.07"</f>
        <v>158.07</v>
      </c>
      <c r="J8032" s="1" t="str">
        <f t="shared" ref="J8032:N8032" si="5881">"0"</f>
        <v>0</v>
      </c>
      <c r="K8032" s="1" t="str">
        <f t="shared" si="5857"/>
        <v>103</v>
      </c>
      <c r="L8032" s="1" t="str">
        <f t="shared" si="5858"/>
        <v>47</v>
      </c>
      <c r="M8032" s="1" t="str">
        <f t="shared" si="5881"/>
        <v>0</v>
      </c>
      <c r="N8032" s="1" t="str">
        <f t="shared" si="5881"/>
        <v>0</v>
      </c>
      <c r="O8032" s="1" t="str">
        <f>"8.07"</f>
        <v>8.07</v>
      </c>
    </row>
    <row r="8033" s="1" customFormat="1" spans="1:15">
      <c r="A8033" s="1" t="str">
        <f t="shared" si="5843"/>
        <v>202406</v>
      </c>
      <c r="B8033" s="1" t="str">
        <f t="shared" si="5844"/>
        <v>150525100</v>
      </c>
      <c r="C8033" s="1" t="str">
        <f>"1014562888"</f>
        <v>1014562888</v>
      </c>
      <c r="D8033" s="1" t="str">
        <f>"152326195506260414"</f>
        <v>152326195506260414</v>
      </c>
      <c r="E8033" s="1" t="s">
        <v>7678</v>
      </c>
      <c r="F8033" s="1" t="s">
        <v>25</v>
      </c>
      <c r="G8033" s="1" t="s">
        <v>17</v>
      </c>
      <c r="H8033" s="1" t="str">
        <f>"69"</f>
        <v>69</v>
      </c>
      <c r="I8033" s="1" t="str">
        <f>"155.12"</f>
        <v>155.12</v>
      </c>
      <c r="J8033" s="1" t="str">
        <f t="shared" ref="J8033:N8033" si="5882">"0"</f>
        <v>0</v>
      </c>
      <c r="K8033" s="1" t="str">
        <f t="shared" si="5857"/>
        <v>103</v>
      </c>
      <c r="L8033" s="1" t="str">
        <f t="shared" si="5858"/>
        <v>47</v>
      </c>
      <c r="M8033" s="1" t="str">
        <f t="shared" si="5882"/>
        <v>0</v>
      </c>
      <c r="N8033" s="1" t="str">
        <f t="shared" si="5882"/>
        <v>0</v>
      </c>
      <c r="O8033" s="1" t="str">
        <f>"5.12"</f>
        <v>5.12</v>
      </c>
    </row>
    <row r="8034" s="1" customFormat="1" spans="1:15">
      <c r="A8034" s="1" t="str">
        <f t="shared" si="5843"/>
        <v>202406</v>
      </c>
      <c r="B8034" s="1" t="str">
        <f t="shared" si="5844"/>
        <v>150525100</v>
      </c>
      <c r="C8034" s="1" t="str">
        <f>"1014563270"</f>
        <v>1014563270</v>
      </c>
      <c r="D8034" s="1" t="str">
        <f>"152326196004110410"</f>
        <v>152326196004110410</v>
      </c>
      <c r="E8034" s="1" t="s">
        <v>7679</v>
      </c>
      <c r="F8034" s="1" t="s">
        <v>25</v>
      </c>
      <c r="G8034" s="1" t="s">
        <v>17</v>
      </c>
      <c r="H8034" s="1" t="str">
        <f>"64"</f>
        <v>64</v>
      </c>
      <c r="I8034" s="1" t="str">
        <f>"159.22"</f>
        <v>159.22</v>
      </c>
      <c r="J8034" s="1" t="str">
        <f t="shared" ref="J8034:N8034" si="5883">"0"</f>
        <v>0</v>
      </c>
      <c r="K8034" s="1" t="str">
        <f t="shared" si="5857"/>
        <v>103</v>
      </c>
      <c r="L8034" s="1" t="str">
        <f t="shared" si="5858"/>
        <v>47</v>
      </c>
      <c r="M8034" s="1" t="str">
        <f t="shared" si="5883"/>
        <v>0</v>
      </c>
      <c r="N8034" s="1" t="str">
        <f t="shared" si="5883"/>
        <v>0</v>
      </c>
      <c r="O8034" s="1" t="str">
        <f>"9.22"</f>
        <v>9.22</v>
      </c>
    </row>
    <row r="8035" s="1" customFormat="1" spans="1:15">
      <c r="A8035" s="1" t="str">
        <f t="shared" si="5843"/>
        <v>202406</v>
      </c>
      <c r="B8035" s="1" t="str">
        <f t="shared" si="5844"/>
        <v>150525100</v>
      </c>
      <c r="C8035" s="1" t="str">
        <f>"1014584076"</f>
        <v>1014584076</v>
      </c>
      <c r="D8035" s="1" t="str">
        <f>"152326195709250419"</f>
        <v>152326195709250419</v>
      </c>
      <c r="E8035" s="1" t="s">
        <v>7680</v>
      </c>
      <c r="F8035" s="1" t="s">
        <v>25</v>
      </c>
      <c r="G8035" s="1" t="s">
        <v>17</v>
      </c>
      <c r="H8035" s="1" t="str">
        <f t="shared" ref="H8035:H8037" si="5884">"67"</f>
        <v>67</v>
      </c>
      <c r="I8035" s="1" t="str">
        <f>"156.08"</f>
        <v>156.08</v>
      </c>
      <c r="J8035" s="1" t="str">
        <f t="shared" ref="J8035:N8035" si="5885">"0"</f>
        <v>0</v>
      </c>
      <c r="K8035" s="1" t="str">
        <f t="shared" si="5857"/>
        <v>103</v>
      </c>
      <c r="L8035" s="1" t="str">
        <f t="shared" si="5858"/>
        <v>47</v>
      </c>
      <c r="M8035" s="1" t="str">
        <f t="shared" si="5885"/>
        <v>0</v>
      </c>
      <c r="N8035" s="1" t="str">
        <f t="shared" si="5885"/>
        <v>0</v>
      </c>
      <c r="O8035" s="1" t="str">
        <f>"6.08"</f>
        <v>6.08</v>
      </c>
    </row>
    <row r="8036" s="1" customFormat="1" spans="1:15">
      <c r="A8036" s="1" t="str">
        <f t="shared" si="5843"/>
        <v>202406</v>
      </c>
      <c r="B8036" s="1" t="str">
        <f t="shared" si="5844"/>
        <v>150525100</v>
      </c>
      <c r="C8036" s="1" t="str">
        <f>"1014584081"</f>
        <v>1014584081</v>
      </c>
      <c r="D8036" s="1" t="str">
        <f>"152326195711120429"</f>
        <v>152326195711120429</v>
      </c>
      <c r="E8036" s="1" t="s">
        <v>7681</v>
      </c>
      <c r="F8036" s="1" t="s">
        <v>16</v>
      </c>
      <c r="G8036" s="1" t="s">
        <v>17</v>
      </c>
      <c r="H8036" s="1" t="str">
        <f t="shared" si="5884"/>
        <v>67</v>
      </c>
      <c r="I8036" s="1" t="str">
        <f>"156.1"</f>
        <v>156.1</v>
      </c>
      <c r="J8036" s="1" t="str">
        <f t="shared" ref="J8036:N8036" si="5886">"0"</f>
        <v>0</v>
      </c>
      <c r="K8036" s="1" t="str">
        <f t="shared" si="5857"/>
        <v>103</v>
      </c>
      <c r="L8036" s="1" t="str">
        <f t="shared" si="5858"/>
        <v>47</v>
      </c>
      <c r="M8036" s="1" t="str">
        <f t="shared" si="5886"/>
        <v>0</v>
      </c>
      <c r="N8036" s="1" t="str">
        <f t="shared" si="5886"/>
        <v>0</v>
      </c>
      <c r="O8036" s="1" t="str">
        <f>"6.1"</f>
        <v>6.1</v>
      </c>
    </row>
    <row r="8037" s="1" customFormat="1" spans="1:15">
      <c r="A8037" s="1" t="str">
        <f t="shared" si="5843"/>
        <v>202406</v>
      </c>
      <c r="B8037" s="1" t="str">
        <f t="shared" si="5844"/>
        <v>150525100</v>
      </c>
      <c r="C8037" s="1" t="str">
        <f>"1014584087"</f>
        <v>1014584087</v>
      </c>
      <c r="D8037" s="1" t="str">
        <f>"152326195801030427"</f>
        <v>152326195801030427</v>
      </c>
      <c r="E8037" s="1" t="s">
        <v>3963</v>
      </c>
      <c r="F8037" s="1" t="s">
        <v>16</v>
      </c>
      <c r="G8037" s="1" t="s">
        <v>17</v>
      </c>
      <c r="H8037" s="1" t="str">
        <f t="shared" si="5884"/>
        <v>67</v>
      </c>
      <c r="I8037" s="1" t="str">
        <f>"157.05"</f>
        <v>157.05</v>
      </c>
      <c r="J8037" s="1" t="str">
        <f t="shared" ref="J8037:N8037" si="5887">"0"</f>
        <v>0</v>
      </c>
      <c r="K8037" s="1" t="str">
        <f t="shared" si="5857"/>
        <v>103</v>
      </c>
      <c r="L8037" s="1" t="str">
        <f t="shared" si="5858"/>
        <v>47</v>
      </c>
      <c r="M8037" s="1" t="str">
        <f t="shared" si="5887"/>
        <v>0</v>
      </c>
      <c r="N8037" s="1" t="str">
        <f t="shared" si="5887"/>
        <v>0</v>
      </c>
      <c r="O8037" s="1" t="str">
        <f>"7.05"</f>
        <v>7.05</v>
      </c>
    </row>
    <row r="8038" s="1" customFormat="1" spans="1:15">
      <c r="A8038" s="1" t="str">
        <f t="shared" si="5843"/>
        <v>202406</v>
      </c>
      <c r="B8038" s="1" t="str">
        <f t="shared" si="5844"/>
        <v>150525100</v>
      </c>
      <c r="C8038" s="1" t="str">
        <f>"1014549945"</f>
        <v>1014549945</v>
      </c>
      <c r="D8038" s="1" t="str">
        <f>"152326195507150671"</f>
        <v>152326195507150671</v>
      </c>
      <c r="E8038" s="1" t="s">
        <v>7682</v>
      </c>
      <c r="F8038" s="1" t="s">
        <v>25</v>
      </c>
      <c r="G8038" s="1" t="s">
        <v>17</v>
      </c>
      <c r="H8038" s="1" t="str">
        <f>"69"</f>
        <v>69</v>
      </c>
      <c r="I8038" s="1" t="str">
        <f>"155.11"</f>
        <v>155.11</v>
      </c>
      <c r="J8038" s="1" t="str">
        <f t="shared" ref="J8038:N8038" si="5888">"0"</f>
        <v>0</v>
      </c>
      <c r="K8038" s="1" t="str">
        <f t="shared" si="5857"/>
        <v>103</v>
      </c>
      <c r="L8038" s="1" t="str">
        <f t="shared" si="5858"/>
        <v>47</v>
      </c>
      <c r="M8038" s="1" t="str">
        <f t="shared" si="5888"/>
        <v>0</v>
      </c>
      <c r="N8038" s="1" t="str">
        <f t="shared" si="5888"/>
        <v>0</v>
      </c>
      <c r="O8038" s="1" t="str">
        <f>"5.11"</f>
        <v>5.11</v>
      </c>
    </row>
    <row r="8039" s="1" customFormat="1" spans="1:15">
      <c r="A8039" s="1" t="str">
        <f t="shared" si="5843"/>
        <v>202406</v>
      </c>
      <c r="B8039" s="1" t="str">
        <f t="shared" si="5844"/>
        <v>150525100</v>
      </c>
      <c r="C8039" s="1" t="str">
        <f>"1014549951"</f>
        <v>1014549951</v>
      </c>
      <c r="D8039" s="1" t="str">
        <f>"152326195509163345"</f>
        <v>152326195509163345</v>
      </c>
      <c r="E8039" s="1" t="s">
        <v>7683</v>
      </c>
      <c r="F8039" s="1" t="s">
        <v>16</v>
      </c>
      <c r="G8039" s="1" t="s">
        <v>17</v>
      </c>
      <c r="H8039" s="1" t="str">
        <f>"69"</f>
        <v>69</v>
      </c>
      <c r="I8039" s="1" t="str">
        <f>"155.1"</f>
        <v>155.1</v>
      </c>
      <c r="J8039" s="1" t="str">
        <f t="shared" ref="J8039:N8039" si="5889">"0"</f>
        <v>0</v>
      </c>
      <c r="K8039" s="1" t="str">
        <f t="shared" si="5857"/>
        <v>103</v>
      </c>
      <c r="L8039" s="1" t="str">
        <f t="shared" si="5858"/>
        <v>47</v>
      </c>
      <c r="M8039" s="1" t="str">
        <f t="shared" si="5889"/>
        <v>0</v>
      </c>
      <c r="N8039" s="1" t="str">
        <f t="shared" si="5889"/>
        <v>0</v>
      </c>
      <c r="O8039" s="1" t="str">
        <f>"5.1"</f>
        <v>5.1</v>
      </c>
    </row>
    <row r="8040" s="1" customFormat="1" spans="1:15">
      <c r="A8040" s="1" t="str">
        <f t="shared" si="5843"/>
        <v>202406</v>
      </c>
      <c r="B8040" s="1" t="str">
        <f t="shared" si="5844"/>
        <v>150525100</v>
      </c>
      <c r="C8040" s="1" t="str">
        <f>"1014549062"</f>
        <v>1014549062</v>
      </c>
      <c r="D8040" s="1" t="str">
        <f>"152326196011103331"</f>
        <v>152326196011103331</v>
      </c>
      <c r="E8040" s="1" t="s">
        <v>7684</v>
      </c>
      <c r="F8040" s="1" t="s">
        <v>25</v>
      </c>
      <c r="G8040" s="1" t="s">
        <v>19</v>
      </c>
      <c r="H8040" s="1" t="str">
        <f>"64"</f>
        <v>64</v>
      </c>
      <c r="I8040" s="1" t="str">
        <f>"159.29"</f>
        <v>159.29</v>
      </c>
      <c r="J8040" s="1" t="str">
        <f t="shared" ref="J8040:N8040" si="5890">"0"</f>
        <v>0</v>
      </c>
      <c r="K8040" s="1" t="str">
        <f t="shared" si="5857"/>
        <v>103</v>
      </c>
      <c r="L8040" s="1" t="str">
        <f t="shared" si="5858"/>
        <v>47</v>
      </c>
      <c r="M8040" s="1" t="str">
        <f t="shared" si="5890"/>
        <v>0</v>
      </c>
      <c r="N8040" s="1" t="str">
        <f t="shared" si="5890"/>
        <v>0</v>
      </c>
      <c r="O8040" s="1" t="str">
        <f>"9.29"</f>
        <v>9.29</v>
      </c>
    </row>
    <row r="8041" s="1" customFormat="1" spans="1:15">
      <c r="A8041" s="1" t="str">
        <f t="shared" si="5843"/>
        <v>202406</v>
      </c>
      <c r="B8041" s="1" t="str">
        <f t="shared" si="5844"/>
        <v>150525100</v>
      </c>
      <c r="C8041" s="1" t="str">
        <f>"1040832975"</f>
        <v>1040832975</v>
      </c>
      <c r="D8041" s="1" t="str">
        <f>"152326195310083823"</f>
        <v>152326195310083823</v>
      </c>
      <c r="E8041" s="1" t="s">
        <v>209</v>
      </c>
      <c r="F8041" s="1" t="s">
        <v>16</v>
      </c>
      <c r="G8041" s="1" t="s">
        <v>17</v>
      </c>
      <c r="H8041" s="1" t="str">
        <f>"71"</f>
        <v>71</v>
      </c>
      <c r="I8041" s="1" t="str">
        <f>"162.57"</f>
        <v>162.57</v>
      </c>
      <c r="J8041" s="1" t="str">
        <f t="shared" ref="J8041:N8041" si="5891">"0"</f>
        <v>0</v>
      </c>
      <c r="K8041" s="1" t="str">
        <f t="shared" si="5857"/>
        <v>103</v>
      </c>
      <c r="L8041" s="1" t="str">
        <f t="shared" si="5858"/>
        <v>47</v>
      </c>
      <c r="M8041" s="1" t="str">
        <f t="shared" si="5891"/>
        <v>0</v>
      </c>
      <c r="N8041" s="1" t="str">
        <f t="shared" si="5891"/>
        <v>0</v>
      </c>
      <c r="O8041" s="1" t="str">
        <f>"2.57"</f>
        <v>2.57</v>
      </c>
    </row>
    <row r="8042" s="1" customFormat="1" spans="1:15">
      <c r="A8042" s="1" t="str">
        <f t="shared" si="5843"/>
        <v>202406</v>
      </c>
      <c r="B8042" s="1" t="str">
        <f t="shared" si="5844"/>
        <v>150525100</v>
      </c>
      <c r="C8042" s="1" t="str">
        <f>"1040832983"</f>
        <v>1040832983</v>
      </c>
      <c r="D8042" s="1" t="str">
        <f>"152326195404140948"</f>
        <v>152326195404140948</v>
      </c>
      <c r="E8042" s="1" t="s">
        <v>7685</v>
      </c>
      <c r="F8042" s="1" t="s">
        <v>16</v>
      </c>
      <c r="G8042" s="1" t="s">
        <v>19</v>
      </c>
      <c r="H8042" s="1" t="str">
        <f t="shared" ref="H8042:H8047" si="5892">"70"</f>
        <v>70</v>
      </c>
      <c r="I8042" s="1" t="str">
        <f>"163.28"</f>
        <v>163.28</v>
      </c>
      <c r="J8042" s="1" t="str">
        <f t="shared" ref="J8042:N8042" si="5893">"0"</f>
        <v>0</v>
      </c>
      <c r="K8042" s="1" t="str">
        <f t="shared" si="5857"/>
        <v>103</v>
      </c>
      <c r="L8042" s="1" t="str">
        <f t="shared" si="5858"/>
        <v>47</v>
      </c>
      <c r="M8042" s="1" t="str">
        <f t="shared" si="5893"/>
        <v>0</v>
      </c>
      <c r="N8042" s="1" t="str">
        <f t="shared" si="5893"/>
        <v>0</v>
      </c>
      <c r="O8042" s="1" t="str">
        <f>"3.28"</f>
        <v>3.28</v>
      </c>
    </row>
    <row r="8043" s="1" customFormat="1" spans="1:15">
      <c r="A8043" s="1" t="str">
        <f t="shared" si="5843"/>
        <v>202406</v>
      </c>
      <c r="B8043" s="1" t="str">
        <f t="shared" si="5844"/>
        <v>150525100</v>
      </c>
      <c r="C8043" s="1" t="str">
        <f>"1040832990"</f>
        <v>1040832990</v>
      </c>
      <c r="D8043" s="1" t="str">
        <f>"152326195208080925"</f>
        <v>152326195208080925</v>
      </c>
      <c r="E8043" s="1" t="s">
        <v>7686</v>
      </c>
      <c r="F8043" s="1" t="s">
        <v>16</v>
      </c>
      <c r="G8043" s="1" t="s">
        <v>19</v>
      </c>
      <c r="H8043" s="1" t="str">
        <f t="shared" ref="H8043:H8048" si="5894">"72"</f>
        <v>72</v>
      </c>
      <c r="I8043" s="1" t="str">
        <f>"161.54"</f>
        <v>161.54</v>
      </c>
      <c r="J8043" s="1" t="str">
        <f t="shared" ref="J8043:N8043" si="5895">"0"</f>
        <v>0</v>
      </c>
      <c r="K8043" s="1" t="str">
        <f t="shared" si="5857"/>
        <v>103</v>
      </c>
      <c r="L8043" s="1" t="str">
        <f t="shared" si="5858"/>
        <v>47</v>
      </c>
      <c r="M8043" s="1" t="str">
        <f t="shared" si="5895"/>
        <v>0</v>
      </c>
      <c r="N8043" s="1" t="str">
        <f t="shared" si="5895"/>
        <v>0</v>
      </c>
      <c r="O8043" s="1" t="str">
        <f>"1.54"</f>
        <v>1.54</v>
      </c>
    </row>
    <row r="8044" s="1" customFormat="1" spans="1:15">
      <c r="A8044" s="1" t="str">
        <f t="shared" si="5843"/>
        <v>202406</v>
      </c>
      <c r="B8044" s="1" t="str">
        <f t="shared" si="5844"/>
        <v>150525100</v>
      </c>
      <c r="C8044" s="1" t="str">
        <f>"1040833002"</f>
        <v>1040833002</v>
      </c>
      <c r="D8044" s="1" t="str">
        <f>"152326195410100686"</f>
        <v>152326195410100686</v>
      </c>
      <c r="E8044" s="1" t="s">
        <v>7687</v>
      </c>
      <c r="F8044" s="1" t="s">
        <v>16</v>
      </c>
      <c r="G8044" s="1" t="s">
        <v>17</v>
      </c>
      <c r="H8044" s="1" t="str">
        <f t="shared" si="5892"/>
        <v>70</v>
      </c>
      <c r="I8044" s="1" t="str">
        <f>"153.56"</f>
        <v>153.56</v>
      </c>
      <c r="J8044" s="1" t="str">
        <f t="shared" ref="J8044:N8044" si="5896">"0"</f>
        <v>0</v>
      </c>
      <c r="K8044" s="1" t="str">
        <f t="shared" si="5857"/>
        <v>103</v>
      </c>
      <c r="L8044" s="1" t="str">
        <f t="shared" si="5858"/>
        <v>47</v>
      </c>
      <c r="M8044" s="1" t="str">
        <f t="shared" si="5896"/>
        <v>0</v>
      </c>
      <c r="N8044" s="1" t="str">
        <f t="shared" si="5896"/>
        <v>0</v>
      </c>
      <c r="O8044" s="1" t="str">
        <f>"3.56"</f>
        <v>3.56</v>
      </c>
    </row>
    <row r="8045" s="1" customFormat="1" spans="1:15">
      <c r="A8045" s="1" t="str">
        <f t="shared" si="5843"/>
        <v>202406</v>
      </c>
      <c r="B8045" s="1" t="str">
        <f t="shared" si="5844"/>
        <v>150525100</v>
      </c>
      <c r="C8045" s="1" t="str">
        <f>"1040833032"</f>
        <v>1040833032</v>
      </c>
      <c r="D8045" s="1" t="str">
        <f>"150525195204061180"</f>
        <v>150525195204061180</v>
      </c>
      <c r="E8045" s="1" t="s">
        <v>3680</v>
      </c>
      <c r="F8045" s="1" t="s">
        <v>16</v>
      </c>
      <c r="G8045" s="1" t="s">
        <v>17</v>
      </c>
      <c r="H8045" s="1" t="str">
        <f t="shared" si="5894"/>
        <v>72</v>
      </c>
      <c r="I8045" s="1" t="str">
        <f>"174.27"</f>
        <v>174.27</v>
      </c>
      <c r="J8045" s="1" t="str">
        <f t="shared" ref="J8045:N8045" si="5897">"0"</f>
        <v>0</v>
      </c>
      <c r="K8045" s="1" t="str">
        <f t="shared" si="5857"/>
        <v>103</v>
      </c>
      <c r="L8045" s="1" t="str">
        <f t="shared" si="5858"/>
        <v>47</v>
      </c>
      <c r="M8045" s="1" t="str">
        <f t="shared" si="5897"/>
        <v>0</v>
      </c>
      <c r="N8045" s="1" t="str">
        <f t="shared" si="5897"/>
        <v>0</v>
      </c>
      <c r="O8045" s="1" t="str">
        <f>"14.27"</f>
        <v>14.27</v>
      </c>
    </row>
    <row r="8046" s="1" customFormat="1" spans="1:15">
      <c r="A8046" s="1" t="str">
        <f t="shared" si="5843"/>
        <v>202406</v>
      </c>
      <c r="B8046" s="1" t="str">
        <f t="shared" si="5844"/>
        <v>150525100</v>
      </c>
      <c r="C8046" s="1" t="str">
        <f>"1040833033"</f>
        <v>1040833033</v>
      </c>
      <c r="D8046" s="1" t="s">
        <v>7688</v>
      </c>
      <c r="E8046" s="1" t="s">
        <v>7689</v>
      </c>
      <c r="F8046" s="1" t="s">
        <v>16</v>
      </c>
      <c r="G8046" s="1" t="s">
        <v>17</v>
      </c>
      <c r="H8046" s="1" t="str">
        <f>"69"</f>
        <v>69</v>
      </c>
      <c r="I8046" s="1" t="str">
        <f>"164.01"</f>
        <v>164.01</v>
      </c>
      <c r="J8046" s="1" t="str">
        <f t="shared" ref="J8046:N8046" si="5898">"0"</f>
        <v>0</v>
      </c>
      <c r="K8046" s="1" t="str">
        <f t="shared" si="5857"/>
        <v>103</v>
      </c>
      <c r="L8046" s="1" t="str">
        <f t="shared" si="5858"/>
        <v>47</v>
      </c>
      <c r="M8046" s="1" t="str">
        <f t="shared" si="5898"/>
        <v>0</v>
      </c>
      <c r="N8046" s="1" t="str">
        <f t="shared" si="5898"/>
        <v>0</v>
      </c>
      <c r="O8046" s="1" t="str">
        <f>"14.01"</f>
        <v>14.01</v>
      </c>
    </row>
    <row r="8047" s="1" customFormat="1" spans="1:15">
      <c r="A8047" s="1" t="str">
        <f t="shared" si="5843"/>
        <v>202406</v>
      </c>
      <c r="B8047" s="1" t="str">
        <f t="shared" si="5844"/>
        <v>150525100</v>
      </c>
      <c r="C8047" s="1" t="str">
        <f>"1014567820"</f>
        <v>1014567820</v>
      </c>
      <c r="D8047" s="1" t="str">
        <f>"152326195412153810"</f>
        <v>152326195412153810</v>
      </c>
      <c r="E8047" s="1" t="s">
        <v>7690</v>
      </c>
      <c r="F8047" s="1" t="s">
        <v>25</v>
      </c>
      <c r="G8047" s="1" t="s">
        <v>19</v>
      </c>
      <c r="H8047" s="1" t="str">
        <f t="shared" si="5892"/>
        <v>70</v>
      </c>
      <c r="I8047" s="1" t="str">
        <f>"154.15"</f>
        <v>154.15</v>
      </c>
      <c r="J8047" s="1" t="str">
        <f t="shared" ref="J8047:N8047" si="5899">"0"</f>
        <v>0</v>
      </c>
      <c r="K8047" s="1" t="str">
        <f t="shared" si="5857"/>
        <v>103</v>
      </c>
      <c r="L8047" s="1" t="str">
        <f t="shared" si="5858"/>
        <v>47</v>
      </c>
      <c r="M8047" s="1" t="str">
        <f t="shared" si="5899"/>
        <v>0</v>
      </c>
      <c r="N8047" s="1" t="str">
        <f t="shared" si="5899"/>
        <v>0</v>
      </c>
      <c r="O8047" s="1" t="str">
        <f>"4.15"</f>
        <v>4.15</v>
      </c>
    </row>
    <row r="8048" s="1" customFormat="1" spans="1:15">
      <c r="A8048" s="1" t="str">
        <f t="shared" si="5843"/>
        <v>202406</v>
      </c>
      <c r="B8048" s="1" t="str">
        <f t="shared" si="5844"/>
        <v>150525100</v>
      </c>
      <c r="C8048" s="1" t="str">
        <f>"1014567839"</f>
        <v>1014567839</v>
      </c>
      <c r="D8048" s="1" t="str">
        <f>"152326195210023823"</f>
        <v>152326195210023823</v>
      </c>
      <c r="E8048" s="1" t="s">
        <v>7691</v>
      </c>
      <c r="F8048" s="1" t="s">
        <v>16</v>
      </c>
      <c r="G8048" s="1" t="s">
        <v>19</v>
      </c>
      <c r="H8048" s="1" t="str">
        <f t="shared" si="5894"/>
        <v>72</v>
      </c>
      <c r="I8048" s="1" t="str">
        <f>"162.15"</f>
        <v>162.15</v>
      </c>
      <c r="J8048" s="1" t="str">
        <f t="shared" ref="J8048:N8048" si="5900">"0"</f>
        <v>0</v>
      </c>
      <c r="K8048" s="1" t="str">
        <f t="shared" si="5857"/>
        <v>103</v>
      </c>
      <c r="L8048" s="1" t="str">
        <f t="shared" si="5858"/>
        <v>47</v>
      </c>
      <c r="M8048" s="1" t="str">
        <f t="shared" si="5900"/>
        <v>0</v>
      </c>
      <c r="N8048" s="1" t="str">
        <f t="shared" si="5900"/>
        <v>0</v>
      </c>
      <c r="O8048" s="1" t="str">
        <f>"2.15"</f>
        <v>2.15</v>
      </c>
    </row>
    <row r="8049" s="1" customFormat="1" spans="1:15">
      <c r="A8049" s="1" t="str">
        <f t="shared" si="5843"/>
        <v>202406</v>
      </c>
      <c r="B8049" s="1" t="str">
        <f t="shared" si="5844"/>
        <v>150525100</v>
      </c>
      <c r="C8049" s="1" t="str">
        <f>"1014562920"</f>
        <v>1014562920</v>
      </c>
      <c r="D8049" s="1" t="str">
        <f>"152326195309140421"</f>
        <v>152326195309140421</v>
      </c>
      <c r="E8049" s="1" t="s">
        <v>7692</v>
      </c>
      <c r="F8049" s="1" t="s">
        <v>16</v>
      </c>
      <c r="G8049" s="1" t="s">
        <v>17</v>
      </c>
      <c r="H8049" s="1" t="str">
        <f>"71"</f>
        <v>71</v>
      </c>
      <c r="I8049" s="1" t="str">
        <f>"163.18"</f>
        <v>163.18</v>
      </c>
      <c r="J8049" s="1" t="str">
        <f t="shared" ref="J8049:N8049" si="5901">"0"</f>
        <v>0</v>
      </c>
      <c r="K8049" s="1" t="str">
        <f t="shared" si="5857"/>
        <v>103</v>
      </c>
      <c r="L8049" s="1" t="str">
        <f t="shared" si="5858"/>
        <v>47</v>
      </c>
      <c r="M8049" s="1" t="str">
        <f t="shared" si="5901"/>
        <v>0</v>
      </c>
      <c r="N8049" s="1" t="str">
        <f t="shared" si="5901"/>
        <v>0</v>
      </c>
      <c r="O8049" s="1" t="str">
        <f>"3.18"</f>
        <v>3.18</v>
      </c>
    </row>
    <row r="8050" s="1" customFormat="1" spans="1:15">
      <c r="A8050" s="1" t="str">
        <f t="shared" si="5843"/>
        <v>202406</v>
      </c>
      <c r="B8050" s="1" t="str">
        <f t="shared" si="5844"/>
        <v>150525100</v>
      </c>
      <c r="C8050" s="1" t="str">
        <f>"1014569697"</f>
        <v>1014569697</v>
      </c>
      <c r="D8050" s="1" t="str">
        <f>"152326195511260419"</f>
        <v>152326195511260419</v>
      </c>
      <c r="E8050" s="1" t="s">
        <v>7693</v>
      </c>
      <c r="F8050" s="1" t="s">
        <v>25</v>
      </c>
      <c r="G8050" s="1" t="s">
        <v>17</v>
      </c>
      <c r="H8050" s="1" t="str">
        <f>"69"</f>
        <v>69</v>
      </c>
      <c r="I8050" s="1" t="str">
        <f>"155.1"</f>
        <v>155.1</v>
      </c>
      <c r="J8050" s="1" t="str">
        <f t="shared" ref="J8050:N8050" si="5902">"0"</f>
        <v>0</v>
      </c>
      <c r="K8050" s="1" t="str">
        <f t="shared" si="5857"/>
        <v>103</v>
      </c>
      <c r="L8050" s="1" t="str">
        <f t="shared" si="5858"/>
        <v>47</v>
      </c>
      <c r="M8050" s="1" t="str">
        <f t="shared" si="5902"/>
        <v>0</v>
      </c>
      <c r="N8050" s="1" t="str">
        <f t="shared" si="5902"/>
        <v>0</v>
      </c>
      <c r="O8050" s="1" t="str">
        <f>"5.1"</f>
        <v>5.1</v>
      </c>
    </row>
    <row r="8051" s="1" customFormat="1" spans="1:15">
      <c r="A8051" s="1" t="str">
        <f t="shared" si="5843"/>
        <v>202406</v>
      </c>
      <c r="B8051" s="1" t="str">
        <f t="shared" si="5844"/>
        <v>150525100</v>
      </c>
      <c r="C8051" s="1" t="str">
        <f>"1014569704"</f>
        <v>1014569704</v>
      </c>
      <c r="D8051" s="1" t="str">
        <f>"152326196201160425"</f>
        <v>152326196201160425</v>
      </c>
      <c r="E8051" s="1" t="s">
        <v>7694</v>
      </c>
      <c r="F8051" s="1" t="s">
        <v>16</v>
      </c>
      <c r="G8051" s="1" t="s">
        <v>17</v>
      </c>
      <c r="H8051" s="1" t="str">
        <f t="shared" ref="H8051:H8053" si="5903">"62"</f>
        <v>62</v>
      </c>
      <c r="I8051" s="1" t="str">
        <f>"162.89"</f>
        <v>162.89</v>
      </c>
      <c r="J8051" s="1" t="str">
        <f t="shared" ref="J8051:N8051" si="5904">"0"</f>
        <v>0</v>
      </c>
      <c r="K8051" s="1" t="str">
        <f t="shared" si="5857"/>
        <v>103</v>
      </c>
      <c r="L8051" s="1" t="str">
        <f t="shared" si="5858"/>
        <v>47</v>
      </c>
      <c r="M8051" s="1" t="str">
        <f t="shared" si="5904"/>
        <v>0</v>
      </c>
      <c r="N8051" s="1" t="str">
        <f t="shared" si="5904"/>
        <v>0</v>
      </c>
      <c r="O8051" s="1" t="str">
        <f>"12.89"</f>
        <v>12.89</v>
      </c>
    </row>
    <row r="8052" s="1" customFormat="1" spans="1:15">
      <c r="A8052" s="1" t="str">
        <f t="shared" si="5843"/>
        <v>202406</v>
      </c>
      <c r="B8052" s="1" t="str">
        <f t="shared" si="5844"/>
        <v>150525100</v>
      </c>
      <c r="C8052" s="1" t="str">
        <f>"1014569706"</f>
        <v>1014569706</v>
      </c>
      <c r="D8052" s="1" t="str">
        <f>"152326196204150425"</f>
        <v>152326196204150425</v>
      </c>
      <c r="E8052" s="1" t="s">
        <v>7695</v>
      </c>
      <c r="F8052" s="1" t="s">
        <v>16</v>
      </c>
      <c r="G8052" s="1" t="s">
        <v>96</v>
      </c>
      <c r="H8052" s="1" t="str">
        <f t="shared" si="5903"/>
        <v>62</v>
      </c>
      <c r="I8052" s="1" t="str">
        <f>"166.72"</f>
        <v>166.72</v>
      </c>
      <c r="J8052" s="1" t="str">
        <f t="shared" ref="J8052:N8052" si="5905">"0"</f>
        <v>0</v>
      </c>
      <c r="K8052" s="1" t="str">
        <f t="shared" si="5857"/>
        <v>103</v>
      </c>
      <c r="L8052" s="1" t="str">
        <f t="shared" si="5858"/>
        <v>47</v>
      </c>
      <c r="M8052" s="1" t="str">
        <f t="shared" si="5905"/>
        <v>0</v>
      </c>
      <c r="N8052" s="1" t="str">
        <f t="shared" si="5905"/>
        <v>0</v>
      </c>
      <c r="O8052" s="1" t="str">
        <f>"16.72"</f>
        <v>16.72</v>
      </c>
    </row>
    <row r="8053" s="1" customFormat="1" spans="1:15">
      <c r="A8053" s="1" t="str">
        <f t="shared" si="5843"/>
        <v>202406</v>
      </c>
      <c r="B8053" s="1" t="str">
        <f t="shared" si="5844"/>
        <v>150525100</v>
      </c>
      <c r="C8053" s="1" t="str">
        <f>"1014569711"</f>
        <v>1014569711</v>
      </c>
      <c r="D8053" s="1" t="str">
        <f>"152326196210200425"</f>
        <v>152326196210200425</v>
      </c>
      <c r="E8053" s="1" t="s">
        <v>7696</v>
      </c>
      <c r="F8053" s="1" t="s">
        <v>16</v>
      </c>
      <c r="G8053" s="1" t="s">
        <v>17</v>
      </c>
      <c r="H8053" s="1" t="str">
        <f t="shared" si="5903"/>
        <v>62</v>
      </c>
      <c r="I8053" s="1" t="str">
        <f>"162.92"</f>
        <v>162.92</v>
      </c>
      <c r="J8053" s="1" t="str">
        <f t="shared" ref="J8053:N8053" si="5906">"0"</f>
        <v>0</v>
      </c>
      <c r="K8053" s="1" t="str">
        <f t="shared" si="5857"/>
        <v>103</v>
      </c>
      <c r="L8053" s="1" t="str">
        <f t="shared" si="5858"/>
        <v>47</v>
      </c>
      <c r="M8053" s="1" t="str">
        <f t="shared" si="5906"/>
        <v>0</v>
      </c>
      <c r="N8053" s="1" t="str">
        <f t="shared" si="5906"/>
        <v>0</v>
      </c>
      <c r="O8053" s="1" t="str">
        <f>"12.92"</f>
        <v>12.92</v>
      </c>
    </row>
    <row r="8054" s="1" customFormat="1" spans="1:15">
      <c r="A8054" s="1" t="str">
        <f t="shared" si="5843"/>
        <v>202406</v>
      </c>
      <c r="B8054" s="1" t="str">
        <f t="shared" si="5844"/>
        <v>150525100</v>
      </c>
      <c r="C8054" s="1" t="str">
        <f>"1014569722"</f>
        <v>1014569722</v>
      </c>
      <c r="D8054" s="1" t="str">
        <f>"152326196309270415"</f>
        <v>152326196309270415</v>
      </c>
      <c r="E8054" s="1" t="s">
        <v>7697</v>
      </c>
      <c r="F8054" s="1" t="s">
        <v>25</v>
      </c>
      <c r="G8054" s="1" t="s">
        <v>17</v>
      </c>
      <c r="H8054" s="1" t="str">
        <f>"61"</f>
        <v>61</v>
      </c>
      <c r="I8054" s="1" t="str">
        <f>"165.07"</f>
        <v>165.07</v>
      </c>
      <c r="J8054" s="1" t="str">
        <f t="shared" ref="J8054:N8054" si="5907">"0"</f>
        <v>0</v>
      </c>
      <c r="K8054" s="1" t="str">
        <f t="shared" si="5857"/>
        <v>103</v>
      </c>
      <c r="L8054" s="1" t="str">
        <f t="shared" si="5858"/>
        <v>47</v>
      </c>
      <c r="M8054" s="1" t="str">
        <f t="shared" si="5907"/>
        <v>0</v>
      </c>
      <c r="N8054" s="1" t="str">
        <f t="shared" si="5907"/>
        <v>0</v>
      </c>
      <c r="O8054" s="1" t="str">
        <f>"15.07"</f>
        <v>15.07</v>
      </c>
    </row>
    <row r="8055" s="1" customFormat="1" spans="1:15">
      <c r="A8055" s="1" t="str">
        <f t="shared" si="5843"/>
        <v>202406</v>
      </c>
      <c r="B8055" s="1" t="str">
        <f t="shared" si="5844"/>
        <v>150525100</v>
      </c>
      <c r="C8055" s="1" t="str">
        <f>"1014585047"</f>
        <v>1014585047</v>
      </c>
      <c r="D8055" s="1" t="str">
        <f>"152326195403220671"</f>
        <v>152326195403220671</v>
      </c>
      <c r="E8055" s="1" t="s">
        <v>7698</v>
      </c>
      <c r="F8055" s="1" t="s">
        <v>25</v>
      </c>
      <c r="G8055" s="1" t="s">
        <v>17</v>
      </c>
      <c r="H8055" s="1" t="str">
        <f>"70"</f>
        <v>70</v>
      </c>
      <c r="I8055" s="1" t="str">
        <f>"163.44"</f>
        <v>163.44</v>
      </c>
      <c r="J8055" s="1" t="str">
        <f t="shared" ref="J8055:N8055" si="5908">"0"</f>
        <v>0</v>
      </c>
      <c r="K8055" s="1" t="str">
        <f t="shared" si="5857"/>
        <v>103</v>
      </c>
      <c r="L8055" s="1" t="str">
        <f t="shared" si="5858"/>
        <v>47</v>
      </c>
      <c r="M8055" s="1" t="str">
        <f t="shared" si="5908"/>
        <v>0</v>
      </c>
      <c r="N8055" s="1" t="str">
        <f t="shared" si="5908"/>
        <v>0</v>
      </c>
      <c r="O8055" s="1" t="str">
        <f>"3.44"</f>
        <v>3.44</v>
      </c>
    </row>
    <row r="8056" s="1" customFormat="1" spans="1:15">
      <c r="A8056" s="1" t="str">
        <f t="shared" si="5843"/>
        <v>202406</v>
      </c>
      <c r="B8056" s="1" t="str">
        <f t="shared" si="5844"/>
        <v>150525100</v>
      </c>
      <c r="C8056" s="1" t="str">
        <f>"1014561108"</f>
        <v>1014561108</v>
      </c>
      <c r="D8056" s="1" t="str">
        <f>"152326196304030447"</f>
        <v>152326196304030447</v>
      </c>
      <c r="E8056" s="1" t="s">
        <v>7699</v>
      </c>
      <c r="F8056" s="1" t="s">
        <v>16</v>
      </c>
      <c r="G8056" s="1" t="s">
        <v>17</v>
      </c>
      <c r="H8056" s="1" t="str">
        <f>"61"</f>
        <v>61</v>
      </c>
      <c r="I8056" s="1" t="str">
        <f>"182.68"</f>
        <v>182.68</v>
      </c>
      <c r="J8056" s="1" t="str">
        <f t="shared" ref="J8056:N8056" si="5909">"0"</f>
        <v>0</v>
      </c>
      <c r="K8056" s="1" t="str">
        <f t="shared" si="5857"/>
        <v>103</v>
      </c>
      <c r="L8056" s="1" t="str">
        <f t="shared" si="5858"/>
        <v>47</v>
      </c>
      <c r="M8056" s="1" t="str">
        <f t="shared" si="5909"/>
        <v>0</v>
      </c>
      <c r="N8056" s="1" t="str">
        <f t="shared" si="5909"/>
        <v>0</v>
      </c>
      <c r="O8056" s="1" t="str">
        <f>"32.68"</f>
        <v>32.68</v>
      </c>
    </row>
    <row r="8057" s="1" customFormat="1" spans="1:15">
      <c r="A8057" s="1" t="str">
        <f t="shared" si="5843"/>
        <v>202406</v>
      </c>
      <c r="B8057" s="1" t="str">
        <f t="shared" si="5844"/>
        <v>150525100</v>
      </c>
      <c r="C8057" s="1" t="str">
        <f>"1014561128"</f>
        <v>1014561128</v>
      </c>
      <c r="D8057" s="1" t="str">
        <f>"152326195310100443"</f>
        <v>152326195310100443</v>
      </c>
      <c r="E8057" s="1" t="s">
        <v>4466</v>
      </c>
      <c r="F8057" s="1" t="s">
        <v>16</v>
      </c>
      <c r="G8057" s="1" t="s">
        <v>17</v>
      </c>
      <c r="H8057" s="1" t="str">
        <f>"71"</f>
        <v>71</v>
      </c>
      <c r="I8057" s="1" t="str">
        <f>"186.15"</f>
        <v>186.15</v>
      </c>
      <c r="J8057" s="1" t="str">
        <f t="shared" ref="J8057:N8057" si="5910">"0"</f>
        <v>0</v>
      </c>
      <c r="K8057" s="1" t="str">
        <f t="shared" si="5857"/>
        <v>103</v>
      </c>
      <c r="L8057" s="1" t="str">
        <f t="shared" si="5858"/>
        <v>47</v>
      </c>
      <c r="M8057" s="1" t="str">
        <f t="shared" si="5910"/>
        <v>0</v>
      </c>
      <c r="N8057" s="1" t="str">
        <f t="shared" si="5910"/>
        <v>0</v>
      </c>
      <c r="O8057" s="1" t="str">
        <f>"26.15"</f>
        <v>26.15</v>
      </c>
    </row>
    <row r="8058" s="1" customFormat="1" spans="1:15">
      <c r="A8058" s="1" t="str">
        <f t="shared" si="5843"/>
        <v>202406</v>
      </c>
      <c r="B8058" s="1" t="str">
        <f t="shared" si="5844"/>
        <v>150525100</v>
      </c>
      <c r="C8058" s="1" t="str">
        <f>"1014561185"</f>
        <v>1014561185</v>
      </c>
      <c r="D8058" s="1" t="str">
        <f>"152326195612260426"</f>
        <v>152326195612260426</v>
      </c>
      <c r="E8058" s="1" t="s">
        <v>7700</v>
      </c>
      <c r="F8058" s="1" t="s">
        <v>16</v>
      </c>
      <c r="G8058" s="1" t="s">
        <v>19</v>
      </c>
      <c r="H8058" s="1" t="str">
        <f>"68"</f>
        <v>68</v>
      </c>
      <c r="I8058" s="1" t="str">
        <f>"156.02"</f>
        <v>156.02</v>
      </c>
      <c r="J8058" s="1" t="str">
        <f t="shared" ref="J8058:N8058" si="5911">"0"</f>
        <v>0</v>
      </c>
      <c r="K8058" s="1" t="str">
        <f t="shared" si="5857"/>
        <v>103</v>
      </c>
      <c r="L8058" s="1" t="str">
        <f t="shared" si="5858"/>
        <v>47</v>
      </c>
      <c r="M8058" s="1" t="str">
        <f t="shared" si="5911"/>
        <v>0</v>
      </c>
      <c r="N8058" s="1" t="str">
        <f t="shared" si="5911"/>
        <v>0</v>
      </c>
      <c r="O8058" s="1" t="str">
        <f>"6.02"</f>
        <v>6.02</v>
      </c>
    </row>
    <row r="8059" s="1" customFormat="1" spans="1:15">
      <c r="A8059" s="1" t="str">
        <f t="shared" si="5843"/>
        <v>202406</v>
      </c>
      <c r="B8059" s="1" t="str">
        <f t="shared" si="5844"/>
        <v>150525100</v>
      </c>
      <c r="C8059" s="1" t="str">
        <f>"1014561187"</f>
        <v>1014561187</v>
      </c>
      <c r="D8059" s="1" t="str">
        <f>"152326195701100440"</f>
        <v>152326195701100440</v>
      </c>
      <c r="E8059" s="1" t="s">
        <v>2951</v>
      </c>
      <c r="F8059" s="1" t="s">
        <v>16</v>
      </c>
      <c r="G8059" s="1" t="s">
        <v>17</v>
      </c>
      <c r="H8059" s="1" t="str">
        <f>"67"</f>
        <v>67</v>
      </c>
      <c r="I8059" s="1" t="str">
        <f>"157.03"</f>
        <v>157.03</v>
      </c>
      <c r="J8059" s="1" t="str">
        <f t="shared" ref="J8059:N8059" si="5912">"0"</f>
        <v>0</v>
      </c>
      <c r="K8059" s="1" t="str">
        <f t="shared" si="5857"/>
        <v>103</v>
      </c>
      <c r="L8059" s="1" t="str">
        <f t="shared" si="5858"/>
        <v>47</v>
      </c>
      <c r="M8059" s="1" t="str">
        <f t="shared" si="5912"/>
        <v>0</v>
      </c>
      <c r="N8059" s="1" t="str">
        <f t="shared" si="5912"/>
        <v>0</v>
      </c>
      <c r="O8059" s="1" t="str">
        <f>"7.03"</f>
        <v>7.03</v>
      </c>
    </row>
    <row r="8060" s="1" customFormat="1" spans="1:15">
      <c r="A8060" s="1" t="str">
        <f t="shared" si="5843"/>
        <v>202406</v>
      </c>
      <c r="B8060" s="1" t="str">
        <f t="shared" si="5844"/>
        <v>150525100</v>
      </c>
      <c r="C8060" s="1" t="str">
        <f>"1014562931"</f>
        <v>1014562931</v>
      </c>
      <c r="D8060" s="1" t="str">
        <f>"152326196005200485"</f>
        <v>152326196005200485</v>
      </c>
      <c r="E8060" s="1" t="s">
        <v>7701</v>
      </c>
      <c r="F8060" s="1" t="s">
        <v>16</v>
      </c>
      <c r="G8060" s="1" t="s">
        <v>17</v>
      </c>
      <c r="H8060" s="1" t="str">
        <f>"64"</f>
        <v>64</v>
      </c>
      <c r="I8060" s="1" t="str">
        <f>"159.23"</f>
        <v>159.23</v>
      </c>
      <c r="J8060" s="1" t="str">
        <f t="shared" ref="J8060:N8060" si="5913">"0"</f>
        <v>0</v>
      </c>
      <c r="K8060" s="1" t="str">
        <f t="shared" si="5857"/>
        <v>103</v>
      </c>
      <c r="L8060" s="1" t="str">
        <f t="shared" si="5858"/>
        <v>47</v>
      </c>
      <c r="M8060" s="1" t="str">
        <f t="shared" si="5913"/>
        <v>0</v>
      </c>
      <c r="N8060" s="1" t="str">
        <f t="shared" si="5913"/>
        <v>0</v>
      </c>
      <c r="O8060" s="1" t="str">
        <f>"9.23"</f>
        <v>9.23</v>
      </c>
    </row>
    <row r="8061" s="1" customFormat="1" spans="1:15">
      <c r="A8061" s="1" t="str">
        <f t="shared" si="5843"/>
        <v>202406</v>
      </c>
      <c r="B8061" s="1" t="str">
        <f t="shared" si="5844"/>
        <v>150525100</v>
      </c>
      <c r="C8061" s="1" t="str">
        <f>"1014569753"</f>
        <v>1014569753</v>
      </c>
      <c r="D8061" s="1" t="str">
        <f>"152326195707120426"</f>
        <v>152326195707120426</v>
      </c>
      <c r="E8061" s="1" t="s">
        <v>681</v>
      </c>
      <c r="F8061" s="1" t="s">
        <v>16</v>
      </c>
      <c r="G8061" s="1" t="s">
        <v>17</v>
      </c>
      <c r="H8061" s="1" t="str">
        <f>"67"</f>
        <v>67</v>
      </c>
      <c r="I8061" s="1" t="str">
        <f>"2061.63"</f>
        <v>2061.63</v>
      </c>
      <c r="J8061" s="1" t="str">
        <f t="shared" ref="J8061:O8061" si="5914">"0"</f>
        <v>0</v>
      </c>
      <c r="K8061" s="1" t="str">
        <f t="shared" si="5914"/>
        <v>0</v>
      </c>
      <c r="L8061" s="1" t="str">
        <f t="shared" si="5914"/>
        <v>0</v>
      </c>
      <c r="M8061" s="1" t="str">
        <f t="shared" si="5914"/>
        <v>0</v>
      </c>
      <c r="N8061" s="1" t="str">
        <f t="shared" si="5914"/>
        <v>0</v>
      </c>
      <c r="O8061" s="1" t="str">
        <f t="shared" si="5914"/>
        <v>0</v>
      </c>
    </row>
    <row r="8062" s="1" customFormat="1" spans="1:15">
      <c r="A8062" s="1" t="str">
        <f t="shared" si="5843"/>
        <v>202406</v>
      </c>
      <c r="B8062" s="1" t="str">
        <f t="shared" si="5844"/>
        <v>150525100</v>
      </c>
      <c r="C8062" s="1" t="str">
        <f>"1014585060"</f>
        <v>1014585060</v>
      </c>
      <c r="D8062" s="1" t="str">
        <f>"152326195409080673"</f>
        <v>152326195409080673</v>
      </c>
      <c r="E8062" s="1" t="s">
        <v>7702</v>
      </c>
      <c r="F8062" s="1" t="s">
        <v>25</v>
      </c>
      <c r="G8062" s="1" t="s">
        <v>17</v>
      </c>
      <c r="H8062" s="1" t="str">
        <f t="shared" ref="H8062:H8064" si="5915">"70"</f>
        <v>70</v>
      </c>
      <c r="I8062" s="1" t="str">
        <f t="shared" ref="I8062:I8064" si="5916">"154.14"</f>
        <v>154.14</v>
      </c>
      <c r="J8062" s="1" t="str">
        <f t="shared" ref="J8062:N8062" si="5917">"0"</f>
        <v>0</v>
      </c>
      <c r="K8062" s="1" t="str">
        <f t="shared" ref="K8062:K8067" si="5918">"103"</f>
        <v>103</v>
      </c>
      <c r="L8062" s="1" t="str">
        <f t="shared" ref="L8062:L8067" si="5919">"47"</f>
        <v>47</v>
      </c>
      <c r="M8062" s="1" t="str">
        <f t="shared" si="5917"/>
        <v>0</v>
      </c>
      <c r="N8062" s="1" t="str">
        <f t="shared" si="5917"/>
        <v>0</v>
      </c>
      <c r="O8062" s="1" t="str">
        <f t="shared" ref="O8062:O8064" si="5920">"4.14"</f>
        <v>4.14</v>
      </c>
    </row>
    <row r="8063" s="1" customFormat="1" spans="1:15">
      <c r="A8063" s="1" t="str">
        <f t="shared" si="5843"/>
        <v>202406</v>
      </c>
      <c r="B8063" s="1" t="str">
        <f t="shared" si="5844"/>
        <v>150525100</v>
      </c>
      <c r="C8063" s="1" t="str">
        <f>"1014585066"</f>
        <v>1014585066</v>
      </c>
      <c r="D8063" s="1" t="str">
        <f>"152326195410090422"</f>
        <v>152326195410090422</v>
      </c>
      <c r="E8063" s="1" t="s">
        <v>386</v>
      </c>
      <c r="F8063" s="1" t="s">
        <v>16</v>
      </c>
      <c r="G8063" s="1" t="s">
        <v>17</v>
      </c>
      <c r="H8063" s="1" t="str">
        <f t="shared" si="5915"/>
        <v>70</v>
      </c>
      <c r="I8063" s="1" t="str">
        <f t="shared" si="5916"/>
        <v>154.14</v>
      </c>
      <c r="J8063" s="1" t="str">
        <f t="shared" ref="J8063:N8063" si="5921">"0"</f>
        <v>0</v>
      </c>
      <c r="K8063" s="1" t="str">
        <f t="shared" si="5918"/>
        <v>103</v>
      </c>
      <c r="L8063" s="1" t="str">
        <f t="shared" si="5919"/>
        <v>47</v>
      </c>
      <c r="M8063" s="1" t="str">
        <f t="shared" si="5921"/>
        <v>0</v>
      </c>
      <c r="N8063" s="1" t="str">
        <f t="shared" si="5921"/>
        <v>0</v>
      </c>
      <c r="O8063" s="1" t="str">
        <f t="shared" si="5920"/>
        <v>4.14</v>
      </c>
    </row>
    <row r="8064" s="1" customFormat="1" spans="1:15">
      <c r="A8064" s="1" t="str">
        <f t="shared" si="5843"/>
        <v>202406</v>
      </c>
      <c r="B8064" s="1" t="str">
        <f t="shared" si="5844"/>
        <v>150525100</v>
      </c>
      <c r="C8064" s="1" t="str">
        <f>"1014585068"</f>
        <v>1014585068</v>
      </c>
      <c r="D8064" s="1" t="str">
        <f>"152326195410250668"</f>
        <v>152326195410250668</v>
      </c>
      <c r="E8064" s="1" t="s">
        <v>1967</v>
      </c>
      <c r="F8064" s="1" t="s">
        <v>16</v>
      </c>
      <c r="G8064" s="1" t="s">
        <v>17</v>
      </c>
      <c r="H8064" s="1" t="str">
        <f t="shared" si="5915"/>
        <v>70</v>
      </c>
      <c r="I8064" s="1" t="str">
        <f t="shared" si="5916"/>
        <v>154.14</v>
      </c>
      <c r="J8064" s="1" t="str">
        <f t="shared" ref="J8064:N8064" si="5922">"0"</f>
        <v>0</v>
      </c>
      <c r="K8064" s="1" t="str">
        <f t="shared" si="5918"/>
        <v>103</v>
      </c>
      <c r="L8064" s="1" t="str">
        <f t="shared" si="5919"/>
        <v>47</v>
      </c>
      <c r="M8064" s="1" t="str">
        <f t="shared" si="5922"/>
        <v>0</v>
      </c>
      <c r="N8064" s="1" t="str">
        <f t="shared" si="5922"/>
        <v>0</v>
      </c>
      <c r="O8064" s="1" t="str">
        <f t="shared" si="5920"/>
        <v>4.14</v>
      </c>
    </row>
    <row r="8065" s="1" customFormat="1" spans="1:15">
      <c r="A8065" s="1" t="str">
        <f t="shared" si="5843"/>
        <v>202406</v>
      </c>
      <c r="B8065" s="1" t="str">
        <f t="shared" si="5844"/>
        <v>150525100</v>
      </c>
      <c r="C8065" s="1" t="str">
        <f>"1014561206"</f>
        <v>1014561206</v>
      </c>
      <c r="D8065" s="1" t="str">
        <f>"152326195710220428"</f>
        <v>152326195710220428</v>
      </c>
      <c r="E8065" s="1" t="s">
        <v>7703</v>
      </c>
      <c r="F8065" s="1" t="s">
        <v>16</v>
      </c>
      <c r="G8065" s="1" t="s">
        <v>17</v>
      </c>
      <c r="H8065" s="1" t="str">
        <f>"67"</f>
        <v>67</v>
      </c>
      <c r="I8065" s="1" t="str">
        <f>"156.1"</f>
        <v>156.1</v>
      </c>
      <c r="J8065" s="1" t="str">
        <f t="shared" ref="J8065:N8065" si="5923">"0"</f>
        <v>0</v>
      </c>
      <c r="K8065" s="1" t="str">
        <f t="shared" si="5918"/>
        <v>103</v>
      </c>
      <c r="L8065" s="1" t="str">
        <f t="shared" si="5919"/>
        <v>47</v>
      </c>
      <c r="M8065" s="1" t="str">
        <f t="shared" si="5923"/>
        <v>0</v>
      </c>
      <c r="N8065" s="1" t="str">
        <f t="shared" si="5923"/>
        <v>0</v>
      </c>
      <c r="O8065" s="1" t="str">
        <f>"6.1"</f>
        <v>6.1</v>
      </c>
    </row>
    <row r="8066" s="1" customFormat="1" spans="1:15">
      <c r="A8066" s="1" t="str">
        <f t="shared" ref="A8066:A8129" si="5924">"202406"</f>
        <v>202406</v>
      </c>
      <c r="B8066" s="1" t="str">
        <f t="shared" ref="B8066:B8129" si="5925">"150525100"</f>
        <v>150525100</v>
      </c>
      <c r="C8066" s="1" t="str">
        <f>"1040833144"</f>
        <v>1040833144</v>
      </c>
      <c r="D8066" s="1" t="s">
        <v>7704</v>
      </c>
      <c r="E8066" s="1" t="s">
        <v>5313</v>
      </c>
      <c r="F8066" s="1" t="s">
        <v>16</v>
      </c>
      <c r="G8066" s="1" t="s">
        <v>17</v>
      </c>
      <c r="H8066" s="1" t="str">
        <f>"69"</f>
        <v>69</v>
      </c>
      <c r="I8066" s="1" t="str">
        <f>"154.51"</f>
        <v>154.51</v>
      </c>
      <c r="J8066" s="1" t="str">
        <f t="shared" ref="J8066:N8066" si="5926">"0"</f>
        <v>0</v>
      </c>
      <c r="K8066" s="1" t="str">
        <f t="shared" si="5918"/>
        <v>103</v>
      </c>
      <c r="L8066" s="1" t="str">
        <f t="shared" si="5919"/>
        <v>47</v>
      </c>
      <c r="M8066" s="1" t="str">
        <f t="shared" si="5926"/>
        <v>0</v>
      </c>
      <c r="N8066" s="1" t="str">
        <f t="shared" si="5926"/>
        <v>0</v>
      </c>
      <c r="O8066" s="1" t="str">
        <f>"4.51"</f>
        <v>4.51</v>
      </c>
    </row>
    <row r="8067" s="1" customFormat="1" spans="1:15">
      <c r="A8067" s="1" t="str">
        <f t="shared" si="5924"/>
        <v>202406</v>
      </c>
      <c r="B8067" s="1" t="str">
        <f t="shared" si="5925"/>
        <v>150525100</v>
      </c>
      <c r="C8067" s="1" t="str">
        <f>"1040833158"</f>
        <v>1040833158</v>
      </c>
      <c r="D8067" s="1" t="str">
        <f>"152326194501120012"</f>
        <v>152326194501120012</v>
      </c>
      <c r="E8067" s="1" t="s">
        <v>7705</v>
      </c>
      <c r="F8067" s="1" t="s">
        <v>25</v>
      </c>
      <c r="G8067" s="1" t="s">
        <v>17</v>
      </c>
      <c r="H8067" s="1" t="str">
        <f>"79"</f>
        <v>79</v>
      </c>
      <c r="I8067" s="1" t="str">
        <f>"160"</f>
        <v>160</v>
      </c>
      <c r="J8067" s="1" t="str">
        <f t="shared" ref="J8067:O8067" si="5927">"0"</f>
        <v>0</v>
      </c>
      <c r="K8067" s="1" t="str">
        <f t="shared" si="5918"/>
        <v>103</v>
      </c>
      <c r="L8067" s="1" t="str">
        <f t="shared" si="5919"/>
        <v>47</v>
      </c>
      <c r="M8067" s="1" t="str">
        <f t="shared" si="5927"/>
        <v>0</v>
      </c>
      <c r="N8067" s="1" t="str">
        <f t="shared" si="5927"/>
        <v>0</v>
      </c>
      <c r="O8067" s="1" t="str">
        <f t="shared" si="5927"/>
        <v>0</v>
      </c>
    </row>
    <row r="8068" s="1" customFormat="1" spans="1:15">
      <c r="A8068" s="1" t="str">
        <f t="shared" si="5924"/>
        <v>202406</v>
      </c>
      <c r="B8068" s="1" t="str">
        <f t="shared" si="5925"/>
        <v>150525100</v>
      </c>
      <c r="C8068" s="1" t="str">
        <f>"1040833184"</f>
        <v>1040833184</v>
      </c>
      <c r="D8068" s="1" t="str">
        <f>"152326193901290921"</f>
        <v>152326193901290921</v>
      </c>
      <c r="E8068" s="1" t="s">
        <v>7706</v>
      </c>
      <c r="F8068" s="1" t="s">
        <v>16</v>
      </c>
      <c r="G8068" s="1" t="s">
        <v>17</v>
      </c>
      <c r="H8068" s="1" t="str">
        <f>"85"</f>
        <v>85</v>
      </c>
      <c r="I8068" s="1" t="str">
        <f>"1800"</f>
        <v>1800</v>
      </c>
      <c r="J8068" s="1" t="str">
        <f t="shared" ref="J8068:O8068" si="5928">"0"</f>
        <v>0</v>
      </c>
      <c r="K8068" s="1" t="str">
        <f t="shared" si="5928"/>
        <v>0</v>
      </c>
      <c r="L8068" s="1" t="str">
        <f t="shared" si="5928"/>
        <v>0</v>
      </c>
      <c r="M8068" s="1" t="str">
        <f t="shared" si="5928"/>
        <v>0</v>
      </c>
      <c r="N8068" s="1" t="str">
        <f t="shared" si="5928"/>
        <v>0</v>
      </c>
      <c r="O8068" s="1" t="str">
        <f t="shared" si="5928"/>
        <v>0</v>
      </c>
    </row>
    <row r="8069" s="1" customFormat="1" spans="1:15">
      <c r="A8069" s="1" t="str">
        <f t="shared" si="5924"/>
        <v>202406</v>
      </c>
      <c r="B8069" s="1" t="str">
        <f t="shared" si="5925"/>
        <v>150525100</v>
      </c>
      <c r="C8069" s="1" t="str">
        <f>"1040833206"</f>
        <v>1040833206</v>
      </c>
      <c r="D8069" s="1" t="str">
        <f>"152326195511210411"</f>
        <v>152326195511210411</v>
      </c>
      <c r="E8069" s="1" t="s">
        <v>7707</v>
      </c>
      <c r="F8069" s="1" t="s">
        <v>25</v>
      </c>
      <c r="G8069" s="1" t="s">
        <v>17</v>
      </c>
      <c r="H8069" s="1" t="str">
        <f>"69"</f>
        <v>69</v>
      </c>
      <c r="I8069" s="1" t="str">
        <f>"154.28"</f>
        <v>154.28</v>
      </c>
      <c r="J8069" s="1" t="str">
        <f t="shared" ref="J8069:N8069" si="5929">"0"</f>
        <v>0</v>
      </c>
      <c r="K8069" s="1" t="str">
        <f t="shared" ref="K8069:K8085" si="5930">"103"</f>
        <v>103</v>
      </c>
      <c r="L8069" s="1" t="str">
        <f t="shared" ref="L8069:L8085" si="5931">"47"</f>
        <v>47</v>
      </c>
      <c r="M8069" s="1" t="str">
        <f t="shared" si="5929"/>
        <v>0</v>
      </c>
      <c r="N8069" s="1" t="str">
        <f t="shared" si="5929"/>
        <v>0</v>
      </c>
      <c r="O8069" s="1" t="str">
        <f>"4.28"</f>
        <v>4.28</v>
      </c>
    </row>
    <row r="8070" s="1" customFormat="1" spans="1:15">
      <c r="A8070" s="1" t="str">
        <f t="shared" si="5924"/>
        <v>202406</v>
      </c>
      <c r="B8070" s="1" t="str">
        <f t="shared" si="5925"/>
        <v>150525100</v>
      </c>
      <c r="C8070" s="1" t="str">
        <f>"1040833223"</f>
        <v>1040833223</v>
      </c>
      <c r="D8070" s="1" t="str">
        <f>"152326194403030662"</f>
        <v>152326194403030662</v>
      </c>
      <c r="E8070" s="1" t="s">
        <v>7708</v>
      </c>
      <c r="F8070" s="1" t="s">
        <v>16</v>
      </c>
      <c r="G8070" s="1" t="s">
        <v>17</v>
      </c>
      <c r="H8070" s="1" t="str">
        <f>"80"</f>
        <v>80</v>
      </c>
      <c r="I8070" s="1" t="str">
        <f>"170"</f>
        <v>170</v>
      </c>
      <c r="J8070" s="1" t="str">
        <f t="shared" ref="J8070:O8070" si="5932">"0"</f>
        <v>0</v>
      </c>
      <c r="K8070" s="1" t="str">
        <f t="shared" si="5930"/>
        <v>103</v>
      </c>
      <c r="L8070" s="1" t="str">
        <f t="shared" si="5931"/>
        <v>47</v>
      </c>
      <c r="M8070" s="1" t="str">
        <f t="shared" si="5932"/>
        <v>0</v>
      </c>
      <c r="N8070" s="1" t="str">
        <f t="shared" si="5932"/>
        <v>0</v>
      </c>
      <c r="O8070" s="1" t="str">
        <f t="shared" si="5932"/>
        <v>0</v>
      </c>
    </row>
    <row r="8071" s="1" customFormat="1" spans="1:15">
      <c r="A8071" s="1" t="str">
        <f t="shared" si="5924"/>
        <v>202406</v>
      </c>
      <c r="B8071" s="1" t="str">
        <f t="shared" si="5925"/>
        <v>150525100</v>
      </c>
      <c r="C8071" s="1" t="str">
        <f>"1014567877"</f>
        <v>1014567877</v>
      </c>
      <c r="D8071" s="1" t="str">
        <f>"152326195609203818"</f>
        <v>152326195609203818</v>
      </c>
      <c r="E8071" s="1" t="s">
        <v>7709</v>
      </c>
      <c r="F8071" s="1" t="s">
        <v>25</v>
      </c>
      <c r="G8071" s="1" t="s">
        <v>19</v>
      </c>
      <c r="H8071" s="1" t="str">
        <f>"68"</f>
        <v>68</v>
      </c>
      <c r="I8071" s="1" t="str">
        <f>"155.72"</f>
        <v>155.72</v>
      </c>
      <c r="J8071" s="1" t="str">
        <f t="shared" ref="J8071:N8071" si="5933">"0"</f>
        <v>0</v>
      </c>
      <c r="K8071" s="1" t="str">
        <f t="shared" si="5930"/>
        <v>103</v>
      </c>
      <c r="L8071" s="1" t="str">
        <f t="shared" si="5931"/>
        <v>47</v>
      </c>
      <c r="M8071" s="1" t="str">
        <f t="shared" si="5933"/>
        <v>0</v>
      </c>
      <c r="N8071" s="1" t="str">
        <f t="shared" si="5933"/>
        <v>0</v>
      </c>
      <c r="O8071" s="1" t="str">
        <f>"5.72"</f>
        <v>5.72</v>
      </c>
    </row>
    <row r="8072" s="1" customFormat="1" spans="1:15">
      <c r="A8072" s="1" t="str">
        <f t="shared" si="5924"/>
        <v>202406</v>
      </c>
      <c r="B8072" s="1" t="str">
        <f t="shared" si="5925"/>
        <v>150525100</v>
      </c>
      <c r="C8072" s="1" t="str">
        <f>"1014569755"</f>
        <v>1014569755</v>
      </c>
      <c r="D8072" s="1" t="str">
        <f>"152326195708250441"</f>
        <v>152326195708250441</v>
      </c>
      <c r="E8072" s="1" t="s">
        <v>7710</v>
      </c>
      <c r="F8072" s="1" t="s">
        <v>16</v>
      </c>
      <c r="G8072" s="1" t="s">
        <v>17</v>
      </c>
      <c r="H8072" s="1" t="str">
        <f>"67"</f>
        <v>67</v>
      </c>
      <c r="I8072" s="1" t="str">
        <f>"156.08"</f>
        <v>156.08</v>
      </c>
      <c r="J8072" s="1" t="str">
        <f t="shared" ref="J8072:N8072" si="5934">"0"</f>
        <v>0</v>
      </c>
      <c r="K8072" s="1" t="str">
        <f t="shared" si="5930"/>
        <v>103</v>
      </c>
      <c r="L8072" s="1" t="str">
        <f t="shared" si="5931"/>
        <v>47</v>
      </c>
      <c r="M8072" s="1" t="str">
        <f t="shared" si="5934"/>
        <v>0</v>
      </c>
      <c r="N8072" s="1" t="str">
        <f t="shared" si="5934"/>
        <v>0</v>
      </c>
      <c r="O8072" s="1" t="str">
        <f>"6.08"</f>
        <v>6.08</v>
      </c>
    </row>
    <row r="8073" s="1" customFormat="1" spans="1:15">
      <c r="A8073" s="1" t="str">
        <f t="shared" si="5924"/>
        <v>202406</v>
      </c>
      <c r="B8073" s="1" t="str">
        <f t="shared" si="5925"/>
        <v>150525100</v>
      </c>
      <c r="C8073" s="1" t="str">
        <f>"1014569770"</f>
        <v>1014569770</v>
      </c>
      <c r="D8073" s="1" t="str">
        <f>"152326195809160461"</f>
        <v>152326195809160461</v>
      </c>
      <c r="E8073" s="1" t="s">
        <v>7711</v>
      </c>
      <c r="F8073" s="1" t="s">
        <v>16</v>
      </c>
      <c r="G8073" s="1" t="s">
        <v>17</v>
      </c>
      <c r="H8073" s="1" t="str">
        <f>"66"</f>
        <v>66</v>
      </c>
      <c r="I8073" s="1" t="str">
        <f>"157.13"</f>
        <v>157.13</v>
      </c>
      <c r="J8073" s="1" t="str">
        <f t="shared" ref="J8073:N8073" si="5935">"0"</f>
        <v>0</v>
      </c>
      <c r="K8073" s="1" t="str">
        <f t="shared" si="5930"/>
        <v>103</v>
      </c>
      <c r="L8073" s="1" t="str">
        <f t="shared" si="5931"/>
        <v>47</v>
      </c>
      <c r="M8073" s="1" t="str">
        <f t="shared" si="5935"/>
        <v>0</v>
      </c>
      <c r="N8073" s="1" t="str">
        <f t="shared" si="5935"/>
        <v>0</v>
      </c>
      <c r="O8073" s="1" t="str">
        <f>"7.13"</f>
        <v>7.13</v>
      </c>
    </row>
    <row r="8074" s="1" customFormat="1" spans="1:15">
      <c r="A8074" s="1" t="str">
        <f t="shared" si="5924"/>
        <v>202406</v>
      </c>
      <c r="B8074" s="1" t="str">
        <f t="shared" si="5925"/>
        <v>150525100</v>
      </c>
      <c r="C8074" s="1" t="str">
        <f>"1014569773"</f>
        <v>1014569773</v>
      </c>
      <c r="D8074" s="1" t="str">
        <f>"152326195902090410"</f>
        <v>152326195902090410</v>
      </c>
      <c r="E8074" s="1" t="s">
        <v>7712</v>
      </c>
      <c r="F8074" s="1" t="s">
        <v>25</v>
      </c>
      <c r="G8074" s="1" t="s">
        <v>17</v>
      </c>
      <c r="H8074" s="1" t="str">
        <f>"65"</f>
        <v>65</v>
      </c>
      <c r="I8074" s="1" t="str">
        <f>"158.11"</f>
        <v>158.11</v>
      </c>
      <c r="J8074" s="1" t="str">
        <f t="shared" ref="J8074:N8074" si="5936">"0"</f>
        <v>0</v>
      </c>
      <c r="K8074" s="1" t="str">
        <f t="shared" si="5930"/>
        <v>103</v>
      </c>
      <c r="L8074" s="1" t="str">
        <f t="shared" si="5931"/>
        <v>47</v>
      </c>
      <c r="M8074" s="1" t="str">
        <f t="shared" si="5936"/>
        <v>0</v>
      </c>
      <c r="N8074" s="1" t="str">
        <f t="shared" si="5936"/>
        <v>0</v>
      </c>
      <c r="O8074" s="1" t="str">
        <f>"8.11"</f>
        <v>8.11</v>
      </c>
    </row>
    <row r="8075" s="1" customFormat="1" spans="1:15">
      <c r="A8075" s="1" t="str">
        <f t="shared" si="5924"/>
        <v>202406</v>
      </c>
      <c r="B8075" s="1" t="str">
        <f t="shared" si="5925"/>
        <v>150525100</v>
      </c>
      <c r="C8075" s="1" t="str">
        <f>"1014569777"</f>
        <v>1014569777</v>
      </c>
      <c r="D8075" s="1" t="str">
        <f>"152326195912290424"</f>
        <v>152326195912290424</v>
      </c>
      <c r="E8075" s="1" t="s">
        <v>7713</v>
      </c>
      <c r="F8075" s="1" t="s">
        <v>16</v>
      </c>
      <c r="G8075" s="1" t="s">
        <v>17</v>
      </c>
      <c r="H8075" s="1" t="str">
        <f>"65"</f>
        <v>65</v>
      </c>
      <c r="I8075" s="1" t="str">
        <f>"158.22"</f>
        <v>158.22</v>
      </c>
      <c r="J8075" s="1" t="str">
        <f t="shared" ref="J8075:N8075" si="5937">"0"</f>
        <v>0</v>
      </c>
      <c r="K8075" s="1" t="str">
        <f t="shared" si="5930"/>
        <v>103</v>
      </c>
      <c r="L8075" s="1" t="str">
        <f t="shared" si="5931"/>
        <v>47</v>
      </c>
      <c r="M8075" s="1" t="str">
        <f t="shared" si="5937"/>
        <v>0</v>
      </c>
      <c r="N8075" s="1" t="str">
        <f t="shared" si="5937"/>
        <v>0</v>
      </c>
      <c r="O8075" s="1" t="str">
        <f>"8.22"</f>
        <v>8.22</v>
      </c>
    </row>
    <row r="8076" s="1" customFormat="1" spans="1:15">
      <c r="A8076" s="1" t="str">
        <f t="shared" si="5924"/>
        <v>202406</v>
      </c>
      <c r="B8076" s="1" t="str">
        <f t="shared" si="5925"/>
        <v>150525100</v>
      </c>
      <c r="C8076" s="1" t="str">
        <f>"1014569783"</f>
        <v>1014569783</v>
      </c>
      <c r="D8076" s="1" t="str">
        <f>"152326196006180439"</f>
        <v>152326196006180439</v>
      </c>
      <c r="E8076" s="1" t="s">
        <v>7714</v>
      </c>
      <c r="F8076" s="1" t="s">
        <v>25</v>
      </c>
      <c r="G8076" s="1" t="s">
        <v>17</v>
      </c>
      <c r="H8076" s="1" t="str">
        <f>"64"</f>
        <v>64</v>
      </c>
      <c r="I8076" s="1" t="str">
        <f>"159.22"</f>
        <v>159.22</v>
      </c>
      <c r="J8076" s="1" t="str">
        <f t="shared" ref="J8076:N8076" si="5938">"0"</f>
        <v>0</v>
      </c>
      <c r="K8076" s="1" t="str">
        <f t="shared" si="5930"/>
        <v>103</v>
      </c>
      <c r="L8076" s="1" t="str">
        <f t="shared" si="5931"/>
        <v>47</v>
      </c>
      <c r="M8076" s="1" t="str">
        <f t="shared" si="5938"/>
        <v>0</v>
      </c>
      <c r="N8076" s="1" t="str">
        <f t="shared" si="5938"/>
        <v>0</v>
      </c>
      <c r="O8076" s="1" t="str">
        <f>"9.22"</f>
        <v>9.22</v>
      </c>
    </row>
    <row r="8077" s="1" customFormat="1" spans="1:15">
      <c r="A8077" s="1" t="str">
        <f t="shared" si="5924"/>
        <v>202406</v>
      </c>
      <c r="B8077" s="1" t="str">
        <f t="shared" si="5925"/>
        <v>150525100</v>
      </c>
      <c r="C8077" s="1" t="str">
        <f>"1014569785"</f>
        <v>1014569785</v>
      </c>
      <c r="D8077" s="1" t="str">
        <f>"152326196012290423"</f>
        <v>152326196012290423</v>
      </c>
      <c r="E8077" s="1" t="s">
        <v>7715</v>
      </c>
      <c r="F8077" s="1" t="s">
        <v>16</v>
      </c>
      <c r="G8077" s="1" t="s">
        <v>17</v>
      </c>
      <c r="H8077" s="1" t="str">
        <f>"64"</f>
        <v>64</v>
      </c>
      <c r="I8077" s="1" t="str">
        <f>"159.29"</f>
        <v>159.29</v>
      </c>
      <c r="J8077" s="1" t="str">
        <f t="shared" ref="J8077:N8077" si="5939">"0"</f>
        <v>0</v>
      </c>
      <c r="K8077" s="1" t="str">
        <f t="shared" si="5930"/>
        <v>103</v>
      </c>
      <c r="L8077" s="1" t="str">
        <f t="shared" si="5931"/>
        <v>47</v>
      </c>
      <c r="M8077" s="1" t="str">
        <f t="shared" si="5939"/>
        <v>0</v>
      </c>
      <c r="N8077" s="1" t="str">
        <f t="shared" si="5939"/>
        <v>0</v>
      </c>
      <c r="O8077" s="1" t="str">
        <f>"9.29"</f>
        <v>9.29</v>
      </c>
    </row>
    <row r="8078" s="1" customFormat="1" spans="1:15">
      <c r="A8078" s="1" t="str">
        <f t="shared" si="5924"/>
        <v>202406</v>
      </c>
      <c r="B8078" s="1" t="str">
        <f t="shared" si="5925"/>
        <v>150525100</v>
      </c>
      <c r="C8078" s="1" t="str">
        <f>"1014550059"</f>
        <v>1014550059</v>
      </c>
      <c r="D8078" s="1" t="str">
        <f>"152326195604100676"</f>
        <v>152326195604100676</v>
      </c>
      <c r="E8078" s="1" t="s">
        <v>7716</v>
      </c>
      <c r="F8078" s="1" t="s">
        <v>25</v>
      </c>
      <c r="G8078" s="1" t="s">
        <v>19</v>
      </c>
      <c r="H8078" s="1" t="str">
        <f>"68"</f>
        <v>68</v>
      </c>
      <c r="I8078" s="1" t="str">
        <f>"156.02"</f>
        <v>156.02</v>
      </c>
      <c r="J8078" s="1" t="str">
        <f t="shared" ref="J8078:N8078" si="5940">"0"</f>
        <v>0</v>
      </c>
      <c r="K8078" s="1" t="str">
        <f t="shared" si="5930"/>
        <v>103</v>
      </c>
      <c r="L8078" s="1" t="str">
        <f t="shared" si="5931"/>
        <v>47</v>
      </c>
      <c r="M8078" s="1" t="str">
        <f t="shared" si="5940"/>
        <v>0</v>
      </c>
      <c r="N8078" s="1" t="str">
        <f t="shared" si="5940"/>
        <v>0</v>
      </c>
      <c r="O8078" s="1" t="str">
        <f>"6.02"</f>
        <v>6.02</v>
      </c>
    </row>
    <row r="8079" s="1" customFormat="1" spans="1:15">
      <c r="A8079" s="1" t="str">
        <f t="shared" si="5924"/>
        <v>202406</v>
      </c>
      <c r="B8079" s="1" t="str">
        <f t="shared" si="5925"/>
        <v>150525100</v>
      </c>
      <c r="C8079" s="1" t="str">
        <f>"1014550071"</f>
        <v>1014550071</v>
      </c>
      <c r="D8079" s="1" t="str">
        <f>"152326195608110679"</f>
        <v>152326195608110679</v>
      </c>
      <c r="E8079" s="1" t="s">
        <v>7717</v>
      </c>
      <c r="F8079" s="1" t="s">
        <v>25</v>
      </c>
      <c r="G8079" s="1" t="s">
        <v>19</v>
      </c>
      <c r="H8079" s="1" t="str">
        <f>"68"</f>
        <v>68</v>
      </c>
      <c r="I8079" s="1" t="str">
        <f>"156.02"</f>
        <v>156.02</v>
      </c>
      <c r="J8079" s="1" t="str">
        <f t="shared" ref="J8079:N8079" si="5941">"0"</f>
        <v>0</v>
      </c>
      <c r="K8079" s="1" t="str">
        <f t="shared" si="5930"/>
        <v>103</v>
      </c>
      <c r="L8079" s="1" t="str">
        <f t="shared" si="5931"/>
        <v>47</v>
      </c>
      <c r="M8079" s="1" t="str">
        <f t="shared" si="5941"/>
        <v>0</v>
      </c>
      <c r="N8079" s="1" t="str">
        <f t="shared" si="5941"/>
        <v>0</v>
      </c>
      <c r="O8079" s="1" t="str">
        <f>"6.02"</f>
        <v>6.02</v>
      </c>
    </row>
    <row r="8080" s="1" customFormat="1" spans="1:15">
      <c r="A8080" s="1" t="str">
        <f t="shared" si="5924"/>
        <v>202406</v>
      </c>
      <c r="B8080" s="1" t="str">
        <f t="shared" si="5925"/>
        <v>150525100</v>
      </c>
      <c r="C8080" s="1" t="str">
        <f>"1014550543"</f>
        <v>1014550543</v>
      </c>
      <c r="D8080" s="1" t="s">
        <v>7718</v>
      </c>
      <c r="E8080" s="1" t="s">
        <v>7719</v>
      </c>
      <c r="F8080" s="1" t="s">
        <v>25</v>
      </c>
      <c r="G8080" s="1" t="s">
        <v>19</v>
      </c>
      <c r="H8080" s="1" t="str">
        <f>"61"</f>
        <v>61</v>
      </c>
      <c r="I8080" s="1" t="str">
        <f>"164.17"</f>
        <v>164.17</v>
      </c>
      <c r="J8080" s="1" t="str">
        <f t="shared" ref="J8080:N8080" si="5942">"0"</f>
        <v>0</v>
      </c>
      <c r="K8080" s="1" t="str">
        <f t="shared" si="5930"/>
        <v>103</v>
      </c>
      <c r="L8080" s="1" t="str">
        <f t="shared" si="5931"/>
        <v>47</v>
      </c>
      <c r="M8080" s="1" t="str">
        <f t="shared" si="5942"/>
        <v>0</v>
      </c>
      <c r="N8080" s="1" t="str">
        <f t="shared" si="5942"/>
        <v>0</v>
      </c>
      <c r="O8080" s="1" t="str">
        <f>"14.17"</f>
        <v>14.17</v>
      </c>
    </row>
    <row r="8081" s="1" customFormat="1" spans="1:15">
      <c r="A8081" s="1" t="str">
        <f t="shared" si="5924"/>
        <v>202406</v>
      </c>
      <c r="B8081" s="1" t="str">
        <f t="shared" si="5925"/>
        <v>150525100</v>
      </c>
      <c r="C8081" s="1" t="str">
        <f>"1014585101"</f>
        <v>1014585101</v>
      </c>
      <c r="D8081" s="1" t="str">
        <f>"152326196205080422"</f>
        <v>152326196205080422</v>
      </c>
      <c r="E8081" s="1" t="s">
        <v>7720</v>
      </c>
      <c r="F8081" s="1" t="s">
        <v>16</v>
      </c>
      <c r="G8081" s="1" t="s">
        <v>17</v>
      </c>
      <c r="H8081" s="1" t="str">
        <f t="shared" ref="H8081:H8083" si="5943">"62"</f>
        <v>62</v>
      </c>
      <c r="I8081" s="1" t="str">
        <f>"163.01"</f>
        <v>163.01</v>
      </c>
      <c r="J8081" s="1" t="str">
        <f t="shared" ref="J8081:N8081" si="5944">"0"</f>
        <v>0</v>
      </c>
      <c r="K8081" s="1" t="str">
        <f t="shared" si="5930"/>
        <v>103</v>
      </c>
      <c r="L8081" s="1" t="str">
        <f t="shared" si="5931"/>
        <v>47</v>
      </c>
      <c r="M8081" s="1" t="str">
        <f t="shared" si="5944"/>
        <v>0</v>
      </c>
      <c r="N8081" s="1" t="str">
        <f t="shared" si="5944"/>
        <v>0</v>
      </c>
      <c r="O8081" s="1" t="str">
        <f>"13.01"</f>
        <v>13.01</v>
      </c>
    </row>
    <row r="8082" s="1" customFormat="1" spans="1:15">
      <c r="A8082" s="1" t="str">
        <f t="shared" si="5924"/>
        <v>202406</v>
      </c>
      <c r="B8082" s="1" t="str">
        <f t="shared" si="5925"/>
        <v>150525100</v>
      </c>
      <c r="C8082" s="1" t="str">
        <f>"1014585103"</f>
        <v>1014585103</v>
      </c>
      <c r="D8082" s="1" t="str">
        <f>"152326196206270420"</f>
        <v>152326196206270420</v>
      </c>
      <c r="E8082" s="1" t="s">
        <v>7721</v>
      </c>
      <c r="F8082" s="1" t="s">
        <v>16</v>
      </c>
      <c r="G8082" s="1" t="s">
        <v>17</v>
      </c>
      <c r="H8082" s="1" t="str">
        <f t="shared" si="5943"/>
        <v>62</v>
      </c>
      <c r="I8082" s="1" t="str">
        <f>"163.04"</f>
        <v>163.04</v>
      </c>
      <c r="J8082" s="1" t="str">
        <f t="shared" ref="J8082:N8082" si="5945">"0"</f>
        <v>0</v>
      </c>
      <c r="K8082" s="1" t="str">
        <f t="shared" si="5930"/>
        <v>103</v>
      </c>
      <c r="L8082" s="1" t="str">
        <f t="shared" si="5931"/>
        <v>47</v>
      </c>
      <c r="M8082" s="1" t="str">
        <f t="shared" si="5945"/>
        <v>0</v>
      </c>
      <c r="N8082" s="1" t="str">
        <f t="shared" si="5945"/>
        <v>0</v>
      </c>
      <c r="O8082" s="1" t="str">
        <f>"13.04"</f>
        <v>13.04</v>
      </c>
    </row>
    <row r="8083" s="1" customFormat="1" spans="1:15">
      <c r="A8083" s="1" t="str">
        <f t="shared" si="5924"/>
        <v>202406</v>
      </c>
      <c r="B8083" s="1" t="str">
        <f t="shared" si="5925"/>
        <v>150525100</v>
      </c>
      <c r="C8083" s="1" t="str">
        <f>"1014585108"</f>
        <v>1014585108</v>
      </c>
      <c r="D8083" s="1" t="str">
        <f>"152326196212010414"</f>
        <v>152326196212010414</v>
      </c>
      <c r="E8083" s="1" t="s">
        <v>7722</v>
      </c>
      <c r="F8083" s="1" t="s">
        <v>25</v>
      </c>
      <c r="G8083" s="1" t="s">
        <v>17</v>
      </c>
      <c r="H8083" s="1" t="str">
        <f t="shared" si="5943"/>
        <v>62</v>
      </c>
      <c r="I8083" s="1" t="str">
        <f>"163.2"</f>
        <v>163.2</v>
      </c>
      <c r="J8083" s="1" t="str">
        <f t="shared" ref="J8083:N8083" si="5946">"0"</f>
        <v>0</v>
      </c>
      <c r="K8083" s="1" t="str">
        <f t="shared" si="5930"/>
        <v>103</v>
      </c>
      <c r="L8083" s="1" t="str">
        <f t="shared" si="5931"/>
        <v>47</v>
      </c>
      <c r="M8083" s="1" t="str">
        <f t="shared" si="5946"/>
        <v>0</v>
      </c>
      <c r="N8083" s="1" t="str">
        <f t="shared" si="5946"/>
        <v>0</v>
      </c>
      <c r="O8083" s="1" t="str">
        <f>"13.2"</f>
        <v>13.2</v>
      </c>
    </row>
    <row r="8084" s="1" customFormat="1" spans="1:15">
      <c r="A8084" s="1" t="str">
        <f t="shared" si="5924"/>
        <v>202406</v>
      </c>
      <c r="B8084" s="1" t="str">
        <f t="shared" si="5925"/>
        <v>150525100</v>
      </c>
      <c r="C8084" s="1" t="str">
        <f>"1014585114"</f>
        <v>1014585114</v>
      </c>
      <c r="D8084" s="1" t="s">
        <v>7723</v>
      </c>
      <c r="E8084" s="1" t="s">
        <v>741</v>
      </c>
      <c r="F8084" s="1" t="s">
        <v>16</v>
      </c>
      <c r="G8084" s="1" t="s">
        <v>17</v>
      </c>
      <c r="H8084" s="1" t="str">
        <f>"61"</f>
        <v>61</v>
      </c>
      <c r="I8084" s="1" t="str">
        <f>"165.07"</f>
        <v>165.07</v>
      </c>
      <c r="J8084" s="1" t="str">
        <f t="shared" ref="J8084:N8084" si="5947">"0"</f>
        <v>0</v>
      </c>
      <c r="K8084" s="1" t="str">
        <f t="shared" si="5930"/>
        <v>103</v>
      </c>
      <c r="L8084" s="1" t="str">
        <f t="shared" si="5931"/>
        <v>47</v>
      </c>
      <c r="M8084" s="1" t="str">
        <f t="shared" si="5947"/>
        <v>0</v>
      </c>
      <c r="N8084" s="1" t="str">
        <f t="shared" si="5947"/>
        <v>0</v>
      </c>
      <c r="O8084" s="1" t="str">
        <f>"15.07"</f>
        <v>15.07</v>
      </c>
    </row>
    <row r="8085" s="1" customFormat="1" spans="1:15">
      <c r="A8085" s="1" t="str">
        <f t="shared" si="5924"/>
        <v>202406</v>
      </c>
      <c r="B8085" s="1" t="str">
        <f t="shared" si="5925"/>
        <v>150525100</v>
      </c>
      <c r="C8085" s="1" t="str">
        <f>"1014562489"</f>
        <v>1014562489</v>
      </c>
      <c r="D8085" s="1" t="str">
        <f>"152326195601030422"</f>
        <v>152326195601030422</v>
      </c>
      <c r="E8085" s="1" t="s">
        <v>7724</v>
      </c>
      <c r="F8085" s="1" t="s">
        <v>16</v>
      </c>
      <c r="G8085" s="1" t="s">
        <v>17</v>
      </c>
      <c r="H8085" s="1" t="str">
        <f>"69"</f>
        <v>69</v>
      </c>
      <c r="I8085" s="1" t="str">
        <f>"156.02"</f>
        <v>156.02</v>
      </c>
      <c r="J8085" s="1" t="str">
        <f t="shared" ref="J8085:N8085" si="5948">"0"</f>
        <v>0</v>
      </c>
      <c r="K8085" s="1" t="str">
        <f t="shared" si="5930"/>
        <v>103</v>
      </c>
      <c r="L8085" s="1" t="str">
        <f t="shared" si="5931"/>
        <v>47</v>
      </c>
      <c r="M8085" s="1" t="str">
        <f t="shared" si="5948"/>
        <v>0</v>
      </c>
      <c r="N8085" s="1" t="str">
        <f t="shared" si="5948"/>
        <v>0</v>
      </c>
      <c r="O8085" s="1" t="str">
        <f>"6.02"</f>
        <v>6.02</v>
      </c>
    </row>
    <row r="8086" s="1" customFormat="1" spans="1:15">
      <c r="A8086" s="1" t="str">
        <f t="shared" si="5924"/>
        <v>202406</v>
      </c>
      <c r="B8086" s="1" t="str">
        <f t="shared" si="5925"/>
        <v>150525100</v>
      </c>
      <c r="C8086" s="1" t="str">
        <f>"1014563015"</f>
        <v>1014563015</v>
      </c>
      <c r="D8086" s="1" t="str">
        <f>"152326195505020443"</f>
        <v>152326195505020443</v>
      </c>
      <c r="E8086" s="1" t="s">
        <v>7725</v>
      </c>
      <c r="F8086" s="1" t="s">
        <v>16</v>
      </c>
      <c r="G8086" s="1" t="s">
        <v>17</v>
      </c>
      <c r="H8086" s="1" t="str">
        <f>"69"</f>
        <v>69</v>
      </c>
      <c r="I8086" s="1" t="str">
        <f>"620.48"</f>
        <v>620.48</v>
      </c>
      <c r="J8086" s="1" t="str">
        <f>"465.36"</f>
        <v>465.36</v>
      </c>
      <c r="K8086" s="1" t="str">
        <f>"412"</f>
        <v>412</v>
      </c>
      <c r="L8086" s="1" t="str">
        <f>"188"</f>
        <v>188</v>
      </c>
      <c r="M8086" s="1" t="str">
        <f>"0"</f>
        <v>0</v>
      </c>
      <c r="N8086" s="1" t="str">
        <f>"0"</f>
        <v>0</v>
      </c>
      <c r="O8086" s="1" t="str">
        <f>"20.48"</f>
        <v>20.48</v>
      </c>
    </row>
    <row r="8087" s="1" customFormat="1" spans="1:15">
      <c r="A8087" s="1" t="str">
        <f t="shared" si="5924"/>
        <v>202406</v>
      </c>
      <c r="B8087" s="1" t="str">
        <f t="shared" si="5925"/>
        <v>150525100</v>
      </c>
      <c r="C8087" s="1" t="str">
        <f>"1014563018"</f>
        <v>1014563018</v>
      </c>
      <c r="D8087" s="1" t="str">
        <f>"152326195204150420"</f>
        <v>152326195204150420</v>
      </c>
      <c r="E8087" s="1" t="s">
        <v>7726</v>
      </c>
      <c r="F8087" s="1" t="s">
        <v>16</v>
      </c>
      <c r="G8087" s="1" t="s">
        <v>17</v>
      </c>
      <c r="H8087" s="1" t="str">
        <f>"72"</f>
        <v>72</v>
      </c>
      <c r="I8087" s="1" t="str">
        <f>"162.16"</f>
        <v>162.16</v>
      </c>
      <c r="J8087" s="1" t="str">
        <f t="shared" ref="J8087:N8087" si="5949">"0"</f>
        <v>0</v>
      </c>
      <c r="K8087" s="1" t="str">
        <f t="shared" ref="K8087:K8107" si="5950">"103"</f>
        <v>103</v>
      </c>
      <c r="L8087" s="1" t="str">
        <f t="shared" ref="L8087:L8107" si="5951">"47"</f>
        <v>47</v>
      </c>
      <c r="M8087" s="1" t="str">
        <f t="shared" si="5949"/>
        <v>0</v>
      </c>
      <c r="N8087" s="1" t="str">
        <f t="shared" si="5949"/>
        <v>0</v>
      </c>
      <c r="O8087" s="1" t="str">
        <f>"2.16"</f>
        <v>2.16</v>
      </c>
    </row>
    <row r="8088" s="1" customFormat="1" spans="1:15">
      <c r="A8088" s="1" t="str">
        <f t="shared" si="5924"/>
        <v>202406</v>
      </c>
      <c r="B8088" s="1" t="str">
        <f t="shared" si="5925"/>
        <v>150525100</v>
      </c>
      <c r="C8088" s="1" t="str">
        <f>"1014563382"</f>
        <v>1014563382</v>
      </c>
      <c r="D8088" s="1" t="str">
        <f>"152326196308170447"</f>
        <v>152326196308170447</v>
      </c>
      <c r="E8088" s="1" t="s">
        <v>1348</v>
      </c>
      <c r="F8088" s="1" t="s">
        <v>16</v>
      </c>
      <c r="G8088" s="1" t="s">
        <v>19</v>
      </c>
      <c r="H8088" s="1" t="str">
        <f>"61"</f>
        <v>61</v>
      </c>
      <c r="I8088" s="1" t="str">
        <f>"165.08"</f>
        <v>165.08</v>
      </c>
      <c r="J8088" s="1" t="str">
        <f t="shared" ref="J8088:N8088" si="5952">"0"</f>
        <v>0</v>
      </c>
      <c r="K8088" s="1" t="str">
        <f t="shared" si="5950"/>
        <v>103</v>
      </c>
      <c r="L8088" s="1" t="str">
        <f t="shared" si="5951"/>
        <v>47</v>
      </c>
      <c r="M8088" s="1" t="str">
        <f t="shared" si="5952"/>
        <v>0</v>
      </c>
      <c r="N8088" s="1" t="str">
        <f t="shared" si="5952"/>
        <v>0</v>
      </c>
      <c r="O8088" s="1" t="str">
        <f>"15.08"</f>
        <v>15.08</v>
      </c>
    </row>
    <row r="8089" s="1" customFormat="1" spans="1:15">
      <c r="A8089" s="1" t="str">
        <f t="shared" si="5924"/>
        <v>202406</v>
      </c>
      <c r="B8089" s="1" t="str">
        <f t="shared" si="5925"/>
        <v>150525100</v>
      </c>
      <c r="C8089" s="1" t="str">
        <f>"1014563389"</f>
        <v>1014563389</v>
      </c>
      <c r="D8089" s="1" t="str">
        <f>"152326195906060411"</f>
        <v>152326195906060411</v>
      </c>
      <c r="E8089" s="1" t="s">
        <v>7727</v>
      </c>
      <c r="F8089" s="1" t="s">
        <v>25</v>
      </c>
      <c r="G8089" s="1" t="s">
        <v>19</v>
      </c>
      <c r="H8089" s="1" t="str">
        <f>"65"</f>
        <v>65</v>
      </c>
      <c r="I8089" s="1" t="str">
        <f>"158.18"</f>
        <v>158.18</v>
      </c>
      <c r="J8089" s="1" t="str">
        <f t="shared" ref="J8089:N8089" si="5953">"0"</f>
        <v>0</v>
      </c>
      <c r="K8089" s="1" t="str">
        <f t="shared" si="5950"/>
        <v>103</v>
      </c>
      <c r="L8089" s="1" t="str">
        <f t="shared" si="5951"/>
        <v>47</v>
      </c>
      <c r="M8089" s="1" t="str">
        <f t="shared" si="5953"/>
        <v>0</v>
      </c>
      <c r="N8089" s="1" t="str">
        <f t="shared" si="5953"/>
        <v>0</v>
      </c>
      <c r="O8089" s="1" t="str">
        <f>"8.18"</f>
        <v>8.18</v>
      </c>
    </row>
    <row r="8090" s="1" customFormat="1" spans="1:15">
      <c r="A8090" s="1" t="str">
        <f t="shared" si="5924"/>
        <v>202406</v>
      </c>
      <c r="B8090" s="1" t="str">
        <f t="shared" si="5925"/>
        <v>150525100</v>
      </c>
      <c r="C8090" s="1" t="str">
        <f>"1014563393"</f>
        <v>1014563393</v>
      </c>
      <c r="D8090" s="1" t="str">
        <f>"152326196311060425"</f>
        <v>152326196311060425</v>
      </c>
      <c r="E8090" s="1" t="s">
        <v>7728</v>
      </c>
      <c r="F8090" s="1" t="s">
        <v>16</v>
      </c>
      <c r="G8090" s="1" t="s">
        <v>19</v>
      </c>
      <c r="H8090" s="1" t="str">
        <f>"61"</f>
        <v>61</v>
      </c>
      <c r="I8090" s="1" t="str">
        <f>"165.13"</f>
        <v>165.13</v>
      </c>
      <c r="J8090" s="1" t="str">
        <f t="shared" ref="J8090:N8090" si="5954">"0"</f>
        <v>0</v>
      </c>
      <c r="K8090" s="1" t="str">
        <f t="shared" si="5950"/>
        <v>103</v>
      </c>
      <c r="L8090" s="1" t="str">
        <f t="shared" si="5951"/>
        <v>47</v>
      </c>
      <c r="M8090" s="1" t="str">
        <f t="shared" si="5954"/>
        <v>0</v>
      </c>
      <c r="N8090" s="1" t="str">
        <f t="shared" si="5954"/>
        <v>0</v>
      </c>
      <c r="O8090" s="1" t="str">
        <f>"15.13"</f>
        <v>15.13</v>
      </c>
    </row>
    <row r="8091" s="1" customFormat="1" spans="1:15">
      <c r="A8091" s="1" t="str">
        <f t="shared" si="5924"/>
        <v>202406</v>
      </c>
      <c r="B8091" s="1" t="str">
        <f t="shared" si="5925"/>
        <v>150525100</v>
      </c>
      <c r="C8091" s="1" t="str">
        <f>"1014569787"</f>
        <v>1014569787</v>
      </c>
      <c r="D8091" s="1" t="str">
        <f>"152326196102130415"</f>
        <v>152326196102130415</v>
      </c>
      <c r="E8091" s="1" t="s">
        <v>7729</v>
      </c>
      <c r="F8091" s="1" t="s">
        <v>25</v>
      </c>
      <c r="G8091" s="1" t="s">
        <v>17</v>
      </c>
      <c r="H8091" s="1" t="str">
        <f>"63"</f>
        <v>63</v>
      </c>
      <c r="I8091" s="1" t="str">
        <f>"161.01"</f>
        <v>161.01</v>
      </c>
      <c r="J8091" s="1" t="str">
        <f t="shared" ref="J8091:N8091" si="5955">"0"</f>
        <v>0</v>
      </c>
      <c r="K8091" s="1" t="str">
        <f t="shared" si="5950"/>
        <v>103</v>
      </c>
      <c r="L8091" s="1" t="str">
        <f t="shared" si="5951"/>
        <v>47</v>
      </c>
      <c r="M8091" s="1" t="str">
        <f t="shared" si="5955"/>
        <v>0</v>
      </c>
      <c r="N8091" s="1" t="str">
        <f t="shared" si="5955"/>
        <v>0</v>
      </c>
      <c r="O8091" s="1" t="str">
        <f>"11.01"</f>
        <v>11.01</v>
      </c>
    </row>
    <row r="8092" s="1" customFormat="1" spans="1:15">
      <c r="A8092" s="1" t="str">
        <f t="shared" si="5924"/>
        <v>202406</v>
      </c>
      <c r="B8092" s="1" t="str">
        <f t="shared" si="5925"/>
        <v>150525100</v>
      </c>
      <c r="C8092" s="1" t="str">
        <f>"1014549586"</f>
        <v>1014549586</v>
      </c>
      <c r="D8092" s="1" t="str">
        <f>"152326196002203840"</f>
        <v>152326196002203840</v>
      </c>
      <c r="E8092" s="1" t="s">
        <v>4237</v>
      </c>
      <c r="F8092" s="1" t="s">
        <v>16</v>
      </c>
      <c r="G8092" s="1" t="s">
        <v>19</v>
      </c>
      <c r="H8092" s="1" t="str">
        <f>"64"</f>
        <v>64</v>
      </c>
      <c r="I8092" s="1" t="str">
        <f>"159.2"</f>
        <v>159.2</v>
      </c>
      <c r="J8092" s="1" t="str">
        <f t="shared" ref="J8092:N8092" si="5956">"0"</f>
        <v>0</v>
      </c>
      <c r="K8092" s="1" t="str">
        <f t="shared" si="5950"/>
        <v>103</v>
      </c>
      <c r="L8092" s="1" t="str">
        <f t="shared" si="5951"/>
        <v>47</v>
      </c>
      <c r="M8092" s="1" t="str">
        <f t="shared" si="5956"/>
        <v>0</v>
      </c>
      <c r="N8092" s="1" t="str">
        <f t="shared" si="5956"/>
        <v>0</v>
      </c>
      <c r="O8092" s="1" t="str">
        <f>"9.2"</f>
        <v>9.2</v>
      </c>
    </row>
    <row r="8093" s="1" customFormat="1" spans="1:15">
      <c r="A8093" s="1" t="str">
        <f t="shared" si="5924"/>
        <v>202406</v>
      </c>
      <c r="B8093" s="1" t="str">
        <f t="shared" si="5925"/>
        <v>150525100</v>
      </c>
      <c r="C8093" s="1" t="str">
        <f>"1014550078"</f>
        <v>1014550078</v>
      </c>
      <c r="D8093" s="1" t="str">
        <f>"152326195610013085"</f>
        <v>152326195610013085</v>
      </c>
      <c r="E8093" s="1" t="s">
        <v>7730</v>
      </c>
      <c r="F8093" s="1" t="s">
        <v>16</v>
      </c>
      <c r="G8093" s="1" t="s">
        <v>17</v>
      </c>
      <c r="H8093" s="1" t="str">
        <f>"68"</f>
        <v>68</v>
      </c>
      <c r="I8093" s="1" t="str">
        <f>"156.01"</f>
        <v>156.01</v>
      </c>
      <c r="J8093" s="1" t="str">
        <f t="shared" ref="J8093:N8093" si="5957">"0"</f>
        <v>0</v>
      </c>
      <c r="K8093" s="1" t="str">
        <f t="shared" si="5950"/>
        <v>103</v>
      </c>
      <c r="L8093" s="1" t="str">
        <f t="shared" si="5951"/>
        <v>47</v>
      </c>
      <c r="M8093" s="1" t="str">
        <f t="shared" si="5957"/>
        <v>0</v>
      </c>
      <c r="N8093" s="1" t="str">
        <f t="shared" si="5957"/>
        <v>0</v>
      </c>
      <c r="O8093" s="1" t="str">
        <f>"6.01"</f>
        <v>6.01</v>
      </c>
    </row>
    <row r="8094" s="1" customFormat="1" spans="1:15">
      <c r="A8094" s="1" t="str">
        <f t="shared" si="5924"/>
        <v>202406</v>
      </c>
      <c r="B8094" s="1" t="str">
        <f t="shared" si="5925"/>
        <v>150525100</v>
      </c>
      <c r="C8094" s="1" t="str">
        <f>"1014550575"</f>
        <v>1014550575</v>
      </c>
      <c r="D8094" s="1" t="str">
        <f>"152326195209210672"</f>
        <v>152326195209210672</v>
      </c>
      <c r="E8094" s="1" t="s">
        <v>7731</v>
      </c>
      <c r="F8094" s="1" t="s">
        <v>25</v>
      </c>
      <c r="G8094" s="1" t="s">
        <v>17</v>
      </c>
      <c r="H8094" s="1" t="str">
        <f>"72"</f>
        <v>72</v>
      </c>
      <c r="I8094" s="1" t="str">
        <f>"162.15"</f>
        <v>162.15</v>
      </c>
      <c r="J8094" s="1" t="str">
        <f t="shared" ref="J8094:N8094" si="5958">"0"</f>
        <v>0</v>
      </c>
      <c r="K8094" s="1" t="str">
        <f t="shared" si="5950"/>
        <v>103</v>
      </c>
      <c r="L8094" s="1" t="str">
        <f t="shared" si="5951"/>
        <v>47</v>
      </c>
      <c r="M8094" s="1" t="str">
        <f t="shared" si="5958"/>
        <v>0</v>
      </c>
      <c r="N8094" s="1" t="str">
        <f t="shared" si="5958"/>
        <v>0</v>
      </c>
      <c r="O8094" s="1" t="str">
        <f>"2.15"</f>
        <v>2.15</v>
      </c>
    </row>
    <row r="8095" s="1" customFormat="1" spans="1:15">
      <c r="A8095" s="1" t="str">
        <f t="shared" si="5924"/>
        <v>202406</v>
      </c>
      <c r="B8095" s="1" t="str">
        <f t="shared" si="5925"/>
        <v>150525100</v>
      </c>
      <c r="C8095" s="1" t="str">
        <f>"1014561293"</f>
        <v>1014561293</v>
      </c>
      <c r="D8095" s="1" t="str">
        <f>"152326196209060429"</f>
        <v>152326196209060429</v>
      </c>
      <c r="E8095" s="1" t="s">
        <v>7732</v>
      </c>
      <c r="F8095" s="1" t="s">
        <v>16</v>
      </c>
      <c r="G8095" s="1" t="s">
        <v>17</v>
      </c>
      <c r="H8095" s="1" t="str">
        <f>"62"</f>
        <v>62</v>
      </c>
      <c r="I8095" s="1" t="str">
        <f>"163.12"</f>
        <v>163.12</v>
      </c>
      <c r="J8095" s="1" t="str">
        <f t="shared" ref="J8095:N8095" si="5959">"0"</f>
        <v>0</v>
      </c>
      <c r="K8095" s="1" t="str">
        <f t="shared" si="5950"/>
        <v>103</v>
      </c>
      <c r="L8095" s="1" t="str">
        <f t="shared" si="5951"/>
        <v>47</v>
      </c>
      <c r="M8095" s="1" t="str">
        <f t="shared" si="5959"/>
        <v>0</v>
      </c>
      <c r="N8095" s="1" t="str">
        <f t="shared" si="5959"/>
        <v>0</v>
      </c>
      <c r="O8095" s="1" t="str">
        <f>"13.12"</f>
        <v>13.12</v>
      </c>
    </row>
    <row r="8096" s="1" customFormat="1" spans="1:15">
      <c r="A8096" s="1" t="str">
        <f t="shared" si="5924"/>
        <v>202406</v>
      </c>
      <c r="B8096" s="1" t="str">
        <f t="shared" si="5925"/>
        <v>150525100</v>
      </c>
      <c r="C8096" s="1" t="str">
        <f>"1014561294"</f>
        <v>1014561294</v>
      </c>
      <c r="D8096" s="1" t="str">
        <f>"152326196209230424"</f>
        <v>152326196209230424</v>
      </c>
      <c r="E8096" s="1" t="s">
        <v>7733</v>
      </c>
      <c r="F8096" s="1" t="s">
        <v>16</v>
      </c>
      <c r="G8096" s="1" t="s">
        <v>17</v>
      </c>
      <c r="H8096" s="1" t="str">
        <f>"62"</f>
        <v>62</v>
      </c>
      <c r="I8096" s="1" t="str">
        <f>"163.12"</f>
        <v>163.12</v>
      </c>
      <c r="J8096" s="1" t="str">
        <f t="shared" ref="J8096:N8096" si="5960">"0"</f>
        <v>0</v>
      </c>
      <c r="K8096" s="1" t="str">
        <f t="shared" si="5950"/>
        <v>103</v>
      </c>
      <c r="L8096" s="1" t="str">
        <f t="shared" si="5951"/>
        <v>47</v>
      </c>
      <c r="M8096" s="1" t="str">
        <f t="shared" si="5960"/>
        <v>0</v>
      </c>
      <c r="N8096" s="1" t="str">
        <f t="shared" si="5960"/>
        <v>0</v>
      </c>
      <c r="O8096" s="1" t="str">
        <f>"13.12"</f>
        <v>13.12</v>
      </c>
    </row>
    <row r="8097" s="1" customFormat="1" spans="1:15">
      <c r="A8097" s="1" t="str">
        <f t="shared" si="5924"/>
        <v>202406</v>
      </c>
      <c r="B8097" s="1" t="str">
        <f t="shared" si="5925"/>
        <v>150525100</v>
      </c>
      <c r="C8097" s="1" t="str">
        <f>"1014563022"</f>
        <v>1014563022</v>
      </c>
      <c r="D8097" s="1" t="str">
        <f>"152326196309060418"</f>
        <v>152326196309060418</v>
      </c>
      <c r="E8097" s="1" t="s">
        <v>2098</v>
      </c>
      <c r="F8097" s="1" t="s">
        <v>25</v>
      </c>
      <c r="G8097" s="1" t="s">
        <v>17</v>
      </c>
      <c r="H8097" s="1" t="str">
        <f>"61"</f>
        <v>61</v>
      </c>
      <c r="I8097" s="1" t="str">
        <f>"166.53"</f>
        <v>166.53</v>
      </c>
      <c r="J8097" s="1" t="str">
        <f t="shared" ref="J8097:N8097" si="5961">"0"</f>
        <v>0</v>
      </c>
      <c r="K8097" s="1" t="str">
        <f t="shared" si="5950"/>
        <v>103</v>
      </c>
      <c r="L8097" s="1" t="str">
        <f t="shared" si="5951"/>
        <v>47</v>
      </c>
      <c r="M8097" s="1" t="str">
        <f t="shared" si="5961"/>
        <v>0</v>
      </c>
      <c r="N8097" s="1" t="str">
        <f t="shared" si="5961"/>
        <v>0</v>
      </c>
      <c r="O8097" s="1" t="str">
        <f>"16.53"</f>
        <v>16.53</v>
      </c>
    </row>
    <row r="8098" s="1" customFormat="1" spans="1:15">
      <c r="A8098" s="1" t="str">
        <f t="shared" si="5924"/>
        <v>202406</v>
      </c>
      <c r="B8098" s="1" t="str">
        <f t="shared" si="5925"/>
        <v>150525100</v>
      </c>
      <c r="C8098" s="1" t="str">
        <f>"1014563023"</f>
        <v>1014563023</v>
      </c>
      <c r="D8098" s="1" t="str">
        <f>"152326196403250429"</f>
        <v>152326196403250429</v>
      </c>
      <c r="E8098" s="1" t="s">
        <v>7734</v>
      </c>
      <c r="F8098" s="1" t="s">
        <v>16</v>
      </c>
      <c r="G8098" s="1" t="s">
        <v>17</v>
      </c>
      <c r="H8098" s="1" t="str">
        <f>"60"</f>
        <v>60</v>
      </c>
      <c r="I8098" s="1" t="str">
        <f>"166.82"</f>
        <v>166.82</v>
      </c>
      <c r="J8098" s="1" t="str">
        <f t="shared" ref="J8098:N8098" si="5962">"0"</f>
        <v>0</v>
      </c>
      <c r="K8098" s="1" t="str">
        <f t="shared" si="5950"/>
        <v>103</v>
      </c>
      <c r="L8098" s="1" t="str">
        <f t="shared" si="5951"/>
        <v>47</v>
      </c>
      <c r="M8098" s="1" t="str">
        <f t="shared" si="5962"/>
        <v>0</v>
      </c>
      <c r="N8098" s="1" t="str">
        <f t="shared" si="5962"/>
        <v>0</v>
      </c>
      <c r="O8098" s="1" t="str">
        <f>"16.82"</f>
        <v>16.82</v>
      </c>
    </row>
    <row r="8099" s="1" customFormat="1" spans="1:15">
      <c r="A8099" s="1" t="str">
        <f t="shared" si="5924"/>
        <v>202406</v>
      </c>
      <c r="B8099" s="1" t="str">
        <f t="shared" si="5925"/>
        <v>150525100</v>
      </c>
      <c r="C8099" s="1" t="str">
        <f>"1014563024"</f>
        <v>1014563024</v>
      </c>
      <c r="D8099" s="1" t="s">
        <v>7735</v>
      </c>
      <c r="E8099" s="1" t="s">
        <v>6381</v>
      </c>
      <c r="F8099" s="1" t="s">
        <v>16</v>
      </c>
      <c r="G8099" s="1" t="s">
        <v>17</v>
      </c>
      <c r="H8099" s="1" t="str">
        <f>"69"</f>
        <v>69</v>
      </c>
      <c r="I8099" s="1" t="str">
        <f>"155.12"</f>
        <v>155.12</v>
      </c>
      <c r="J8099" s="1" t="str">
        <f t="shared" ref="J8099:N8099" si="5963">"0"</f>
        <v>0</v>
      </c>
      <c r="K8099" s="1" t="str">
        <f t="shared" si="5950"/>
        <v>103</v>
      </c>
      <c r="L8099" s="1" t="str">
        <f t="shared" si="5951"/>
        <v>47</v>
      </c>
      <c r="M8099" s="1" t="str">
        <f t="shared" si="5963"/>
        <v>0</v>
      </c>
      <c r="N8099" s="1" t="str">
        <f t="shared" si="5963"/>
        <v>0</v>
      </c>
      <c r="O8099" s="1" t="str">
        <f>"5.12"</f>
        <v>5.12</v>
      </c>
    </row>
    <row r="8100" s="1" customFormat="1" spans="1:15">
      <c r="A8100" s="1" t="str">
        <f t="shared" si="5924"/>
        <v>202406</v>
      </c>
      <c r="B8100" s="1" t="str">
        <f t="shared" si="5925"/>
        <v>150525100</v>
      </c>
      <c r="C8100" s="1" t="str">
        <f>"1014563031"</f>
        <v>1014563031</v>
      </c>
      <c r="D8100" s="1" t="str">
        <f>"152326195911260426"</f>
        <v>152326195911260426</v>
      </c>
      <c r="E8100" s="1" t="s">
        <v>7736</v>
      </c>
      <c r="F8100" s="1" t="s">
        <v>16</v>
      </c>
      <c r="G8100" s="1" t="s">
        <v>17</v>
      </c>
      <c r="H8100" s="1" t="str">
        <f>"65"</f>
        <v>65</v>
      </c>
      <c r="I8100" s="1" t="str">
        <f>"158.23"</f>
        <v>158.23</v>
      </c>
      <c r="J8100" s="1" t="str">
        <f t="shared" ref="J8100:N8100" si="5964">"0"</f>
        <v>0</v>
      </c>
      <c r="K8100" s="1" t="str">
        <f t="shared" si="5950"/>
        <v>103</v>
      </c>
      <c r="L8100" s="1" t="str">
        <f t="shared" si="5951"/>
        <v>47</v>
      </c>
      <c r="M8100" s="1" t="str">
        <f t="shared" si="5964"/>
        <v>0</v>
      </c>
      <c r="N8100" s="1" t="str">
        <f t="shared" si="5964"/>
        <v>0</v>
      </c>
      <c r="O8100" s="1" t="str">
        <f>"8.23"</f>
        <v>8.23</v>
      </c>
    </row>
    <row r="8101" s="1" customFormat="1" spans="1:15">
      <c r="A8101" s="1" t="str">
        <f t="shared" si="5924"/>
        <v>202406</v>
      </c>
      <c r="B8101" s="1" t="str">
        <f t="shared" si="5925"/>
        <v>150525100</v>
      </c>
      <c r="C8101" s="1" t="str">
        <f>"1014563423"</f>
        <v>1014563423</v>
      </c>
      <c r="D8101" s="1" t="str">
        <f>"152326195902280425"</f>
        <v>152326195902280425</v>
      </c>
      <c r="E8101" s="1" t="s">
        <v>7737</v>
      </c>
      <c r="F8101" s="1" t="s">
        <v>16</v>
      </c>
      <c r="G8101" s="1" t="s">
        <v>17</v>
      </c>
      <c r="H8101" s="1" t="str">
        <f>"65"</f>
        <v>65</v>
      </c>
      <c r="I8101" s="1" t="str">
        <f>"158.14"</f>
        <v>158.14</v>
      </c>
      <c r="J8101" s="1" t="str">
        <f t="shared" ref="J8101:N8101" si="5965">"0"</f>
        <v>0</v>
      </c>
      <c r="K8101" s="1" t="str">
        <f t="shared" si="5950"/>
        <v>103</v>
      </c>
      <c r="L8101" s="1" t="str">
        <f t="shared" si="5951"/>
        <v>47</v>
      </c>
      <c r="M8101" s="1" t="str">
        <f t="shared" si="5965"/>
        <v>0</v>
      </c>
      <c r="N8101" s="1" t="str">
        <f t="shared" si="5965"/>
        <v>0</v>
      </c>
      <c r="O8101" s="1" t="str">
        <f>"8.14"</f>
        <v>8.14</v>
      </c>
    </row>
    <row r="8102" s="1" customFormat="1" spans="1:15">
      <c r="A8102" s="1" t="str">
        <f t="shared" si="5924"/>
        <v>202406</v>
      </c>
      <c r="B8102" s="1" t="str">
        <f t="shared" si="5925"/>
        <v>150525100</v>
      </c>
      <c r="C8102" s="1" t="str">
        <f>"1014549593"</f>
        <v>1014549593</v>
      </c>
      <c r="D8102" s="1" t="str">
        <f>"152326196304143820"</f>
        <v>152326196304143820</v>
      </c>
      <c r="E8102" s="1" t="s">
        <v>7738</v>
      </c>
      <c r="F8102" s="1" t="s">
        <v>16</v>
      </c>
      <c r="G8102" s="1" t="s">
        <v>17</v>
      </c>
      <c r="H8102" s="1" t="str">
        <f>"61"</f>
        <v>61</v>
      </c>
      <c r="I8102" s="1" t="str">
        <f>"164.79"</f>
        <v>164.79</v>
      </c>
      <c r="J8102" s="1" t="str">
        <f t="shared" ref="J8102:N8102" si="5966">"0"</f>
        <v>0</v>
      </c>
      <c r="K8102" s="1" t="str">
        <f t="shared" si="5950"/>
        <v>103</v>
      </c>
      <c r="L8102" s="1" t="str">
        <f t="shared" si="5951"/>
        <v>47</v>
      </c>
      <c r="M8102" s="1" t="str">
        <f t="shared" si="5966"/>
        <v>0</v>
      </c>
      <c r="N8102" s="1" t="str">
        <f t="shared" si="5966"/>
        <v>0</v>
      </c>
      <c r="O8102" s="1" t="str">
        <f>"14.79"</f>
        <v>14.79</v>
      </c>
    </row>
    <row r="8103" s="1" customFormat="1" spans="1:15">
      <c r="A8103" s="1" t="str">
        <f t="shared" si="5924"/>
        <v>202406</v>
      </c>
      <c r="B8103" s="1" t="str">
        <f t="shared" si="5925"/>
        <v>150525100</v>
      </c>
      <c r="C8103" s="1" t="str">
        <f>"1015311295"</f>
        <v>1015311295</v>
      </c>
      <c r="D8103" s="1" t="str">
        <f>"152326195311170929"</f>
        <v>152326195311170929</v>
      </c>
      <c r="E8103" s="1" t="s">
        <v>7739</v>
      </c>
      <c r="F8103" s="1" t="s">
        <v>16</v>
      </c>
      <c r="G8103" s="1" t="s">
        <v>19</v>
      </c>
      <c r="H8103" s="1" t="str">
        <f t="shared" ref="H8103:H8105" si="5967">"71"</f>
        <v>71</v>
      </c>
      <c r="I8103" s="1" t="str">
        <f>"162.31"</f>
        <v>162.31</v>
      </c>
      <c r="J8103" s="1" t="str">
        <f t="shared" ref="J8103:N8103" si="5968">"0"</f>
        <v>0</v>
      </c>
      <c r="K8103" s="1" t="str">
        <f t="shared" si="5950"/>
        <v>103</v>
      </c>
      <c r="L8103" s="1" t="str">
        <f t="shared" si="5951"/>
        <v>47</v>
      </c>
      <c r="M8103" s="1" t="str">
        <f t="shared" si="5968"/>
        <v>0</v>
      </c>
      <c r="N8103" s="1" t="str">
        <f t="shared" si="5968"/>
        <v>0</v>
      </c>
      <c r="O8103" s="1" t="str">
        <f>"2.31"</f>
        <v>2.31</v>
      </c>
    </row>
    <row r="8104" s="1" customFormat="1" spans="1:15">
      <c r="A8104" s="1" t="str">
        <f t="shared" si="5924"/>
        <v>202406</v>
      </c>
      <c r="B8104" s="1" t="str">
        <f t="shared" si="5925"/>
        <v>150525100</v>
      </c>
      <c r="C8104" s="1" t="str">
        <f>"1015311296"</f>
        <v>1015311296</v>
      </c>
      <c r="D8104" s="1" t="str">
        <f>"152326195311120411"</f>
        <v>152326195311120411</v>
      </c>
      <c r="E8104" s="1" t="s">
        <v>7740</v>
      </c>
      <c r="F8104" s="1" t="s">
        <v>25</v>
      </c>
      <c r="G8104" s="1" t="s">
        <v>17</v>
      </c>
      <c r="H8104" s="1" t="str">
        <f t="shared" si="5967"/>
        <v>71</v>
      </c>
      <c r="I8104" s="1" t="str">
        <f t="shared" ref="I8104:I8110" si="5969">"162.57"</f>
        <v>162.57</v>
      </c>
      <c r="J8104" s="1" t="str">
        <f t="shared" ref="J8104:N8104" si="5970">"0"</f>
        <v>0</v>
      </c>
      <c r="K8104" s="1" t="str">
        <f t="shared" si="5950"/>
        <v>103</v>
      </c>
      <c r="L8104" s="1" t="str">
        <f t="shared" si="5951"/>
        <v>47</v>
      </c>
      <c r="M8104" s="1" t="str">
        <f t="shared" si="5970"/>
        <v>0</v>
      </c>
      <c r="N8104" s="1" t="str">
        <f t="shared" si="5970"/>
        <v>0</v>
      </c>
      <c r="O8104" s="1" t="str">
        <f t="shared" ref="O8104:O8110" si="5971">"2.57"</f>
        <v>2.57</v>
      </c>
    </row>
    <row r="8105" s="1" customFormat="1" spans="1:15">
      <c r="A8105" s="1" t="str">
        <f t="shared" si="5924"/>
        <v>202406</v>
      </c>
      <c r="B8105" s="1" t="str">
        <f t="shared" si="5925"/>
        <v>150525100</v>
      </c>
      <c r="C8105" s="1" t="str">
        <f>"1015311302"</f>
        <v>1015311302</v>
      </c>
      <c r="D8105" s="1" t="str">
        <f>"152326195312260926"</f>
        <v>152326195312260926</v>
      </c>
      <c r="E8105" s="1" t="s">
        <v>6007</v>
      </c>
      <c r="F8105" s="1" t="s">
        <v>16</v>
      </c>
      <c r="G8105" s="1" t="s">
        <v>19</v>
      </c>
      <c r="H8105" s="1" t="str">
        <f t="shared" si="5967"/>
        <v>71</v>
      </c>
      <c r="I8105" s="1" t="str">
        <f t="shared" si="5969"/>
        <v>162.57</v>
      </c>
      <c r="J8105" s="1" t="str">
        <f t="shared" ref="J8105:N8105" si="5972">"0"</f>
        <v>0</v>
      </c>
      <c r="K8105" s="1" t="str">
        <f t="shared" si="5950"/>
        <v>103</v>
      </c>
      <c r="L8105" s="1" t="str">
        <f t="shared" si="5951"/>
        <v>47</v>
      </c>
      <c r="M8105" s="1" t="str">
        <f t="shared" si="5972"/>
        <v>0</v>
      </c>
      <c r="N8105" s="1" t="str">
        <f t="shared" si="5972"/>
        <v>0</v>
      </c>
      <c r="O8105" s="1" t="str">
        <f t="shared" si="5971"/>
        <v>2.57</v>
      </c>
    </row>
    <row r="8106" s="1" customFormat="1" spans="1:15">
      <c r="A8106" s="1" t="str">
        <f t="shared" si="5924"/>
        <v>202406</v>
      </c>
      <c r="B8106" s="1" t="str">
        <f t="shared" si="5925"/>
        <v>150525100</v>
      </c>
      <c r="C8106" s="1" t="str">
        <f>"1015311309"</f>
        <v>1015311309</v>
      </c>
      <c r="D8106" s="1" t="str">
        <f>"152326195205150916"</f>
        <v>152326195205150916</v>
      </c>
      <c r="E8106" s="1" t="s">
        <v>7741</v>
      </c>
      <c r="F8106" s="1" t="s">
        <v>25</v>
      </c>
      <c r="G8106" s="1" t="s">
        <v>19</v>
      </c>
      <c r="H8106" s="1" t="str">
        <f>"72"</f>
        <v>72</v>
      </c>
      <c r="I8106" s="1" t="str">
        <f>"161.53"</f>
        <v>161.53</v>
      </c>
      <c r="J8106" s="1" t="str">
        <f t="shared" ref="J8106:N8106" si="5973">"0"</f>
        <v>0</v>
      </c>
      <c r="K8106" s="1" t="str">
        <f t="shared" si="5950"/>
        <v>103</v>
      </c>
      <c r="L8106" s="1" t="str">
        <f t="shared" si="5951"/>
        <v>47</v>
      </c>
      <c r="M8106" s="1" t="str">
        <f t="shared" si="5973"/>
        <v>0</v>
      </c>
      <c r="N8106" s="1" t="str">
        <f t="shared" si="5973"/>
        <v>0</v>
      </c>
      <c r="O8106" s="1" t="str">
        <f>"1.53"</f>
        <v>1.53</v>
      </c>
    </row>
    <row r="8107" s="1" customFormat="1" spans="1:15">
      <c r="A8107" s="1" t="str">
        <f t="shared" si="5924"/>
        <v>202406</v>
      </c>
      <c r="B8107" s="1" t="str">
        <f t="shared" si="5925"/>
        <v>150525100</v>
      </c>
      <c r="C8107" s="1" t="str">
        <f>"1015311458"</f>
        <v>1015311458</v>
      </c>
      <c r="D8107" s="1" t="str">
        <f>"152326195304036115"</f>
        <v>152326195304036115</v>
      </c>
      <c r="E8107" s="1" t="s">
        <v>7742</v>
      </c>
      <c r="F8107" s="1" t="s">
        <v>25</v>
      </c>
      <c r="G8107" s="1" t="s">
        <v>17</v>
      </c>
      <c r="H8107" s="1" t="str">
        <f t="shared" ref="H8107:H8111" si="5974">"71"</f>
        <v>71</v>
      </c>
      <c r="I8107" s="1" t="str">
        <f>"183.97"</f>
        <v>183.97</v>
      </c>
      <c r="J8107" s="1" t="str">
        <f t="shared" ref="J8107:N8107" si="5975">"0"</f>
        <v>0</v>
      </c>
      <c r="K8107" s="1" t="str">
        <f t="shared" si="5950"/>
        <v>103</v>
      </c>
      <c r="L8107" s="1" t="str">
        <f t="shared" si="5951"/>
        <v>47</v>
      </c>
      <c r="M8107" s="1" t="str">
        <f t="shared" si="5975"/>
        <v>0</v>
      </c>
      <c r="N8107" s="1" t="str">
        <f t="shared" si="5975"/>
        <v>0</v>
      </c>
      <c r="O8107" s="1" t="str">
        <f>"23.97"</f>
        <v>23.97</v>
      </c>
    </row>
    <row r="8108" s="1" customFormat="1" spans="1:15">
      <c r="A8108" s="1" t="str">
        <f t="shared" si="5924"/>
        <v>202406</v>
      </c>
      <c r="B8108" s="1" t="str">
        <f t="shared" si="5925"/>
        <v>150525100</v>
      </c>
      <c r="C8108" s="1" t="str">
        <f>"1015311317"</f>
        <v>1015311317</v>
      </c>
      <c r="D8108" s="1" t="str">
        <f>"152326195211103075"</f>
        <v>152326195211103075</v>
      </c>
      <c r="E8108" s="1" t="s">
        <v>7743</v>
      </c>
      <c r="F8108" s="1" t="s">
        <v>25</v>
      </c>
      <c r="G8108" s="1" t="s">
        <v>19</v>
      </c>
      <c r="H8108" s="1" t="str">
        <f>"72"</f>
        <v>72</v>
      </c>
      <c r="I8108" s="1" t="str">
        <f>"969.24"</f>
        <v>969.24</v>
      </c>
      <c r="J8108" s="1" t="str">
        <f>"807.7"</f>
        <v>807.7</v>
      </c>
      <c r="K8108" s="1" t="str">
        <f>"618"</f>
        <v>618</v>
      </c>
      <c r="L8108" s="1" t="str">
        <f>"282"</f>
        <v>282</v>
      </c>
      <c r="M8108" s="1" t="str">
        <f>"0"</f>
        <v>0</v>
      </c>
      <c r="N8108" s="1" t="str">
        <f>"0"</f>
        <v>0</v>
      </c>
      <c r="O8108" s="1" t="str">
        <f>"9.24"</f>
        <v>9.24</v>
      </c>
    </row>
    <row r="8109" s="1" customFormat="1" spans="1:15">
      <c r="A8109" s="1" t="str">
        <f t="shared" si="5924"/>
        <v>202406</v>
      </c>
      <c r="B8109" s="1" t="str">
        <f t="shared" si="5925"/>
        <v>150525100</v>
      </c>
      <c r="C8109" s="1" t="str">
        <f>"1015311325"</f>
        <v>1015311325</v>
      </c>
      <c r="D8109" s="1" t="s">
        <v>7744</v>
      </c>
      <c r="E8109" s="1" t="s">
        <v>7745</v>
      </c>
      <c r="F8109" s="1" t="s">
        <v>25</v>
      </c>
      <c r="G8109" s="1" t="s">
        <v>19</v>
      </c>
      <c r="H8109" s="1" t="str">
        <f t="shared" si="5974"/>
        <v>71</v>
      </c>
      <c r="I8109" s="1" t="str">
        <f t="shared" si="5969"/>
        <v>162.57</v>
      </c>
      <c r="J8109" s="1" t="str">
        <f t="shared" ref="J8109:N8109" si="5976">"0"</f>
        <v>0</v>
      </c>
      <c r="K8109" s="1" t="str">
        <f t="shared" ref="K8109:K8126" si="5977">"103"</f>
        <v>103</v>
      </c>
      <c r="L8109" s="1" t="str">
        <f t="shared" ref="L8109:L8126" si="5978">"47"</f>
        <v>47</v>
      </c>
      <c r="M8109" s="1" t="str">
        <f t="shared" si="5976"/>
        <v>0</v>
      </c>
      <c r="N8109" s="1" t="str">
        <f t="shared" si="5976"/>
        <v>0</v>
      </c>
      <c r="O8109" s="1" t="str">
        <f t="shared" si="5971"/>
        <v>2.57</v>
      </c>
    </row>
    <row r="8110" s="1" customFormat="1" spans="1:15">
      <c r="A8110" s="1" t="str">
        <f t="shared" si="5924"/>
        <v>202406</v>
      </c>
      <c r="B8110" s="1" t="str">
        <f t="shared" si="5925"/>
        <v>150525100</v>
      </c>
      <c r="C8110" s="1" t="str">
        <f>"1015311341"</f>
        <v>1015311341</v>
      </c>
      <c r="D8110" s="1" t="str">
        <f>"152326195309080027"</f>
        <v>152326195309080027</v>
      </c>
      <c r="E8110" s="1" t="s">
        <v>7746</v>
      </c>
      <c r="F8110" s="1" t="s">
        <v>16</v>
      </c>
      <c r="G8110" s="1" t="s">
        <v>19</v>
      </c>
      <c r="H8110" s="1" t="str">
        <f t="shared" si="5974"/>
        <v>71</v>
      </c>
      <c r="I8110" s="1" t="str">
        <f t="shared" si="5969"/>
        <v>162.57</v>
      </c>
      <c r="J8110" s="1" t="str">
        <f t="shared" ref="J8110:N8110" si="5979">"0"</f>
        <v>0</v>
      </c>
      <c r="K8110" s="1" t="str">
        <f t="shared" si="5977"/>
        <v>103</v>
      </c>
      <c r="L8110" s="1" t="str">
        <f t="shared" si="5978"/>
        <v>47</v>
      </c>
      <c r="M8110" s="1" t="str">
        <f t="shared" si="5979"/>
        <v>0</v>
      </c>
      <c r="N8110" s="1" t="str">
        <f t="shared" si="5979"/>
        <v>0</v>
      </c>
      <c r="O8110" s="1" t="str">
        <f t="shared" si="5971"/>
        <v>2.57</v>
      </c>
    </row>
    <row r="8111" s="1" customFormat="1" spans="1:15">
      <c r="A8111" s="1" t="str">
        <f t="shared" si="5924"/>
        <v>202406</v>
      </c>
      <c r="B8111" s="1" t="str">
        <f t="shared" si="5925"/>
        <v>150525100</v>
      </c>
      <c r="C8111" s="1" t="str">
        <f>"1015311504"</f>
        <v>1015311504</v>
      </c>
      <c r="D8111" s="1" t="str">
        <f>"152326195310253319"</f>
        <v>152326195310253319</v>
      </c>
      <c r="E8111" s="1" t="s">
        <v>3163</v>
      </c>
      <c r="F8111" s="1" t="s">
        <v>25</v>
      </c>
      <c r="G8111" s="1" t="s">
        <v>19</v>
      </c>
      <c r="H8111" s="1" t="str">
        <f t="shared" si="5974"/>
        <v>71</v>
      </c>
      <c r="I8111" s="1" t="str">
        <f>"162.31"</f>
        <v>162.31</v>
      </c>
      <c r="J8111" s="1" t="str">
        <f t="shared" ref="J8111:N8111" si="5980">"0"</f>
        <v>0</v>
      </c>
      <c r="K8111" s="1" t="str">
        <f t="shared" si="5977"/>
        <v>103</v>
      </c>
      <c r="L8111" s="1" t="str">
        <f t="shared" si="5978"/>
        <v>47</v>
      </c>
      <c r="M8111" s="1" t="str">
        <f t="shared" si="5980"/>
        <v>0</v>
      </c>
      <c r="N8111" s="1" t="str">
        <f t="shared" si="5980"/>
        <v>0</v>
      </c>
      <c r="O8111" s="1" t="str">
        <f>"2.31"</f>
        <v>2.31</v>
      </c>
    </row>
    <row r="8112" s="1" customFormat="1" spans="1:15">
      <c r="A8112" s="1" t="str">
        <f t="shared" si="5924"/>
        <v>202406</v>
      </c>
      <c r="B8112" s="1" t="str">
        <f t="shared" si="5925"/>
        <v>150525100</v>
      </c>
      <c r="C8112" s="1" t="str">
        <f>"1015311510"</f>
        <v>1015311510</v>
      </c>
      <c r="D8112" s="1" t="str">
        <f>"152326195206200663"</f>
        <v>152326195206200663</v>
      </c>
      <c r="E8112" s="1" t="s">
        <v>7747</v>
      </c>
      <c r="F8112" s="1" t="s">
        <v>16</v>
      </c>
      <c r="G8112" s="1" t="s">
        <v>17</v>
      </c>
      <c r="H8112" s="1" t="str">
        <f>"72"</f>
        <v>72</v>
      </c>
      <c r="I8112" s="1" t="str">
        <f>"161.54"</f>
        <v>161.54</v>
      </c>
      <c r="J8112" s="1" t="str">
        <f t="shared" ref="J8112:N8112" si="5981">"0"</f>
        <v>0</v>
      </c>
      <c r="K8112" s="1" t="str">
        <f t="shared" si="5977"/>
        <v>103</v>
      </c>
      <c r="L8112" s="1" t="str">
        <f t="shared" si="5978"/>
        <v>47</v>
      </c>
      <c r="M8112" s="1" t="str">
        <f t="shared" si="5981"/>
        <v>0</v>
      </c>
      <c r="N8112" s="1" t="str">
        <f t="shared" si="5981"/>
        <v>0</v>
      </c>
      <c r="O8112" s="1" t="str">
        <f>"1.54"</f>
        <v>1.54</v>
      </c>
    </row>
    <row r="8113" s="1" customFormat="1" spans="1:15">
      <c r="A8113" s="1" t="str">
        <f t="shared" si="5924"/>
        <v>202406</v>
      </c>
      <c r="B8113" s="1" t="str">
        <f t="shared" si="5925"/>
        <v>150525100</v>
      </c>
      <c r="C8113" s="1" t="str">
        <f>"1015311671"</f>
        <v>1015311671</v>
      </c>
      <c r="D8113" s="1" t="s">
        <v>7748</v>
      </c>
      <c r="E8113" s="1" t="s">
        <v>7749</v>
      </c>
      <c r="F8113" s="1" t="s">
        <v>25</v>
      </c>
      <c r="G8113" s="1" t="s">
        <v>19</v>
      </c>
      <c r="H8113" s="1" t="str">
        <f t="shared" ref="H8113:H8120" si="5982">"71"</f>
        <v>71</v>
      </c>
      <c r="I8113" s="1" t="str">
        <f>"162.57"</f>
        <v>162.57</v>
      </c>
      <c r="J8113" s="1" t="str">
        <f t="shared" ref="J8113:N8113" si="5983">"0"</f>
        <v>0</v>
      </c>
      <c r="K8113" s="1" t="str">
        <f t="shared" si="5977"/>
        <v>103</v>
      </c>
      <c r="L8113" s="1" t="str">
        <f t="shared" si="5978"/>
        <v>47</v>
      </c>
      <c r="M8113" s="1" t="str">
        <f t="shared" si="5983"/>
        <v>0</v>
      </c>
      <c r="N8113" s="1" t="str">
        <f t="shared" si="5983"/>
        <v>0</v>
      </c>
      <c r="O8113" s="1" t="str">
        <f>"2.57"</f>
        <v>2.57</v>
      </c>
    </row>
    <row r="8114" s="1" customFormat="1" spans="1:15">
      <c r="A8114" s="1" t="str">
        <f t="shared" si="5924"/>
        <v>202406</v>
      </c>
      <c r="B8114" s="1" t="str">
        <f t="shared" si="5925"/>
        <v>150525100</v>
      </c>
      <c r="C8114" s="1" t="str">
        <f>"1015311686"</f>
        <v>1015311686</v>
      </c>
      <c r="D8114" s="1" t="str">
        <f>"152326195307070669"</f>
        <v>152326195307070669</v>
      </c>
      <c r="E8114" s="1" t="s">
        <v>7750</v>
      </c>
      <c r="F8114" s="1" t="s">
        <v>16</v>
      </c>
      <c r="G8114" s="1" t="s">
        <v>17</v>
      </c>
      <c r="H8114" s="1" t="str">
        <f t="shared" si="5982"/>
        <v>71</v>
      </c>
      <c r="I8114" s="1" t="str">
        <f t="shared" ref="I8114:I8119" si="5984">"162.31"</f>
        <v>162.31</v>
      </c>
      <c r="J8114" s="1" t="str">
        <f t="shared" ref="J8114:N8114" si="5985">"0"</f>
        <v>0</v>
      </c>
      <c r="K8114" s="1" t="str">
        <f t="shared" si="5977"/>
        <v>103</v>
      </c>
      <c r="L8114" s="1" t="str">
        <f t="shared" si="5978"/>
        <v>47</v>
      </c>
      <c r="M8114" s="1" t="str">
        <f t="shared" si="5985"/>
        <v>0</v>
      </c>
      <c r="N8114" s="1" t="str">
        <f t="shared" si="5985"/>
        <v>0</v>
      </c>
      <c r="O8114" s="1" t="str">
        <f t="shared" ref="O8114:O8119" si="5986">"2.31"</f>
        <v>2.31</v>
      </c>
    </row>
    <row r="8115" s="1" customFormat="1" spans="1:15">
      <c r="A8115" s="1" t="str">
        <f t="shared" si="5924"/>
        <v>202406</v>
      </c>
      <c r="B8115" s="1" t="str">
        <f t="shared" si="5925"/>
        <v>150525100</v>
      </c>
      <c r="C8115" s="1" t="str">
        <f>"1015311692"</f>
        <v>1015311692</v>
      </c>
      <c r="D8115" s="1" t="str">
        <f>"152326195208240423"</f>
        <v>152326195208240423</v>
      </c>
      <c r="E8115" s="1" t="s">
        <v>7751</v>
      </c>
      <c r="F8115" s="1" t="s">
        <v>16</v>
      </c>
      <c r="G8115" s="1" t="s">
        <v>17</v>
      </c>
      <c r="H8115" s="1" t="str">
        <f>"72"</f>
        <v>72</v>
      </c>
      <c r="I8115" s="1" t="str">
        <f>"161.54"</f>
        <v>161.54</v>
      </c>
      <c r="J8115" s="1" t="str">
        <f t="shared" ref="J8115:N8115" si="5987">"0"</f>
        <v>0</v>
      </c>
      <c r="K8115" s="1" t="str">
        <f t="shared" si="5977"/>
        <v>103</v>
      </c>
      <c r="L8115" s="1" t="str">
        <f t="shared" si="5978"/>
        <v>47</v>
      </c>
      <c r="M8115" s="1" t="str">
        <f t="shared" si="5987"/>
        <v>0</v>
      </c>
      <c r="N8115" s="1" t="str">
        <f t="shared" si="5987"/>
        <v>0</v>
      </c>
      <c r="O8115" s="1" t="str">
        <f>"1.54"</f>
        <v>1.54</v>
      </c>
    </row>
    <row r="8116" s="1" customFormat="1" spans="1:15">
      <c r="A8116" s="1" t="str">
        <f t="shared" si="5924"/>
        <v>202406</v>
      </c>
      <c r="B8116" s="1" t="str">
        <f t="shared" si="5925"/>
        <v>150525100</v>
      </c>
      <c r="C8116" s="1" t="str">
        <f>"1015311813"</f>
        <v>1015311813</v>
      </c>
      <c r="D8116" s="1" t="str">
        <f>"152326195306163337"</f>
        <v>152326195306163337</v>
      </c>
      <c r="E8116" s="1" t="s">
        <v>7752</v>
      </c>
      <c r="F8116" s="1" t="s">
        <v>25</v>
      </c>
      <c r="G8116" s="1" t="s">
        <v>19</v>
      </c>
      <c r="H8116" s="1" t="str">
        <f t="shared" si="5982"/>
        <v>71</v>
      </c>
      <c r="I8116" s="1" t="str">
        <f>"162.58"</f>
        <v>162.58</v>
      </c>
      <c r="J8116" s="1" t="str">
        <f t="shared" ref="J8116:N8116" si="5988">"0"</f>
        <v>0</v>
      </c>
      <c r="K8116" s="1" t="str">
        <f t="shared" si="5977"/>
        <v>103</v>
      </c>
      <c r="L8116" s="1" t="str">
        <f t="shared" si="5978"/>
        <v>47</v>
      </c>
      <c r="M8116" s="1" t="str">
        <f t="shared" si="5988"/>
        <v>0</v>
      </c>
      <c r="N8116" s="1" t="str">
        <f t="shared" si="5988"/>
        <v>0</v>
      </c>
      <c r="O8116" s="1" t="str">
        <f>"2.58"</f>
        <v>2.58</v>
      </c>
    </row>
    <row r="8117" s="1" customFormat="1" spans="1:15">
      <c r="A8117" s="1" t="str">
        <f t="shared" si="5924"/>
        <v>202406</v>
      </c>
      <c r="B8117" s="1" t="str">
        <f t="shared" si="5925"/>
        <v>150525100</v>
      </c>
      <c r="C8117" s="1" t="str">
        <f>"1015311381"</f>
        <v>1015311381</v>
      </c>
      <c r="D8117" s="1" t="str">
        <f>"152326195304173320"</f>
        <v>152326195304173320</v>
      </c>
      <c r="E8117" s="1" t="s">
        <v>4466</v>
      </c>
      <c r="F8117" s="1" t="s">
        <v>16</v>
      </c>
      <c r="G8117" s="1" t="s">
        <v>17</v>
      </c>
      <c r="H8117" s="1" t="str">
        <f t="shared" si="5982"/>
        <v>71</v>
      </c>
      <c r="I8117" s="1" t="str">
        <f>"162.58"</f>
        <v>162.58</v>
      </c>
      <c r="J8117" s="1" t="str">
        <f t="shared" ref="J8117:N8117" si="5989">"0"</f>
        <v>0</v>
      </c>
      <c r="K8117" s="1" t="str">
        <f t="shared" si="5977"/>
        <v>103</v>
      </c>
      <c r="L8117" s="1" t="str">
        <f t="shared" si="5978"/>
        <v>47</v>
      </c>
      <c r="M8117" s="1" t="str">
        <f t="shared" si="5989"/>
        <v>0</v>
      </c>
      <c r="N8117" s="1" t="str">
        <f t="shared" si="5989"/>
        <v>0</v>
      </c>
      <c r="O8117" s="1" t="str">
        <f>"2.58"</f>
        <v>2.58</v>
      </c>
    </row>
    <row r="8118" s="1" customFormat="1" spans="1:15">
      <c r="A8118" s="1" t="str">
        <f t="shared" si="5924"/>
        <v>202406</v>
      </c>
      <c r="B8118" s="1" t="str">
        <f t="shared" si="5925"/>
        <v>150525100</v>
      </c>
      <c r="C8118" s="1" t="str">
        <f>"1015311527"</f>
        <v>1015311527</v>
      </c>
      <c r="D8118" s="1" t="str">
        <f>"152326195304253072"</f>
        <v>152326195304253072</v>
      </c>
      <c r="E8118" s="1" t="s">
        <v>7753</v>
      </c>
      <c r="F8118" s="1" t="s">
        <v>25</v>
      </c>
      <c r="G8118" s="1" t="s">
        <v>17</v>
      </c>
      <c r="H8118" s="1" t="str">
        <f t="shared" si="5982"/>
        <v>71</v>
      </c>
      <c r="I8118" s="1" t="str">
        <f t="shared" si="5984"/>
        <v>162.31</v>
      </c>
      <c r="J8118" s="1" t="str">
        <f t="shared" ref="J8118:N8118" si="5990">"0"</f>
        <v>0</v>
      </c>
      <c r="K8118" s="1" t="str">
        <f t="shared" si="5977"/>
        <v>103</v>
      </c>
      <c r="L8118" s="1" t="str">
        <f t="shared" si="5978"/>
        <v>47</v>
      </c>
      <c r="M8118" s="1" t="str">
        <f t="shared" si="5990"/>
        <v>0</v>
      </c>
      <c r="N8118" s="1" t="str">
        <f t="shared" si="5990"/>
        <v>0</v>
      </c>
      <c r="O8118" s="1" t="str">
        <f t="shared" si="5986"/>
        <v>2.31</v>
      </c>
    </row>
    <row r="8119" s="1" customFormat="1" spans="1:15">
      <c r="A8119" s="1" t="str">
        <f t="shared" si="5924"/>
        <v>202406</v>
      </c>
      <c r="B8119" s="1" t="str">
        <f t="shared" si="5925"/>
        <v>150525100</v>
      </c>
      <c r="C8119" s="1" t="str">
        <f>"1015311528"</f>
        <v>1015311528</v>
      </c>
      <c r="D8119" s="1" t="str">
        <f>"152326195304263086"</f>
        <v>152326195304263086</v>
      </c>
      <c r="E8119" s="1" t="s">
        <v>7754</v>
      </c>
      <c r="F8119" s="1" t="s">
        <v>16</v>
      </c>
      <c r="G8119" s="1" t="s">
        <v>17</v>
      </c>
      <c r="H8119" s="1" t="str">
        <f t="shared" si="5982"/>
        <v>71</v>
      </c>
      <c r="I8119" s="1" t="str">
        <f t="shared" si="5984"/>
        <v>162.31</v>
      </c>
      <c r="J8119" s="1" t="str">
        <f t="shared" ref="J8119:N8119" si="5991">"0"</f>
        <v>0</v>
      </c>
      <c r="K8119" s="1" t="str">
        <f t="shared" si="5977"/>
        <v>103</v>
      </c>
      <c r="L8119" s="1" t="str">
        <f t="shared" si="5978"/>
        <v>47</v>
      </c>
      <c r="M8119" s="1" t="str">
        <f t="shared" si="5991"/>
        <v>0</v>
      </c>
      <c r="N8119" s="1" t="str">
        <f t="shared" si="5991"/>
        <v>0</v>
      </c>
      <c r="O8119" s="1" t="str">
        <f t="shared" si="5986"/>
        <v>2.31</v>
      </c>
    </row>
    <row r="8120" s="1" customFormat="1" spans="1:15">
      <c r="A8120" s="1" t="str">
        <f t="shared" si="5924"/>
        <v>202406</v>
      </c>
      <c r="B8120" s="1" t="str">
        <f t="shared" si="5925"/>
        <v>150525100</v>
      </c>
      <c r="C8120" s="1" t="str">
        <f>"1015311388"</f>
        <v>1015311388</v>
      </c>
      <c r="D8120" s="1" t="str">
        <f>"152326195310043813"</f>
        <v>152326195310043813</v>
      </c>
      <c r="E8120" s="1" t="s">
        <v>7755</v>
      </c>
      <c r="F8120" s="1" t="s">
        <v>25</v>
      </c>
      <c r="G8120" s="1" t="s">
        <v>17</v>
      </c>
      <c r="H8120" s="1" t="str">
        <f t="shared" si="5982"/>
        <v>71</v>
      </c>
      <c r="I8120" s="1" t="str">
        <f>"162.57"</f>
        <v>162.57</v>
      </c>
      <c r="J8120" s="1" t="str">
        <f t="shared" ref="J8120:N8120" si="5992">"0"</f>
        <v>0</v>
      </c>
      <c r="K8120" s="1" t="str">
        <f t="shared" si="5977"/>
        <v>103</v>
      </c>
      <c r="L8120" s="1" t="str">
        <f t="shared" si="5978"/>
        <v>47</v>
      </c>
      <c r="M8120" s="1" t="str">
        <f t="shared" si="5992"/>
        <v>0</v>
      </c>
      <c r="N8120" s="1" t="str">
        <f t="shared" si="5992"/>
        <v>0</v>
      </c>
      <c r="O8120" s="1" t="str">
        <f t="shared" ref="O8120:O8125" si="5993">"2.57"</f>
        <v>2.57</v>
      </c>
    </row>
    <row r="8121" s="1" customFormat="1" spans="1:15">
      <c r="A8121" s="1" t="str">
        <f t="shared" si="5924"/>
        <v>202406</v>
      </c>
      <c r="B8121" s="1" t="str">
        <f t="shared" si="5925"/>
        <v>150525100</v>
      </c>
      <c r="C8121" s="1" t="str">
        <f>"1015311393"</f>
        <v>1015311393</v>
      </c>
      <c r="D8121" s="1" t="str">
        <f>"152326195201013826"</f>
        <v>152326195201013826</v>
      </c>
      <c r="E8121" s="1" t="s">
        <v>7756</v>
      </c>
      <c r="F8121" s="1" t="s">
        <v>16</v>
      </c>
      <c r="G8121" s="1" t="s">
        <v>17</v>
      </c>
      <c r="H8121" s="1" t="str">
        <f>"73"</f>
        <v>73</v>
      </c>
      <c r="I8121" s="1" t="str">
        <f>"161.56"</f>
        <v>161.56</v>
      </c>
      <c r="J8121" s="1" t="str">
        <f t="shared" ref="J8121:N8121" si="5994">"0"</f>
        <v>0</v>
      </c>
      <c r="K8121" s="1" t="str">
        <f t="shared" si="5977"/>
        <v>103</v>
      </c>
      <c r="L8121" s="1" t="str">
        <f t="shared" si="5978"/>
        <v>47</v>
      </c>
      <c r="M8121" s="1" t="str">
        <f t="shared" si="5994"/>
        <v>0</v>
      </c>
      <c r="N8121" s="1" t="str">
        <f t="shared" si="5994"/>
        <v>0</v>
      </c>
      <c r="O8121" s="1" t="str">
        <f>"1.56"</f>
        <v>1.56</v>
      </c>
    </row>
    <row r="8122" s="1" customFormat="1" spans="1:15">
      <c r="A8122" s="1" t="str">
        <f t="shared" si="5924"/>
        <v>202406</v>
      </c>
      <c r="B8122" s="1" t="str">
        <f t="shared" si="5925"/>
        <v>150525100</v>
      </c>
      <c r="C8122" s="1" t="str">
        <f>"1015311412"</f>
        <v>1015311412</v>
      </c>
      <c r="D8122" s="1" t="str">
        <f>"152326195212073816"</f>
        <v>152326195212073816</v>
      </c>
      <c r="E8122" s="1" t="s">
        <v>1865</v>
      </c>
      <c r="F8122" s="1" t="s">
        <v>25</v>
      </c>
      <c r="G8122" s="1" t="s">
        <v>17</v>
      </c>
      <c r="H8122" s="1" t="str">
        <f>"72"</f>
        <v>72</v>
      </c>
      <c r="I8122" s="1" t="str">
        <f>"161.44"</f>
        <v>161.44</v>
      </c>
      <c r="J8122" s="1" t="str">
        <f t="shared" ref="J8122:N8122" si="5995">"0"</f>
        <v>0</v>
      </c>
      <c r="K8122" s="1" t="str">
        <f t="shared" si="5977"/>
        <v>103</v>
      </c>
      <c r="L8122" s="1" t="str">
        <f t="shared" si="5978"/>
        <v>47</v>
      </c>
      <c r="M8122" s="1" t="str">
        <f t="shared" si="5995"/>
        <v>0</v>
      </c>
      <c r="N8122" s="1" t="str">
        <f t="shared" si="5995"/>
        <v>0</v>
      </c>
      <c r="O8122" s="1" t="str">
        <f>"1.44"</f>
        <v>1.44</v>
      </c>
    </row>
    <row r="8123" s="1" customFormat="1" spans="1:15">
      <c r="A8123" s="1" t="str">
        <f t="shared" si="5924"/>
        <v>202406</v>
      </c>
      <c r="B8123" s="1" t="str">
        <f t="shared" si="5925"/>
        <v>150525100</v>
      </c>
      <c r="C8123" s="1" t="str">
        <f>"1015311630"</f>
        <v>1015311630</v>
      </c>
      <c r="D8123" s="1" t="str">
        <f>"152326195308033819"</f>
        <v>152326195308033819</v>
      </c>
      <c r="E8123" s="1" t="s">
        <v>7757</v>
      </c>
      <c r="F8123" s="1" t="s">
        <v>25</v>
      </c>
      <c r="G8123" s="1" t="s">
        <v>17</v>
      </c>
      <c r="H8123" s="1" t="str">
        <f t="shared" ref="H8123:H8125" si="5996">"71"</f>
        <v>71</v>
      </c>
      <c r="I8123" s="1" t="str">
        <f>"162.31"</f>
        <v>162.31</v>
      </c>
      <c r="J8123" s="1" t="str">
        <f t="shared" ref="J8123:N8123" si="5997">"0"</f>
        <v>0</v>
      </c>
      <c r="K8123" s="1" t="str">
        <f t="shared" si="5977"/>
        <v>103</v>
      </c>
      <c r="L8123" s="1" t="str">
        <f t="shared" si="5978"/>
        <v>47</v>
      </c>
      <c r="M8123" s="1" t="str">
        <f t="shared" si="5997"/>
        <v>0</v>
      </c>
      <c r="N8123" s="1" t="str">
        <f t="shared" si="5997"/>
        <v>0</v>
      </c>
      <c r="O8123" s="1" t="str">
        <f>"2.31"</f>
        <v>2.31</v>
      </c>
    </row>
    <row r="8124" s="1" customFormat="1" spans="1:15">
      <c r="A8124" s="1" t="str">
        <f t="shared" si="5924"/>
        <v>202406</v>
      </c>
      <c r="B8124" s="1" t="str">
        <f t="shared" si="5925"/>
        <v>150525100</v>
      </c>
      <c r="C8124" s="1" t="str">
        <f>"1015311792"</f>
        <v>1015311792</v>
      </c>
      <c r="D8124" s="1" t="str">
        <f>"152326195310200663"</f>
        <v>152326195310200663</v>
      </c>
      <c r="E8124" s="1" t="s">
        <v>2269</v>
      </c>
      <c r="F8124" s="1" t="s">
        <v>16</v>
      </c>
      <c r="G8124" s="1" t="s">
        <v>17</v>
      </c>
      <c r="H8124" s="1" t="str">
        <f t="shared" si="5996"/>
        <v>71</v>
      </c>
      <c r="I8124" s="1" t="str">
        <f>"202.47"</f>
        <v>202.47</v>
      </c>
      <c r="J8124" s="1" t="str">
        <f>"0"</f>
        <v>0</v>
      </c>
      <c r="K8124" s="1" t="str">
        <f t="shared" si="5977"/>
        <v>103</v>
      </c>
      <c r="L8124" s="1" t="str">
        <f t="shared" si="5978"/>
        <v>47</v>
      </c>
      <c r="M8124" s="1" t="str">
        <f t="shared" ref="M8124:M8189" si="5998">"0"</f>
        <v>0</v>
      </c>
      <c r="N8124" s="1" t="str">
        <f>"39.9"</f>
        <v>39.9</v>
      </c>
      <c r="O8124" s="1" t="str">
        <f t="shared" si="5993"/>
        <v>2.57</v>
      </c>
    </row>
    <row r="8125" s="1" customFormat="1" spans="1:15">
      <c r="A8125" s="1" t="str">
        <f t="shared" si="5924"/>
        <v>202406</v>
      </c>
      <c r="B8125" s="1" t="str">
        <f t="shared" si="5925"/>
        <v>150525100</v>
      </c>
      <c r="C8125" s="1" t="str">
        <f>"1015311802"</f>
        <v>1015311802</v>
      </c>
      <c r="D8125" s="1" t="str">
        <f>"152326195312100666"</f>
        <v>152326195312100666</v>
      </c>
      <c r="E8125" s="1" t="s">
        <v>7758</v>
      </c>
      <c r="F8125" s="1" t="s">
        <v>16</v>
      </c>
      <c r="G8125" s="1" t="s">
        <v>17</v>
      </c>
      <c r="H8125" s="1" t="str">
        <f t="shared" si="5996"/>
        <v>71</v>
      </c>
      <c r="I8125" s="1" t="str">
        <f>"162.57"</f>
        <v>162.57</v>
      </c>
      <c r="J8125" s="1" t="str">
        <f t="shared" ref="J8125:N8125" si="5999">"0"</f>
        <v>0</v>
      </c>
      <c r="K8125" s="1" t="str">
        <f t="shared" si="5977"/>
        <v>103</v>
      </c>
      <c r="L8125" s="1" t="str">
        <f t="shared" si="5978"/>
        <v>47</v>
      </c>
      <c r="M8125" s="1" t="str">
        <f t="shared" si="5999"/>
        <v>0</v>
      </c>
      <c r="N8125" s="1" t="str">
        <f t="shared" si="5999"/>
        <v>0</v>
      </c>
      <c r="O8125" s="1" t="str">
        <f t="shared" si="5993"/>
        <v>2.57</v>
      </c>
    </row>
    <row r="8126" s="1" customFormat="1" spans="1:15">
      <c r="A8126" s="1" t="str">
        <f t="shared" si="5924"/>
        <v>202406</v>
      </c>
      <c r="B8126" s="1" t="str">
        <f t="shared" si="5925"/>
        <v>150525100</v>
      </c>
      <c r="C8126" s="1" t="str">
        <f>"1040998942"</f>
        <v>1040998942</v>
      </c>
      <c r="D8126" s="1" t="str">
        <f>"152326195408183814"</f>
        <v>152326195408183814</v>
      </c>
      <c r="E8126" s="1" t="s">
        <v>7759</v>
      </c>
      <c r="F8126" s="1" t="s">
        <v>25</v>
      </c>
      <c r="G8126" s="1" t="s">
        <v>17</v>
      </c>
      <c r="H8126" s="1" t="str">
        <f>"70"</f>
        <v>70</v>
      </c>
      <c r="I8126" s="1" t="str">
        <f>"152.88"</f>
        <v>152.88</v>
      </c>
      <c r="J8126" s="1" t="str">
        <f t="shared" ref="J8126:N8126" si="6000">"0"</f>
        <v>0</v>
      </c>
      <c r="K8126" s="1" t="str">
        <f t="shared" si="5977"/>
        <v>103</v>
      </c>
      <c r="L8126" s="1" t="str">
        <f t="shared" si="5978"/>
        <v>47</v>
      </c>
      <c r="M8126" s="1" t="str">
        <f t="shared" si="6000"/>
        <v>0</v>
      </c>
      <c r="N8126" s="1" t="str">
        <f t="shared" si="6000"/>
        <v>0</v>
      </c>
      <c r="O8126" s="1" t="str">
        <f>"2.88"</f>
        <v>2.88</v>
      </c>
    </row>
    <row r="8127" s="1" customFormat="1" spans="1:15">
      <c r="A8127" s="1" t="str">
        <f t="shared" si="5924"/>
        <v>202406</v>
      </c>
      <c r="B8127" s="1" t="str">
        <f t="shared" si="5925"/>
        <v>150525100</v>
      </c>
      <c r="C8127" s="1" t="str">
        <f>"1041007824"</f>
        <v>1041007824</v>
      </c>
      <c r="D8127" s="1" t="str">
        <f>"152326195909200918"</f>
        <v>152326195909200918</v>
      </c>
      <c r="E8127" s="1" t="s">
        <v>7760</v>
      </c>
      <c r="F8127" s="1" t="s">
        <v>25</v>
      </c>
      <c r="G8127" s="1" t="s">
        <v>19</v>
      </c>
      <c r="H8127" s="1" t="str">
        <f>"65"</f>
        <v>65</v>
      </c>
      <c r="I8127" s="1" t="str">
        <f>"1094.59"</f>
        <v>1094.59</v>
      </c>
      <c r="J8127" s="1" t="str">
        <f>"938.22"</f>
        <v>938.22</v>
      </c>
      <c r="K8127" s="1" t="str">
        <f>"721"</f>
        <v>721</v>
      </c>
      <c r="L8127" s="1" t="str">
        <f>"329"</f>
        <v>329</v>
      </c>
      <c r="M8127" s="1" t="str">
        <f t="shared" si="5998"/>
        <v>0</v>
      </c>
      <c r="N8127" s="1" t="str">
        <f t="shared" ref="N8127:N8190" si="6001">"0"</f>
        <v>0</v>
      </c>
      <c r="O8127" s="1" t="str">
        <f>"44.59"</f>
        <v>44.59</v>
      </c>
    </row>
    <row r="8128" s="1" customFormat="1" spans="1:15">
      <c r="A8128" s="1" t="str">
        <f t="shared" si="5924"/>
        <v>202406</v>
      </c>
      <c r="B8128" s="1" t="str">
        <f t="shared" si="5925"/>
        <v>150525100</v>
      </c>
      <c r="C8128" s="1" t="str">
        <f>"1041127296"</f>
        <v>1041127296</v>
      </c>
      <c r="D8128" s="1" t="str">
        <f>"152326195310140672"</f>
        <v>152326195310140672</v>
      </c>
      <c r="E8128" s="1" t="s">
        <v>1072</v>
      </c>
      <c r="F8128" s="1" t="s">
        <v>25</v>
      </c>
      <c r="G8128" s="1" t="s">
        <v>19</v>
      </c>
      <c r="H8128" s="1" t="str">
        <f>"71"</f>
        <v>71</v>
      </c>
      <c r="I8128" s="1" t="str">
        <f>"1605.8"</f>
        <v>1605.8</v>
      </c>
      <c r="J8128" s="1" t="str">
        <f>"1443.22"</f>
        <v>1443.22</v>
      </c>
      <c r="K8128" s="1" t="str">
        <f>"1030"</f>
        <v>1030</v>
      </c>
      <c r="L8128" s="1" t="str">
        <f>"470"</f>
        <v>470</v>
      </c>
      <c r="M8128" s="1" t="str">
        <f t="shared" si="5998"/>
        <v>0</v>
      </c>
      <c r="N8128" s="1" t="str">
        <f t="shared" si="6001"/>
        <v>0</v>
      </c>
      <c r="O8128" s="1" t="str">
        <f>"25.8"</f>
        <v>25.8</v>
      </c>
    </row>
    <row r="8129" s="1" customFormat="1" spans="1:15">
      <c r="A8129" s="1" t="str">
        <f t="shared" si="5924"/>
        <v>202406</v>
      </c>
      <c r="B8129" s="1" t="str">
        <f t="shared" si="5925"/>
        <v>150525100</v>
      </c>
      <c r="C8129" s="1" t="str">
        <f>"1041027656"</f>
        <v>1041027656</v>
      </c>
      <c r="D8129" s="1" t="s">
        <v>7761</v>
      </c>
      <c r="E8129" s="1" t="s">
        <v>1234</v>
      </c>
      <c r="F8129" s="1" t="s">
        <v>25</v>
      </c>
      <c r="G8129" s="1" t="s">
        <v>19</v>
      </c>
      <c r="H8129" s="1" t="str">
        <f>"68"</f>
        <v>68</v>
      </c>
      <c r="I8129" s="1" t="str">
        <f>"154.32"</f>
        <v>154.32</v>
      </c>
      <c r="J8129" s="1" t="str">
        <f t="shared" ref="J8129:J8178" si="6002">"0"</f>
        <v>0</v>
      </c>
      <c r="K8129" s="1" t="str">
        <f t="shared" ref="K8129:K8170" si="6003">"103"</f>
        <v>103</v>
      </c>
      <c r="L8129" s="1" t="str">
        <f t="shared" ref="L8129:L8170" si="6004">"47"</f>
        <v>47</v>
      </c>
      <c r="M8129" s="1" t="str">
        <f t="shared" si="5998"/>
        <v>0</v>
      </c>
      <c r="N8129" s="1" t="str">
        <f t="shared" si="6001"/>
        <v>0</v>
      </c>
      <c r="O8129" s="1" t="str">
        <f>"4.32"</f>
        <v>4.32</v>
      </c>
    </row>
    <row r="8130" s="1" customFormat="1" spans="1:15">
      <c r="A8130" s="1" t="str">
        <f t="shared" ref="A8130:A8193" si="6005">"202406"</f>
        <v>202406</v>
      </c>
      <c r="B8130" s="1" t="str">
        <f t="shared" ref="B8130:B8193" si="6006">"150525100"</f>
        <v>150525100</v>
      </c>
      <c r="C8130" s="1" t="str">
        <f>"1041055196"</f>
        <v>1041055196</v>
      </c>
      <c r="D8130" s="1" t="str">
        <f>"152326195710013074"</f>
        <v>152326195710013074</v>
      </c>
      <c r="E8130" s="1" t="s">
        <v>1396</v>
      </c>
      <c r="F8130" s="1" t="s">
        <v>25</v>
      </c>
      <c r="G8130" s="1" t="s">
        <v>17</v>
      </c>
      <c r="H8130" s="1" t="str">
        <f>"67"</f>
        <v>67</v>
      </c>
      <c r="I8130" s="1" t="str">
        <f>"155.27"</f>
        <v>155.27</v>
      </c>
      <c r="J8130" s="1" t="str">
        <f t="shared" si="6002"/>
        <v>0</v>
      </c>
      <c r="K8130" s="1" t="str">
        <f t="shared" si="6003"/>
        <v>103</v>
      </c>
      <c r="L8130" s="1" t="str">
        <f t="shared" si="6004"/>
        <v>47</v>
      </c>
      <c r="M8130" s="1" t="str">
        <f t="shared" si="5998"/>
        <v>0</v>
      </c>
      <c r="N8130" s="1" t="str">
        <f t="shared" si="6001"/>
        <v>0</v>
      </c>
      <c r="O8130" s="1" t="str">
        <f>"5.27"</f>
        <v>5.27</v>
      </c>
    </row>
    <row r="8131" s="1" customFormat="1" spans="1:15">
      <c r="A8131" s="1" t="str">
        <f t="shared" si="6005"/>
        <v>202406</v>
      </c>
      <c r="B8131" s="1" t="str">
        <f t="shared" si="6006"/>
        <v>150525100</v>
      </c>
      <c r="C8131" s="1" t="str">
        <f>"1040653625"</f>
        <v>1040653625</v>
      </c>
      <c r="D8131" s="1" t="s">
        <v>7762</v>
      </c>
      <c r="E8131" s="1" t="s">
        <v>7763</v>
      </c>
      <c r="F8131" s="1" t="s">
        <v>16</v>
      </c>
      <c r="G8131" s="1" t="s">
        <v>19</v>
      </c>
      <c r="H8131" s="1" t="str">
        <f>"69"</f>
        <v>69</v>
      </c>
      <c r="I8131" s="1" t="str">
        <f>"154.51"</f>
        <v>154.51</v>
      </c>
      <c r="J8131" s="1" t="str">
        <f t="shared" si="6002"/>
        <v>0</v>
      </c>
      <c r="K8131" s="1" t="str">
        <f t="shared" si="6003"/>
        <v>103</v>
      </c>
      <c r="L8131" s="1" t="str">
        <f t="shared" si="6004"/>
        <v>47</v>
      </c>
      <c r="M8131" s="1" t="str">
        <f t="shared" si="5998"/>
        <v>0</v>
      </c>
      <c r="N8131" s="1" t="str">
        <f t="shared" si="6001"/>
        <v>0</v>
      </c>
      <c r="O8131" s="1" t="str">
        <f>"4.51"</f>
        <v>4.51</v>
      </c>
    </row>
    <row r="8132" s="1" customFormat="1" spans="1:15">
      <c r="A8132" s="1" t="str">
        <f t="shared" si="6005"/>
        <v>202406</v>
      </c>
      <c r="B8132" s="1" t="str">
        <f t="shared" si="6006"/>
        <v>150525100</v>
      </c>
      <c r="C8132" s="1" t="str">
        <f>"1040653626"</f>
        <v>1040653626</v>
      </c>
      <c r="D8132" s="1" t="str">
        <f>"152326195401010910"</f>
        <v>152326195401010910</v>
      </c>
      <c r="E8132" s="1" t="s">
        <v>7764</v>
      </c>
      <c r="F8132" s="1" t="s">
        <v>25</v>
      </c>
      <c r="G8132" s="1" t="s">
        <v>19</v>
      </c>
      <c r="H8132" s="1" t="str">
        <f>"71"</f>
        <v>71</v>
      </c>
      <c r="I8132" s="1" t="str">
        <f>"163.55"</f>
        <v>163.55</v>
      </c>
      <c r="J8132" s="1" t="str">
        <f t="shared" si="6002"/>
        <v>0</v>
      </c>
      <c r="K8132" s="1" t="str">
        <f t="shared" si="6003"/>
        <v>103</v>
      </c>
      <c r="L8132" s="1" t="str">
        <f t="shared" si="6004"/>
        <v>47</v>
      </c>
      <c r="M8132" s="1" t="str">
        <f t="shared" si="5998"/>
        <v>0</v>
      </c>
      <c r="N8132" s="1" t="str">
        <f t="shared" si="6001"/>
        <v>0</v>
      </c>
      <c r="O8132" s="1" t="str">
        <f>"3.55"</f>
        <v>3.55</v>
      </c>
    </row>
    <row r="8133" s="1" customFormat="1" spans="1:15">
      <c r="A8133" s="1" t="str">
        <f t="shared" si="6005"/>
        <v>202406</v>
      </c>
      <c r="B8133" s="1" t="str">
        <f t="shared" si="6006"/>
        <v>150525100</v>
      </c>
      <c r="C8133" s="1" t="str">
        <f>"1040653628"</f>
        <v>1040653628</v>
      </c>
      <c r="D8133" s="1" t="s">
        <v>7765</v>
      </c>
      <c r="E8133" s="1" t="s">
        <v>6274</v>
      </c>
      <c r="F8133" s="1" t="s">
        <v>16</v>
      </c>
      <c r="G8133" s="1" t="s">
        <v>19</v>
      </c>
      <c r="H8133" s="1" t="str">
        <f>"63"</f>
        <v>63</v>
      </c>
      <c r="I8133" s="1" t="str">
        <f>"160.4"</f>
        <v>160.4</v>
      </c>
      <c r="J8133" s="1" t="str">
        <f t="shared" si="6002"/>
        <v>0</v>
      </c>
      <c r="K8133" s="1" t="str">
        <f t="shared" si="6003"/>
        <v>103</v>
      </c>
      <c r="L8133" s="1" t="str">
        <f t="shared" si="6004"/>
        <v>47</v>
      </c>
      <c r="M8133" s="1" t="str">
        <f t="shared" si="5998"/>
        <v>0</v>
      </c>
      <c r="N8133" s="1" t="str">
        <f t="shared" si="6001"/>
        <v>0</v>
      </c>
      <c r="O8133" s="1" t="str">
        <f>"10.4"</f>
        <v>10.4</v>
      </c>
    </row>
    <row r="8134" s="1" customFormat="1" spans="1:15">
      <c r="A8134" s="1" t="str">
        <f t="shared" si="6005"/>
        <v>202406</v>
      </c>
      <c r="B8134" s="1" t="str">
        <f t="shared" si="6006"/>
        <v>150525100</v>
      </c>
      <c r="C8134" s="1" t="str">
        <f>"1040653653"</f>
        <v>1040653653</v>
      </c>
      <c r="D8134" s="1" t="str">
        <f>"152326195411200910"</f>
        <v>152326195411200910</v>
      </c>
      <c r="E8134" s="1" t="s">
        <v>7766</v>
      </c>
      <c r="F8134" s="1" t="s">
        <v>25</v>
      </c>
      <c r="G8134" s="1" t="s">
        <v>19</v>
      </c>
      <c r="H8134" s="1" t="str">
        <f>"70"</f>
        <v>70</v>
      </c>
      <c r="I8134" s="1" t="str">
        <f>"153.55"</f>
        <v>153.55</v>
      </c>
      <c r="J8134" s="1" t="str">
        <f t="shared" si="6002"/>
        <v>0</v>
      </c>
      <c r="K8134" s="1" t="str">
        <f t="shared" si="6003"/>
        <v>103</v>
      </c>
      <c r="L8134" s="1" t="str">
        <f t="shared" si="6004"/>
        <v>47</v>
      </c>
      <c r="M8134" s="1" t="str">
        <f t="shared" si="5998"/>
        <v>0</v>
      </c>
      <c r="N8134" s="1" t="str">
        <f t="shared" si="6001"/>
        <v>0</v>
      </c>
      <c r="O8134" s="1" t="str">
        <f>"3.55"</f>
        <v>3.55</v>
      </c>
    </row>
    <row r="8135" s="1" customFormat="1" spans="1:15">
      <c r="A8135" s="1" t="str">
        <f t="shared" si="6005"/>
        <v>202406</v>
      </c>
      <c r="B8135" s="1" t="str">
        <f t="shared" si="6006"/>
        <v>150525100</v>
      </c>
      <c r="C8135" s="1" t="str">
        <f>"1040647661"</f>
        <v>1040647661</v>
      </c>
      <c r="D8135" s="1" t="str">
        <f>"152326196112270665"</f>
        <v>152326196112270665</v>
      </c>
      <c r="E8135" s="1" t="s">
        <v>7767</v>
      </c>
      <c r="F8135" s="1" t="s">
        <v>16</v>
      </c>
      <c r="G8135" s="1" t="s">
        <v>19</v>
      </c>
      <c r="H8135" s="1" t="str">
        <f>"63"</f>
        <v>63</v>
      </c>
      <c r="I8135" s="1" t="str">
        <f>"160.52"</f>
        <v>160.52</v>
      </c>
      <c r="J8135" s="1" t="str">
        <f t="shared" si="6002"/>
        <v>0</v>
      </c>
      <c r="K8135" s="1" t="str">
        <f t="shared" si="6003"/>
        <v>103</v>
      </c>
      <c r="L8135" s="1" t="str">
        <f t="shared" si="6004"/>
        <v>47</v>
      </c>
      <c r="M8135" s="1" t="str">
        <f t="shared" si="5998"/>
        <v>0</v>
      </c>
      <c r="N8135" s="1" t="str">
        <f t="shared" si="6001"/>
        <v>0</v>
      </c>
      <c r="O8135" s="1" t="str">
        <f>"10.52"</f>
        <v>10.52</v>
      </c>
    </row>
    <row r="8136" s="1" customFormat="1" spans="1:15">
      <c r="A8136" s="1" t="str">
        <f t="shared" si="6005"/>
        <v>202406</v>
      </c>
      <c r="B8136" s="1" t="str">
        <f t="shared" si="6006"/>
        <v>150525100</v>
      </c>
      <c r="C8136" s="1" t="str">
        <f>"1040647710"</f>
        <v>1040647710</v>
      </c>
      <c r="D8136" s="1" t="s">
        <v>7768</v>
      </c>
      <c r="E8136" s="1" t="s">
        <v>7769</v>
      </c>
      <c r="F8136" s="1" t="s">
        <v>16</v>
      </c>
      <c r="G8136" s="1" t="s">
        <v>19</v>
      </c>
      <c r="H8136" s="1" t="str">
        <f>"69"</f>
        <v>69</v>
      </c>
      <c r="I8136" s="1" t="str">
        <f>"154.51"</f>
        <v>154.51</v>
      </c>
      <c r="J8136" s="1" t="str">
        <f t="shared" si="6002"/>
        <v>0</v>
      </c>
      <c r="K8136" s="1" t="str">
        <f t="shared" si="6003"/>
        <v>103</v>
      </c>
      <c r="L8136" s="1" t="str">
        <f t="shared" si="6004"/>
        <v>47</v>
      </c>
      <c r="M8136" s="1" t="str">
        <f t="shared" si="5998"/>
        <v>0</v>
      </c>
      <c r="N8136" s="1" t="str">
        <f t="shared" si="6001"/>
        <v>0</v>
      </c>
      <c r="O8136" s="1" t="str">
        <f>"4.51"</f>
        <v>4.51</v>
      </c>
    </row>
    <row r="8137" s="1" customFormat="1" spans="1:15">
      <c r="A8137" s="1" t="str">
        <f t="shared" si="6005"/>
        <v>202406</v>
      </c>
      <c r="B8137" s="1" t="str">
        <f t="shared" si="6006"/>
        <v>150525100</v>
      </c>
      <c r="C8137" s="1" t="str">
        <f>"1040647711"</f>
        <v>1040647711</v>
      </c>
      <c r="D8137" s="1" t="str">
        <f>"152326195804200460"</f>
        <v>152326195804200460</v>
      </c>
      <c r="E8137" s="1" t="s">
        <v>7770</v>
      </c>
      <c r="F8137" s="1" t="s">
        <v>16</v>
      </c>
      <c r="G8137" s="1" t="s">
        <v>19</v>
      </c>
      <c r="H8137" s="1" t="str">
        <f>"66"</f>
        <v>66</v>
      </c>
      <c r="I8137" s="1" t="str">
        <f>"156.49"</f>
        <v>156.49</v>
      </c>
      <c r="J8137" s="1" t="str">
        <f t="shared" si="6002"/>
        <v>0</v>
      </c>
      <c r="K8137" s="1" t="str">
        <f t="shared" si="6003"/>
        <v>103</v>
      </c>
      <c r="L8137" s="1" t="str">
        <f t="shared" si="6004"/>
        <v>47</v>
      </c>
      <c r="M8137" s="1" t="str">
        <f t="shared" si="5998"/>
        <v>0</v>
      </c>
      <c r="N8137" s="1" t="str">
        <f t="shared" si="6001"/>
        <v>0</v>
      </c>
      <c r="O8137" s="1" t="str">
        <f>"6.49"</f>
        <v>6.49</v>
      </c>
    </row>
    <row r="8138" s="1" customFormat="1" spans="1:15">
      <c r="A8138" s="1" t="str">
        <f t="shared" si="6005"/>
        <v>202406</v>
      </c>
      <c r="B8138" s="1" t="str">
        <f t="shared" si="6006"/>
        <v>150525100</v>
      </c>
      <c r="C8138" s="1" t="str">
        <f>"1040646043"</f>
        <v>1040646043</v>
      </c>
      <c r="D8138" s="1" t="s">
        <v>7771</v>
      </c>
      <c r="E8138" s="1" t="s">
        <v>7772</v>
      </c>
      <c r="F8138" s="1" t="s">
        <v>16</v>
      </c>
      <c r="G8138" s="1" t="s">
        <v>17</v>
      </c>
      <c r="H8138" s="1" t="str">
        <f t="shared" ref="H8138:H8141" si="6007">"64"</f>
        <v>64</v>
      </c>
      <c r="I8138" s="1" t="str">
        <f>"158.68"</f>
        <v>158.68</v>
      </c>
      <c r="J8138" s="1" t="str">
        <f t="shared" si="6002"/>
        <v>0</v>
      </c>
      <c r="K8138" s="1" t="str">
        <f t="shared" si="6003"/>
        <v>103</v>
      </c>
      <c r="L8138" s="1" t="str">
        <f t="shared" si="6004"/>
        <v>47</v>
      </c>
      <c r="M8138" s="1" t="str">
        <f t="shared" si="5998"/>
        <v>0</v>
      </c>
      <c r="N8138" s="1" t="str">
        <f t="shared" si="6001"/>
        <v>0</v>
      </c>
      <c r="O8138" s="1" t="str">
        <f>"8.68"</f>
        <v>8.68</v>
      </c>
    </row>
    <row r="8139" s="1" customFormat="1" spans="1:15">
      <c r="A8139" s="1" t="str">
        <f t="shared" si="6005"/>
        <v>202406</v>
      </c>
      <c r="B8139" s="1" t="str">
        <f t="shared" si="6006"/>
        <v>150525100</v>
      </c>
      <c r="C8139" s="1" t="str">
        <f>"1040686049"</f>
        <v>1040686049</v>
      </c>
      <c r="D8139" s="1" t="str">
        <f>"152326196206283088"</f>
        <v>152326196206283088</v>
      </c>
      <c r="E8139" s="1" t="s">
        <v>7773</v>
      </c>
      <c r="F8139" s="1" t="s">
        <v>16</v>
      </c>
      <c r="G8139" s="1" t="s">
        <v>17</v>
      </c>
      <c r="H8139" s="1" t="str">
        <f>"62"</f>
        <v>62</v>
      </c>
      <c r="I8139" s="1" t="str">
        <f>"161.42"</f>
        <v>161.42</v>
      </c>
      <c r="J8139" s="1" t="str">
        <f t="shared" si="6002"/>
        <v>0</v>
      </c>
      <c r="K8139" s="1" t="str">
        <f t="shared" si="6003"/>
        <v>103</v>
      </c>
      <c r="L8139" s="1" t="str">
        <f t="shared" si="6004"/>
        <v>47</v>
      </c>
      <c r="M8139" s="1" t="str">
        <f t="shared" si="5998"/>
        <v>0</v>
      </c>
      <c r="N8139" s="1" t="str">
        <f t="shared" si="6001"/>
        <v>0</v>
      </c>
      <c r="O8139" s="1" t="str">
        <f>"11.42"</f>
        <v>11.42</v>
      </c>
    </row>
    <row r="8140" s="1" customFormat="1" spans="1:15">
      <c r="A8140" s="1" t="str">
        <f t="shared" si="6005"/>
        <v>202406</v>
      </c>
      <c r="B8140" s="1" t="str">
        <f t="shared" si="6006"/>
        <v>150525100</v>
      </c>
      <c r="C8140" s="1" t="str">
        <f>"1040735657"</f>
        <v>1040735657</v>
      </c>
      <c r="D8140" s="1" t="str">
        <f>"152326196001200664"</f>
        <v>152326196001200664</v>
      </c>
      <c r="E8140" s="1" t="s">
        <v>7774</v>
      </c>
      <c r="F8140" s="1" t="s">
        <v>16</v>
      </c>
      <c r="G8140" s="1" t="s">
        <v>17</v>
      </c>
      <c r="H8140" s="1" t="str">
        <f t="shared" si="6007"/>
        <v>64</v>
      </c>
      <c r="I8140" s="1" t="str">
        <f>"156.67"</f>
        <v>156.67</v>
      </c>
      <c r="J8140" s="1" t="str">
        <f t="shared" si="6002"/>
        <v>0</v>
      </c>
      <c r="K8140" s="1" t="str">
        <f t="shared" si="6003"/>
        <v>103</v>
      </c>
      <c r="L8140" s="1" t="str">
        <f t="shared" si="6004"/>
        <v>47</v>
      </c>
      <c r="M8140" s="1" t="str">
        <f t="shared" si="5998"/>
        <v>0</v>
      </c>
      <c r="N8140" s="1" t="str">
        <f t="shared" si="6001"/>
        <v>0</v>
      </c>
      <c r="O8140" s="1" t="str">
        <f>"6.67"</f>
        <v>6.67</v>
      </c>
    </row>
    <row r="8141" s="1" customFormat="1" spans="1:15">
      <c r="A8141" s="1" t="str">
        <f t="shared" si="6005"/>
        <v>202406</v>
      </c>
      <c r="B8141" s="1" t="str">
        <f t="shared" si="6006"/>
        <v>150525100</v>
      </c>
      <c r="C8141" s="1" t="str">
        <f>"1040695083"</f>
        <v>1040695083</v>
      </c>
      <c r="D8141" s="1" t="str">
        <f>"152326196004253323"</f>
        <v>152326196004253323</v>
      </c>
      <c r="E8141" s="1" t="s">
        <v>7775</v>
      </c>
      <c r="F8141" s="1" t="s">
        <v>16</v>
      </c>
      <c r="G8141" s="1" t="s">
        <v>19</v>
      </c>
      <c r="H8141" s="1" t="str">
        <f t="shared" si="6007"/>
        <v>64</v>
      </c>
      <c r="I8141" s="1" t="str">
        <f>"157.65"</f>
        <v>157.65</v>
      </c>
      <c r="J8141" s="1" t="str">
        <f t="shared" si="6002"/>
        <v>0</v>
      </c>
      <c r="K8141" s="1" t="str">
        <f t="shared" si="6003"/>
        <v>103</v>
      </c>
      <c r="L8141" s="1" t="str">
        <f t="shared" si="6004"/>
        <v>47</v>
      </c>
      <c r="M8141" s="1" t="str">
        <f t="shared" si="5998"/>
        <v>0</v>
      </c>
      <c r="N8141" s="1" t="str">
        <f t="shared" si="6001"/>
        <v>0</v>
      </c>
      <c r="O8141" s="1" t="str">
        <f>"7.65"</f>
        <v>7.65</v>
      </c>
    </row>
    <row r="8142" s="1" customFormat="1" spans="1:15">
      <c r="A8142" s="1" t="str">
        <f t="shared" si="6005"/>
        <v>202406</v>
      </c>
      <c r="B8142" s="1" t="str">
        <f t="shared" si="6006"/>
        <v>150525100</v>
      </c>
      <c r="C8142" s="1" t="str">
        <f>"1040695085"</f>
        <v>1040695085</v>
      </c>
      <c r="D8142" s="1" t="str">
        <f>"152326195709253310"</f>
        <v>152326195709253310</v>
      </c>
      <c r="E8142" s="1" t="s">
        <v>7776</v>
      </c>
      <c r="F8142" s="1" t="s">
        <v>25</v>
      </c>
      <c r="G8142" s="1" t="s">
        <v>19</v>
      </c>
      <c r="H8142" s="1" t="str">
        <f>"67"</f>
        <v>67</v>
      </c>
      <c r="I8142" s="1" t="str">
        <f>"154.59"</f>
        <v>154.59</v>
      </c>
      <c r="J8142" s="1" t="str">
        <f t="shared" si="6002"/>
        <v>0</v>
      </c>
      <c r="K8142" s="1" t="str">
        <f t="shared" si="6003"/>
        <v>103</v>
      </c>
      <c r="L8142" s="1" t="str">
        <f t="shared" si="6004"/>
        <v>47</v>
      </c>
      <c r="M8142" s="1" t="str">
        <f t="shared" si="5998"/>
        <v>0</v>
      </c>
      <c r="N8142" s="1" t="str">
        <f t="shared" si="6001"/>
        <v>0</v>
      </c>
      <c r="O8142" s="1" t="str">
        <f>"4.59"</f>
        <v>4.59</v>
      </c>
    </row>
    <row r="8143" s="1" customFormat="1" spans="1:15">
      <c r="A8143" s="1" t="str">
        <f t="shared" si="6005"/>
        <v>202406</v>
      </c>
      <c r="B8143" s="1" t="str">
        <f t="shared" si="6006"/>
        <v>150525100</v>
      </c>
      <c r="C8143" s="1" t="str">
        <f>"1040695108"</f>
        <v>1040695108</v>
      </c>
      <c r="D8143" s="1" t="str">
        <f>"152326195708103310"</f>
        <v>152326195708103310</v>
      </c>
      <c r="E8143" s="1" t="s">
        <v>662</v>
      </c>
      <c r="F8143" s="1" t="s">
        <v>25</v>
      </c>
      <c r="G8143" s="1" t="s">
        <v>19</v>
      </c>
      <c r="H8143" s="1" t="str">
        <f>"67"</f>
        <v>67</v>
      </c>
      <c r="I8143" s="1" t="str">
        <f>"154.59"</f>
        <v>154.59</v>
      </c>
      <c r="J8143" s="1" t="str">
        <f t="shared" si="6002"/>
        <v>0</v>
      </c>
      <c r="K8143" s="1" t="str">
        <f t="shared" si="6003"/>
        <v>103</v>
      </c>
      <c r="L8143" s="1" t="str">
        <f t="shared" si="6004"/>
        <v>47</v>
      </c>
      <c r="M8143" s="1" t="str">
        <f t="shared" si="5998"/>
        <v>0</v>
      </c>
      <c r="N8143" s="1" t="str">
        <f t="shared" si="6001"/>
        <v>0</v>
      </c>
      <c r="O8143" s="1" t="str">
        <f>"4.59"</f>
        <v>4.59</v>
      </c>
    </row>
    <row r="8144" s="1" customFormat="1" spans="1:15">
      <c r="A8144" s="1" t="str">
        <f t="shared" si="6005"/>
        <v>202406</v>
      </c>
      <c r="B8144" s="1" t="str">
        <f t="shared" si="6006"/>
        <v>150525100</v>
      </c>
      <c r="C8144" s="1" t="str">
        <f>"1040654701"</f>
        <v>1040654701</v>
      </c>
      <c r="D8144" s="1" t="str">
        <f>"152326196110253327"</f>
        <v>152326196110253327</v>
      </c>
      <c r="E8144" s="1" t="s">
        <v>7777</v>
      </c>
      <c r="F8144" s="1" t="s">
        <v>16</v>
      </c>
      <c r="G8144" s="1" t="s">
        <v>17</v>
      </c>
      <c r="H8144" s="1" t="str">
        <f>"63"</f>
        <v>63</v>
      </c>
      <c r="I8144" s="1" t="str">
        <f>"159.55"</f>
        <v>159.55</v>
      </c>
      <c r="J8144" s="1" t="str">
        <f t="shared" si="6002"/>
        <v>0</v>
      </c>
      <c r="K8144" s="1" t="str">
        <f t="shared" si="6003"/>
        <v>103</v>
      </c>
      <c r="L8144" s="1" t="str">
        <f t="shared" si="6004"/>
        <v>47</v>
      </c>
      <c r="M8144" s="1" t="str">
        <f t="shared" si="5998"/>
        <v>0</v>
      </c>
      <c r="N8144" s="1" t="str">
        <f t="shared" si="6001"/>
        <v>0</v>
      </c>
      <c r="O8144" s="1" t="str">
        <f>"9.55"</f>
        <v>9.55</v>
      </c>
    </row>
    <row r="8145" s="1" customFormat="1" spans="1:15">
      <c r="A8145" s="1" t="str">
        <f t="shared" si="6005"/>
        <v>202406</v>
      </c>
      <c r="B8145" s="1" t="str">
        <f t="shared" si="6006"/>
        <v>150525100</v>
      </c>
      <c r="C8145" s="1" t="str">
        <f>"1040760423"</f>
        <v>1040760423</v>
      </c>
      <c r="D8145" s="1" t="str">
        <f>"152326195503240661"</f>
        <v>152326195503240661</v>
      </c>
      <c r="E8145" s="1" t="s">
        <v>7778</v>
      </c>
      <c r="F8145" s="1" t="s">
        <v>16</v>
      </c>
      <c r="G8145" s="1" t="s">
        <v>19</v>
      </c>
      <c r="H8145" s="1" t="str">
        <f>"69"</f>
        <v>69</v>
      </c>
      <c r="I8145" s="1" t="str">
        <f>"153.6"</f>
        <v>153.6</v>
      </c>
      <c r="J8145" s="1" t="str">
        <f t="shared" si="6002"/>
        <v>0</v>
      </c>
      <c r="K8145" s="1" t="str">
        <f t="shared" si="6003"/>
        <v>103</v>
      </c>
      <c r="L8145" s="1" t="str">
        <f t="shared" si="6004"/>
        <v>47</v>
      </c>
      <c r="M8145" s="1" t="str">
        <f t="shared" si="5998"/>
        <v>0</v>
      </c>
      <c r="N8145" s="1" t="str">
        <f t="shared" si="6001"/>
        <v>0</v>
      </c>
      <c r="O8145" s="1" t="str">
        <f>"3.6"</f>
        <v>3.6</v>
      </c>
    </row>
    <row r="8146" s="1" customFormat="1" spans="1:15">
      <c r="A8146" s="1" t="str">
        <f t="shared" si="6005"/>
        <v>202406</v>
      </c>
      <c r="B8146" s="1" t="str">
        <f t="shared" si="6006"/>
        <v>150525100</v>
      </c>
      <c r="C8146" s="1" t="str">
        <f>"1040752685"</f>
        <v>1040752685</v>
      </c>
      <c r="D8146" s="1" t="str">
        <f>"152326195606170424"</f>
        <v>152326195606170424</v>
      </c>
      <c r="E8146" s="1" t="s">
        <v>209</v>
      </c>
      <c r="F8146" s="1" t="s">
        <v>16</v>
      </c>
      <c r="G8146" s="1" t="s">
        <v>17</v>
      </c>
      <c r="H8146" s="1" t="str">
        <f>"68"</f>
        <v>68</v>
      </c>
      <c r="I8146" s="1" t="str">
        <f>"154.54"</f>
        <v>154.54</v>
      </c>
      <c r="J8146" s="1" t="str">
        <f t="shared" si="6002"/>
        <v>0</v>
      </c>
      <c r="K8146" s="1" t="str">
        <f t="shared" si="6003"/>
        <v>103</v>
      </c>
      <c r="L8146" s="1" t="str">
        <f t="shared" si="6004"/>
        <v>47</v>
      </c>
      <c r="M8146" s="1" t="str">
        <f t="shared" si="5998"/>
        <v>0</v>
      </c>
      <c r="N8146" s="1" t="str">
        <f t="shared" si="6001"/>
        <v>0</v>
      </c>
      <c r="O8146" s="1" t="str">
        <f>"4.54"</f>
        <v>4.54</v>
      </c>
    </row>
    <row r="8147" s="1" customFormat="1" spans="1:15">
      <c r="A8147" s="1" t="str">
        <f t="shared" si="6005"/>
        <v>202406</v>
      </c>
      <c r="B8147" s="1" t="str">
        <f t="shared" si="6006"/>
        <v>150525100</v>
      </c>
      <c r="C8147" s="1" t="str">
        <f>"1040766611"</f>
        <v>1040766611</v>
      </c>
      <c r="D8147" s="1" t="str">
        <f>"152326196307200026"</f>
        <v>152326196307200026</v>
      </c>
      <c r="E8147" s="1" t="s">
        <v>130</v>
      </c>
      <c r="F8147" s="1" t="s">
        <v>16</v>
      </c>
      <c r="G8147" s="1" t="s">
        <v>19</v>
      </c>
      <c r="H8147" s="1" t="str">
        <f>"61"</f>
        <v>61</v>
      </c>
      <c r="I8147" s="1" t="str">
        <f>"163.14"</f>
        <v>163.14</v>
      </c>
      <c r="J8147" s="1" t="str">
        <f t="shared" si="6002"/>
        <v>0</v>
      </c>
      <c r="K8147" s="1" t="str">
        <f t="shared" si="6003"/>
        <v>103</v>
      </c>
      <c r="L8147" s="1" t="str">
        <f t="shared" si="6004"/>
        <v>47</v>
      </c>
      <c r="M8147" s="1" t="str">
        <f t="shared" si="5998"/>
        <v>0</v>
      </c>
      <c r="N8147" s="1" t="str">
        <f t="shared" si="6001"/>
        <v>0</v>
      </c>
      <c r="O8147" s="1" t="str">
        <f>"13.14"</f>
        <v>13.14</v>
      </c>
    </row>
    <row r="8148" s="1" customFormat="1" spans="1:15">
      <c r="A8148" s="1" t="str">
        <f t="shared" si="6005"/>
        <v>202406</v>
      </c>
      <c r="B8148" s="1" t="str">
        <f t="shared" si="6006"/>
        <v>150525100</v>
      </c>
      <c r="C8148" s="1" t="str">
        <f>"1040647269"</f>
        <v>1040647269</v>
      </c>
      <c r="D8148" s="1" t="str">
        <f>"152326196402010423"</f>
        <v>152326196402010423</v>
      </c>
      <c r="E8148" s="1" t="s">
        <v>1561</v>
      </c>
      <c r="F8148" s="1" t="s">
        <v>16</v>
      </c>
      <c r="G8148" s="1" t="s">
        <v>19</v>
      </c>
      <c r="H8148" s="1" t="str">
        <f>"60"</f>
        <v>60</v>
      </c>
      <c r="I8148" s="1" t="str">
        <f>"167.78"</f>
        <v>167.78</v>
      </c>
      <c r="J8148" s="1" t="str">
        <f t="shared" si="6002"/>
        <v>0</v>
      </c>
      <c r="K8148" s="1" t="str">
        <f t="shared" si="6003"/>
        <v>103</v>
      </c>
      <c r="L8148" s="1" t="str">
        <f t="shared" si="6004"/>
        <v>47</v>
      </c>
      <c r="M8148" s="1" t="str">
        <f t="shared" si="5998"/>
        <v>0</v>
      </c>
      <c r="N8148" s="1" t="str">
        <f t="shared" si="6001"/>
        <v>0</v>
      </c>
      <c r="O8148" s="1" t="str">
        <f>"17.78"</f>
        <v>17.78</v>
      </c>
    </row>
    <row r="8149" s="1" customFormat="1" spans="1:15">
      <c r="A8149" s="1" t="str">
        <f t="shared" si="6005"/>
        <v>202406</v>
      </c>
      <c r="B8149" s="1" t="str">
        <f t="shared" si="6006"/>
        <v>150525100</v>
      </c>
      <c r="C8149" s="1" t="str">
        <f>"1040655167"</f>
        <v>1040655167</v>
      </c>
      <c r="D8149" s="1" t="str">
        <f>"152326195907200447"</f>
        <v>152326195907200447</v>
      </c>
      <c r="E8149" s="1" t="s">
        <v>7779</v>
      </c>
      <c r="F8149" s="1" t="s">
        <v>16</v>
      </c>
      <c r="G8149" s="1" t="s">
        <v>17</v>
      </c>
      <c r="H8149" s="1" t="str">
        <f>"65"</f>
        <v>65</v>
      </c>
      <c r="I8149" s="1" t="str">
        <f>"156.64"</f>
        <v>156.64</v>
      </c>
      <c r="J8149" s="1" t="str">
        <f t="shared" si="6002"/>
        <v>0</v>
      </c>
      <c r="K8149" s="1" t="str">
        <f t="shared" si="6003"/>
        <v>103</v>
      </c>
      <c r="L8149" s="1" t="str">
        <f t="shared" si="6004"/>
        <v>47</v>
      </c>
      <c r="M8149" s="1" t="str">
        <f t="shared" si="5998"/>
        <v>0</v>
      </c>
      <c r="N8149" s="1" t="str">
        <f t="shared" si="6001"/>
        <v>0</v>
      </c>
      <c r="O8149" s="1" t="str">
        <f>"6.64"</f>
        <v>6.64</v>
      </c>
    </row>
    <row r="8150" s="1" customFormat="1" spans="1:15">
      <c r="A8150" s="1" t="str">
        <f t="shared" si="6005"/>
        <v>202406</v>
      </c>
      <c r="B8150" s="1" t="str">
        <f t="shared" si="6006"/>
        <v>150525100</v>
      </c>
      <c r="C8150" s="1" t="str">
        <f>"1040695138"</f>
        <v>1040695138</v>
      </c>
      <c r="D8150" s="1" t="s">
        <v>7780</v>
      </c>
      <c r="E8150" s="1" t="s">
        <v>7781</v>
      </c>
      <c r="F8150" s="1" t="s">
        <v>16</v>
      </c>
      <c r="G8150" s="1" t="s">
        <v>17</v>
      </c>
      <c r="H8150" s="1" t="str">
        <f>"63"</f>
        <v>63</v>
      </c>
      <c r="I8150" s="1" t="str">
        <f>"158.78"</f>
        <v>158.78</v>
      </c>
      <c r="J8150" s="1" t="str">
        <f t="shared" si="6002"/>
        <v>0</v>
      </c>
      <c r="K8150" s="1" t="str">
        <f t="shared" si="6003"/>
        <v>103</v>
      </c>
      <c r="L8150" s="1" t="str">
        <f t="shared" si="6004"/>
        <v>47</v>
      </c>
      <c r="M8150" s="1" t="str">
        <f t="shared" si="5998"/>
        <v>0</v>
      </c>
      <c r="N8150" s="1" t="str">
        <f t="shared" si="6001"/>
        <v>0</v>
      </c>
      <c r="O8150" s="1" t="str">
        <f>"8.78"</f>
        <v>8.78</v>
      </c>
    </row>
    <row r="8151" s="1" customFormat="1" spans="1:15">
      <c r="A8151" s="1" t="str">
        <f t="shared" si="6005"/>
        <v>202406</v>
      </c>
      <c r="B8151" s="1" t="str">
        <f t="shared" si="6006"/>
        <v>150525100</v>
      </c>
      <c r="C8151" s="1" t="str">
        <f>"1040646580"</f>
        <v>1040646580</v>
      </c>
      <c r="D8151" s="1" t="str">
        <f>"152326195711140665"</f>
        <v>152326195711140665</v>
      </c>
      <c r="E8151" s="1" t="s">
        <v>7782</v>
      </c>
      <c r="F8151" s="1" t="s">
        <v>16</v>
      </c>
      <c r="G8151" s="1" t="s">
        <v>17</v>
      </c>
      <c r="H8151" s="1" t="str">
        <f>"67"</f>
        <v>67</v>
      </c>
      <c r="I8151" s="1" t="str">
        <f>"155.51"</f>
        <v>155.51</v>
      </c>
      <c r="J8151" s="1" t="str">
        <f t="shared" si="6002"/>
        <v>0</v>
      </c>
      <c r="K8151" s="1" t="str">
        <f t="shared" si="6003"/>
        <v>103</v>
      </c>
      <c r="L8151" s="1" t="str">
        <f t="shared" si="6004"/>
        <v>47</v>
      </c>
      <c r="M8151" s="1" t="str">
        <f t="shared" si="5998"/>
        <v>0</v>
      </c>
      <c r="N8151" s="1" t="str">
        <f t="shared" si="6001"/>
        <v>0</v>
      </c>
      <c r="O8151" s="1" t="str">
        <f>"5.51"</f>
        <v>5.51</v>
      </c>
    </row>
    <row r="8152" s="1" customFormat="1" spans="1:15">
      <c r="A8152" s="1" t="str">
        <f t="shared" si="6005"/>
        <v>202406</v>
      </c>
      <c r="B8152" s="1" t="str">
        <f t="shared" si="6006"/>
        <v>150525100</v>
      </c>
      <c r="C8152" s="1" t="str">
        <f>"1040647865"</f>
        <v>1040647865</v>
      </c>
      <c r="D8152" s="1" t="str">
        <f>"152326195706270676"</f>
        <v>152326195706270676</v>
      </c>
      <c r="E8152" s="1" t="s">
        <v>7783</v>
      </c>
      <c r="F8152" s="1" t="s">
        <v>25</v>
      </c>
      <c r="G8152" s="1" t="s">
        <v>17</v>
      </c>
      <c r="H8152" s="1" t="str">
        <f>"67"</f>
        <v>67</v>
      </c>
      <c r="I8152" s="1" t="str">
        <f>"155.48"</f>
        <v>155.48</v>
      </c>
      <c r="J8152" s="1" t="str">
        <f t="shared" si="6002"/>
        <v>0</v>
      </c>
      <c r="K8152" s="1" t="str">
        <f t="shared" si="6003"/>
        <v>103</v>
      </c>
      <c r="L8152" s="1" t="str">
        <f t="shared" si="6004"/>
        <v>47</v>
      </c>
      <c r="M8152" s="1" t="str">
        <f t="shared" si="5998"/>
        <v>0</v>
      </c>
      <c r="N8152" s="1" t="str">
        <f t="shared" si="6001"/>
        <v>0</v>
      </c>
      <c r="O8152" s="1" t="str">
        <f>"5.48"</f>
        <v>5.48</v>
      </c>
    </row>
    <row r="8153" s="1" customFormat="1" spans="1:15">
      <c r="A8153" s="1" t="str">
        <f t="shared" si="6005"/>
        <v>202406</v>
      </c>
      <c r="B8153" s="1" t="str">
        <f t="shared" si="6006"/>
        <v>150525100</v>
      </c>
      <c r="C8153" s="1" t="str">
        <f>"1040647876"</f>
        <v>1040647876</v>
      </c>
      <c r="D8153" s="1" t="str">
        <f>"152326196211160672"</f>
        <v>152326196211160672</v>
      </c>
      <c r="E8153" s="1" t="s">
        <v>7784</v>
      </c>
      <c r="F8153" s="1" t="s">
        <v>25</v>
      </c>
      <c r="G8153" s="1" t="s">
        <v>19</v>
      </c>
      <c r="H8153" s="1" t="str">
        <f>"62"</f>
        <v>62</v>
      </c>
      <c r="I8153" s="1" t="str">
        <f>"175.19"</f>
        <v>175.19</v>
      </c>
      <c r="J8153" s="1" t="str">
        <f t="shared" si="6002"/>
        <v>0</v>
      </c>
      <c r="K8153" s="1" t="str">
        <f t="shared" si="6003"/>
        <v>103</v>
      </c>
      <c r="L8153" s="1" t="str">
        <f t="shared" si="6004"/>
        <v>47</v>
      </c>
      <c r="M8153" s="1" t="str">
        <f t="shared" si="5998"/>
        <v>0</v>
      </c>
      <c r="N8153" s="1" t="str">
        <f t="shared" si="6001"/>
        <v>0</v>
      </c>
      <c r="O8153" s="1" t="str">
        <f>"25.19"</f>
        <v>25.19</v>
      </c>
    </row>
    <row r="8154" s="1" customFormat="1" spans="1:15">
      <c r="A8154" s="1" t="str">
        <f t="shared" si="6005"/>
        <v>202406</v>
      </c>
      <c r="B8154" s="1" t="str">
        <f t="shared" si="6006"/>
        <v>150525100</v>
      </c>
      <c r="C8154" s="1" t="str">
        <f>"1040644117"</f>
        <v>1040644117</v>
      </c>
      <c r="D8154" s="1" t="str">
        <f>"152326195804196377"</f>
        <v>152326195804196377</v>
      </c>
      <c r="E8154" s="1" t="s">
        <v>7785</v>
      </c>
      <c r="F8154" s="1" t="s">
        <v>25</v>
      </c>
      <c r="G8154" s="1" t="s">
        <v>17</v>
      </c>
      <c r="H8154" s="1" t="str">
        <f t="shared" ref="H8154:H8158" si="6008">"66"</f>
        <v>66</v>
      </c>
      <c r="I8154" s="1" t="str">
        <f>"155.58"</f>
        <v>155.58</v>
      </c>
      <c r="J8154" s="1" t="str">
        <f t="shared" si="6002"/>
        <v>0</v>
      </c>
      <c r="K8154" s="1" t="str">
        <f t="shared" si="6003"/>
        <v>103</v>
      </c>
      <c r="L8154" s="1" t="str">
        <f t="shared" si="6004"/>
        <v>47</v>
      </c>
      <c r="M8154" s="1" t="str">
        <f t="shared" si="5998"/>
        <v>0</v>
      </c>
      <c r="N8154" s="1" t="str">
        <f t="shared" si="6001"/>
        <v>0</v>
      </c>
      <c r="O8154" s="1" t="str">
        <f>"5.58"</f>
        <v>5.58</v>
      </c>
    </row>
    <row r="8155" s="1" customFormat="1" spans="1:15">
      <c r="A8155" s="1" t="str">
        <f t="shared" si="6005"/>
        <v>202406</v>
      </c>
      <c r="B8155" s="1" t="str">
        <f t="shared" si="6006"/>
        <v>150525100</v>
      </c>
      <c r="C8155" s="1" t="str">
        <f>"1040693072"</f>
        <v>1040693072</v>
      </c>
      <c r="D8155" s="1" t="str">
        <f>"152326195608273822"</f>
        <v>152326195608273822</v>
      </c>
      <c r="E8155" s="1" t="s">
        <v>4221</v>
      </c>
      <c r="F8155" s="1" t="s">
        <v>16</v>
      </c>
      <c r="G8155" s="1" t="s">
        <v>17</v>
      </c>
      <c r="H8155" s="1" t="str">
        <f>"68"</f>
        <v>68</v>
      </c>
      <c r="I8155" s="1" t="str">
        <f>"154.54"</f>
        <v>154.54</v>
      </c>
      <c r="J8155" s="1" t="str">
        <f t="shared" si="6002"/>
        <v>0</v>
      </c>
      <c r="K8155" s="1" t="str">
        <f t="shared" si="6003"/>
        <v>103</v>
      </c>
      <c r="L8155" s="1" t="str">
        <f t="shared" si="6004"/>
        <v>47</v>
      </c>
      <c r="M8155" s="1" t="str">
        <f t="shared" si="5998"/>
        <v>0</v>
      </c>
      <c r="N8155" s="1" t="str">
        <f t="shared" si="6001"/>
        <v>0</v>
      </c>
      <c r="O8155" s="1" t="str">
        <f>"4.54"</f>
        <v>4.54</v>
      </c>
    </row>
    <row r="8156" s="1" customFormat="1" spans="1:15">
      <c r="A8156" s="1" t="str">
        <f t="shared" si="6005"/>
        <v>202406</v>
      </c>
      <c r="B8156" s="1" t="str">
        <f t="shared" si="6006"/>
        <v>150525100</v>
      </c>
      <c r="C8156" s="1" t="str">
        <f>"1040647931"</f>
        <v>1040647931</v>
      </c>
      <c r="D8156" s="1" t="str">
        <f>"152326195908020667"</f>
        <v>152326195908020667</v>
      </c>
      <c r="E8156" s="1" t="s">
        <v>51</v>
      </c>
      <c r="F8156" s="1" t="s">
        <v>16</v>
      </c>
      <c r="G8156" s="1" t="s">
        <v>17</v>
      </c>
      <c r="H8156" s="1" t="str">
        <f>"65"</f>
        <v>65</v>
      </c>
      <c r="I8156" s="1" t="str">
        <f>"157.57"</f>
        <v>157.57</v>
      </c>
      <c r="J8156" s="1" t="str">
        <f t="shared" si="6002"/>
        <v>0</v>
      </c>
      <c r="K8156" s="1" t="str">
        <f t="shared" si="6003"/>
        <v>103</v>
      </c>
      <c r="L8156" s="1" t="str">
        <f t="shared" si="6004"/>
        <v>47</v>
      </c>
      <c r="M8156" s="1" t="str">
        <f t="shared" si="5998"/>
        <v>0</v>
      </c>
      <c r="N8156" s="1" t="str">
        <f t="shared" si="6001"/>
        <v>0</v>
      </c>
      <c r="O8156" s="1" t="str">
        <f>"7.57"</f>
        <v>7.57</v>
      </c>
    </row>
    <row r="8157" s="1" customFormat="1" spans="1:15">
      <c r="A8157" s="1" t="str">
        <f t="shared" si="6005"/>
        <v>202406</v>
      </c>
      <c r="B8157" s="1" t="str">
        <f t="shared" si="6006"/>
        <v>150525100</v>
      </c>
      <c r="C8157" s="1" t="str">
        <f>"1040647942"</f>
        <v>1040647942</v>
      </c>
      <c r="D8157" s="1" t="str">
        <f>"152326195807070665"</f>
        <v>152326195807070665</v>
      </c>
      <c r="E8157" s="1" t="s">
        <v>7786</v>
      </c>
      <c r="F8157" s="1" t="s">
        <v>16</v>
      </c>
      <c r="G8157" s="1" t="s">
        <v>17</v>
      </c>
      <c r="H8157" s="1" t="str">
        <f t="shared" si="6008"/>
        <v>66</v>
      </c>
      <c r="I8157" s="1" t="str">
        <f>"156.52"</f>
        <v>156.52</v>
      </c>
      <c r="J8157" s="1" t="str">
        <f t="shared" si="6002"/>
        <v>0</v>
      </c>
      <c r="K8157" s="1" t="str">
        <f t="shared" si="6003"/>
        <v>103</v>
      </c>
      <c r="L8157" s="1" t="str">
        <f t="shared" si="6004"/>
        <v>47</v>
      </c>
      <c r="M8157" s="1" t="str">
        <f t="shared" si="5998"/>
        <v>0</v>
      </c>
      <c r="N8157" s="1" t="str">
        <f t="shared" si="6001"/>
        <v>0</v>
      </c>
      <c r="O8157" s="1" t="str">
        <f>"6.52"</f>
        <v>6.52</v>
      </c>
    </row>
    <row r="8158" s="1" customFormat="1" spans="1:15">
      <c r="A8158" s="1" t="str">
        <f t="shared" si="6005"/>
        <v>202406</v>
      </c>
      <c r="B8158" s="1" t="str">
        <f t="shared" si="6006"/>
        <v>150525100</v>
      </c>
      <c r="C8158" s="1" t="str">
        <f>"1040728971"</f>
        <v>1040728971</v>
      </c>
      <c r="D8158" s="1" t="str">
        <f>"152326195805090670"</f>
        <v>152326195805090670</v>
      </c>
      <c r="E8158" s="1" t="s">
        <v>7787</v>
      </c>
      <c r="F8158" s="1" t="s">
        <v>25</v>
      </c>
      <c r="G8158" s="1" t="s">
        <v>17</v>
      </c>
      <c r="H8158" s="1" t="str">
        <f t="shared" si="6008"/>
        <v>66</v>
      </c>
      <c r="I8158" s="1" t="str">
        <f>"155.61"</f>
        <v>155.61</v>
      </c>
      <c r="J8158" s="1" t="str">
        <f t="shared" si="6002"/>
        <v>0</v>
      </c>
      <c r="K8158" s="1" t="str">
        <f t="shared" si="6003"/>
        <v>103</v>
      </c>
      <c r="L8158" s="1" t="str">
        <f t="shared" si="6004"/>
        <v>47</v>
      </c>
      <c r="M8158" s="1" t="str">
        <f t="shared" si="5998"/>
        <v>0</v>
      </c>
      <c r="N8158" s="1" t="str">
        <f t="shared" si="6001"/>
        <v>0</v>
      </c>
      <c r="O8158" s="1" t="str">
        <f>"5.61"</f>
        <v>5.61</v>
      </c>
    </row>
    <row r="8159" s="1" customFormat="1" spans="1:15">
      <c r="A8159" s="1" t="str">
        <f t="shared" si="6005"/>
        <v>202406</v>
      </c>
      <c r="B8159" s="1" t="str">
        <f t="shared" si="6006"/>
        <v>150525100</v>
      </c>
      <c r="C8159" s="1" t="str">
        <f>"1040688393"</f>
        <v>1040688393</v>
      </c>
      <c r="D8159" s="1" t="str">
        <f>"152326195709043823"</f>
        <v>152326195709043823</v>
      </c>
      <c r="E8159" s="1" t="s">
        <v>7788</v>
      </c>
      <c r="F8159" s="1" t="s">
        <v>16</v>
      </c>
      <c r="G8159" s="1" t="s">
        <v>17</v>
      </c>
      <c r="H8159" s="1" t="str">
        <f>"67"</f>
        <v>67</v>
      </c>
      <c r="I8159" s="1" t="str">
        <f>"154.93"</f>
        <v>154.93</v>
      </c>
      <c r="J8159" s="1" t="str">
        <f t="shared" si="6002"/>
        <v>0</v>
      </c>
      <c r="K8159" s="1" t="str">
        <f t="shared" si="6003"/>
        <v>103</v>
      </c>
      <c r="L8159" s="1" t="str">
        <f t="shared" si="6004"/>
        <v>47</v>
      </c>
      <c r="M8159" s="1" t="str">
        <f t="shared" si="5998"/>
        <v>0</v>
      </c>
      <c r="N8159" s="1" t="str">
        <f t="shared" si="6001"/>
        <v>0</v>
      </c>
      <c r="O8159" s="1" t="str">
        <f>"4.93"</f>
        <v>4.93</v>
      </c>
    </row>
    <row r="8160" s="1" customFormat="1" spans="1:15">
      <c r="A8160" s="1" t="str">
        <f t="shared" si="6005"/>
        <v>202406</v>
      </c>
      <c r="B8160" s="1" t="str">
        <f t="shared" si="6006"/>
        <v>150525100</v>
      </c>
      <c r="C8160" s="1" t="str">
        <f>"1040647994"</f>
        <v>1040647994</v>
      </c>
      <c r="D8160" s="1" t="str">
        <f>"152326196010260423"</f>
        <v>152326196010260423</v>
      </c>
      <c r="E8160" s="1" t="s">
        <v>7789</v>
      </c>
      <c r="F8160" s="1" t="s">
        <v>16</v>
      </c>
      <c r="G8160" s="1" t="s">
        <v>17</v>
      </c>
      <c r="H8160" s="1" t="str">
        <f>"64"</f>
        <v>64</v>
      </c>
      <c r="I8160" s="1" t="str">
        <f>"158.65"</f>
        <v>158.65</v>
      </c>
      <c r="J8160" s="1" t="str">
        <f t="shared" si="6002"/>
        <v>0</v>
      </c>
      <c r="K8160" s="1" t="str">
        <f t="shared" si="6003"/>
        <v>103</v>
      </c>
      <c r="L8160" s="1" t="str">
        <f t="shared" si="6004"/>
        <v>47</v>
      </c>
      <c r="M8160" s="1" t="str">
        <f t="shared" si="5998"/>
        <v>0</v>
      </c>
      <c r="N8160" s="1" t="str">
        <f t="shared" si="6001"/>
        <v>0</v>
      </c>
      <c r="O8160" s="1" t="str">
        <f>"8.65"</f>
        <v>8.65</v>
      </c>
    </row>
    <row r="8161" s="1" customFormat="1" spans="1:15">
      <c r="A8161" s="1" t="str">
        <f t="shared" si="6005"/>
        <v>202406</v>
      </c>
      <c r="B8161" s="1" t="str">
        <f t="shared" si="6006"/>
        <v>150525100</v>
      </c>
      <c r="C8161" s="1" t="str">
        <f>"1040648022"</f>
        <v>1040648022</v>
      </c>
      <c r="D8161" s="1" t="str">
        <f>"152326195812050431"</f>
        <v>152326195812050431</v>
      </c>
      <c r="E8161" s="1" t="s">
        <v>7790</v>
      </c>
      <c r="F8161" s="1" t="s">
        <v>25</v>
      </c>
      <c r="G8161" s="1" t="s">
        <v>17</v>
      </c>
      <c r="H8161" s="1" t="str">
        <f>"66"</f>
        <v>66</v>
      </c>
      <c r="I8161" s="1" t="str">
        <f>"156.56"</f>
        <v>156.56</v>
      </c>
      <c r="J8161" s="1" t="str">
        <f t="shared" si="6002"/>
        <v>0</v>
      </c>
      <c r="K8161" s="1" t="str">
        <f t="shared" si="6003"/>
        <v>103</v>
      </c>
      <c r="L8161" s="1" t="str">
        <f t="shared" si="6004"/>
        <v>47</v>
      </c>
      <c r="M8161" s="1" t="str">
        <f t="shared" si="5998"/>
        <v>0</v>
      </c>
      <c r="N8161" s="1" t="str">
        <f t="shared" si="6001"/>
        <v>0</v>
      </c>
      <c r="O8161" s="1" t="str">
        <f>"6.56"</f>
        <v>6.56</v>
      </c>
    </row>
    <row r="8162" s="1" customFormat="1" spans="1:15">
      <c r="A8162" s="1" t="str">
        <f t="shared" si="6005"/>
        <v>202406</v>
      </c>
      <c r="B8162" s="1" t="str">
        <f t="shared" si="6006"/>
        <v>150525100</v>
      </c>
      <c r="C8162" s="1" t="str">
        <f>"1040648027"</f>
        <v>1040648027</v>
      </c>
      <c r="D8162" s="1" t="str">
        <f>"152326195907120420"</f>
        <v>152326195907120420</v>
      </c>
      <c r="E8162" s="1" t="s">
        <v>7791</v>
      </c>
      <c r="F8162" s="1" t="s">
        <v>16</v>
      </c>
      <c r="G8162" s="1" t="s">
        <v>17</v>
      </c>
      <c r="H8162" s="1" t="str">
        <f>"65"</f>
        <v>65</v>
      </c>
      <c r="I8162" s="1" t="str">
        <f>"157.56"</f>
        <v>157.56</v>
      </c>
      <c r="J8162" s="1" t="str">
        <f t="shared" si="6002"/>
        <v>0</v>
      </c>
      <c r="K8162" s="1" t="str">
        <f t="shared" si="6003"/>
        <v>103</v>
      </c>
      <c r="L8162" s="1" t="str">
        <f t="shared" si="6004"/>
        <v>47</v>
      </c>
      <c r="M8162" s="1" t="str">
        <f t="shared" si="5998"/>
        <v>0</v>
      </c>
      <c r="N8162" s="1" t="str">
        <f t="shared" si="6001"/>
        <v>0</v>
      </c>
      <c r="O8162" s="1" t="str">
        <f>"7.56"</f>
        <v>7.56</v>
      </c>
    </row>
    <row r="8163" s="1" customFormat="1" spans="1:15">
      <c r="A8163" s="1" t="str">
        <f t="shared" si="6005"/>
        <v>202406</v>
      </c>
      <c r="B8163" s="1" t="str">
        <f t="shared" si="6006"/>
        <v>150525100</v>
      </c>
      <c r="C8163" s="1" t="str">
        <f>"1040648039"</f>
        <v>1040648039</v>
      </c>
      <c r="D8163" s="1" t="str">
        <f>"152326196310180417"</f>
        <v>152326196310180417</v>
      </c>
      <c r="E8163" s="1" t="s">
        <v>7792</v>
      </c>
      <c r="F8163" s="1" t="s">
        <v>25</v>
      </c>
      <c r="G8163" s="1" t="s">
        <v>19</v>
      </c>
      <c r="H8163" s="1" t="str">
        <f>"61"</f>
        <v>61</v>
      </c>
      <c r="I8163" s="1" t="str">
        <f>"164.13"</f>
        <v>164.13</v>
      </c>
      <c r="J8163" s="1" t="str">
        <f t="shared" si="6002"/>
        <v>0</v>
      </c>
      <c r="K8163" s="1" t="str">
        <f t="shared" si="6003"/>
        <v>103</v>
      </c>
      <c r="L8163" s="1" t="str">
        <f t="shared" si="6004"/>
        <v>47</v>
      </c>
      <c r="M8163" s="1" t="str">
        <f t="shared" si="5998"/>
        <v>0</v>
      </c>
      <c r="N8163" s="1" t="str">
        <f t="shared" si="6001"/>
        <v>0</v>
      </c>
      <c r="O8163" s="1" t="str">
        <f>"14.13"</f>
        <v>14.13</v>
      </c>
    </row>
    <row r="8164" s="1" customFormat="1" spans="1:15">
      <c r="A8164" s="1" t="str">
        <f t="shared" si="6005"/>
        <v>202406</v>
      </c>
      <c r="B8164" s="1" t="str">
        <f t="shared" si="6006"/>
        <v>150525100</v>
      </c>
      <c r="C8164" s="1" t="str">
        <f>"1040653052"</f>
        <v>1040653052</v>
      </c>
      <c r="D8164" s="1" t="str">
        <f>"152326196101063310"</f>
        <v>152326196101063310</v>
      </c>
      <c r="E8164" s="1" t="s">
        <v>7793</v>
      </c>
      <c r="F8164" s="1" t="s">
        <v>25</v>
      </c>
      <c r="G8164" s="1" t="s">
        <v>17</v>
      </c>
      <c r="H8164" s="1" t="str">
        <f>"64"</f>
        <v>64</v>
      </c>
      <c r="I8164" s="1" t="str">
        <f>"160.38"</f>
        <v>160.38</v>
      </c>
      <c r="J8164" s="1" t="str">
        <f t="shared" si="6002"/>
        <v>0</v>
      </c>
      <c r="K8164" s="1" t="str">
        <f t="shared" si="6003"/>
        <v>103</v>
      </c>
      <c r="L8164" s="1" t="str">
        <f t="shared" si="6004"/>
        <v>47</v>
      </c>
      <c r="M8164" s="1" t="str">
        <f t="shared" si="5998"/>
        <v>0</v>
      </c>
      <c r="N8164" s="1" t="str">
        <f t="shared" si="6001"/>
        <v>0</v>
      </c>
      <c r="O8164" s="1" t="str">
        <f>"10.38"</f>
        <v>10.38</v>
      </c>
    </row>
    <row r="8165" s="1" customFormat="1" spans="1:15">
      <c r="A8165" s="1" t="str">
        <f t="shared" si="6005"/>
        <v>202406</v>
      </c>
      <c r="B8165" s="1" t="str">
        <f t="shared" si="6006"/>
        <v>150525100</v>
      </c>
      <c r="C8165" s="1" t="str">
        <f>"1040688468"</f>
        <v>1040688468</v>
      </c>
      <c r="D8165" s="1" t="s">
        <v>7794</v>
      </c>
      <c r="E8165" s="1" t="s">
        <v>7795</v>
      </c>
      <c r="F8165" s="1" t="s">
        <v>25</v>
      </c>
      <c r="G8165" s="1" t="s">
        <v>17</v>
      </c>
      <c r="H8165" s="1" t="str">
        <f>"67"</f>
        <v>67</v>
      </c>
      <c r="I8165" s="1" t="str">
        <f>"154.71"</f>
        <v>154.71</v>
      </c>
      <c r="J8165" s="1" t="str">
        <f t="shared" si="6002"/>
        <v>0</v>
      </c>
      <c r="K8165" s="1" t="str">
        <f t="shared" si="6003"/>
        <v>103</v>
      </c>
      <c r="L8165" s="1" t="str">
        <f t="shared" si="6004"/>
        <v>47</v>
      </c>
      <c r="M8165" s="1" t="str">
        <f t="shared" si="5998"/>
        <v>0</v>
      </c>
      <c r="N8165" s="1" t="str">
        <f t="shared" si="6001"/>
        <v>0</v>
      </c>
      <c r="O8165" s="1" t="str">
        <f>"4.71"</f>
        <v>4.71</v>
      </c>
    </row>
    <row r="8166" s="1" customFormat="1" spans="1:15">
      <c r="A8166" s="1" t="str">
        <f t="shared" si="6005"/>
        <v>202406</v>
      </c>
      <c r="B8166" s="1" t="str">
        <f t="shared" si="6006"/>
        <v>150525100</v>
      </c>
      <c r="C8166" s="1" t="str">
        <f>"1040688486"</f>
        <v>1040688486</v>
      </c>
      <c r="D8166" s="1" t="str">
        <f>"152326195307060428"</f>
        <v>152326195307060428</v>
      </c>
      <c r="E8166" s="1" t="s">
        <v>7796</v>
      </c>
      <c r="F8166" s="1" t="s">
        <v>16</v>
      </c>
      <c r="G8166" s="1" t="s">
        <v>17</v>
      </c>
      <c r="H8166" s="1" t="str">
        <f>"71"</f>
        <v>71</v>
      </c>
      <c r="I8166" s="1" t="str">
        <f>"162.25"</f>
        <v>162.25</v>
      </c>
      <c r="J8166" s="1" t="str">
        <f t="shared" si="6002"/>
        <v>0</v>
      </c>
      <c r="K8166" s="1" t="str">
        <f t="shared" si="6003"/>
        <v>103</v>
      </c>
      <c r="L8166" s="1" t="str">
        <f t="shared" si="6004"/>
        <v>47</v>
      </c>
      <c r="M8166" s="1" t="str">
        <f t="shared" si="5998"/>
        <v>0</v>
      </c>
      <c r="N8166" s="1" t="str">
        <f t="shared" si="6001"/>
        <v>0</v>
      </c>
      <c r="O8166" s="1" t="str">
        <f>"2.25"</f>
        <v>2.25</v>
      </c>
    </row>
    <row r="8167" s="1" customFormat="1" spans="1:15">
      <c r="A8167" s="1" t="str">
        <f t="shared" si="6005"/>
        <v>202406</v>
      </c>
      <c r="B8167" s="1" t="str">
        <f t="shared" si="6006"/>
        <v>150525100</v>
      </c>
      <c r="C8167" s="1" t="str">
        <f>"1040687576"</f>
        <v>1040687576</v>
      </c>
      <c r="D8167" s="1" t="str">
        <f>"152326195911010064"</f>
        <v>152326195911010064</v>
      </c>
      <c r="E8167" s="1" t="s">
        <v>7797</v>
      </c>
      <c r="F8167" s="1" t="s">
        <v>16</v>
      </c>
      <c r="G8167" s="1" t="s">
        <v>17</v>
      </c>
      <c r="H8167" s="1" t="str">
        <f>"65"</f>
        <v>65</v>
      </c>
      <c r="I8167" s="1" t="str">
        <f>"157.37"</f>
        <v>157.37</v>
      </c>
      <c r="J8167" s="1" t="str">
        <f t="shared" si="6002"/>
        <v>0</v>
      </c>
      <c r="K8167" s="1" t="str">
        <f t="shared" si="6003"/>
        <v>103</v>
      </c>
      <c r="L8167" s="1" t="str">
        <f t="shared" si="6004"/>
        <v>47</v>
      </c>
      <c r="M8167" s="1" t="str">
        <f t="shared" si="5998"/>
        <v>0</v>
      </c>
      <c r="N8167" s="1" t="str">
        <f t="shared" si="6001"/>
        <v>0</v>
      </c>
      <c r="O8167" s="1" t="str">
        <f>"7.37"</f>
        <v>7.37</v>
      </c>
    </row>
    <row r="8168" s="1" customFormat="1" spans="1:15">
      <c r="A8168" s="1" t="str">
        <f t="shared" si="6005"/>
        <v>202406</v>
      </c>
      <c r="B8168" s="1" t="str">
        <f t="shared" si="6006"/>
        <v>150525100</v>
      </c>
      <c r="C8168" s="1" t="str">
        <f>"1040646620"</f>
        <v>1040646620</v>
      </c>
      <c r="D8168" s="1" t="str">
        <f>"152326195408010665"</f>
        <v>152326195408010665</v>
      </c>
      <c r="E8168" s="1" t="s">
        <v>7798</v>
      </c>
      <c r="F8168" s="1" t="s">
        <v>16</v>
      </c>
      <c r="G8168" s="1" t="s">
        <v>17</v>
      </c>
      <c r="H8168" s="1" t="str">
        <f>"70"</f>
        <v>70</v>
      </c>
      <c r="I8168" s="1" t="str">
        <f>"153.32"</f>
        <v>153.32</v>
      </c>
      <c r="J8168" s="1" t="str">
        <f t="shared" si="6002"/>
        <v>0</v>
      </c>
      <c r="K8168" s="1" t="str">
        <f t="shared" si="6003"/>
        <v>103</v>
      </c>
      <c r="L8168" s="1" t="str">
        <f t="shared" si="6004"/>
        <v>47</v>
      </c>
      <c r="M8168" s="1" t="str">
        <f t="shared" si="5998"/>
        <v>0</v>
      </c>
      <c r="N8168" s="1" t="str">
        <f t="shared" si="6001"/>
        <v>0</v>
      </c>
      <c r="O8168" s="1" t="str">
        <f>"3.32"</f>
        <v>3.32</v>
      </c>
    </row>
    <row r="8169" s="1" customFormat="1" spans="1:15">
      <c r="A8169" s="1" t="str">
        <f t="shared" si="6005"/>
        <v>202406</v>
      </c>
      <c r="B8169" s="1" t="str">
        <f t="shared" si="6006"/>
        <v>150525100</v>
      </c>
      <c r="C8169" s="1" t="str">
        <f>"1040646633"</f>
        <v>1040646633</v>
      </c>
      <c r="D8169" s="1" t="str">
        <f>"152326196302280709"</f>
        <v>152326196302280709</v>
      </c>
      <c r="E8169" s="1" t="s">
        <v>7799</v>
      </c>
      <c r="F8169" s="1" t="s">
        <v>16</v>
      </c>
      <c r="G8169" s="1" t="s">
        <v>17</v>
      </c>
      <c r="H8169" s="1" t="str">
        <f>"61"</f>
        <v>61</v>
      </c>
      <c r="I8169" s="1" t="str">
        <f>"164.28"</f>
        <v>164.28</v>
      </c>
      <c r="J8169" s="1" t="str">
        <f t="shared" si="6002"/>
        <v>0</v>
      </c>
      <c r="K8169" s="1" t="str">
        <f t="shared" si="6003"/>
        <v>103</v>
      </c>
      <c r="L8169" s="1" t="str">
        <f t="shared" si="6004"/>
        <v>47</v>
      </c>
      <c r="M8169" s="1" t="str">
        <f t="shared" si="5998"/>
        <v>0</v>
      </c>
      <c r="N8169" s="1" t="str">
        <f t="shared" si="6001"/>
        <v>0</v>
      </c>
      <c r="O8169" s="1" t="str">
        <f>"14.28"</f>
        <v>14.28</v>
      </c>
    </row>
    <row r="8170" s="1" customFormat="1" spans="1:15">
      <c r="A8170" s="1" t="str">
        <f t="shared" si="6005"/>
        <v>202406</v>
      </c>
      <c r="B8170" s="1" t="str">
        <f t="shared" si="6006"/>
        <v>150525100</v>
      </c>
      <c r="C8170" s="1" t="str">
        <f>"1040646634"</f>
        <v>1040646634</v>
      </c>
      <c r="D8170" s="1" t="str">
        <f>"152326196112090664"</f>
        <v>152326196112090664</v>
      </c>
      <c r="E8170" s="1" t="s">
        <v>5398</v>
      </c>
      <c r="F8170" s="1" t="s">
        <v>16</v>
      </c>
      <c r="G8170" s="1" t="s">
        <v>17</v>
      </c>
      <c r="H8170" s="1" t="str">
        <f>"63"</f>
        <v>63</v>
      </c>
      <c r="I8170" s="1" t="str">
        <f>"160.52"</f>
        <v>160.52</v>
      </c>
      <c r="J8170" s="1" t="str">
        <f t="shared" si="6002"/>
        <v>0</v>
      </c>
      <c r="K8170" s="1" t="str">
        <f t="shared" si="6003"/>
        <v>103</v>
      </c>
      <c r="L8170" s="1" t="str">
        <f t="shared" si="6004"/>
        <v>47</v>
      </c>
      <c r="M8170" s="1" t="str">
        <f t="shared" si="5998"/>
        <v>0</v>
      </c>
      <c r="N8170" s="1" t="str">
        <f t="shared" si="6001"/>
        <v>0</v>
      </c>
      <c r="O8170" s="1" t="str">
        <f>"10.52"</f>
        <v>10.52</v>
      </c>
    </row>
    <row r="8171" s="1" customFormat="1" spans="1:15">
      <c r="A8171" s="1" t="str">
        <f t="shared" si="6005"/>
        <v>202406</v>
      </c>
      <c r="B8171" s="1" t="str">
        <f t="shared" si="6006"/>
        <v>150525100</v>
      </c>
      <c r="C8171" s="1" t="str">
        <f>"1040684394"</f>
        <v>1040684394</v>
      </c>
      <c r="D8171" s="1" t="str">
        <f>"152326195906230417"</f>
        <v>152326195906230417</v>
      </c>
      <c r="E8171" s="1" t="s">
        <v>7800</v>
      </c>
      <c r="F8171" s="1" t="s">
        <v>25</v>
      </c>
      <c r="G8171" s="1" t="s">
        <v>17</v>
      </c>
      <c r="H8171" s="1" t="str">
        <f>"65"</f>
        <v>65</v>
      </c>
      <c r="I8171" s="1" t="str">
        <f>"2390.79"</f>
        <v>2390.79</v>
      </c>
      <c r="J8171" s="1" t="str">
        <f t="shared" si="6002"/>
        <v>0</v>
      </c>
      <c r="K8171" s="1" t="str">
        <f t="shared" ref="K8171:O8171" si="6009">"0"</f>
        <v>0</v>
      </c>
      <c r="L8171" s="1" t="str">
        <f t="shared" si="6009"/>
        <v>0</v>
      </c>
      <c r="M8171" s="1" t="str">
        <f t="shared" si="5998"/>
        <v>0</v>
      </c>
      <c r="N8171" s="1" t="str">
        <f t="shared" si="6001"/>
        <v>0</v>
      </c>
      <c r="O8171" s="1" t="str">
        <f t="shared" si="6009"/>
        <v>0</v>
      </c>
    </row>
    <row r="8172" s="1" customFormat="1" spans="1:15">
      <c r="A8172" s="1" t="str">
        <f t="shared" si="6005"/>
        <v>202406</v>
      </c>
      <c r="B8172" s="1" t="str">
        <f t="shared" si="6006"/>
        <v>150525100</v>
      </c>
      <c r="C8172" s="1" t="str">
        <f>"1040705323"</f>
        <v>1040705323</v>
      </c>
      <c r="D8172" s="1" t="s">
        <v>7801</v>
      </c>
      <c r="E8172" s="1" t="s">
        <v>7802</v>
      </c>
      <c r="F8172" s="1" t="s">
        <v>25</v>
      </c>
      <c r="G8172" s="1" t="s">
        <v>17</v>
      </c>
      <c r="H8172" s="1" t="str">
        <f>"66"</f>
        <v>66</v>
      </c>
      <c r="I8172" s="1" t="str">
        <f>"155.57"</f>
        <v>155.57</v>
      </c>
      <c r="J8172" s="1" t="str">
        <f t="shared" si="6002"/>
        <v>0</v>
      </c>
      <c r="K8172" s="1" t="str">
        <f t="shared" ref="K8172:K8178" si="6010">"103"</f>
        <v>103</v>
      </c>
      <c r="L8172" s="1" t="str">
        <f t="shared" ref="L8172:L8178" si="6011">"47"</f>
        <v>47</v>
      </c>
      <c r="M8172" s="1" t="str">
        <f t="shared" si="5998"/>
        <v>0</v>
      </c>
      <c r="N8172" s="1" t="str">
        <f t="shared" si="6001"/>
        <v>0</v>
      </c>
      <c r="O8172" s="1" t="str">
        <f>"5.57"</f>
        <v>5.57</v>
      </c>
    </row>
    <row r="8173" s="1" customFormat="1" spans="1:15">
      <c r="A8173" s="1" t="str">
        <f t="shared" si="6005"/>
        <v>202406</v>
      </c>
      <c r="B8173" s="1" t="str">
        <f t="shared" si="6006"/>
        <v>150525100</v>
      </c>
      <c r="C8173" s="1" t="str">
        <f>"1040653265"</f>
        <v>1040653265</v>
      </c>
      <c r="D8173" s="1" t="str">
        <f>"152326195906163322"</f>
        <v>152326195906163322</v>
      </c>
      <c r="E8173" s="1" t="s">
        <v>399</v>
      </c>
      <c r="F8173" s="1" t="s">
        <v>16</v>
      </c>
      <c r="G8173" s="1" t="s">
        <v>19</v>
      </c>
      <c r="H8173" s="1" t="str">
        <f>"65"</f>
        <v>65</v>
      </c>
      <c r="I8173" s="1" t="str">
        <f>"157.56"</f>
        <v>157.56</v>
      </c>
      <c r="J8173" s="1" t="str">
        <f t="shared" si="6002"/>
        <v>0</v>
      </c>
      <c r="K8173" s="1" t="str">
        <f t="shared" si="6010"/>
        <v>103</v>
      </c>
      <c r="L8173" s="1" t="str">
        <f t="shared" si="6011"/>
        <v>47</v>
      </c>
      <c r="M8173" s="1" t="str">
        <f t="shared" si="5998"/>
        <v>0</v>
      </c>
      <c r="N8173" s="1" t="str">
        <f t="shared" si="6001"/>
        <v>0</v>
      </c>
      <c r="O8173" s="1" t="str">
        <f>"7.56"</f>
        <v>7.56</v>
      </c>
    </row>
    <row r="8174" s="1" customFormat="1" spans="1:15">
      <c r="A8174" s="1" t="str">
        <f t="shared" si="6005"/>
        <v>202406</v>
      </c>
      <c r="B8174" s="1" t="str">
        <f t="shared" si="6006"/>
        <v>150525100</v>
      </c>
      <c r="C8174" s="1" t="str">
        <f>"1040653298"</f>
        <v>1040653298</v>
      </c>
      <c r="D8174" s="1" t="str">
        <f>"152326196003103323"</f>
        <v>152326196003103323</v>
      </c>
      <c r="E8174" s="1" t="s">
        <v>7803</v>
      </c>
      <c r="F8174" s="1" t="s">
        <v>16</v>
      </c>
      <c r="G8174" s="1" t="s">
        <v>17</v>
      </c>
      <c r="H8174" s="1" t="str">
        <f>"64"</f>
        <v>64</v>
      </c>
      <c r="I8174" s="1" t="str">
        <f>"160.11"</f>
        <v>160.11</v>
      </c>
      <c r="J8174" s="1" t="str">
        <f t="shared" si="6002"/>
        <v>0</v>
      </c>
      <c r="K8174" s="1" t="str">
        <f t="shared" si="6010"/>
        <v>103</v>
      </c>
      <c r="L8174" s="1" t="str">
        <f t="shared" si="6011"/>
        <v>47</v>
      </c>
      <c r="M8174" s="1" t="str">
        <f t="shared" si="5998"/>
        <v>0</v>
      </c>
      <c r="N8174" s="1" t="str">
        <f t="shared" si="6001"/>
        <v>0</v>
      </c>
      <c r="O8174" s="1" t="str">
        <f>"10.11"</f>
        <v>10.11</v>
      </c>
    </row>
    <row r="8175" s="1" customFormat="1" spans="1:15">
      <c r="A8175" s="1" t="str">
        <f t="shared" si="6005"/>
        <v>202406</v>
      </c>
      <c r="B8175" s="1" t="str">
        <f t="shared" si="6006"/>
        <v>150525100</v>
      </c>
      <c r="C8175" s="1" t="str">
        <f>"1040653303"</f>
        <v>1040653303</v>
      </c>
      <c r="D8175" s="1" t="str">
        <f>"152326195805133327"</f>
        <v>152326195805133327</v>
      </c>
      <c r="E8175" s="1" t="s">
        <v>7804</v>
      </c>
      <c r="F8175" s="1" t="s">
        <v>16</v>
      </c>
      <c r="G8175" s="1" t="s">
        <v>17</v>
      </c>
      <c r="H8175" s="1" t="str">
        <f>"66"</f>
        <v>66</v>
      </c>
      <c r="I8175" s="1" t="str">
        <f>"157.27"</f>
        <v>157.27</v>
      </c>
      <c r="J8175" s="1" t="str">
        <f t="shared" si="6002"/>
        <v>0</v>
      </c>
      <c r="K8175" s="1" t="str">
        <f t="shared" si="6010"/>
        <v>103</v>
      </c>
      <c r="L8175" s="1" t="str">
        <f t="shared" si="6011"/>
        <v>47</v>
      </c>
      <c r="M8175" s="1" t="str">
        <f t="shared" si="5998"/>
        <v>0</v>
      </c>
      <c r="N8175" s="1" t="str">
        <f t="shared" si="6001"/>
        <v>0</v>
      </c>
      <c r="O8175" s="1" t="str">
        <f>"7.27"</f>
        <v>7.27</v>
      </c>
    </row>
    <row r="8176" s="1" customFormat="1" spans="1:15">
      <c r="A8176" s="1" t="str">
        <f t="shared" si="6005"/>
        <v>202406</v>
      </c>
      <c r="B8176" s="1" t="str">
        <f t="shared" si="6006"/>
        <v>150525100</v>
      </c>
      <c r="C8176" s="1" t="str">
        <f>"1040653316"</f>
        <v>1040653316</v>
      </c>
      <c r="D8176" s="1" t="str">
        <f>"152326195712253311"</f>
        <v>152326195712253311</v>
      </c>
      <c r="E8176" s="1" t="s">
        <v>7805</v>
      </c>
      <c r="F8176" s="1" t="s">
        <v>25</v>
      </c>
      <c r="G8176" s="1" t="s">
        <v>17</v>
      </c>
      <c r="H8176" s="1" t="str">
        <f>"67"</f>
        <v>67</v>
      </c>
      <c r="I8176" s="1" t="str">
        <f>"155.53"</f>
        <v>155.53</v>
      </c>
      <c r="J8176" s="1" t="str">
        <f t="shared" si="6002"/>
        <v>0</v>
      </c>
      <c r="K8176" s="1" t="str">
        <f t="shared" si="6010"/>
        <v>103</v>
      </c>
      <c r="L8176" s="1" t="str">
        <f t="shared" si="6011"/>
        <v>47</v>
      </c>
      <c r="M8176" s="1" t="str">
        <f t="shared" si="5998"/>
        <v>0</v>
      </c>
      <c r="N8176" s="1" t="str">
        <f t="shared" si="6001"/>
        <v>0</v>
      </c>
      <c r="O8176" s="1" t="str">
        <f>"5.53"</f>
        <v>5.53</v>
      </c>
    </row>
    <row r="8177" s="1" customFormat="1" spans="1:15">
      <c r="A8177" s="1" t="str">
        <f t="shared" si="6005"/>
        <v>202406</v>
      </c>
      <c r="B8177" s="1" t="str">
        <f t="shared" si="6006"/>
        <v>150525100</v>
      </c>
      <c r="C8177" s="1" t="str">
        <f>"1040653416"</f>
        <v>1040653416</v>
      </c>
      <c r="D8177" s="1" t="str">
        <f>"152326195910243368"</f>
        <v>152326195910243368</v>
      </c>
      <c r="E8177" s="1" t="s">
        <v>2877</v>
      </c>
      <c r="F8177" s="1" t="s">
        <v>16</v>
      </c>
      <c r="G8177" s="1" t="s">
        <v>19</v>
      </c>
      <c r="H8177" s="1" t="str">
        <f>"65"</f>
        <v>65</v>
      </c>
      <c r="I8177" s="1" t="str">
        <f>"157.6"</f>
        <v>157.6</v>
      </c>
      <c r="J8177" s="1" t="str">
        <f t="shared" si="6002"/>
        <v>0</v>
      </c>
      <c r="K8177" s="1" t="str">
        <f t="shared" si="6010"/>
        <v>103</v>
      </c>
      <c r="L8177" s="1" t="str">
        <f t="shared" si="6011"/>
        <v>47</v>
      </c>
      <c r="M8177" s="1" t="str">
        <f t="shared" si="5998"/>
        <v>0</v>
      </c>
      <c r="N8177" s="1" t="str">
        <f t="shared" si="6001"/>
        <v>0</v>
      </c>
      <c r="O8177" s="1" t="str">
        <f>"7.6"</f>
        <v>7.6</v>
      </c>
    </row>
    <row r="8178" s="1" customFormat="1" spans="1:15">
      <c r="A8178" s="1" t="str">
        <f t="shared" si="6005"/>
        <v>202406</v>
      </c>
      <c r="B8178" s="1" t="str">
        <f t="shared" si="6006"/>
        <v>150525100</v>
      </c>
      <c r="C8178" s="1" t="str">
        <f>"1040653456"</f>
        <v>1040653456</v>
      </c>
      <c r="D8178" s="1" t="str">
        <f>"152326196312203328"</f>
        <v>152326196312203328</v>
      </c>
      <c r="E8178" s="1" t="s">
        <v>7806</v>
      </c>
      <c r="F8178" s="1" t="s">
        <v>16</v>
      </c>
      <c r="G8178" s="1" t="s">
        <v>17</v>
      </c>
      <c r="H8178" s="1" t="str">
        <f>"61"</f>
        <v>61</v>
      </c>
      <c r="I8178" s="1" t="str">
        <f>"166.23"</f>
        <v>166.23</v>
      </c>
      <c r="J8178" s="1" t="str">
        <f t="shared" si="6002"/>
        <v>0</v>
      </c>
      <c r="K8178" s="1" t="str">
        <f t="shared" si="6010"/>
        <v>103</v>
      </c>
      <c r="L8178" s="1" t="str">
        <f t="shared" si="6011"/>
        <v>47</v>
      </c>
      <c r="M8178" s="1" t="str">
        <f t="shared" si="5998"/>
        <v>0</v>
      </c>
      <c r="N8178" s="1" t="str">
        <f t="shared" si="6001"/>
        <v>0</v>
      </c>
      <c r="O8178" s="1" t="str">
        <f>"16.23"</f>
        <v>16.23</v>
      </c>
    </row>
    <row r="8179" s="1" customFormat="1" spans="1:15">
      <c r="A8179" s="1" t="str">
        <f t="shared" si="6005"/>
        <v>202406</v>
      </c>
      <c r="B8179" s="1" t="str">
        <f t="shared" si="6006"/>
        <v>150525100</v>
      </c>
      <c r="C8179" s="1" t="str">
        <f>"1040653476"</f>
        <v>1040653476</v>
      </c>
      <c r="D8179" s="1" t="str">
        <f>"152326196304173317"</f>
        <v>152326196304173317</v>
      </c>
      <c r="E8179" s="1" t="s">
        <v>7807</v>
      </c>
      <c r="F8179" s="1" t="s">
        <v>25</v>
      </c>
      <c r="G8179" s="1" t="s">
        <v>17</v>
      </c>
      <c r="H8179" s="1" t="str">
        <f>"61"</f>
        <v>61</v>
      </c>
      <c r="I8179" s="1" t="str">
        <f>"1150.45"</f>
        <v>1150.45</v>
      </c>
      <c r="J8179" s="1" t="str">
        <f>"986.1"</f>
        <v>986.1</v>
      </c>
      <c r="K8179" s="1" t="str">
        <f>"721"</f>
        <v>721</v>
      </c>
      <c r="L8179" s="1" t="str">
        <f>"329"</f>
        <v>329</v>
      </c>
      <c r="M8179" s="1" t="str">
        <f t="shared" si="5998"/>
        <v>0</v>
      </c>
      <c r="N8179" s="1" t="str">
        <f t="shared" si="6001"/>
        <v>0</v>
      </c>
      <c r="O8179" s="1" t="str">
        <f>"100.45"</f>
        <v>100.45</v>
      </c>
    </row>
    <row r="8180" s="1" customFormat="1" spans="1:15">
      <c r="A8180" s="1" t="str">
        <f t="shared" si="6005"/>
        <v>202406</v>
      </c>
      <c r="B8180" s="1" t="str">
        <f t="shared" si="6006"/>
        <v>150525100</v>
      </c>
      <c r="C8180" s="1" t="str">
        <f>"1040653482"</f>
        <v>1040653482</v>
      </c>
      <c r="D8180" s="1" t="s">
        <v>7808</v>
      </c>
      <c r="E8180" s="1" t="s">
        <v>3253</v>
      </c>
      <c r="F8180" s="1" t="s">
        <v>16</v>
      </c>
      <c r="G8180" s="1" t="s">
        <v>17</v>
      </c>
      <c r="H8180" s="1" t="str">
        <f>"63"</f>
        <v>63</v>
      </c>
      <c r="I8180" s="1" t="str">
        <f>"160.4"</f>
        <v>160.4</v>
      </c>
      <c r="J8180" s="1" t="str">
        <f t="shared" ref="J8180:J8228" si="6012">"0"</f>
        <v>0</v>
      </c>
      <c r="K8180" s="1" t="str">
        <f t="shared" ref="K8180:K8228" si="6013">"103"</f>
        <v>103</v>
      </c>
      <c r="L8180" s="1" t="str">
        <f t="shared" ref="L8180:L8228" si="6014">"47"</f>
        <v>47</v>
      </c>
      <c r="M8180" s="1" t="str">
        <f t="shared" si="5998"/>
        <v>0</v>
      </c>
      <c r="N8180" s="1" t="str">
        <f t="shared" si="6001"/>
        <v>0</v>
      </c>
      <c r="O8180" s="1" t="str">
        <f>"10.4"</f>
        <v>10.4</v>
      </c>
    </row>
    <row r="8181" s="1" customFormat="1" spans="1:15">
      <c r="A8181" s="1" t="str">
        <f t="shared" si="6005"/>
        <v>202406</v>
      </c>
      <c r="B8181" s="1" t="str">
        <f t="shared" si="6006"/>
        <v>150525100</v>
      </c>
      <c r="C8181" s="1" t="str">
        <f>"1040653491"</f>
        <v>1040653491</v>
      </c>
      <c r="D8181" s="1" t="str">
        <f>"152326195503053313"</f>
        <v>152326195503053313</v>
      </c>
      <c r="E8181" s="1" t="s">
        <v>7809</v>
      </c>
      <c r="F8181" s="1" t="s">
        <v>25</v>
      </c>
      <c r="G8181" s="1" t="s">
        <v>17</v>
      </c>
      <c r="H8181" s="1" t="str">
        <f>"69"</f>
        <v>69</v>
      </c>
      <c r="I8181" s="1" t="str">
        <f>"154.52"</f>
        <v>154.52</v>
      </c>
      <c r="J8181" s="1" t="str">
        <f t="shared" si="6012"/>
        <v>0</v>
      </c>
      <c r="K8181" s="1" t="str">
        <f t="shared" si="6013"/>
        <v>103</v>
      </c>
      <c r="L8181" s="1" t="str">
        <f t="shared" si="6014"/>
        <v>47</v>
      </c>
      <c r="M8181" s="1" t="str">
        <f t="shared" si="5998"/>
        <v>0</v>
      </c>
      <c r="N8181" s="1" t="str">
        <f t="shared" si="6001"/>
        <v>0</v>
      </c>
      <c r="O8181" s="1" t="str">
        <f>"4.52"</f>
        <v>4.52</v>
      </c>
    </row>
    <row r="8182" s="1" customFormat="1" spans="1:15">
      <c r="A8182" s="1" t="str">
        <f t="shared" si="6005"/>
        <v>202406</v>
      </c>
      <c r="B8182" s="1" t="str">
        <f t="shared" si="6006"/>
        <v>150525100</v>
      </c>
      <c r="C8182" s="1" t="str">
        <f>"1040653503"</f>
        <v>1040653503</v>
      </c>
      <c r="D8182" s="1" t="str">
        <f>"152326195405153310"</f>
        <v>152326195405153310</v>
      </c>
      <c r="E8182" s="1" t="s">
        <v>7810</v>
      </c>
      <c r="F8182" s="1" t="s">
        <v>25</v>
      </c>
      <c r="G8182" s="1" t="s">
        <v>19</v>
      </c>
      <c r="H8182" s="1" t="str">
        <f>"70"</f>
        <v>70</v>
      </c>
      <c r="I8182" s="1" t="str">
        <f>"163.56"</f>
        <v>163.56</v>
      </c>
      <c r="J8182" s="1" t="str">
        <f t="shared" si="6012"/>
        <v>0</v>
      </c>
      <c r="K8182" s="1" t="str">
        <f t="shared" si="6013"/>
        <v>103</v>
      </c>
      <c r="L8182" s="1" t="str">
        <f t="shared" si="6014"/>
        <v>47</v>
      </c>
      <c r="M8182" s="1" t="str">
        <f t="shared" si="5998"/>
        <v>0</v>
      </c>
      <c r="N8182" s="1" t="str">
        <f t="shared" si="6001"/>
        <v>0</v>
      </c>
      <c r="O8182" s="1" t="str">
        <f>"3.56"</f>
        <v>3.56</v>
      </c>
    </row>
    <row r="8183" s="1" customFormat="1" spans="1:15">
      <c r="A8183" s="1" t="str">
        <f t="shared" si="6005"/>
        <v>202406</v>
      </c>
      <c r="B8183" s="1" t="str">
        <f t="shared" si="6006"/>
        <v>150525100</v>
      </c>
      <c r="C8183" s="1" t="str">
        <f>"1040653538"</f>
        <v>1040653538</v>
      </c>
      <c r="D8183" s="1" t="str">
        <f>"152326195503193316"</f>
        <v>152326195503193316</v>
      </c>
      <c r="E8183" s="1" t="s">
        <v>7811</v>
      </c>
      <c r="F8183" s="1" t="s">
        <v>25</v>
      </c>
      <c r="G8183" s="1" t="s">
        <v>17</v>
      </c>
      <c r="H8183" s="1" t="str">
        <f>"69"</f>
        <v>69</v>
      </c>
      <c r="I8183" s="1" t="str">
        <f>"154.52"</f>
        <v>154.52</v>
      </c>
      <c r="J8183" s="1" t="str">
        <f t="shared" si="6012"/>
        <v>0</v>
      </c>
      <c r="K8183" s="1" t="str">
        <f t="shared" si="6013"/>
        <v>103</v>
      </c>
      <c r="L8183" s="1" t="str">
        <f t="shared" si="6014"/>
        <v>47</v>
      </c>
      <c r="M8183" s="1" t="str">
        <f t="shared" si="5998"/>
        <v>0</v>
      </c>
      <c r="N8183" s="1" t="str">
        <f t="shared" si="6001"/>
        <v>0</v>
      </c>
      <c r="O8183" s="1" t="str">
        <f>"4.52"</f>
        <v>4.52</v>
      </c>
    </row>
    <row r="8184" s="1" customFormat="1" spans="1:15">
      <c r="A8184" s="1" t="str">
        <f t="shared" si="6005"/>
        <v>202406</v>
      </c>
      <c r="B8184" s="1" t="str">
        <f t="shared" si="6006"/>
        <v>150525100</v>
      </c>
      <c r="C8184" s="1" t="str">
        <f>"1040653555"</f>
        <v>1040653555</v>
      </c>
      <c r="D8184" s="1" t="str">
        <f>"152326195605103326"</f>
        <v>152326195605103326</v>
      </c>
      <c r="E8184" s="1" t="s">
        <v>7812</v>
      </c>
      <c r="F8184" s="1" t="s">
        <v>16</v>
      </c>
      <c r="G8184" s="1" t="s">
        <v>17</v>
      </c>
      <c r="H8184" s="1" t="str">
        <f t="shared" ref="H8184:H8186" si="6015">"68"</f>
        <v>68</v>
      </c>
      <c r="I8184" s="1" t="str">
        <f>"155.43"</f>
        <v>155.43</v>
      </c>
      <c r="J8184" s="1" t="str">
        <f t="shared" si="6012"/>
        <v>0</v>
      </c>
      <c r="K8184" s="1" t="str">
        <f t="shared" si="6013"/>
        <v>103</v>
      </c>
      <c r="L8184" s="1" t="str">
        <f t="shared" si="6014"/>
        <v>47</v>
      </c>
      <c r="M8184" s="1" t="str">
        <f t="shared" si="5998"/>
        <v>0</v>
      </c>
      <c r="N8184" s="1" t="str">
        <f t="shared" si="6001"/>
        <v>0</v>
      </c>
      <c r="O8184" s="1" t="str">
        <f>"5.43"</f>
        <v>5.43</v>
      </c>
    </row>
    <row r="8185" s="1" customFormat="1" spans="1:15">
      <c r="A8185" s="1" t="str">
        <f t="shared" si="6005"/>
        <v>202406</v>
      </c>
      <c r="B8185" s="1" t="str">
        <f t="shared" si="6006"/>
        <v>150525100</v>
      </c>
      <c r="C8185" s="1" t="str">
        <f>"1040693760"</f>
        <v>1040693760</v>
      </c>
      <c r="D8185" s="1" t="str">
        <f>"152326195611143084"</f>
        <v>152326195611143084</v>
      </c>
      <c r="E8185" s="1" t="s">
        <v>7813</v>
      </c>
      <c r="F8185" s="1" t="s">
        <v>16</v>
      </c>
      <c r="G8185" s="1" t="s">
        <v>19</v>
      </c>
      <c r="H8185" s="1" t="str">
        <f t="shared" si="6015"/>
        <v>68</v>
      </c>
      <c r="I8185" s="1" t="str">
        <f>"154.54"</f>
        <v>154.54</v>
      </c>
      <c r="J8185" s="1" t="str">
        <f t="shared" si="6012"/>
        <v>0</v>
      </c>
      <c r="K8185" s="1" t="str">
        <f t="shared" si="6013"/>
        <v>103</v>
      </c>
      <c r="L8185" s="1" t="str">
        <f t="shared" si="6014"/>
        <v>47</v>
      </c>
      <c r="M8185" s="1" t="str">
        <f t="shared" si="5998"/>
        <v>0</v>
      </c>
      <c r="N8185" s="1" t="str">
        <f t="shared" si="6001"/>
        <v>0</v>
      </c>
      <c r="O8185" s="1" t="str">
        <f>"4.54"</f>
        <v>4.54</v>
      </c>
    </row>
    <row r="8186" s="1" customFormat="1" spans="1:15">
      <c r="A8186" s="1" t="str">
        <f t="shared" si="6005"/>
        <v>202406</v>
      </c>
      <c r="B8186" s="1" t="str">
        <f t="shared" si="6006"/>
        <v>150525100</v>
      </c>
      <c r="C8186" s="1" t="str">
        <f>"1040690877"</f>
        <v>1040690877</v>
      </c>
      <c r="D8186" s="1" t="str">
        <f>"152326195601200428"</f>
        <v>152326195601200428</v>
      </c>
      <c r="E8186" s="1" t="s">
        <v>7814</v>
      </c>
      <c r="F8186" s="1" t="s">
        <v>16</v>
      </c>
      <c r="G8186" s="1" t="s">
        <v>19</v>
      </c>
      <c r="H8186" s="1" t="str">
        <f t="shared" si="6015"/>
        <v>68</v>
      </c>
      <c r="I8186" s="1" t="str">
        <f>"154.54"</f>
        <v>154.54</v>
      </c>
      <c r="J8186" s="1" t="str">
        <f t="shared" si="6012"/>
        <v>0</v>
      </c>
      <c r="K8186" s="1" t="str">
        <f t="shared" si="6013"/>
        <v>103</v>
      </c>
      <c r="L8186" s="1" t="str">
        <f t="shared" si="6014"/>
        <v>47</v>
      </c>
      <c r="M8186" s="1" t="str">
        <f t="shared" si="5998"/>
        <v>0</v>
      </c>
      <c r="N8186" s="1" t="str">
        <f t="shared" si="6001"/>
        <v>0</v>
      </c>
      <c r="O8186" s="1" t="str">
        <f>"4.54"</f>
        <v>4.54</v>
      </c>
    </row>
    <row r="8187" s="1" customFormat="1" spans="1:15">
      <c r="A8187" s="1" t="str">
        <f t="shared" si="6005"/>
        <v>202406</v>
      </c>
      <c r="B8187" s="1" t="str">
        <f t="shared" si="6006"/>
        <v>150525100</v>
      </c>
      <c r="C8187" s="1" t="str">
        <f>"1040696613"</f>
        <v>1040696613</v>
      </c>
      <c r="D8187" s="1" t="str">
        <f>"152326196301033810"</f>
        <v>152326196301033810</v>
      </c>
      <c r="E8187" s="1" t="s">
        <v>7815</v>
      </c>
      <c r="F8187" s="1" t="s">
        <v>25</v>
      </c>
      <c r="G8187" s="1" t="s">
        <v>17</v>
      </c>
      <c r="H8187" s="1" t="str">
        <f>"62"</f>
        <v>62</v>
      </c>
      <c r="I8187" s="1" t="str">
        <f>"163.27"</f>
        <v>163.27</v>
      </c>
      <c r="J8187" s="1" t="str">
        <f t="shared" si="6012"/>
        <v>0</v>
      </c>
      <c r="K8187" s="1" t="str">
        <f t="shared" si="6013"/>
        <v>103</v>
      </c>
      <c r="L8187" s="1" t="str">
        <f t="shared" si="6014"/>
        <v>47</v>
      </c>
      <c r="M8187" s="1" t="str">
        <f t="shared" si="5998"/>
        <v>0</v>
      </c>
      <c r="N8187" s="1" t="str">
        <f t="shared" si="6001"/>
        <v>0</v>
      </c>
      <c r="O8187" s="1" t="str">
        <f>"13.27"</f>
        <v>13.27</v>
      </c>
    </row>
    <row r="8188" s="1" customFormat="1" spans="1:15">
      <c r="A8188" s="1" t="str">
        <f t="shared" si="6005"/>
        <v>202406</v>
      </c>
      <c r="B8188" s="1" t="str">
        <f t="shared" si="6006"/>
        <v>150525100</v>
      </c>
      <c r="C8188" s="1" t="str">
        <f>"1040641845"</f>
        <v>1040641845</v>
      </c>
      <c r="D8188" s="1" t="str">
        <f>"152326195502083342"</f>
        <v>152326195502083342</v>
      </c>
      <c r="E8188" s="1" t="s">
        <v>7816</v>
      </c>
      <c r="F8188" s="1" t="s">
        <v>16</v>
      </c>
      <c r="G8188" s="1" t="s">
        <v>19</v>
      </c>
      <c r="H8188" s="1" t="str">
        <f>"69"</f>
        <v>69</v>
      </c>
      <c r="I8188" s="1" t="str">
        <f>"153.6"</f>
        <v>153.6</v>
      </c>
      <c r="J8188" s="1" t="str">
        <f t="shared" si="6012"/>
        <v>0</v>
      </c>
      <c r="K8188" s="1" t="str">
        <f t="shared" si="6013"/>
        <v>103</v>
      </c>
      <c r="L8188" s="1" t="str">
        <f t="shared" si="6014"/>
        <v>47</v>
      </c>
      <c r="M8188" s="1" t="str">
        <f t="shared" si="5998"/>
        <v>0</v>
      </c>
      <c r="N8188" s="1" t="str">
        <f t="shared" si="6001"/>
        <v>0</v>
      </c>
      <c r="O8188" s="1" t="str">
        <f>"3.6"</f>
        <v>3.6</v>
      </c>
    </row>
    <row r="8189" s="1" customFormat="1" spans="1:15">
      <c r="A8189" s="1" t="str">
        <f t="shared" si="6005"/>
        <v>202406</v>
      </c>
      <c r="B8189" s="1" t="str">
        <f t="shared" si="6006"/>
        <v>150525100</v>
      </c>
      <c r="C8189" s="1" t="str">
        <f>"1040752551"</f>
        <v>1040752551</v>
      </c>
      <c r="D8189" s="1" t="str">
        <f>"152326195903103826"</f>
        <v>152326195903103826</v>
      </c>
      <c r="E8189" s="1" t="s">
        <v>7817</v>
      </c>
      <c r="F8189" s="1" t="s">
        <v>16</v>
      </c>
      <c r="G8189" s="1" t="s">
        <v>19</v>
      </c>
      <c r="H8189" s="1" t="str">
        <f>"65"</f>
        <v>65</v>
      </c>
      <c r="I8189" s="1" t="str">
        <f>"156.59"</f>
        <v>156.59</v>
      </c>
      <c r="J8189" s="1" t="str">
        <f t="shared" si="6012"/>
        <v>0</v>
      </c>
      <c r="K8189" s="1" t="str">
        <f t="shared" si="6013"/>
        <v>103</v>
      </c>
      <c r="L8189" s="1" t="str">
        <f t="shared" si="6014"/>
        <v>47</v>
      </c>
      <c r="M8189" s="1" t="str">
        <f t="shared" si="5998"/>
        <v>0</v>
      </c>
      <c r="N8189" s="1" t="str">
        <f t="shared" si="6001"/>
        <v>0</v>
      </c>
      <c r="O8189" s="1" t="str">
        <f>"6.59"</f>
        <v>6.59</v>
      </c>
    </row>
    <row r="8190" s="1" customFormat="1" spans="1:15">
      <c r="A8190" s="1" t="str">
        <f t="shared" si="6005"/>
        <v>202406</v>
      </c>
      <c r="B8190" s="1" t="str">
        <f t="shared" si="6006"/>
        <v>150525100</v>
      </c>
      <c r="C8190" s="1" t="str">
        <f>"1040647051"</f>
        <v>1040647051</v>
      </c>
      <c r="D8190" s="1" t="str">
        <f>"152326195703043822"</f>
        <v>152326195703043822</v>
      </c>
      <c r="E8190" s="1" t="s">
        <v>7818</v>
      </c>
      <c r="F8190" s="1" t="s">
        <v>16</v>
      </c>
      <c r="G8190" s="1" t="s">
        <v>17</v>
      </c>
      <c r="H8190" s="1" t="str">
        <f>"67"</f>
        <v>67</v>
      </c>
      <c r="I8190" s="1" t="str">
        <f>"155.46"</f>
        <v>155.46</v>
      </c>
      <c r="J8190" s="1" t="str">
        <f t="shared" si="6012"/>
        <v>0</v>
      </c>
      <c r="K8190" s="1" t="str">
        <f t="shared" si="6013"/>
        <v>103</v>
      </c>
      <c r="L8190" s="1" t="str">
        <f t="shared" si="6014"/>
        <v>47</v>
      </c>
      <c r="M8190" s="1" t="str">
        <f t="shared" ref="M8190:M8253" si="6016">"0"</f>
        <v>0</v>
      </c>
      <c r="N8190" s="1" t="str">
        <f t="shared" si="6001"/>
        <v>0</v>
      </c>
      <c r="O8190" s="1" t="str">
        <f>"5.46"</f>
        <v>5.46</v>
      </c>
    </row>
    <row r="8191" s="1" customFormat="1" spans="1:15">
      <c r="A8191" s="1" t="str">
        <f t="shared" si="6005"/>
        <v>202406</v>
      </c>
      <c r="B8191" s="1" t="str">
        <f t="shared" si="6006"/>
        <v>150525100</v>
      </c>
      <c r="C8191" s="1" t="str">
        <f>"1040647066"</f>
        <v>1040647066</v>
      </c>
      <c r="D8191" s="1" t="str">
        <f>"152326196108253811"</f>
        <v>152326196108253811</v>
      </c>
      <c r="E8191" s="1" t="s">
        <v>7819</v>
      </c>
      <c r="F8191" s="1" t="s">
        <v>25</v>
      </c>
      <c r="G8191" s="1" t="s">
        <v>17</v>
      </c>
      <c r="H8191" s="1" t="str">
        <f>"63"</f>
        <v>63</v>
      </c>
      <c r="I8191" s="1" t="str">
        <f>"160.47"</f>
        <v>160.47</v>
      </c>
      <c r="J8191" s="1" t="str">
        <f t="shared" si="6012"/>
        <v>0</v>
      </c>
      <c r="K8191" s="1" t="str">
        <f t="shared" si="6013"/>
        <v>103</v>
      </c>
      <c r="L8191" s="1" t="str">
        <f t="shared" si="6014"/>
        <v>47</v>
      </c>
      <c r="M8191" s="1" t="str">
        <f t="shared" si="6016"/>
        <v>0</v>
      </c>
      <c r="N8191" s="1" t="str">
        <f t="shared" ref="N8191:N8254" si="6017">"0"</f>
        <v>0</v>
      </c>
      <c r="O8191" s="1" t="str">
        <f>"10.47"</f>
        <v>10.47</v>
      </c>
    </row>
    <row r="8192" s="1" customFormat="1" spans="1:15">
      <c r="A8192" s="1" t="str">
        <f t="shared" si="6005"/>
        <v>202406</v>
      </c>
      <c r="B8192" s="1" t="str">
        <f t="shared" si="6006"/>
        <v>150525100</v>
      </c>
      <c r="C8192" s="1" t="str">
        <f>"1040646375"</f>
        <v>1040646375</v>
      </c>
      <c r="D8192" s="1" t="str">
        <f>"152326195607250434"</f>
        <v>152326195607250434</v>
      </c>
      <c r="E8192" s="1" t="s">
        <v>7820</v>
      </c>
      <c r="F8192" s="1" t="s">
        <v>25</v>
      </c>
      <c r="G8192" s="1" t="s">
        <v>19</v>
      </c>
      <c r="H8192" s="1" t="str">
        <f>"68"</f>
        <v>68</v>
      </c>
      <c r="I8192" s="1" t="str">
        <f>"155.43"</f>
        <v>155.43</v>
      </c>
      <c r="J8192" s="1" t="str">
        <f t="shared" si="6012"/>
        <v>0</v>
      </c>
      <c r="K8192" s="1" t="str">
        <f t="shared" si="6013"/>
        <v>103</v>
      </c>
      <c r="L8192" s="1" t="str">
        <f t="shared" si="6014"/>
        <v>47</v>
      </c>
      <c r="M8192" s="1" t="str">
        <f t="shared" si="6016"/>
        <v>0</v>
      </c>
      <c r="N8192" s="1" t="str">
        <f t="shared" si="6017"/>
        <v>0</v>
      </c>
      <c r="O8192" s="1" t="str">
        <f>"5.43"</f>
        <v>5.43</v>
      </c>
    </row>
    <row r="8193" s="1" customFormat="1" spans="1:15">
      <c r="A8193" s="1" t="str">
        <f t="shared" si="6005"/>
        <v>202406</v>
      </c>
      <c r="B8193" s="1" t="str">
        <f t="shared" si="6006"/>
        <v>150525100</v>
      </c>
      <c r="C8193" s="1" t="str">
        <f>"1040646405"</f>
        <v>1040646405</v>
      </c>
      <c r="D8193" s="1" t="str">
        <f>"152326195508030428"</f>
        <v>152326195508030428</v>
      </c>
      <c r="E8193" s="1" t="s">
        <v>7821</v>
      </c>
      <c r="F8193" s="1" t="s">
        <v>16</v>
      </c>
      <c r="G8193" s="1" t="s">
        <v>17</v>
      </c>
      <c r="H8193" s="1" t="str">
        <f>"69"</f>
        <v>69</v>
      </c>
      <c r="I8193" s="1" t="str">
        <f>"154.51"</f>
        <v>154.51</v>
      </c>
      <c r="J8193" s="1" t="str">
        <f t="shared" si="6012"/>
        <v>0</v>
      </c>
      <c r="K8193" s="1" t="str">
        <f t="shared" si="6013"/>
        <v>103</v>
      </c>
      <c r="L8193" s="1" t="str">
        <f t="shared" si="6014"/>
        <v>47</v>
      </c>
      <c r="M8193" s="1" t="str">
        <f t="shared" si="6016"/>
        <v>0</v>
      </c>
      <c r="N8193" s="1" t="str">
        <f t="shared" si="6017"/>
        <v>0</v>
      </c>
      <c r="O8193" s="1" t="str">
        <f>"4.51"</f>
        <v>4.51</v>
      </c>
    </row>
    <row r="8194" s="1" customFormat="1" spans="1:15">
      <c r="A8194" s="1" t="str">
        <f t="shared" ref="A8194:A8257" si="6018">"202406"</f>
        <v>202406</v>
      </c>
      <c r="B8194" s="1" t="str">
        <f t="shared" ref="B8194:B8257" si="6019">"150525100"</f>
        <v>150525100</v>
      </c>
      <c r="C8194" s="1" t="str">
        <f>"1040646413"</f>
        <v>1040646413</v>
      </c>
      <c r="D8194" s="1" t="str">
        <f>"152326195909250421"</f>
        <v>152326195909250421</v>
      </c>
      <c r="E8194" s="1" t="s">
        <v>1731</v>
      </c>
      <c r="F8194" s="1" t="s">
        <v>16</v>
      </c>
      <c r="G8194" s="1" t="s">
        <v>17</v>
      </c>
      <c r="H8194" s="1" t="str">
        <f>"65"</f>
        <v>65</v>
      </c>
      <c r="I8194" s="1" t="str">
        <f>"157.58"</f>
        <v>157.58</v>
      </c>
      <c r="J8194" s="1" t="str">
        <f t="shared" si="6012"/>
        <v>0</v>
      </c>
      <c r="K8194" s="1" t="str">
        <f t="shared" si="6013"/>
        <v>103</v>
      </c>
      <c r="L8194" s="1" t="str">
        <f t="shared" si="6014"/>
        <v>47</v>
      </c>
      <c r="M8194" s="1" t="str">
        <f t="shared" si="6016"/>
        <v>0</v>
      </c>
      <c r="N8194" s="1" t="str">
        <f t="shared" si="6017"/>
        <v>0</v>
      </c>
      <c r="O8194" s="1" t="str">
        <f>"7.58"</f>
        <v>7.58</v>
      </c>
    </row>
    <row r="8195" s="1" customFormat="1" spans="1:15">
      <c r="A8195" s="1" t="str">
        <f t="shared" si="6018"/>
        <v>202406</v>
      </c>
      <c r="B8195" s="1" t="str">
        <f t="shared" si="6019"/>
        <v>150525100</v>
      </c>
      <c r="C8195" s="1" t="str">
        <f>"1040646419"</f>
        <v>1040646419</v>
      </c>
      <c r="D8195" s="1" t="str">
        <f>"152326195401260418"</f>
        <v>152326195401260418</v>
      </c>
      <c r="E8195" s="1" t="s">
        <v>7822</v>
      </c>
      <c r="F8195" s="1" t="s">
        <v>25</v>
      </c>
      <c r="G8195" s="1" t="s">
        <v>19</v>
      </c>
      <c r="H8195" s="1" t="str">
        <f>"70"</f>
        <v>70</v>
      </c>
      <c r="I8195" s="1" t="str">
        <f>"163.56"</f>
        <v>163.56</v>
      </c>
      <c r="J8195" s="1" t="str">
        <f t="shared" si="6012"/>
        <v>0</v>
      </c>
      <c r="K8195" s="1" t="str">
        <f t="shared" si="6013"/>
        <v>103</v>
      </c>
      <c r="L8195" s="1" t="str">
        <f t="shared" si="6014"/>
        <v>47</v>
      </c>
      <c r="M8195" s="1" t="str">
        <f t="shared" si="6016"/>
        <v>0</v>
      </c>
      <c r="N8195" s="1" t="str">
        <f t="shared" si="6017"/>
        <v>0</v>
      </c>
      <c r="O8195" s="1" t="str">
        <f>"3.56"</f>
        <v>3.56</v>
      </c>
    </row>
    <row r="8196" s="1" customFormat="1" spans="1:15">
      <c r="A8196" s="1" t="str">
        <f t="shared" si="6018"/>
        <v>202406</v>
      </c>
      <c r="B8196" s="1" t="str">
        <f t="shared" si="6019"/>
        <v>150525100</v>
      </c>
      <c r="C8196" s="1" t="str">
        <f>"1040646428"</f>
        <v>1040646428</v>
      </c>
      <c r="D8196" s="1" t="str">
        <f>"152326196210090457"</f>
        <v>152326196210090457</v>
      </c>
      <c r="E8196" s="1" t="s">
        <v>1640</v>
      </c>
      <c r="F8196" s="1" t="s">
        <v>25</v>
      </c>
      <c r="G8196" s="1" t="s">
        <v>17</v>
      </c>
      <c r="H8196" s="1" t="str">
        <f>"62"</f>
        <v>62</v>
      </c>
      <c r="I8196" s="1" t="str">
        <f>"162.2"</f>
        <v>162.2</v>
      </c>
      <c r="J8196" s="1" t="str">
        <f t="shared" si="6012"/>
        <v>0</v>
      </c>
      <c r="K8196" s="1" t="str">
        <f t="shared" si="6013"/>
        <v>103</v>
      </c>
      <c r="L8196" s="1" t="str">
        <f t="shared" si="6014"/>
        <v>47</v>
      </c>
      <c r="M8196" s="1" t="str">
        <f t="shared" si="6016"/>
        <v>0</v>
      </c>
      <c r="N8196" s="1" t="str">
        <f t="shared" si="6017"/>
        <v>0</v>
      </c>
      <c r="O8196" s="1" t="str">
        <f>"12.2"</f>
        <v>12.2</v>
      </c>
    </row>
    <row r="8197" s="1" customFormat="1" spans="1:15">
      <c r="A8197" s="1" t="str">
        <f t="shared" si="6018"/>
        <v>202406</v>
      </c>
      <c r="B8197" s="1" t="str">
        <f t="shared" si="6019"/>
        <v>150525100</v>
      </c>
      <c r="C8197" s="1" t="str">
        <f>"1040646447"</f>
        <v>1040646447</v>
      </c>
      <c r="D8197" s="1" t="str">
        <f>"152326195501230443"</f>
        <v>152326195501230443</v>
      </c>
      <c r="E8197" s="1" t="s">
        <v>7823</v>
      </c>
      <c r="F8197" s="1" t="s">
        <v>16</v>
      </c>
      <c r="G8197" s="1" t="s">
        <v>17</v>
      </c>
      <c r="H8197" s="1" t="str">
        <f>"69"</f>
        <v>69</v>
      </c>
      <c r="I8197" s="1" t="str">
        <f>"154.51"</f>
        <v>154.51</v>
      </c>
      <c r="J8197" s="1" t="str">
        <f t="shared" si="6012"/>
        <v>0</v>
      </c>
      <c r="K8197" s="1" t="str">
        <f t="shared" si="6013"/>
        <v>103</v>
      </c>
      <c r="L8197" s="1" t="str">
        <f t="shared" si="6014"/>
        <v>47</v>
      </c>
      <c r="M8197" s="1" t="str">
        <f t="shared" si="6016"/>
        <v>0</v>
      </c>
      <c r="N8197" s="1" t="str">
        <f t="shared" si="6017"/>
        <v>0</v>
      </c>
      <c r="O8197" s="1" t="str">
        <f>"4.51"</f>
        <v>4.51</v>
      </c>
    </row>
    <row r="8198" s="1" customFormat="1" spans="1:15">
      <c r="A8198" s="1" t="str">
        <f t="shared" si="6018"/>
        <v>202406</v>
      </c>
      <c r="B8198" s="1" t="str">
        <f t="shared" si="6019"/>
        <v>150525100</v>
      </c>
      <c r="C8198" s="1" t="str">
        <f>"1040646449"</f>
        <v>1040646449</v>
      </c>
      <c r="D8198" s="1" t="str">
        <f>"152326196301170428"</f>
        <v>152326196301170428</v>
      </c>
      <c r="E8198" s="1" t="s">
        <v>7824</v>
      </c>
      <c r="F8198" s="1" t="s">
        <v>16</v>
      </c>
      <c r="G8198" s="1" t="s">
        <v>17</v>
      </c>
      <c r="H8198" s="1" t="str">
        <f>"61"</f>
        <v>61</v>
      </c>
      <c r="I8198" s="1" t="str">
        <f>"164.27"</f>
        <v>164.27</v>
      </c>
      <c r="J8198" s="1" t="str">
        <f t="shared" si="6012"/>
        <v>0</v>
      </c>
      <c r="K8198" s="1" t="str">
        <f t="shared" si="6013"/>
        <v>103</v>
      </c>
      <c r="L8198" s="1" t="str">
        <f t="shared" si="6014"/>
        <v>47</v>
      </c>
      <c r="M8198" s="1" t="str">
        <f t="shared" si="6016"/>
        <v>0</v>
      </c>
      <c r="N8198" s="1" t="str">
        <f t="shared" si="6017"/>
        <v>0</v>
      </c>
      <c r="O8198" s="1" t="str">
        <f>"14.27"</f>
        <v>14.27</v>
      </c>
    </row>
    <row r="8199" s="1" customFormat="1" spans="1:15">
      <c r="A8199" s="1" t="str">
        <f t="shared" si="6018"/>
        <v>202406</v>
      </c>
      <c r="B8199" s="1" t="str">
        <f t="shared" si="6019"/>
        <v>150525100</v>
      </c>
      <c r="C8199" s="1" t="str">
        <f>"1040646453"</f>
        <v>1040646453</v>
      </c>
      <c r="D8199" s="1" t="str">
        <f>"152326196006220437"</f>
        <v>152326196006220437</v>
      </c>
      <c r="E8199" s="1" t="s">
        <v>7825</v>
      </c>
      <c r="F8199" s="1" t="s">
        <v>25</v>
      </c>
      <c r="G8199" s="1" t="s">
        <v>19</v>
      </c>
      <c r="H8199" s="1" t="str">
        <f>"64"</f>
        <v>64</v>
      </c>
      <c r="I8199" s="1" t="str">
        <f>"188.14"</f>
        <v>188.14</v>
      </c>
      <c r="J8199" s="1" t="str">
        <f t="shared" si="6012"/>
        <v>0</v>
      </c>
      <c r="K8199" s="1" t="str">
        <f t="shared" si="6013"/>
        <v>103</v>
      </c>
      <c r="L8199" s="1" t="str">
        <f t="shared" si="6014"/>
        <v>47</v>
      </c>
      <c r="M8199" s="1" t="str">
        <f t="shared" si="6016"/>
        <v>0</v>
      </c>
      <c r="N8199" s="1" t="str">
        <f t="shared" si="6017"/>
        <v>0</v>
      </c>
      <c r="O8199" s="1" t="str">
        <f>"38.14"</f>
        <v>38.14</v>
      </c>
    </row>
    <row r="8200" s="1" customFormat="1" spans="1:15">
      <c r="A8200" s="1" t="str">
        <f t="shared" si="6018"/>
        <v>202406</v>
      </c>
      <c r="B8200" s="1" t="str">
        <f t="shared" si="6019"/>
        <v>150525100</v>
      </c>
      <c r="C8200" s="1" t="str">
        <f>"1040647278"</f>
        <v>1040647278</v>
      </c>
      <c r="D8200" s="1" t="str">
        <f>"152326195407040926"</f>
        <v>152326195407040926</v>
      </c>
      <c r="E8200" s="1" t="s">
        <v>7826</v>
      </c>
      <c r="F8200" s="1" t="s">
        <v>16</v>
      </c>
      <c r="G8200" s="1" t="s">
        <v>19</v>
      </c>
      <c r="H8200" s="1" t="str">
        <f>"70"</f>
        <v>70</v>
      </c>
      <c r="I8200" s="1" t="str">
        <f>"153.52"</f>
        <v>153.52</v>
      </c>
      <c r="J8200" s="1" t="str">
        <f t="shared" si="6012"/>
        <v>0</v>
      </c>
      <c r="K8200" s="1" t="str">
        <f t="shared" si="6013"/>
        <v>103</v>
      </c>
      <c r="L8200" s="1" t="str">
        <f t="shared" si="6014"/>
        <v>47</v>
      </c>
      <c r="M8200" s="1" t="str">
        <f t="shared" si="6016"/>
        <v>0</v>
      </c>
      <c r="N8200" s="1" t="str">
        <f t="shared" si="6017"/>
        <v>0</v>
      </c>
      <c r="O8200" s="1" t="str">
        <f>"3.52"</f>
        <v>3.52</v>
      </c>
    </row>
    <row r="8201" s="1" customFormat="1" spans="1:15">
      <c r="A8201" s="1" t="str">
        <f t="shared" si="6018"/>
        <v>202406</v>
      </c>
      <c r="B8201" s="1" t="str">
        <f t="shared" si="6019"/>
        <v>150525100</v>
      </c>
      <c r="C8201" s="1" t="str">
        <f>"1040647283"</f>
        <v>1040647283</v>
      </c>
      <c r="D8201" s="1" t="s">
        <v>7827</v>
      </c>
      <c r="E8201" s="1" t="s">
        <v>7828</v>
      </c>
      <c r="F8201" s="1" t="s">
        <v>16</v>
      </c>
      <c r="G8201" s="1" t="s">
        <v>19</v>
      </c>
      <c r="H8201" s="1" t="str">
        <f>"67"</f>
        <v>67</v>
      </c>
      <c r="I8201" s="1" t="str">
        <f>"155.48"</f>
        <v>155.48</v>
      </c>
      <c r="J8201" s="1" t="str">
        <f t="shared" si="6012"/>
        <v>0</v>
      </c>
      <c r="K8201" s="1" t="str">
        <f t="shared" si="6013"/>
        <v>103</v>
      </c>
      <c r="L8201" s="1" t="str">
        <f t="shared" si="6014"/>
        <v>47</v>
      </c>
      <c r="M8201" s="1" t="str">
        <f t="shared" si="6016"/>
        <v>0</v>
      </c>
      <c r="N8201" s="1" t="str">
        <f t="shared" si="6017"/>
        <v>0</v>
      </c>
      <c r="O8201" s="1" t="str">
        <f>"5.48"</f>
        <v>5.48</v>
      </c>
    </row>
    <row r="8202" s="1" customFormat="1" spans="1:15">
      <c r="A8202" s="1" t="str">
        <f t="shared" si="6018"/>
        <v>202406</v>
      </c>
      <c r="B8202" s="1" t="str">
        <f t="shared" si="6019"/>
        <v>150525100</v>
      </c>
      <c r="C8202" s="1" t="str">
        <f>"1040647288"</f>
        <v>1040647288</v>
      </c>
      <c r="D8202" s="1" t="str">
        <f>"152326196205160916"</f>
        <v>152326196205160916</v>
      </c>
      <c r="E8202" s="1" t="s">
        <v>7829</v>
      </c>
      <c r="F8202" s="1" t="s">
        <v>25</v>
      </c>
      <c r="G8202" s="1" t="s">
        <v>19</v>
      </c>
      <c r="H8202" s="1" t="str">
        <f>"62"</f>
        <v>62</v>
      </c>
      <c r="I8202" s="1" t="str">
        <f>"161.32"</f>
        <v>161.32</v>
      </c>
      <c r="J8202" s="1" t="str">
        <f t="shared" si="6012"/>
        <v>0</v>
      </c>
      <c r="K8202" s="1" t="str">
        <f t="shared" si="6013"/>
        <v>103</v>
      </c>
      <c r="L8202" s="1" t="str">
        <f t="shared" si="6014"/>
        <v>47</v>
      </c>
      <c r="M8202" s="1" t="str">
        <f t="shared" si="6016"/>
        <v>0</v>
      </c>
      <c r="N8202" s="1" t="str">
        <f t="shared" si="6017"/>
        <v>0</v>
      </c>
      <c r="O8202" s="1" t="str">
        <f>"11.32"</f>
        <v>11.32</v>
      </c>
    </row>
    <row r="8203" s="1" customFormat="1" spans="1:15">
      <c r="A8203" s="1" t="str">
        <f t="shared" si="6018"/>
        <v>202406</v>
      </c>
      <c r="B8203" s="1" t="str">
        <f t="shared" si="6019"/>
        <v>150525100</v>
      </c>
      <c r="C8203" s="1" t="str">
        <f>"1040647299"</f>
        <v>1040647299</v>
      </c>
      <c r="D8203" s="1" t="str">
        <f>"152326195503060927"</f>
        <v>152326195503060927</v>
      </c>
      <c r="E8203" s="1" t="s">
        <v>7830</v>
      </c>
      <c r="F8203" s="1" t="s">
        <v>16</v>
      </c>
      <c r="G8203" s="1" t="s">
        <v>19</v>
      </c>
      <c r="H8203" s="1" t="str">
        <f>"69"</f>
        <v>69</v>
      </c>
      <c r="I8203" s="1" t="str">
        <f>"154.48"</f>
        <v>154.48</v>
      </c>
      <c r="J8203" s="1" t="str">
        <f t="shared" si="6012"/>
        <v>0</v>
      </c>
      <c r="K8203" s="1" t="str">
        <f t="shared" si="6013"/>
        <v>103</v>
      </c>
      <c r="L8203" s="1" t="str">
        <f t="shared" si="6014"/>
        <v>47</v>
      </c>
      <c r="M8203" s="1" t="str">
        <f t="shared" si="6016"/>
        <v>0</v>
      </c>
      <c r="N8203" s="1" t="str">
        <f t="shared" si="6017"/>
        <v>0</v>
      </c>
      <c r="O8203" s="1" t="str">
        <f>"4.48"</f>
        <v>4.48</v>
      </c>
    </row>
    <row r="8204" s="1" customFormat="1" spans="1:15">
      <c r="A8204" s="1" t="str">
        <f t="shared" si="6018"/>
        <v>202406</v>
      </c>
      <c r="B8204" s="1" t="str">
        <f t="shared" si="6019"/>
        <v>150525100</v>
      </c>
      <c r="C8204" s="1" t="str">
        <f>"1040647301"</f>
        <v>1040647301</v>
      </c>
      <c r="D8204" s="1" t="str">
        <f>"152326195502150920"</f>
        <v>152326195502150920</v>
      </c>
      <c r="E8204" s="1" t="s">
        <v>7831</v>
      </c>
      <c r="F8204" s="1" t="s">
        <v>16</v>
      </c>
      <c r="G8204" s="1" t="s">
        <v>19</v>
      </c>
      <c r="H8204" s="1" t="str">
        <f>"69"</f>
        <v>69</v>
      </c>
      <c r="I8204" s="1" t="str">
        <f>"154.48"</f>
        <v>154.48</v>
      </c>
      <c r="J8204" s="1" t="str">
        <f t="shared" si="6012"/>
        <v>0</v>
      </c>
      <c r="K8204" s="1" t="str">
        <f t="shared" si="6013"/>
        <v>103</v>
      </c>
      <c r="L8204" s="1" t="str">
        <f t="shared" si="6014"/>
        <v>47</v>
      </c>
      <c r="M8204" s="1" t="str">
        <f t="shared" si="6016"/>
        <v>0</v>
      </c>
      <c r="N8204" s="1" t="str">
        <f t="shared" si="6017"/>
        <v>0</v>
      </c>
      <c r="O8204" s="1" t="str">
        <f>"4.48"</f>
        <v>4.48</v>
      </c>
    </row>
    <row r="8205" s="1" customFormat="1" spans="1:15">
      <c r="A8205" s="1" t="str">
        <f t="shared" si="6018"/>
        <v>202406</v>
      </c>
      <c r="B8205" s="1" t="str">
        <f t="shared" si="6019"/>
        <v>150525100</v>
      </c>
      <c r="C8205" s="1" t="str">
        <f>"1040648217"</f>
        <v>1040648217</v>
      </c>
      <c r="D8205" s="1" t="str">
        <f>"152326195703223081"</f>
        <v>152326195703223081</v>
      </c>
      <c r="E8205" s="1" t="s">
        <v>2921</v>
      </c>
      <c r="F8205" s="1" t="s">
        <v>16</v>
      </c>
      <c r="G8205" s="1" t="s">
        <v>19</v>
      </c>
      <c r="H8205" s="1" t="str">
        <f t="shared" ref="H8205:H8210" si="6020">"67"</f>
        <v>67</v>
      </c>
      <c r="I8205" s="1" t="str">
        <f>"155.46"</f>
        <v>155.46</v>
      </c>
      <c r="J8205" s="1" t="str">
        <f t="shared" si="6012"/>
        <v>0</v>
      </c>
      <c r="K8205" s="1" t="str">
        <f t="shared" si="6013"/>
        <v>103</v>
      </c>
      <c r="L8205" s="1" t="str">
        <f t="shared" si="6014"/>
        <v>47</v>
      </c>
      <c r="M8205" s="1" t="str">
        <f t="shared" si="6016"/>
        <v>0</v>
      </c>
      <c r="N8205" s="1" t="str">
        <f t="shared" si="6017"/>
        <v>0</v>
      </c>
      <c r="O8205" s="1" t="str">
        <f>"5.46"</f>
        <v>5.46</v>
      </c>
    </row>
    <row r="8206" s="1" customFormat="1" spans="1:15">
      <c r="A8206" s="1" t="str">
        <f t="shared" si="6018"/>
        <v>202406</v>
      </c>
      <c r="B8206" s="1" t="str">
        <f t="shared" si="6019"/>
        <v>150525100</v>
      </c>
      <c r="C8206" s="1" t="str">
        <f>"1040648224"</f>
        <v>1040648224</v>
      </c>
      <c r="D8206" s="1" t="str">
        <f>"152326196210053082"</f>
        <v>152326196210053082</v>
      </c>
      <c r="E8206" s="1" t="s">
        <v>7832</v>
      </c>
      <c r="F8206" s="1" t="s">
        <v>16</v>
      </c>
      <c r="G8206" s="1" t="s">
        <v>19</v>
      </c>
      <c r="H8206" s="1" t="str">
        <f>"62"</f>
        <v>62</v>
      </c>
      <c r="I8206" s="1" t="str">
        <f>"161.46"</f>
        <v>161.46</v>
      </c>
      <c r="J8206" s="1" t="str">
        <f t="shared" si="6012"/>
        <v>0</v>
      </c>
      <c r="K8206" s="1" t="str">
        <f t="shared" si="6013"/>
        <v>103</v>
      </c>
      <c r="L8206" s="1" t="str">
        <f t="shared" si="6014"/>
        <v>47</v>
      </c>
      <c r="M8206" s="1" t="str">
        <f t="shared" si="6016"/>
        <v>0</v>
      </c>
      <c r="N8206" s="1" t="str">
        <f t="shared" si="6017"/>
        <v>0</v>
      </c>
      <c r="O8206" s="1" t="str">
        <f>"11.46"</f>
        <v>11.46</v>
      </c>
    </row>
    <row r="8207" s="1" customFormat="1" spans="1:15">
      <c r="A8207" s="1" t="str">
        <f t="shared" si="6018"/>
        <v>202406</v>
      </c>
      <c r="B8207" s="1" t="str">
        <f t="shared" si="6019"/>
        <v>150525100</v>
      </c>
      <c r="C8207" s="1" t="str">
        <f>"1040647387"</f>
        <v>1040647387</v>
      </c>
      <c r="D8207" s="1" t="str">
        <f>"152326195709023822"</f>
        <v>152326195709023822</v>
      </c>
      <c r="E8207" s="1" t="s">
        <v>820</v>
      </c>
      <c r="F8207" s="1" t="s">
        <v>16</v>
      </c>
      <c r="G8207" s="1" t="s">
        <v>17</v>
      </c>
      <c r="H8207" s="1" t="str">
        <f t="shared" si="6020"/>
        <v>67</v>
      </c>
      <c r="I8207" s="1" t="str">
        <f>"155.5"</f>
        <v>155.5</v>
      </c>
      <c r="J8207" s="1" t="str">
        <f t="shared" si="6012"/>
        <v>0</v>
      </c>
      <c r="K8207" s="1" t="str">
        <f t="shared" si="6013"/>
        <v>103</v>
      </c>
      <c r="L8207" s="1" t="str">
        <f t="shared" si="6014"/>
        <v>47</v>
      </c>
      <c r="M8207" s="1" t="str">
        <f t="shared" si="6016"/>
        <v>0</v>
      </c>
      <c r="N8207" s="1" t="str">
        <f t="shared" si="6017"/>
        <v>0</v>
      </c>
      <c r="O8207" s="1" t="str">
        <f>"5.5"</f>
        <v>5.5</v>
      </c>
    </row>
    <row r="8208" s="1" customFormat="1" spans="1:15">
      <c r="A8208" s="1" t="str">
        <f t="shared" si="6018"/>
        <v>202406</v>
      </c>
      <c r="B8208" s="1" t="str">
        <f t="shared" si="6019"/>
        <v>150525100</v>
      </c>
      <c r="C8208" s="1" t="str">
        <f>"1040647390"</f>
        <v>1040647390</v>
      </c>
      <c r="D8208" s="1" t="str">
        <f>"152326196103113828"</f>
        <v>152326196103113828</v>
      </c>
      <c r="E8208" s="1" t="s">
        <v>4342</v>
      </c>
      <c r="F8208" s="1" t="s">
        <v>16</v>
      </c>
      <c r="G8208" s="1" t="s">
        <v>19</v>
      </c>
      <c r="H8208" s="1" t="str">
        <f>"63"</f>
        <v>63</v>
      </c>
      <c r="I8208" s="1" t="str">
        <f>"160.41"</f>
        <v>160.41</v>
      </c>
      <c r="J8208" s="1" t="str">
        <f t="shared" si="6012"/>
        <v>0</v>
      </c>
      <c r="K8208" s="1" t="str">
        <f t="shared" si="6013"/>
        <v>103</v>
      </c>
      <c r="L8208" s="1" t="str">
        <f t="shared" si="6014"/>
        <v>47</v>
      </c>
      <c r="M8208" s="1" t="str">
        <f t="shared" si="6016"/>
        <v>0</v>
      </c>
      <c r="N8208" s="1" t="str">
        <f t="shared" si="6017"/>
        <v>0</v>
      </c>
      <c r="O8208" s="1" t="str">
        <f>"10.41"</f>
        <v>10.41</v>
      </c>
    </row>
    <row r="8209" s="1" customFormat="1" spans="1:15">
      <c r="A8209" s="1" t="str">
        <f t="shared" si="6018"/>
        <v>202406</v>
      </c>
      <c r="B8209" s="1" t="str">
        <f t="shared" si="6019"/>
        <v>150525100</v>
      </c>
      <c r="C8209" s="1" t="str">
        <f>"1040647435"</f>
        <v>1040647435</v>
      </c>
      <c r="D8209" s="1" t="str">
        <f>"152326196310046146"</f>
        <v>152326196310046146</v>
      </c>
      <c r="E8209" s="1" t="s">
        <v>7833</v>
      </c>
      <c r="F8209" s="1" t="s">
        <v>16</v>
      </c>
      <c r="G8209" s="1" t="s">
        <v>17</v>
      </c>
      <c r="H8209" s="1" t="str">
        <f>"61"</f>
        <v>61</v>
      </c>
      <c r="I8209" s="1" t="str">
        <f>"165.84"</f>
        <v>165.84</v>
      </c>
      <c r="J8209" s="1" t="str">
        <f t="shared" si="6012"/>
        <v>0</v>
      </c>
      <c r="K8209" s="1" t="str">
        <f t="shared" si="6013"/>
        <v>103</v>
      </c>
      <c r="L8209" s="1" t="str">
        <f t="shared" si="6014"/>
        <v>47</v>
      </c>
      <c r="M8209" s="1" t="str">
        <f t="shared" si="6016"/>
        <v>0</v>
      </c>
      <c r="N8209" s="1" t="str">
        <f t="shared" si="6017"/>
        <v>0</v>
      </c>
      <c r="O8209" s="1" t="str">
        <f>"15.84"</f>
        <v>15.84</v>
      </c>
    </row>
    <row r="8210" s="1" customFormat="1" spans="1:15">
      <c r="A8210" s="1" t="str">
        <f t="shared" si="6018"/>
        <v>202406</v>
      </c>
      <c r="B8210" s="1" t="str">
        <f t="shared" si="6019"/>
        <v>150525100</v>
      </c>
      <c r="C8210" s="1" t="str">
        <f>"1040647454"</f>
        <v>1040647454</v>
      </c>
      <c r="D8210" s="1" t="str">
        <f>"152326195703230679"</f>
        <v>152326195703230679</v>
      </c>
      <c r="E8210" s="1" t="s">
        <v>7834</v>
      </c>
      <c r="F8210" s="1" t="s">
        <v>25</v>
      </c>
      <c r="G8210" s="1" t="s">
        <v>17</v>
      </c>
      <c r="H8210" s="1" t="str">
        <f t="shared" si="6020"/>
        <v>67</v>
      </c>
      <c r="I8210" s="1" t="str">
        <f>"155.46"</f>
        <v>155.46</v>
      </c>
      <c r="J8210" s="1" t="str">
        <f t="shared" si="6012"/>
        <v>0</v>
      </c>
      <c r="K8210" s="1" t="str">
        <f t="shared" si="6013"/>
        <v>103</v>
      </c>
      <c r="L8210" s="1" t="str">
        <f t="shared" si="6014"/>
        <v>47</v>
      </c>
      <c r="M8210" s="1" t="str">
        <f t="shared" si="6016"/>
        <v>0</v>
      </c>
      <c r="N8210" s="1" t="str">
        <f t="shared" si="6017"/>
        <v>0</v>
      </c>
      <c r="O8210" s="1" t="str">
        <f>"5.46"</f>
        <v>5.46</v>
      </c>
    </row>
    <row r="8211" s="1" customFormat="1" spans="1:15">
      <c r="A8211" s="1" t="str">
        <f t="shared" si="6018"/>
        <v>202406</v>
      </c>
      <c r="B8211" s="1" t="str">
        <f t="shared" si="6019"/>
        <v>150525100</v>
      </c>
      <c r="C8211" s="1" t="str">
        <f>"1040647477"</f>
        <v>1040647477</v>
      </c>
      <c r="D8211" s="1" t="str">
        <f>"152326195509010672"</f>
        <v>152326195509010672</v>
      </c>
      <c r="E8211" s="1" t="s">
        <v>7835</v>
      </c>
      <c r="F8211" s="1" t="s">
        <v>25</v>
      </c>
      <c r="G8211" s="1" t="s">
        <v>17</v>
      </c>
      <c r="H8211" s="1" t="str">
        <f>"69"</f>
        <v>69</v>
      </c>
      <c r="I8211" s="1" t="str">
        <f>"154.52"</f>
        <v>154.52</v>
      </c>
      <c r="J8211" s="1" t="str">
        <f t="shared" si="6012"/>
        <v>0</v>
      </c>
      <c r="K8211" s="1" t="str">
        <f t="shared" si="6013"/>
        <v>103</v>
      </c>
      <c r="L8211" s="1" t="str">
        <f t="shared" si="6014"/>
        <v>47</v>
      </c>
      <c r="M8211" s="1" t="str">
        <f t="shared" si="6016"/>
        <v>0</v>
      </c>
      <c r="N8211" s="1" t="str">
        <f t="shared" si="6017"/>
        <v>0</v>
      </c>
      <c r="O8211" s="1" t="str">
        <f>"4.52"</f>
        <v>4.52</v>
      </c>
    </row>
    <row r="8212" s="1" customFormat="1" spans="1:15">
      <c r="A8212" s="1" t="str">
        <f t="shared" si="6018"/>
        <v>202406</v>
      </c>
      <c r="B8212" s="1" t="str">
        <f t="shared" si="6019"/>
        <v>150525100</v>
      </c>
      <c r="C8212" s="1" t="str">
        <f>"1040647495"</f>
        <v>1040647495</v>
      </c>
      <c r="D8212" s="1" t="str">
        <f>"152326195903240660"</f>
        <v>152326195903240660</v>
      </c>
      <c r="E8212" s="1" t="s">
        <v>7836</v>
      </c>
      <c r="F8212" s="1" t="s">
        <v>16</v>
      </c>
      <c r="G8212" s="1" t="s">
        <v>17</v>
      </c>
      <c r="H8212" s="1" t="str">
        <f>"65"</f>
        <v>65</v>
      </c>
      <c r="I8212" s="1" t="str">
        <f>"157.52"</f>
        <v>157.52</v>
      </c>
      <c r="J8212" s="1" t="str">
        <f t="shared" si="6012"/>
        <v>0</v>
      </c>
      <c r="K8212" s="1" t="str">
        <f t="shared" si="6013"/>
        <v>103</v>
      </c>
      <c r="L8212" s="1" t="str">
        <f t="shared" si="6014"/>
        <v>47</v>
      </c>
      <c r="M8212" s="1" t="str">
        <f t="shared" si="6016"/>
        <v>0</v>
      </c>
      <c r="N8212" s="1" t="str">
        <f t="shared" si="6017"/>
        <v>0</v>
      </c>
      <c r="O8212" s="1" t="str">
        <f>"7.52"</f>
        <v>7.52</v>
      </c>
    </row>
    <row r="8213" s="1" customFormat="1" spans="1:15">
      <c r="A8213" s="1" t="str">
        <f t="shared" si="6018"/>
        <v>202406</v>
      </c>
      <c r="B8213" s="1" t="str">
        <f t="shared" si="6019"/>
        <v>150525100</v>
      </c>
      <c r="C8213" s="1" t="str">
        <f>"1040687535"</f>
        <v>1040687535</v>
      </c>
      <c r="D8213" s="1" t="str">
        <f>"152326195508100676"</f>
        <v>152326195508100676</v>
      </c>
      <c r="E8213" s="1" t="s">
        <v>3238</v>
      </c>
      <c r="F8213" s="1" t="s">
        <v>25</v>
      </c>
      <c r="G8213" s="1" t="s">
        <v>17</v>
      </c>
      <c r="H8213" s="1" t="str">
        <f>"69"</f>
        <v>69</v>
      </c>
      <c r="I8213" s="1" t="str">
        <f>"154.22"</f>
        <v>154.22</v>
      </c>
      <c r="J8213" s="1" t="str">
        <f t="shared" si="6012"/>
        <v>0</v>
      </c>
      <c r="K8213" s="1" t="str">
        <f t="shared" si="6013"/>
        <v>103</v>
      </c>
      <c r="L8213" s="1" t="str">
        <f t="shared" si="6014"/>
        <v>47</v>
      </c>
      <c r="M8213" s="1" t="str">
        <f t="shared" si="6016"/>
        <v>0</v>
      </c>
      <c r="N8213" s="1" t="str">
        <f t="shared" si="6017"/>
        <v>0</v>
      </c>
      <c r="O8213" s="1" t="str">
        <f>"4.22"</f>
        <v>4.22</v>
      </c>
    </row>
    <row r="8214" s="1" customFormat="1" spans="1:15">
      <c r="A8214" s="1" t="str">
        <f t="shared" si="6018"/>
        <v>202406</v>
      </c>
      <c r="B8214" s="1" t="str">
        <f t="shared" si="6019"/>
        <v>150525100</v>
      </c>
      <c r="C8214" s="1" t="str">
        <f>"1040647550"</f>
        <v>1040647550</v>
      </c>
      <c r="D8214" s="1" t="str">
        <f>"152326195609176127"</f>
        <v>152326195609176127</v>
      </c>
      <c r="E8214" s="1" t="s">
        <v>7252</v>
      </c>
      <c r="F8214" s="1" t="s">
        <v>16</v>
      </c>
      <c r="G8214" s="1" t="s">
        <v>19</v>
      </c>
      <c r="H8214" s="1" t="str">
        <f t="shared" ref="H8214:H8219" si="6021">"68"</f>
        <v>68</v>
      </c>
      <c r="I8214" s="1" t="str">
        <f t="shared" ref="I8214:I8219" si="6022">"155.43"</f>
        <v>155.43</v>
      </c>
      <c r="J8214" s="1" t="str">
        <f t="shared" si="6012"/>
        <v>0</v>
      </c>
      <c r="K8214" s="1" t="str">
        <f t="shared" si="6013"/>
        <v>103</v>
      </c>
      <c r="L8214" s="1" t="str">
        <f t="shared" si="6014"/>
        <v>47</v>
      </c>
      <c r="M8214" s="1" t="str">
        <f t="shared" si="6016"/>
        <v>0</v>
      </c>
      <c r="N8214" s="1" t="str">
        <f t="shared" si="6017"/>
        <v>0</v>
      </c>
      <c r="O8214" s="1" t="str">
        <f t="shared" ref="O8214:O8219" si="6023">"5.43"</f>
        <v>5.43</v>
      </c>
    </row>
    <row r="8215" s="1" customFormat="1" spans="1:15">
      <c r="A8215" s="1" t="str">
        <f t="shared" si="6018"/>
        <v>202406</v>
      </c>
      <c r="B8215" s="1" t="str">
        <f t="shared" si="6019"/>
        <v>150525100</v>
      </c>
      <c r="C8215" s="1" t="str">
        <f>"1040647605"</f>
        <v>1040647605</v>
      </c>
      <c r="D8215" s="1" t="str">
        <f>"152326195806256388"</f>
        <v>152326195806256388</v>
      </c>
      <c r="E8215" s="1" t="s">
        <v>7837</v>
      </c>
      <c r="F8215" s="1" t="s">
        <v>16</v>
      </c>
      <c r="G8215" s="1" t="s">
        <v>19</v>
      </c>
      <c r="H8215" s="1" t="str">
        <f>"66"</f>
        <v>66</v>
      </c>
      <c r="I8215" s="1" t="str">
        <f>"156.25"</f>
        <v>156.25</v>
      </c>
      <c r="J8215" s="1" t="str">
        <f t="shared" si="6012"/>
        <v>0</v>
      </c>
      <c r="K8215" s="1" t="str">
        <f t="shared" si="6013"/>
        <v>103</v>
      </c>
      <c r="L8215" s="1" t="str">
        <f t="shared" si="6014"/>
        <v>47</v>
      </c>
      <c r="M8215" s="1" t="str">
        <f t="shared" si="6016"/>
        <v>0</v>
      </c>
      <c r="N8215" s="1" t="str">
        <f t="shared" si="6017"/>
        <v>0</v>
      </c>
      <c r="O8215" s="1" t="str">
        <f>"6.25"</f>
        <v>6.25</v>
      </c>
    </row>
    <row r="8216" s="1" customFormat="1" spans="1:15">
      <c r="A8216" s="1" t="str">
        <f t="shared" si="6018"/>
        <v>202406</v>
      </c>
      <c r="B8216" s="1" t="str">
        <f t="shared" si="6019"/>
        <v>150525100</v>
      </c>
      <c r="C8216" s="1" t="str">
        <f>"1040687642"</f>
        <v>1040687642</v>
      </c>
      <c r="D8216" s="1" t="str">
        <f>"152326195710210684"</f>
        <v>152326195710210684</v>
      </c>
      <c r="E8216" s="1" t="s">
        <v>7838</v>
      </c>
      <c r="F8216" s="1" t="s">
        <v>16</v>
      </c>
      <c r="G8216" s="1" t="s">
        <v>17</v>
      </c>
      <c r="H8216" s="1" t="str">
        <f t="shared" ref="H8216:H8220" si="6024">"67"</f>
        <v>67</v>
      </c>
      <c r="I8216" s="1" t="str">
        <f>"155.21"</f>
        <v>155.21</v>
      </c>
      <c r="J8216" s="1" t="str">
        <f t="shared" si="6012"/>
        <v>0</v>
      </c>
      <c r="K8216" s="1" t="str">
        <f t="shared" si="6013"/>
        <v>103</v>
      </c>
      <c r="L8216" s="1" t="str">
        <f t="shared" si="6014"/>
        <v>47</v>
      </c>
      <c r="M8216" s="1" t="str">
        <f t="shared" si="6016"/>
        <v>0</v>
      </c>
      <c r="N8216" s="1" t="str">
        <f t="shared" si="6017"/>
        <v>0</v>
      </c>
      <c r="O8216" s="1" t="str">
        <f>"5.21"</f>
        <v>5.21</v>
      </c>
    </row>
    <row r="8217" s="1" customFormat="1" spans="1:15">
      <c r="A8217" s="1" t="str">
        <f t="shared" si="6018"/>
        <v>202406</v>
      </c>
      <c r="B8217" s="1" t="str">
        <f t="shared" si="6019"/>
        <v>150525100</v>
      </c>
      <c r="C8217" s="1" t="str">
        <f>"1040687655"</f>
        <v>1040687655</v>
      </c>
      <c r="D8217" s="1" t="str">
        <f>"152326195711040664"</f>
        <v>152326195711040664</v>
      </c>
      <c r="E8217" s="1" t="s">
        <v>4889</v>
      </c>
      <c r="F8217" s="1" t="s">
        <v>16</v>
      </c>
      <c r="G8217" s="1" t="s">
        <v>17</v>
      </c>
      <c r="H8217" s="1" t="str">
        <f t="shared" si="6024"/>
        <v>67</v>
      </c>
      <c r="I8217" s="1" t="str">
        <f>"155.21"</f>
        <v>155.21</v>
      </c>
      <c r="J8217" s="1" t="str">
        <f t="shared" si="6012"/>
        <v>0</v>
      </c>
      <c r="K8217" s="1" t="str">
        <f t="shared" si="6013"/>
        <v>103</v>
      </c>
      <c r="L8217" s="1" t="str">
        <f t="shared" si="6014"/>
        <v>47</v>
      </c>
      <c r="M8217" s="1" t="str">
        <f t="shared" si="6016"/>
        <v>0</v>
      </c>
      <c r="N8217" s="1" t="str">
        <f t="shared" si="6017"/>
        <v>0</v>
      </c>
      <c r="O8217" s="1" t="str">
        <f>"5.21"</f>
        <v>5.21</v>
      </c>
    </row>
    <row r="8218" s="1" customFormat="1" spans="1:15">
      <c r="A8218" s="1" t="str">
        <f t="shared" si="6018"/>
        <v>202406</v>
      </c>
      <c r="B8218" s="1" t="str">
        <f t="shared" si="6019"/>
        <v>150525100</v>
      </c>
      <c r="C8218" s="1" t="str">
        <f>"1040647626"</f>
        <v>1040647626</v>
      </c>
      <c r="D8218" s="1" t="str">
        <f>"152326195612196380"</f>
        <v>152326195612196380</v>
      </c>
      <c r="E8218" s="1" t="s">
        <v>7839</v>
      </c>
      <c r="F8218" s="1" t="s">
        <v>16</v>
      </c>
      <c r="G8218" s="1" t="s">
        <v>19</v>
      </c>
      <c r="H8218" s="1" t="str">
        <f t="shared" si="6021"/>
        <v>68</v>
      </c>
      <c r="I8218" s="1" t="str">
        <f t="shared" si="6022"/>
        <v>155.43</v>
      </c>
      <c r="J8218" s="1" t="str">
        <f t="shared" si="6012"/>
        <v>0</v>
      </c>
      <c r="K8218" s="1" t="str">
        <f t="shared" si="6013"/>
        <v>103</v>
      </c>
      <c r="L8218" s="1" t="str">
        <f t="shared" si="6014"/>
        <v>47</v>
      </c>
      <c r="M8218" s="1" t="str">
        <f t="shared" si="6016"/>
        <v>0</v>
      </c>
      <c r="N8218" s="1" t="str">
        <f t="shared" si="6017"/>
        <v>0</v>
      </c>
      <c r="O8218" s="1" t="str">
        <f t="shared" si="6023"/>
        <v>5.43</v>
      </c>
    </row>
    <row r="8219" s="1" customFormat="1" spans="1:15">
      <c r="A8219" s="1" t="str">
        <f t="shared" si="6018"/>
        <v>202406</v>
      </c>
      <c r="B8219" s="1" t="str">
        <f t="shared" si="6019"/>
        <v>150525100</v>
      </c>
      <c r="C8219" s="1" t="str">
        <f>"1040647737"</f>
        <v>1040647737</v>
      </c>
      <c r="D8219" s="1" t="str">
        <f>"152326195603053310"</f>
        <v>152326195603053310</v>
      </c>
      <c r="E8219" s="1" t="s">
        <v>7840</v>
      </c>
      <c r="F8219" s="1" t="s">
        <v>25</v>
      </c>
      <c r="G8219" s="1" t="s">
        <v>19</v>
      </c>
      <c r="H8219" s="1" t="str">
        <f t="shared" si="6021"/>
        <v>68</v>
      </c>
      <c r="I8219" s="1" t="str">
        <f t="shared" si="6022"/>
        <v>155.43</v>
      </c>
      <c r="J8219" s="1" t="str">
        <f t="shared" si="6012"/>
        <v>0</v>
      </c>
      <c r="K8219" s="1" t="str">
        <f t="shared" si="6013"/>
        <v>103</v>
      </c>
      <c r="L8219" s="1" t="str">
        <f t="shared" si="6014"/>
        <v>47</v>
      </c>
      <c r="M8219" s="1" t="str">
        <f t="shared" si="6016"/>
        <v>0</v>
      </c>
      <c r="N8219" s="1" t="str">
        <f t="shared" si="6017"/>
        <v>0</v>
      </c>
      <c r="O8219" s="1" t="str">
        <f t="shared" si="6023"/>
        <v>5.43</v>
      </c>
    </row>
    <row r="8220" s="1" customFormat="1" spans="1:15">
      <c r="A8220" s="1" t="str">
        <f t="shared" si="6018"/>
        <v>202406</v>
      </c>
      <c r="B8220" s="1" t="str">
        <f t="shared" si="6019"/>
        <v>150525100</v>
      </c>
      <c r="C8220" s="1" t="str">
        <f>"1040647749"</f>
        <v>1040647749</v>
      </c>
      <c r="D8220" s="1" t="str">
        <f>"152326195701213322"</f>
        <v>152326195701213322</v>
      </c>
      <c r="E8220" s="1" t="s">
        <v>7841</v>
      </c>
      <c r="F8220" s="1" t="s">
        <v>16</v>
      </c>
      <c r="G8220" s="1" t="s">
        <v>17</v>
      </c>
      <c r="H8220" s="1" t="str">
        <f t="shared" si="6024"/>
        <v>67</v>
      </c>
      <c r="I8220" s="1" t="str">
        <f>"155.45"</f>
        <v>155.45</v>
      </c>
      <c r="J8220" s="1" t="str">
        <f t="shared" si="6012"/>
        <v>0</v>
      </c>
      <c r="K8220" s="1" t="str">
        <f t="shared" si="6013"/>
        <v>103</v>
      </c>
      <c r="L8220" s="1" t="str">
        <f t="shared" si="6014"/>
        <v>47</v>
      </c>
      <c r="M8220" s="1" t="str">
        <f t="shared" si="6016"/>
        <v>0</v>
      </c>
      <c r="N8220" s="1" t="str">
        <f t="shared" si="6017"/>
        <v>0</v>
      </c>
      <c r="O8220" s="1" t="str">
        <f>"5.45"</f>
        <v>5.45</v>
      </c>
    </row>
    <row r="8221" s="1" customFormat="1" spans="1:15">
      <c r="A8221" s="1" t="str">
        <f t="shared" si="6018"/>
        <v>202406</v>
      </c>
      <c r="B8221" s="1" t="str">
        <f t="shared" si="6019"/>
        <v>150525100</v>
      </c>
      <c r="C8221" s="1" t="str">
        <f>"1040647763"</f>
        <v>1040647763</v>
      </c>
      <c r="D8221" s="1" t="str">
        <f>"152326196105163319"</f>
        <v>152326196105163319</v>
      </c>
      <c r="E8221" s="1" t="s">
        <v>4696</v>
      </c>
      <c r="F8221" s="1" t="s">
        <v>25</v>
      </c>
      <c r="G8221" s="1" t="s">
        <v>17</v>
      </c>
      <c r="H8221" s="1" t="str">
        <f>"63"</f>
        <v>63</v>
      </c>
      <c r="I8221" s="1" t="str">
        <f>"160.44"</f>
        <v>160.44</v>
      </c>
      <c r="J8221" s="1" t="str">
        <f t="shared" si="6012"/>
        <v>0</v>
      </c>
      <c r="K8221" s="1" t="str">
        <f t="shared" si="6013"/>
        <v>103</v>
      </c>
      <c r="L8221" s="1" t="str">
        <f t="shared" si="6014"/>
        <v>47</v>
      </c>
      <c r="M8221" s="1" t="str">
        <f t="shared" si="6016"/>
        <v>0</v>
      </c>
      <c r="N8221" s="1" t="str">
        <f t="shared" si="6017"/>
        <v>0</v>
      </c>
      <c r="O8221" s="1" t="str">
        <f>"10.44"</f>
        <v>10.44</v>
      </c>
    </row>
    <row r="8222" s="1" customFormat="1" spans="1:15">
      <c r="A8222" s="1" t="str">
        <f t="shared" si="6018"/>
        <v>202406</v>
      </c>
      <c r="B8222" s="1" t="str">
        <f t="shared" si="6019"/>
        <v>150525100</v>
      </c>
      <c r="C8222" s="1" t="str">
        <f>"1040644358"</f>
        <v>1040644358</v>
      </c>
      <c r="D8222" s="1" t="str">
        <f>"152326195611303076"</f>
        <v>152326195611303076</v>
      </c>
      <c r="E8222" s="1" t="s">
        <v>7842</v>
      </c>
      <c r="F8222" s="1" t="s">
        <v>25</v>
      </c>
      <c r="G8222" s="1" t="s">
        <v>19</v>
      </c>
      <c r="H8222" s="1" t="str">
        <f>"68"</f>
        <v>68</v>
      </c>
      <c r="I8222" s="1" t="str">
        <f>"155.43"</f>
        <v>155.43</v>
      </c>
      <c r="J8222" s="1" t="str">
        <f t="shared" si="6012"/>
        <v>0</v>
      </c>
      <c r="K8222" s="1" t="str">
        <f t="shared" si="6013"/>
        <v>103</v>
      </c>
      <c r="L8222" s="1" t="str">
        <f t="shared" si="6014"/>
        <v>47</v>
      </c>
      <c r="M8222" s="1" t="str">
        <f t="shared" si="6016"/>
        <v>0</v>
      </c>
      <c r="N8222" s="1" t="str">
        <f t="shared" si="6017"/>
        <v>0</v>
      </c>
      <c r="O8222" s="1" t="str">
        <f>"5.43"</f>
        <v>5.43</v>
      </c>
    </row>
    <row r="8223" s="1" customFormat="1" spans="1:15">
      <c r="A8223" s="1" t="str">
        <f t="shared" si="6018"/>
        <v>202406</v>
      </c>
      <c r="B8223" s="1" t="str">
        <f t="shared" si="6019"/>
        <v>150525100</v>
      </c>
      <c r="C8223" s="1" t="str">
        <f>"1040647795"</f>
        <v>1040647795</v>
      </c>
      <c r="D8223" s="1" t="str">
        <f>"152326195805243323"</f>
        <v>152326195805243323</v>
      </c>
      <c r="E8223" s="1" t="s">
        <v>7843</v>
      </c>
      <c r="F8223" s="1" t="s">
        <v>16</v>
      </c>
      <c r="G8223" s="1" t="s">
        <v>17</v>
      </c>
      <c r="H8223" s="1" t="str">
        <f>"66"</f>
        <v>66</v>
      </c>
      <c r="I8223" s="1" t="str">
        <f>"176.04"</f>
        <v>176.04</v>
      </c>
      <c r="J8223" s="1" t="str">
        <f t="shared" si="6012"/>
        <v>0</v>
      </c>
      <c r="K8223" s="1" t="str">
        <f t="shared" si="6013"/>
        <v>103</v>
      </c>
      <c r="L8223" s="1" t="str">
        <f t="shared" si="6014"/>
        <v>47</v>
      </c>
      <c r="M8223" s="1" t="str">
        <f t="shared" si="6016"/>
        <v>0</v>
      </c>
      <c r="N8223" s="1" t="str">
        <f t="shared" si="6017"/>
        <v>0</v>
      </c>
      <c r="O8223" s="1" t="str">
        <f>"26.04"</f>
        <v>26.04</v>
      </c>
    </row>
    <row r="8224" s="1" customFormat="1" spans="1:15">
      <c r="A8224" s="1" t="str">
        <f t="shared" si="6018"/>
        <v>202406</v>
      </c>
      <c r="B8224" s="1" t="str">
        <f t="shared" si="6019"/>
        <v>150525100</v>
      </c>
      <c r="C8224" s="1" t="str">
        <f>"1040648149"</f>
        <v>1040648149</v>
      </c>
      <c r="D8224" s="1" t="str">
        <f>"152326195608140421"</f>
        <v>152326195608140421</v>
      </c>
      <c r="E8224" s="1" t="s">
        <v>7844</v>
      </c>
      <c r="F8224" s="1" t="s">
        <v>16</v>
      </c>
      <c r="G8224" s="1" t="s">
        <v>17</v>
      </c>
      <c r="H8224" s="1" t="str">
        <f>"68"</f>
        <v>68</v>
      </c>
      <c r="I8224" s="1" t="str">
        <f>"155.43"</f>
        <v>155.43</v>
      </c>
      <c r="J8224" s="1" t="str">
        <f t="shared" si="6012"/>
        <v>0</v>
      </c>
      <c r="K8224" s="1" t="str">
        <f t="shared" si="6013"/>
        <v>103</v>
      </c>
      <c r="L8224" s="1" t="str">
        <f t="shared" si="6014"/>
        <v>47</v>
      </c>
      <c r="M8224" s="1" t="str">
        <f t="shared" si="6016"/>
        <v>0</v>
      </c>
      <c r="N8224" s="1" t="str">
        <f t="shared" si="6017"/>
        <v>0</v>
      </c>
      <c r="O8224" s="1" t="str">
        <f>"5.43"</f>
        <v>5.43</v>
      </c>
    </row>
    <row r="8225" s="1" customFormat="1" spans="1:15">
      <c r="A8225" s="1" t="str">
        <f t="shared" si="6018"/>
        <v>202406</v>
      </c>
      <c r="B8225" s="1" t="str">
        <f t="shared" si="6019"/>
        <v>150525100</v>
      </c>
      <c r="C8225" s="1" t="str">
        <f>"1040687806"</f>
        <v>1040687806</v>
      </c>
      <c r="D8225" s="1" t="str">
        <f>"152326196104200421"</f>
        <v>152326196104200421</v>
      </c>
      <c r="E8225" s="1" t="s">
        <v>7845</v>
      </c>
      <c r="F8225" s="1" t="s">
        <v>16</v>
      </c>
      <c r="G8225" s="1" t="s">
        <v>17</v>
      </c>
      <c r="H8225" s="1" t="str">
        <f>"63"</f>
        <v>63</v>
      </c>
      <c r="I8225" s="1" t="str">
        <f>"159.92"</f>
        <v>159.92</v>
      </c>
      <c r="J8225" s="1" t="str">
        <f t="shared" si="6012"/>
        <v>0</v>
      </c>
      <c r="K8225" s="1" t="str">
        <f t="shared" si="6013"/>
        <v>103</v>
      </c>
      <c r="L8225" s="1" t="str">
        <f t="shared" si="6014"/>
        <v>47</v>
      </c>
      <c r="M8225" s="1" t="str">
        <f t="shared" si="6016"/>
        <v>0</v>
      </c>
      <c r="N8225" s="1" t="str">
        <f t="shared" si="6017"/>
        <v>0</v>
      </c>
      <c r="O8225" s="1" t="str">
        <f>"9.92"</f>
        <v>9.92</v>
      </c>
    </row>
    <row r="8226" s="1" customFormat="1" spans="1:15">
      <c r="A8226" s="1" t="str">
        <f t="shared" si="6018"/>
        <v>202406</v>
      </c>
      <c r="B8226" s="1" t="str">
        <f t="shared" si="6019"/>
        <v>150525100</v>
      </c>
      <c r="C8226" s="1" t="str">
        <f>"1040648181"</f>
        <v>1040648181</v>
      </c>
      <c r="D8226" s="1" t="str">
        <f>"152326196009060424"</f>
        <v>152326196009060424</v>
      </c>
      <c r="E8226" s="1" t="s">
        <v>7846</v>
      </c>
      <c r="F8226" s="1" t="s">
        <v>16</v>
      </c>
      <c r="G8226" s="1" t="s">
        <v>19</v>
      </c>
      <c r="H8226" s="1" t="str">
        <f>"64"</f>
        <v>64</v>
      </c>
      <c r="I8226" s="1" t="str">
        <f>"158.63"</f>
        <v>158.63</v>
      </c>
      <c r="J8226" s="1" t="str">
        <f t="shared" si="6012"/>
        <v>0</v>
      </c>
      <c r="K8226" s="1" t="str">
        <f t="shared" si="6013"/>
        <v>103</v>
      </c>
      <c r="L8226" s="1" t="str">
        <f t="shared" si="6014"/>
        <v>47</v>
      </c>
      <c r="M8226" s="1" t="str">
        <f t="shared" si="6016"/>
        <v>0</v>
      </c>
      <c r="N8226" s="1" t="str">
        <f t="shared" si="6017"/>
        <v>0</v>
      </c>
      <c r="O8226" s="1" t="str">
        <f>"8.63"</f>
        <v>8.63</v>
      </c>
    </row>
    <row r="8227" s="1" customFormat="1" spans="1:15">
      <c r="A8227" s="1" t="str">
        <f t="shared" si="6018"/>
        <v>202406</v>
      </c>
      <c r="B8227" s="1" t="str">
        <f t="shared" si="6019"/>
        <v>150525100</v>
      </c>
      <c r="C8227" s="1" t="str">
        <f>"1040687833"</f>
        <v>1040687833</v>
      </c>
      <c r="D8227" s="1" t="str">
        <f>"152326196310303835"</f>
        <v>152326196310303835</v>
      </c>
      <c r="E8227" s="1" t="s">
        <v>7847</v>
      </c>
      <c r="F8227" s="1" t="s">
        <v>25</v>
      </c>
      <c r="G8227" s="1" t="s">
        <v>19</v>
      </c>
      <c r="H8227" s="1" t="str">
        <f>"61"</f>
        <v>61</v>
      </c>
      <c r="I8227" s="1" t="str">
        <f>"163.35"</f>
        <v>163.35</v>
      </c>
      <c r="J8227" s="1" t="str">
        <f t="shared" si="6012"/>
        <v>0</v>
      </c>
      <c r="K8227" s="1" t="str">
        <f t="shared" si="6013"/>
        <v>103</v>
      </c>
      <c r="L8227" s="1" t="str">
        <f t="shared" si="6014"/>
        <v>47</v>
      </c>
      <c r="M8227" s="1" t="str">
        <f t="shared" si="6016"/>
        <v>0</v>
      </c>
      <c r="N8227" s="1" t="str">
        <f t="shared" si="6017"/>
        <v>0</v>
      </c>
      <c r="O8227" s="1" t="str">
        <f>"13.35"</f>
        <v>13.35</v>
      </c>
    </row>
    <row r="8228" s="1" customFormat="1" spans="1:15">
      <c r="A8228" s="1" t="str">
        <f t="shared" si="6018"/>
        <v>202406</v>
      </c>
      <c r="B8228" s="1" t="str">
        <f t="shared" si="6019"/>
        <v>150525100</v>
      </c>
      <c r="C8228" s="1" t="str">
        <f>"1040687834"</f>
        <v>1040687834</v>
      </c>
      <c r="D8228" s="1" t="str">
        <f>"152326195808213824"</f>
        <v>152326195808213824</v>
      </c>
      <c r="E8228" s="1" t="s">
        <v>7848</v>
      </c>
      <c r="F8228" s="1" t="s">
        <v>16</v>
      </c>
      <c r="G8228" s="1" t="s">
        <v>17</v>
      </c>
      <c r="H8228" s="1" t="str">
        <f>"66"</f>
        <v>66</v>
      </c>
      <c r="I8228" s="1" t="str">
        <f>"156.2"</f>
        <v>156.2</v>
      </c>
      <c r="J8228" s="1" t="str">
        <f t="shared" si="6012"/>
        <v>0</v>
      </c>
      <c r="K8228" s="1" t="str">
        <f t="shared" si="6013"/>
        <v>103</v>
      </c>
      <c r="L8228" s="1" t="str">
        <f t="shared" si="6014"/>
        <v>47</v>
      </c>
      <c r="M8228" s="1" t="str">
        <f t="shared" si="6016"/>
        <v>0</v>
      </c>
      <c r="N8228" s="1" t="str">
        <f t="shared" si="6017"/>
        <v>0</v>
      </c>
      <c r="O8228" s="1" t="str">
        <f>"6.2"</f>
        <v>6.2</v>
      </c>
    </row>
    <row r="8229" s="1" customFormat="1" spans="1:15">
      <c r="A8229" s="1" t="str">
        <f t="shared" si="6018"/>
        <v>202406</v>
      </c>
      <c r="B8229" s="1" t="str">
        <f t="shared" si="6019"/>
        <v>150525100</v>
      </c>
      <c r="C8229" s="1" t="str">
        <f>"1040687856"</f>
        <v>1040687856</v>
      </c>
      <c r="D8229" s="1" t="str">
        <f>"152326196211250424"</f>
        <v>152326196211250424</v>
      </c>
      <c r="E8229" s="1" t="s">
        <v>7849</v>
      </c>
      <c r="F8229" s="1" t="s">
        <v>16</v>
      </c>
      <c r="G8229" s="1" t="s">
        <v>17</v>
      </c>
      <c r="H8229" s="1" t="str">
        <f t="shared" ref="H8229:H8232" si="6025">"62"</f>
        <v>62</v>
      </c>
      <c r="I8229" s="1" t="str">
        <f>"981.84"</f>
        <v>981.84</v>
      </c>
      <c r="J8229" s="1" t="str">
        <f>"818.2"</f>
        <v>818.2</v>
      </c>
      <c r="K8229" s="1" t="str">
        <f>"618"</f>
        <v>618</v>
      </c>
      <c r="L8229" s="1" t="str">
        <f>"282"</f>
        <v>282</v>
      </c>
      <c r="M8229" s="1" t="str">
        <f t="shared" si="6016"/>
        <v>0</v>
      </c>
      <c r="N8229" s="1" t="str">
        <f t="shared" si="6017"/>
        <v>0</v>
      </c>
      <c r="O8229" s="1" t="str">
        <f>"81.84"</f>
        <v>81.84</v>
      </c>
    </row>
    <row r="8230" s="1" customFormat="1" spans="1:15">
      <c r="A8230" s="1" t="str">
        <f t="shared" si="6018"/>
        <v>202406</v>
      </c>
      <c r="B8230" s="1" t="str">
        <f t="shared" si="6019"/>
        <v>150525100</v>
      </c>
      <c r="C8230" s="1" t="str">
        <f>"1040653693"</f>
        <v>1040653693</v>
      </c>
      <c r="D8230" s="1" t="str">
        <f>"152326196006243073"</f>
        <v>152326196006243073</v>
      </c>
      <c r="E8230" s="1" t="s">
        <v>7850</v>
      </c>
      <c r="F8230" s="1" t="s">
        <v>25</v>
      </c>
      <c r="G8230" s="1" t="s">
        <v>19</v>
      </c>
      <c r="H8230" s="1" t="str">
        <f>"64"</f>
        <v>64</v>
      </c>
      <c r="I8230" s="1" t="str">
        <f>"158.85"</f>
        <v>158.85</v>
      </c>
      <c r="J8230" s="1" t="str">
        <f t="shared" ref="J8230:J8269" si="6026">"0"</f>
        <v>0</v>
      </c>
      <c r="K8230" s="1" t="str">
        <f t="shared" ref="K8230:K8269" si="6027">"103"</f>
        <v>103</v>
      </c>
      <c r="L8230" s="1" t="str">
        <f t="shared" ref="L8230:L8269" si="6028">"47"</f>
        <v>47</v>
      </c>
      <c r="M8230" s="1" t="str">
        <f t="shared" si="6016"/>
        <v>0</v>
      </c>
      <c r="N8230" s="1" t="str">
        <f t="shared" si="6017"/>
        <v>0</v>
      </c>
      <c r="O8230" s="1" t="str">
        <f>"8.85"</f>
        <v>8.85</v>
      </c>
    </row>
    <row r="8231" s="1" customFormat="1" spans="1:15">
      <c r="A8231" s="1" t="str">
        <f t="shared" si="6018"/>
        <v>202406</v>
      </c>
      <c r="B8231" s="1" t="str">
        <f t="shared" si="6019"/>
        <v>150525100</v>
      </c>
      <c r="C8231" s="1" t="str">
        <f>"1040653694"</f>
        <v>1040653694</v>
      </c>
      <c r="D8231" s="1" t="str">
        <f>"152326196205203082"</f>
        <v>152326196205203082</v>
      </c>
      <c r="E8231" s="1" t="s">
        <v>820</v>
      </c>
      <c r="F8231" s="1" t="s">
        <v>16</v>
      </c>
      <c r="G8231" s="1" t="s">
        <v>19</v>
      </c>
      <c r="H8231" s="1" t="str">
        <f t="shared" si="6025"/>
        <v>62</v>
      </c>
      <c r="I8231" s="1" t="str">
        <f>"162.62"</f>
        <v>162.62</v>
      </c>
      <c r="J8231" s="1" t="str">
        <f t="shared" si="6026"/>
        <v>0</v>
      </c>
      <c r="K8231" s="1" t="str">
        <f t="shared" si="6027"/>
        <v>103</v>
      </c>
      <c r="L8231" s="1" t="str">
        <f t="shared" si="6028"/>
        <v>47</v>
      </c>
      <c r="M8231" s="1" t="str">
        <f t="shared" si="6016"/>
        <v>0</v>
      </c>
      <c r="N8231" s="1" t="str">
        <f t="shared" si="6017"/>
        <v>0</v>
      </c>
      <c r="O8231" s="1" t="str">
        <f>"12.62"</f>
        <v>12.62</v>
      </c>
    </row>
    <row r="8232" s="1" customFormat="1" spans="1:15">
      <c r="A8232" s="1" t="str">
        <f t="shared" si="6018"/>
        <v>202406</v>
      </c>
      <c r="B8232" s="1" t="str">
        <f t="shared" si="6019"/>
        <v>150525100</v>
      </c>
      <c r="C8232" s="1" t="str">
        <f>"1040687928"</f>
        <v>1040687928</v>
      </c>
      <c r="D8232" s="1" t="str">
        <f>"152326196207103317"</f>
        <v>152326196207103317</v>
      </c>
      <c r="E8232" s="1" t="s">
        <v>7851</v>
      </c>
      <c r="F8232" s="1" t="s">
        <v>25</v>
      </c>
      <c r="G8232" s="1" t="s">
        <v>17</v>
      </c>
      <c r="H8232" s="1" t="str">
        <f t="shared" si="6025"/>
        <v>62</v>
      </c>
      <c r="I8232" s="1" t="str">
        <f>"162.09"</f>
        <v>162.09</v>
      </c>
      <c r="J8232" s="1" t="str">
        <f t="shared" si="6026"/>
        <v>0</v>
      </c>
      <c r="K8232" s="1" t="str">
        <f t="shared" si="6027"/>
        <v>103</v>
      </c>
      <c r="L8232" s="1" t="str">
        <f t="shared" si="6028"/>
        <v>47</v>
      </c>
      <c r="M8232" s="1" t="str">
        <f t="shared" si="6016"/>
        <v>0</v>
      </c>
      <c r="N8232" s="1" t="str">
        <f t="shared" si="6017"/>
        <v>0</v>
      </c>
      <c r="O8232" s="1" t="str">
        <f>"12.09"</f>
        <v>12.09</v>
      </c>
    </row>
    <row r="8233" s="1" customFormat="1" spans="1:15">
      <c r="A8233" s="1" t="str">
        <f t="shared" si="6018"/>
        <v>202406</v>
      </c>
      <c r="B8233" s="1" t="str">
        <f t="shared" si="6019"/>
        <v>150525100</v>
      </c>
      <c r="C8233" s="1" t="str">
        <f>"1040687932"</f>
        <v>1040687932</v>
      </c>
      <c r="D8233" s="1" t="str">
        <f>"152326195708203311"</f>
        <v>152326195708203311</v>
      </c>
      <c r="E8233" s="1" t="s">
        <v>7852</v>
      </c>
      <c r="F8233" s="1" t="s">
        <v>25</v>
      </c>
      <c r="G8233" s="1" t="s">
        <v>17</v>
      </c>
      <c r="H8233" s="1" t="str">
        <f>"67"</f>
        <v>67</v>
      </c>
      <c r="I8233" s="1" t="str">
        <f>"155.18"</f>
        <v>155.18</v>
      </c>
      <c r="J8233" s="1" t="str">
        <f t="shared" si="6026"/>
        <v>0</v>
      </c>
      <c r="K8233" s="1" t="str">
        <f t="shared" si="6027"/>
        <v>103</v>
      </c>
      <c r="L8233" s="1" t="str">
        <f t="shared" si="6028"/>
        <v>47</v>
      </c>
      <c r="M8233" s="1" t="str">
        <f t="shared" si="6016"/>
        <v>0</v>
      </c>
      <c r="N8233" s="1" t="str">
        <f t="shared" si="6017"/>
        <v>0</v>
      </c>
      <c r="O8233" s="1" t="str">
        <f>"5.18"</f>
        <v>5.18</v>
      </c>
    </row>
    <row r="8234" s="1" customFormat="1" spans="1:15">
      <c r="A8234" s="1" t="str">
        <f t="shared" si="6018"/>
        <v>202406</v>
      </c>
      <c r="B8234" s="1" t="str">
        <f t="shared" si="6019"/>
        <v>150525100</v>
      </c>
      <c r="C8234" s="1" t="str">
        <f>"1040688126"</f>
        <v>1040688126</v>
      </c>
      <c r="D8234" s="1" t="str">
        <f>"152326195411200443"</f>
        <v>152326195411200443</v>
      </c>
      <c r="E8234" s="1" t="s">
        <v>1613</v>
      </c>
      <c r="F8234" s="1" t="s">
        <v>16</v>
      </c>
      <c r="G8234" s="1" t="s">
        <v>17</v>
      </c>
      <c r="H8234" s="1" t="str">
        <f>"70"</f>
        <v>70</v>
      </c>
      <c r="I8234" s="1" t="str">
        <f>"153.25"</f>
        <v>153.25</v>
      </c>
      <c r="J8234" s="1" t="str">
        <f t="shared" si="6026"/>
        <v>0</v>
      </c>
      <c r="K8234" s="1" t="str">
        <f t="shared" si="6027"/>
        <v>103</v>
      </c>
      <c r="L8234" s="1" t="str">
        <f t="shared" si="6028"/>
        <v>47</v>
      </c>
      <c r="M8234" s="1" t="str">
        <f t="shared" si="6016"/>
        <v>0</v>
      </c>
      <c r="N8234" s="1" t="str">
        <f t="shared" si="6017"/>
        <v>0</v>
      </c>
      <c r="O8234" s="1" t="str">
        <f>"3.25"</f>
        <v>3.25</v>
      </c>
    </row>
    <row r="8235" s="1" customFormat="1" spans="1:15">
      <c r="A8235" s="1" t="str">
        <f t="shared" si="6018"/>
        <v>202406</v>
      </c>
      <c r="B8235" s="1" t="str">
        <f t="shared" si="6019"/>
        <v>150525100</v>
      </c>
      <c r="C8235" s="1" t="str">
        <f>"1040688128"</f>
        <v>1040688128</v>
      </c>
      <c r="D8235" s="1" t="s">
        <v>7853</v>
      </c>
      <c r="E8235" s="1" t="s">
        <v>7854</v>
      </c>
      <c r="F8235" s="1" t="s">
        <v>16</v>
      </c>
      <c r="G8235" s="1" t="s">
        <v>17</v>
      </c>
      <c r="H8235" s="1" t="str">
        <f>"71"</f>
        <v>71</v>
      </c>
      <c r="I8235" s="1" t="str">
        <f>"162.26"</f>
        <v>162.26</v>
      </c>
      <c r="J8235" s="1" t="str">
        <f t="shared" si="6026"/>
        <v>0</v>
      </c>
      <c r="K8235" s="1" t="str">
        <f t="shared" si="6027"/>
        <v>103</v>
      </c>
      <c r="L8235" s="1" t="str">
        <f t="shared" si="6028"/>
        <v>47</v>
      </c>
      <c r="M8235" s="1" t="str">
        <f t="shared" si="6016"/>
        <v>0</v>
      </c>
      <c r="N8235" s="1" t="str">
        <f t="shared" si="6017"/>
        <v>0</v>
      </c>
      <c r="O8235" s="1" t="str">
        <f>"2.26"</f>
        <v>2.26</v>
      </c>
    </row>
    <row r="8236" s="1" customFormat="1" spans="1:15">
      <c r="A8236" s="1" t="str">
        <f t="shared" si="6018"/>
        <v>202406</v>
      </c>
      <c r="B8236" s="1" t="str">
        <f t="shared" si="6019"/>
        <v>150525100</v>
      </c>
      <c r="C8236" s="1" t="str">
        <f>"1040688162"</f>
        <v>1040688162</v>
      </c>
      <c r="D8236" s="1" t="str">
        <f>"152326195610080456"</f>
        <v>152326195610080456</v>
      </c>
      <c r="E8236" s="1" t="s">
        <v>7855</v>
      </c>
      <c r="F8236" s="1" t="s">
        <v>25</v>
      </c>
      <c r="G8236" s="1" t="s">
        <v>17</v>
      </c>
      <c r="H8236" s="1" t="str">
        <f>"68"</f>
        <v>68</v>
      </c>
      <c r="I8236" s="1" t="str">
        <f>"164.26"</f>
        <v>164.26</v>
      </c>
      <c r="J8236" s="1" t="str">
        <f t="shared" si="6026"/>
        <v>0</v>
      </c>
      <c r="K8236" s="1" t="str">
        <f t="shared" si="6027"/>
        <v>103</v>
      </c>
      <c r="L8236" s="1" t="str">
        <f t="shared" si="6028"/>
        <v>47</v>
      </c>
      <c r="M8236" s="1" t="str">
        <f t="shared" si="6016"/>
        <v>0</v>
      </c>
      <c r="N8236" s="1" t="str">
        <f t="shared" si="6017"/>
        <v>0</v>
      </c>
      <c r="O8236" s="1" t="str">
        <f>"14.26"</f>
        <v>14.26</v>
      </c>
    </row>
    <row r="8237" s="1" customFormat="1" spans="1:15">
      <c r="A8237" s="1" t="str">
        <f t="shared" si="6018"/>
        <v>202406</v>
      </c>
      <c r="B8237" s="1" t="str">
        <f t="shared" si="6019"/>
        <v>150525100</v>
      </c>
      <c r="C8237" s="1" t="str">
        <f>"1040688164"</f>
        <v>1040688164</v>
      </c>
      <c r="D8237" s="1" t="str">
        <f>"152326196005250415"</f>
        <v>152326196005250415</v>
      </c>
      <c r="E8237" s="1" t="s">
        <v>7856</v>
      </c>
      <c r="F8237" s="1" t="s">
        <v>25</v>
      </c>
      <c r="G8237" s="1" t="s">
        <v>17</v>
      </c>
      <c r="H8237" s="1" t="str">
        <f>"64"</f>
        <v>64</v>
      </c>
      <c r="I8237" s="1" t="str">
        <f>"158.27"</f>
        <v>158.27</v>
      </c>
      <c r="J8237" s="1" t="str">
        <f t="shared" si="6026"/>
        <v>0</v>
      </c>
      <c r="K8237" s="1" t="str">
        <f t="shared" si="6027"/>
        <v>103</v>
      </c>
      <c r="L8237" s="1" t="str">
        <f t="shared" si="6028"/>
        <v>47</v>
      </c>
      <c r="M8237" s="1" t="str">
        <f t="shared" si="6016"/>
        <v>0</v>
      </c>
      <c r="N8237" s="1" t="str">
        <f t="shared" si="6017"/>
        <v>0</v>
      </c>
      <c r="O8237" s="1" t="str">
        <f>"8.27"</f>
        <v>8.27</v>
      </c>
    </row>
    <row r="8238" s="1" customFormat="1" spans="1:15">
      <c r="A8238" s="1" t="str">
        <f t="shared" si="6018"/>
        <v>202406</v>
      </c>
      <c r="B8238" s="1" t="str">
        <f t="shared" si="6019"/>
        <v>150525100</v>
      </c>
      <c r="C8238" s="1" t="str">
        <f>"1040688181"</f>
        <v>1040688181</v>
      </c>
      <c r="D8238" s="1" t="s">
        <v>7857</v>
      </c>
      <c r="E8238" s="1" t="s">
        <v>7858</v>
      </c>
      <c r="F8238" s="1" t="s">
        <v>16</v>
      </c>
      <c r="G8238" s="1" t="s">
        <v>17</v>
      </c>
      <c r="H8238" s="1" t="str">
        <f>"61"</f>
        <v>61</v>
      </c>
      <c r="I8238" s="1" t="str">
        <f>"166.64"</f>
        <v>166.64</v>
      </c>
      <c r="J8238" s="1" t="str">
        <f t="shared" si="6026"/>
        <v>0</v>
      </c>
      <c r="K8238" s="1" t="str">
        <f t="shared" si="6027"/>
        <v>103</v>
      </c>
      <c r="L8238" s="1" t="str">
        <f t="shared" si="6028"/>
        <v>47</v>
      </c>
      <c r="M8238" s="1" t="str">
        <f t="shared" si="6016"/>
        <v>0</v>
      </c>
      <c r="N8238" s="1" t="str">
        <f t="shared" si="6017"/>
        <v>0</v>
      </c>
      <c r="O8238" s="1" t="str">
        <f>"16.64"</f>
        <v>16.64</v>
      </c>
    </row>
    <row r="8239" s="1" customFormat="1" spans="1:15">
      <c r="A8239" s="1" t="str">
        <f t="shared" si="6018"/>
        <v>202406</v>
      </c>
      <c r="B8239" s="1" t="str">
        <f t="shared" si="6019"/>
        <v>150525100</v>
      </c>
      <c r="C8239" s="1" t="str">
        <f>"1040688206"</f>
        <v>1040688206</v>
      </c>
      <c r="D8239" s="1" t="str">
        <f>"152326196301050012"</f>
        <v>152326196301050012</v>
      </c>
      <c r="E8239" s="1" t="s">
        <v>7859</v>
      </c>
      <c r="F8239" s="1" t="s">
        <v>25</v>
      </c>
      <c r="G8239" s="1" t="s">
        <v>17</v>
      </c>
      <c r="H8239" s="1" t="str">
        <f t="shared" ref="H8239:H8243" si="6029">"62"</f>
        <v>62</v>
      </c>
      <c r="I8239" s="1" t="str">
        <f>"269.6"</f>
        <v>269.6</v>
      </c>
      <c r="J8239" s="1" t="str">
        <f t="shared" si="6026"/>
        <v>0</v>
      </c>
      <c r="K8239" s="1" t="str">
        <f t="shared" si="6027"/>
        <v>103</v>
      </c>
      <c r="L8239" s="1" t="str">
        <f t="shared" si="6028"/>
        <v>47</v>
      </c>
      <c r="M8239" s="1" t="str">
        <f t="shared" si="6016"/>
        <v>0</v>
      </c>
      <c r="N8239" s="1" t="str">
        <f t="shared" si="6017"/>
        <v>0</v>
      </c>
      <c r="O8239" s="1" t="str">
        <f>"119.6"</f>
        <v>119.6</v>
      </c>
    </row>
    <row r="8240" s="1" customFormat="1" spans="1:15">
      <c r="A8240" s="1" t="str">
        <f t="shared" si="6018"/>
        <v>202406</v>
      </c>
      <c r="B8240" s="1" t="str">
        <f t="shared" si="6019"/>
        <v>150525100</v>
      </c>
      <c r="C8240" s="1" t="str">
        <f>"1040688208"</f>
        <v>1040688208</v>
      </c>
      <c r="D8240" s="1" t="str">
        <f>"152326196210220063"</f>
        <v>152326196210220063</v>
      </c>
      <c r="E8240" s="1" t="s">
        <v>940</v>
      </c>
      <c r="F8240" s="1" t="s">
        <v>16</v>
      </c>
      <c r="G8240" s="1" t="s">
        <v>19</v>
      </c>
      <c r="H8240" s="1" t="str">
        <f t="shared" si="6029"/>
        <v>62</v>
      </c>
      <c r="I8240" s="1" t="str">
        <f>"208.31"</f>
        <v>208.31</v>
      </c>
      <c r="J8240" s="1" t="str">
        <f t="shared" si="6026"/>
        <v>0</v>
      </c>
      <c r="K8240" s="1" t="str">
        <f t="shared" si="6027"/>
        <v>103</v>
      </c>
      <c r="L8240" s="1" t="str">
        <f t="shared" si="6028"/>
        <v>47</v>
      </c>
      <c r="M8240" s="1" t="str">
        <f t="shared" si="6016"/>
        <v>0</v>
      </c>
      <c r="N8240" s="1" t="str">
        <f t="shared" si="6017"/>
        <v>0</v>
      </c>
      <c r="O8240" s="1" t="str">
        <f>"58.31"</f>
        <v>58.31</v>
      </c>
    </row>
    <row r="8241" s="1" customFormat="1" spans="1:15">
      <c r="A8241" s="1" t="str">
        <f t="shared" si="6018"/>
        <v>202406</v>
      </c>
      <c r="B8241" s="1" t="str">
        <f t="shared" si="6019"/>
        <v>150525100</v>
      </c>
      <c r="C8241" s="1" t="str">
        <f>"1040935332"</f>
        <v>1040935332</v>
      </c>
      <c r="D8241" s="1" t="s">
        <v>7860</v>
      </c>
      <c r="E8241" s="1" t="s">
        <v>7861</v>
      </c>
      <c r="F8241" s="1" t="s">
        <v>25</v>
      </c>
      <c r="G8241" s="1" t="s">
        <v>17</v>
      </c>
      <c r="H8241" s="1" t="str">
        <f t="shared" ref="H8241:H8244" si="6030">"67"</f>
        <v>67</v>
      </c>
      <c r="I8241" s="1" t="str">
        <f>"154.79"</f>
        <v>154.79</v>
      </c>
      <c r="J8241" s="1" t="str">
        <f t="shared" si="6026"/>
        <v>0</v>
      </c>
      <c r="K8241" s="1" t="str">
        <f t="shared" si="6027"/>
        <v>103</v>
      </c>
      <c r="L8241" s="1" t="str">
        <f t="shared" si="6028"/>
        <v>47</v>
      </c>
      <c r="M8241" s="1" t="str">
        <f t="shared" si="6016"/>
        <v>0</v>
      </c>
      <c r="N8241" s="1" t="str">
        <f t="shared" si="6017"/>
        <v>0</v>
      </c>
      <c r="O8241" s="1" t="str">
        <f>"4.79"</f>
        <v>4.79</v>
      </c>
    </row>
    <row r="8242" s="1" customFormat="1" spans="1:15">
      <c r="A8242" s="1" t="str">
        <f t="shared" si="6018"/>
        <v>202406</v>
      </c>
      <c r="B8242" s="1" t="str">
        <f t="shared" si="6019"/>
        <v>150525100</v>
      </c>
      <c r="C8242" s="1" t="str">
        <f>"1040935333"</f>
        <v>1040935333</v>
      </c>
      <c r="D8242" s="1" t="str">
        <f>"152326195707270459"</f>
        <v>152326195707270459</v>
      </c>
      <c r="E8242" s="1" t="s">
        <v>7862</v>
      </c>
      <c r="F8242" s="1" t="s">
        <v>25</v>
      </c>
      <c r="G8242" s="1" t="s">
        <v>17</v>
      </c>
      <c r="H8242" s="1" t="str">
        <f t="shared" si="6030"/>
        <v>67</v>
      </c>
      <c r="I8242" s="1" t="str">
        <f>"174.07"</f>
        <v>174.07</v>
      </c>
      <c r="J8242" s="1" t="str">
        <f t="shared" si="6026"/>
        <v>0</v>
      </c>
      <c r="K8242" s="1" t="str">
        <f t="shared" si="6027"/>
        <v>103</v>
      </c>
      <c r="L8242" s="1" t="str">
        <f t="shared" si="6028"/>
        <v>47</v>
      </c>
      <c r="M8242" s="1" t="str">
        <f t="shared" si="6016"/>
        <v>0</v>
      </c>
      <c r="N8242" s="1" t="str">
        <f t="shared" si="6017"/>
        <v>0</v>
      </c>
      <c r="O8242" s="1" t="str">
        <f>"24.07"</f>
        <v>24.07</v>
      </c>
    </row>
    <row r="8243" s="1" customFormat="1" spans="1:15">
      <c r="A8243" s="1" t="str">
        <f t="shared" si="6018"/>
        <v>202406</v>
      </c>
      <c r="B8243" s="1" t="str">
        <f t="shared" si="6019"/>
        <v>150525100</v>
      </c>
      <c r="C8243" s="1" t="str">
        <f>"1040935371"</f>
        <v>1040935371</v>
      </c>
      <c r="D8243" s="1" t="str">
        <f>"150525196204256118"</f>
        <v>150525196204256118</v>
      </c>
      <c r="E8243" s="1" t="s">
        <v>7863</v>
      </c>
      <c r="F8243" s="1" t="s">
        <v>25</v>
      </c>
      <c r="G8243" s="1" t="s">
        <v>17</v>
      </c>
      <c r="H8243" s="1" t="str">
        <f t="shared" si="6029"/>
        <v>62</v>
      </c>
      <c r="I8243" s="1" t="str">
        <f>"222.03"</f>
        <v>222.03</v>
      </c>
      <c r="J8243" s="1" t="str">
        <f t="shared" si="6026"/>
        <v>0</v>
      </c>
      <c r="K8243" s="1" t="str">
        <f t="shared" si="6027"/>
        <v>103</v>
      </c>
      <c r="L8243" s="1" t="str">
        <f t="shared" si="6028"/>
        <v>47</v>
      </c>
      <c r="M8243" s="1" t="str">
        <f t="shared" si="6016"/>
        <v>0</v>
      </c>
      <c r="N8243" s="1" t="str">
        <f t="shared" si="6017"/>
        <v>0</v>
      </c>
      <c r="O8243" s="1" t="str">
        <f>"72.03"</f>
        <v>72.03</v>
      </c>
    </row>
    <row r="8244" s="1" customFormat="1" spans="1:15">
      <c r="A8244" s="1" t="str">
        <f t="shared" si="6018"/>
        <v>202406</v>
      </c>
      <c r="B8244" s="1" t="str">
        <f t="shared" si="6019"/>
        <v>150525100</v>
      </c>
      <c r="C8244" s="1" t="str">
        <f>"1040935382"</f>
        <v>1040935382</v>
      </c>
      <c r="D8244" s="1" t="str">
        <f>"152326195708060023"</f>
        <v>152326195708060023</v>
      </c>
      <c r="E8244" s="1" t="s">
        <v>5477</v>
      </c>
      <c r="F8244" s="1" t="s">
        <v>16</v>
      </c>
      <c r="G8244" s="1" t="s">
        <v>17</v>
      </c>
      <c r="H8244" s="1" t="str">
        <f t="shared" si="6030"/>
        <v>67</v>
      </c>
      <c r="I8244" s="1" t="str">
        <f>"155.49"</f>
        <v>155.49</v>
      </c>
      <c r="J8244" s="1" t="str">
        <f t="shared" si="6026"/>
        <v>0</v>
      </c>
      <c r="K8244" s="1" t="str">
        <f t="shared" si="6027"/>
        <v>103</v>
      </c>
      <c r="L8244" s="1" t="str">
        <f t="shared" si="6028"/>
        <v>47</v>
      </c>
      <c r="M8244" s="1" t="str">
        <f t="shared" si="6016"/>
        <v>0</v>
      </c>
      <c r="N8244" s="1" t="str">
        <f t="shared" si="6017"/>
        <v>0</v>
      </c>
      <c r="O8244" s="1" t="str">
        <f>"5.49"</f>
        <v>5.49</v>
      </c>
    </row>
    <row r="8245" s="1" customFormat="1" spans="1:15">
      <c r="A8245" s="1" t="str">
        <f t="shared" si="6018"/>
        <v>202406</v>
      </c>
      <c r="B8245" s="1" t="str">
        <f t="shared" si="6019"/>
        <v>150525100</v>
      </c>
      <c r="C8245" s="1" t="str">
        <f>"1040877273"</f>
        <v>1040877273</v>
      </c>
      <c r="D8245" s="1" t="str">
        <f>"152326195510103075"</f>
        <v>152326195510103075</v>
      </c>
      <c r="E8245" s="1" t="s">
        <v>7864</v>
      </c>
      <c r="F8245" s="1" t="s">
        <v>25</v>
      </c>
      <c r="G8245" s="1" t="s">
        <v>17</v>
      </c>
      <c r="H8245" s="1" t="str">
        <f>"69"</f>
        <v>69</v>
      </c>
      <c r="I8245" s="1" t="str">
        <f>"166.63"</f>
        <v>166.63</v>
      </c>
      <c r="J8245" s="1" t="str">
        <f t="shared" si="6026"/>
        <v>0</v>
      </c>
      <c r="K8245" s="1" t="str">
        <f t="shared" si="6027"/>
        <v>103</v>
      </c>
      <c r="L8245" s="1" t="str">
        <f t="shared" si="6028"/>
        <v>47</v>
      </c>
      <c r="M8245" s="1" t="str">
        <f t="shared" si="6016"/>
        <v>0</v>
      </c>
      <c r="N8245" s="1" t="str">
        <f t="shared" si="6017"/>
        <v>0</v>
      </c>
      <c r="O8245" s="1" t="str">
        <f>"16.63"</f>
        <v>16.63</v>
      </c>
    </row>
    <row r="8246" s="1" customFormat="1" spans="1:15">
      <c r="A8246" s="1" t="str">
        <f t="shared" si="6018"/>
        <v>202406</v>
      </c>
      <c r="B8246" s="1" t="str">
        <f t="shared" si="6019"/>
        <v>150525100</v>
      </c>
      <c r="C8246" s="1" t="str">
        <f>"1040935397"</f>
        <v>1040935397</v>
      </c>
      <c r="D8246" s="1" t="str">
        <f>"152326195911190026"</f>
        <v>152326195911190026</v>
      </c>
      <c r="E8246" s="1" t="s">
        <v>522</v>
      </c>
      <c r="F8246" s="1" t="s">
        <v>16</v>
      </c>
      <c r="G8246" s="1" t="s">
        <v>17</v>
      </c>
      <c r="H8246" s="1" t="str">
        <f>"65"</f>
        <v>65</v>
      </c>
      <c r="I8246" s="1" t="str">
        <f>"157.59"</f>
        <v>157.59</v>
      </c>
      <c r="J8246" s="1" t="str">
        <f t="shared" si="6026"/>
        <v>0</v>
      </c>
      <c r="K8246" s="1" t="str">
        <f t="shared" si="6027"/>
        <v>103</v>
      </c>
      <c r="L8246" s="1" t="str">
        <f t="shared" si="6028"/>
        <v>47</v>
      </c>
      <c r="M8246" s="1" t="str">
        <f t="shared" si="6016"/>
        <v>0</v>
      </c>
      <c r="N8246" s="1" t="str">
        <f t="shared" si="6017"/>
        <v>0</v>
      </c>
      <c r="O8246" s="1" t="str">
        <f>"7.59"</f>
        <v>7.59</v>
      </c>
    </row>
    <row r="8247" s="1" customFormat="1" spans="1:15">
      <c r="A8247" s="1" t="str">
        <f t="shared" si="6018"/>
        <v>202406</v>
      </c>
      <c r="B8247" s="1" t="str">
        <f t="shared" si="6019"/>
        <v>150525100</v>
      </c>
      <c r="C8247" s="1" t="str">
        <f>"1040906649"</f>
        <v>1040906649</v>
      </c>
      <c r="D8247" s="1" t="str">
        <f>"152326195708083321"</f>
        <v>152326195708083321</v>
      </c>
      <c r="E8247" s="1" t="s">
        <v>765</v>
      </c>
      <c r="F8247" s="1" t="s">
        <v>16</v>
      </c>
      <c r="G8247" s="1" t="s">
        <v>17</v>
      </c>
      <c r="H8247" s="1" t="str">
        <f>"67"</f>
        <v>67</v>
      </c>
      <c r="I8247" s="1" t="str">
        <f>"154.32"</f>
        <v>154.32</v>
      </c>
      <c r="J8247" s="1" t="str">
        <f t="shared" si="6026"/>
        <v>0</v>
      </c>
      <c r="K8247" s="1" t="str">
        <f t="shared" si="6027"/>
        <v>103</v>
      </c>
      <c r="L8247" s="1" t="str">
        <f t="shared" si="6028"/>
        <v>47</v>
      </c>
      <c r="M8247" s="1" t="str">
        <f t="shared" si="6016"/>
        <v>0</v>
      </c>
      <c r="N8247" s="1" t="str">
        <f t="shared" si="6017"/>
        <v>0</v>
      </c>
      <c r="O8247" s="1" t="str">
        <f>"4.32"</f>
        <v>4.32</v>
      </c>
    </row>
    <row r="8248" s="1" customFormat="1" spans="1:15">
      <c r="A8248" s="1" t="str">
        <f t="shared" si="6018"/>
        <v>202406</v>
      </c>
      <c r="B8248" s="1" t="str">
        <f t="shared" si="6019"/>
        <v>150525100</v>
      </c>
      <c r="C8248" s="1" t="str">
        <f>"1040929632"</f>
        <v>1040929632</v>
      </c>
      <c r="D8248" s="1" t="str">
        <f>"152326196112243325"</f>
        <v>152326196112243325</v>
      </c>
      <c r="E8248" s="1" t="s">
        <v>7865</v>
      </c>
      <c r="F8248" s="1" t="s">
        <v>16</v>
      </c>
      <c r="G8248" s="1" t="s">
        <v>17</v>
      </c>
      <c r="H8248" s="1" t="str">
        <f>"63"</f>
        <v>63</v>
      </c>
      <c r="I8248" s="1" t="str">
        <f>"159.27"</f>
        <v>159.27</v>
      </c>
      <c r="J8248" s="1" t="str">
        <f t="shared" si="6026"/>
        <v>0</v>
      </c>
      <c r="K8248" s="1" t="str">
        <f t="shared" si="6027"/>
        <v>103</v>
      </c>
      <c r="L8248" s="1" t="str">
        <f t="shared" si="6028"/>
        <v>47</v>
      </c>
      <c r="M8248" s="1" t="str">
        <f t="shared" si="6016"/>
        <v>0</v>
      </c>
      <c r="N8248" s="1" t="str">
        <f t="shared" si="6017"/>
        <v>0</v>
      </c>
      <c r="O8248" s="1" t="str">
        <f>"9.27"</f>
        <v>9.27</v>
      </c>
    </row>
    <row r="8249" s="1" customFormat="1" spans="1:15">
      <c r="A8249" s="1" t="str">
        <f t="shared" si="6018"/>
        <v>202406</v>
      </c>
      <c r="B8249" s="1" t="str">
        <f t="shared" si="6019"/>
        <v>150525100</v>
      </c>
      <c r="C8249" s="1" t="str">
        <f>"1040924273"</f>
        <v>1040924273</v>
      </c>
      <c r="D8249" s="1" t="str">
        <f>"152326195903183328"</f>
        <v>152326195903183328</v>
      </c>
      <c r="E8249" s="1" t="s">
        <v>7866</v>
      </c>
      <c r="F8249" s="1" t="s">
        <v>16</v>
      </c>
      <c r="G8249" s="1" t="s">
        <v>19</v>
      </c>
      <c r="H8249" s="1" t="str">
        <f>"65"</f>
        <v>65</v>
      </c>
      <c r="I8249" s="1" t="str">
        <f>"156.31"</f>
        <v>156.31</v>
      </c>
      <c r="J8249" s="1" t="str">
        <f t="shared" si="6026"/>
        <v>0</v>
      </c>
      <c r="K8249" s="1" t="str">
        <f t="shared" si="6027"/>
        <v>103</v>
      </c>
      <c r="L8249" s="1" t="str">
        <f t="shared" si="6028"/>
        <v>47</v>
      </c>
      <c r="M8249" s="1" t="str">
        <f t="shared" si="6016"/>
        <v>0</v>
      </c>
      <c r="N8249" s="1" t="str">
        <f t="shared" si="6017"/>
        <v>0</v>
      </c>
      <c r="O8249" s="1" t="str">
        <f>"6.31"</f>
        <v>6.31</v>
      </c>
    </row>
    <row r="8250" s="1" customFormat="1" spans="1:15">
      <c r="A8250" s="1" t="str">
        <f t="shared" si="6018"/>
        <v>202406</v>
      </c>
      <c r="B8250" s="1" t="str">
        <f t="shared" si="6019"/>
        <v>150525100</v>
      </c>
      <c r="C8250" s="1" t="str">
        <f>"1040924281"</f>
        <v>1040924281</v>
      </c>
      <c r="D8250" s="1" t="s">
        <v>7867</v>
      </c>
      <c r="E8250" s="1" t="s">
        <v>7868</v>
      </c>
      <c r="F8250" s="1" t="s">
        <v>16</v>
      </c>
      <c r="G8250" s="1" t="s">
        <v>19</v>
      </c>
      <c r="H8250" s="1" t="str">
        <f>"64"</f>
        <v>64</v>
      </c>
      <c r="I8250" s="1" t="str">
        <f>"171.05"</f>
        <v>171.05</v>
      </c>
      <c r="J8250" s="1" t="str">
        <f t="shared" si="6026"/>
        <v>0</v>
      </c>
      <c r="K8250" s="1" t="str">
        <f t="shared" si="6027"/>
        <v>103</v>
      </c>
      <c r="L8250" s="1" t="str">
        <f t="shared" si="6028"/>
        <v>47</v>
      </c>
      <c r="M8250" s="1" t="str">
        <f t="shared" si="6016"/>
        <v>0</v>
      </c>
      <c r="N8250" s="1" t="str">
        <f t="shared" si="6017"/>
        <v>0</v>
      </c>
      <c r="O8250" s="1" t="str">
        <f>"21.05"</f>
        <v>21.05</v>
      </c>
    </row>
    <row r="8251" s="1" customFormat="1" spans="1:15">
      <c r="A8251" s="1" t="str">
        <f t="shared" si="6018"/>
        <v>202406</v>
      </c>
      <c r="B8251" s="1" t="str">
        <f t="shared" si="6019"/>
        <v>150525100</v>
      </c>
      <c r="C8251" s="1" t="str">
        <f>"1040941621"</f>
        <v>1040941621</v>
      </c>
      <c r="D8251" s="1" t="str">
        <f>"152326196002203322"</f>
        <v>152326196002203322</v>
      </c>
      <c r="E8251" s="1" t="s">
        <v>7869</v>
      </c>
      <c r="F8251" s="1" t="s">
        <v>16</v>
      </c>
      <c r="G8251" s="1" t="s">
        <v>17</v>
      </c>
      <c r="H8251" s="1" t="str">
        <f>"64"</f>
        <v>64</v>
      </c>
      <c r="I8251" s="1" t="str">
        <f>"164.13"</f>
        <v>164.13</v>
      </c>
      <c r="J8251" s="1" t="str">
        <f t="shared" si="6026"/>
        <v>0</v>
      </c>
      <c r="K8251" s="1" t="str">
        <f t="shared" si="6027"/>
        <v>103</v>
      </c>
      <c r="L8251" s="1" t="str">
        <f t="shared" si="6028"/>
        <v>47</v>
      </c>
      <c r="M8251" s="1" t="str">
        <f t="shared" si="6016"/>
        <v>0</v>
      </c>
      <c r="N8251" s="1" t="str">
        <f t="shared" si="6017"/>
        <v>0</v>
      </c>
      <c r="O8251" s="1" t="str">
        <f>"14.13"</f>
        <v>14.13</v>
      </c>
    </row>
    <row r="8252" s="1" customFormat="1" spans="1:15">
      <c r="A8252" s="1" t="str">
        <f t="shared" si="6018"/>
        <v>202406</v>
      </c>
      <c r="B8252" s="1" t="str">
        <f t="shared" si="6019"/>
        <v>150525100</v>
      </c>
      <c r="C8252" s="1" t="str">
        <f>"1040927772"</f>
        <v>1040927772</v>
      </c>
      <c r="D8252" s="1" t="str">
        <f>"152326195708113076"</f>
        <v>152326195708113076</v>
      </c>
      <c r="E8252" s="1" t="s">
        <v>7870</v>
      </c>
      <c r="F8252" s="1" t="s">
        <v>25</v>
      </c>
      <c r="G8252" s="1" t="s">
        <v>19</v>
      </c>
      <c r="H8252" s="1" t="str">
        <f>"67"</f>
        <v>67</v>
      </c>
      <c r="I8252" s="1" t="str">
        <f>"154.32"</f>
        <v>154.32</v>
      </c>
      <c r="J8252" s="1" t="str">
        <f t="shared" si="6026"/>
        <v>0</v>
      </c>
      <c r="K8252" s="1" t="str">
        <f t="shared" si="6027"/>
        <v>103</v>
      </c>
      <c r="L8252" s="1" t="str">
        <f t="shared" si="6028"/>
        <v>47</v>
      </c>
      <c r="M8252" s="1" t="str">
        <f t="shared" si="6016"/>
        <v>0</v>
      </c>
      <c r="N8252" s="1" t="str">
        <f t="shared" si="6017"/>
        <v>0</v>
      </c>
      <c r="O8252" s="1" t="str">
        <f>"4.32"</f>
        <v>4.32</v>
      </c>
    </row>
    <row r="8253" s="1" customFormat="1" spans="1:15">
      <c r="A8253" s="1" t="str">
        <f t="shared" si="6018"/>
        <v>202406</v>
      </c>
      <c r="B8253" s="1" t="str">
        <f t="shared" si="6019"/>
        <v>150525100</v>
      </c>
      <c r="C8253" s="1" t="str">
        <f>"1040912944"</f>
        <v>1040912944</v>
      </c>
      <c r="D8253" s="1" t="str">
        <f>"152326195801283811"</f>
        <v>152326195801283811</v>
      </c>
      <c r="E8253" s="1" t="s">
        <v>7871</v>
      </c>
      <c r="F8253" s="1" t="s">
        <v>25</v>
      </c>
      <c r="G8253" s="1" t="s">
        <v>19</v>
      </c>
      <c r="H8253" s="1" t="str">
        <f>"66"</f>
        <v>66</v>
      </c>
      <c r="I8253" s="1" t="str">
        <f>"155.28"</f>
        <v>155.28</v>
      </c>
      <c r="J8253" s="1" t="str">
        <f t="shared" si="6026"/>
        <v>0</v>
      </c>
      <c r="K8253" s="1" t="str">
        <f t="shared" si="6027"/>
        <v>103</v>
      </c>
      <c r="L8253" s="1" t="str">
        <f t="shared" si="6028"/>
        <v>47</v>
      </c>
      <c r="M8253" s="1" t="str">
        <f t="shared" si="6016"/>
        <v>0</v>
      </c>
      <c r="N8253" s="1" t="str">
        <f t="shared" si="6017"/>
        <v>0</v>
      </c>
      <c r="O8253" s="1" t="str">
        <f>"5.28"</f>
        <v>5.28</v>
      </c>
    </row>
    <row r="8254" s="1" customFormat="1" spans="1:15">
      <c r="A8254" s="1" t="str">
        <f t="shared" si="6018"/>
        <v>202406</v>
      </c>
      <c r="B8254" s="1" t="str">
        <f t="shared" si="6019"/>
        <v>150525100</v>
      </c>
      <c r="C8254" s="1" t="str">
        <f>"1040940223"</f>
        <v>1040940223</v>
      </c>
      <c r="D8254" s="1" t="s">
        <v>7872</v>
      </c>
      <c r="E8254" s="1" t="s">
        <v>7873</v>
      </c>
      <c r="F8254" s="1" t="s">
        <v>16</v>
      </c>
      <c r="G8254" s="1" t="s">
        <v>17</v>
      </c>
      <c r="H8254" s="1" t="str">
        <f t="shared" ref="H8254:H8260" si="6031">"62"</f>
        <v>62</v>
      </c>
      <c r="I8254" s="1" t="str">
        <f>"161.24"</f>
        <v>161.24</v>
      </c>
      <c r="J8254" s="1" t="str">
        <f t="shared" si="6026"/>
        <v>0</v>
      </c>
      <c r="K8254" s="1" t="str">
        <f t="shared" si="6027"/>
        <v>103</v>
      </c>
      <c r="L8254" s="1" t="str">
        <f t="shared" si="6028"/>
        <v>47</v>
      </c>
      <c r="M8254" s="1" t="str">
        <f t="shared" ref="M8254:M8317" si="6032">"0"</f>
        <v>0</v>
      </c>
      <c r="N8254" s="1" t="str">
        <f t="shared" si="6017"/>
        <v>0</v>
      </c>
      <c r="O8254" s="1" t="str">
        <f>"11.24"</f>
        <v>11.24</v>
      </c>
    </row>
    <row r="8255" s="1" customFormat="1" spans="1:15">
      <c r="A8255" s="1" t="str">
        <f t="shared" si="6018"/>
        <v>202406</v>
      </c>
      <c r="B8255" s="1" t="str">
        <f t="shared" si="6019"/>
        <v>150525100</v>
      </c>
      <c r="C8255" s="1" t="str">
        <f>"1040906894"</f>
        <v>1040906894</v>
      </c>
      <c r="D8255" s="1" t="str">
        <f>"152326196206243318"</f>
        <v>152326196206243318</v>
      </c>
      <c r="E8255" s="1" t="s">
        <v>7874</v>
      </c>
      <c r="F8255" s="1" t="s">
        <v>25</v>
      </c>
      <c r="G8255" s="1" t="s">
        <v>96</v>
      </c>
      <c r="H8255" s="1" t="str">
        <f t="shared" si="6031"/>
        <v>62</v>
      </c>
      <c r="I8255" s="1" t="str">
        <f>"161.12"</f>
        <v>161.12</v>
      </c>
      <c r="J8255" s="1" t="str">
        <f t="shared" si="6026"/>
        <v>0</v>
      </c>
      <c r="K8255" s="1" t="str">
        <f t="shared" si="6027"/>
        <v>103</v>
      </c>
      <c r="L8255" s="1" t="str">
        <f t="shared" si="6028"/>
        <v>47</v>
      </c>
      <c r="M8255" s="1" t="str">
        <f t="shared" si="6032"/>
        <v>0</v>
      </c>
      <c r="N8255" s="1" t="str">
        <f t="shared" ref="N8255:N8318" si="6033">"0"</f>
        <v>0</v>
      </c>
      <c r="O8255" s="1" t="str">
        <f>"11.12"</f>
        <v>11.12</v>
      </c>
    </row>
    <row r="8256" s="1" customFormat="1" spans="1:15">
      <c r="A8256" s="1" t="str">
        <f t="shared" si="6018"/>
        <v>202406</v>
      </c>
      <c r="B8256" s="1" t="str">
        <f t="shared" si="6019"/>
        <v>150525100</v>
      </c>
      <c r="C8256" s="1" t="str">
        <f>"1040929640"</f>
        <v>1040929640</v>
      </c>
      <c r="D8256" s="1" t="str">
        <f>"152326196005253325"</f>
        <v>152326196005253325</v>
      </c>
      <c r="E8256" s="1" t="s">
        <v>940</v>
      </c>
      <c r="F8256" s="1" t="s">
        <v>16</v>
      </c>
      <c r="G8256" s="1" t="s">
        <v>17</v>
      </c>
      <c r="H8256" s="1" t="str">
        <f>"64"</f>
        <v>64</v>
      </c>
      <c r="I8256" s="1" t="str">
        <f>"157.36"</f>
        <v>157.36</v>
      </c>
      <c r="J8256" s="1" t="str">
        <f t="shared" si="6026"/>
        <v>0</v>
      </c>
      <c r="K8256" s="1" t="str">
        <f t="shared" si="6027"/>
        <v>103</v>
      </c>
      <c r="L8256" s="1" t="str">
        <f t="shared" si="6028"/>
        <v>47</v>
      </c>
      <c r="M8256" s="1" t="str">
        <f t="shared" si="6032"/>
        <v>0</v>
      </c>
      <c r="N8256" s="1" t="str">
        <f t="shared" si="6033"/>
        <v>0</v>
      </c>
      <c r="O8256" s="1" t="str">
        <f>"7.36"</f>
        <v>7.36</v>
      </c>
    </row>
    <row r="8257" s="1" customFormat="1" spans="1:15">
      <c r="A8257" s="1" t="str">
        <f t="shared" si="6018"/>
        <v>202406</v>
      </c>
      <c r="B8257" s="1" t="str">
        <f t="shared" si="6019"/>
        <v>150525100</v>
      </c>
      <c r="C8257" s="1" t="str">
        <f>"1040978902"</f>
        <v>1040978902</v>
      </c>
      <c r="D8257" s="1" t="str">
        <f>"152326195910123075"</f>
        <v>152326195910123075</v>
      </c>
      <c r="E8257" s="1" t="s">
        <v>7875</v>
      </c>
      <c r="F8257" s="1" t="s">
        <v>25</v>
      </c>
      <c r="G8257" s="1" t="s">
        <v>17</v>
      </c>
      <c r="H8257" s="1" t="str">
        <f>"65"</f>
        <v>65</v>
      </c>
      <c r="I8257" s="1" t="str">
        <f>"156.37"</f>
        <v>156.37</v>
      </c>
      <c r="J8257" s="1" t="str">
        <f t="shared" si="6026"/>
        <v>0</v>
      </c>
      <c r="K8257" s="1" t="str">
        <f t="shared" si="6027"/>
        <v>103</v>
      </c>
      <c r="L8257" s="1" t="str">
        <f t="shared" si="6028"/>
        <v>47</v>
      </c>
      <c r="M8257" s="1" t="str">
        <f t="shared" si="6032"/>
        <v>0</v>
      </c>
      <c r="N8257" s="1" t="str">
        <f t="shared" si="6033"/>
        <v>0</v>
      </c>
      <c r="O8257" s="1" t="str">
        <f>"6.37"</f>
        <v>6.37</v>
      </c>
    </row>
    <row r="8258" s="1" customFormat="1" spans="1:15">
      <c r="A8258" s="1" t="str">
        <f t="shared" ref="A8258:A8321" si="6034">"202406"</f>
        <v>202406</v>
      </c>
      <c r="B8258" s="1" t="str">
        <f t="shared" ref="B8258:B8321" si="6035">"150525100"</f>
        <v>150525100</v>
      </c>
      <c r="C8258" s="1" t="str">
        <f>"1040990900"</f>
        <v>1040990900</v>
      </c>
      <c r="D8258" s="1" t="str">
        <f>"152326196209040698"</f>
        <v>152326196209040698</v>
      </c>
      <c r="E8258" s="1" t="s">
        <v>7876</v>
      </c>
      <c r="F8258" s="1" t="s">
        <v>25</v>
      </c>
      <c r="G8258" s="1" t="s">
        <v>17</v>
      </c>
      <c r="H8258" s="1" t="str">
        <f t="shared" si="6031"/>
        <v>62</v>
      </c>
      <c r="I8258" s="1" t="str">
        <f>"161.18"</f>
        <v>161.18</v>
      </c>
      <c r="J8258" s="1" t="str">
        <f t="shared" si="6026"/>
        <v>0</v>
      </c>
      <c r="K8258" s="1" t="str">
        <f t="shared" si="6027"/>
        <v>103</v>
      </c>
      <c r="L8258" s="1" t="str">
        <f t="shared" si="6028"/>
        <v>47</v>
      </c>
      <c r="M8258" s="1" t="str">
        <f t="shared" si="6032"/>
        <v>0</v>
      </c>
      <c r="N8258" s="1" t="str">
        <f t="shared" si="6033"/>
        <v>0</v>
      </c>
      <c r="O8258" s="1" t="str">
        <f>"11.18"</f>
        <v>11.18</v>
      </c>
    </row>
    <row r="8259" s="1" customFormat="1" spans="1:15">
      <c r="A8259" s="1" t="str">
        <f t="shared" si="6034"/>
        <v>202406</v>
      </c>
      <c r="B8259" s="1" t="str">
        <f t="shared" si="6035"/>
        <v>150525100</v>
      </c>
      <c r="C8259" s="1" t="str">
        <f>"1040980953"</f>
        <v>1040980953</v>
      </c>
      <c r="D8259" s="1" t="str">
        <f>"152326196301033087"</f>
        <v>152326196301033087</v>
      </c>
      <c r="E8259" s="1" t="s">
        <v>5025</v>
      </c>
      <c r="F8259" s="1" t="s">
        <v>16</v>
      </c>
      <c r="G8259" s="1" t="s">
        <v>17</v>
      </c>
      <c r="H8259" s="1" t="str">
        <f t="shared" si="6031"/>
        <v>62</v>
      </c>
      <c r="I8259" s="1" t="str">
        <f>"162.97"</f>
        <v>162.97</v>
      </c>
      <c r="J8259" s="1" t="str">
        <f t="shared" si="6026"/>
        <v>0</v>
      </c>
      <c r="K8259" s="1" t="str">
        <f t="shared" si="6027"/>
        <v>103</v>
      </c>
      <c r="L8259" s="1" t="str">
        <f t="shared" si="6028"/>
        <v>47</v>
      </c>
      <c r="M8259" s="1" t="str">
        <f t="shared" si="6032"/>
        <v>0</v>
      </c>
      <c r="N8259" s="1" t="str">
        <f t="shared" si="6033"/>
        <v>0</v>
      </c>
      <c r="O8259" s="1" t="str">
        <f>"12.97"</f>
        <v>12.97</v>
      </c>
    </row>
    <row r="8260" s="1" customFormat="1" spans="1:15">
      <c r="A8260" s="1" t="str">
        <f t="shared" si="6034"/>
        <v>202406</v>
      </c>
      <c r="B8260" s="1" t="str">
        <f t="shared" si="6035"/>
        <v>150525100</v>
      </c>
      <c r="C8260" s="1" t="str">
        <f>"1040991440"</f>
        <v>1040991440</v>
      </c>
      <c r="D8260" s="1" t="str">
        <f>"152326196211130414"</f>
        <v>152326196211130414</v>
      </c>
      <c r="E8260" s="1" t="s">
        <v>7877</v>
      </c>
      <c r="F8260" s="1" t="s">
        <v>25</v>
      </c>
      <c r="G8260" s="1" t="s">
        <v>17</v>
      </c>
      <c r="H8260" s="1" t="str">
        <f t="shared" si="6031"/>
        <v>62</v>
      </c>
      <c r="I8260" s="1" t="str">
        <f>"161.24"</f>
        <v>161.24</v>
      </c>
      <c r="J8260" s="1" t="str">
        <f t="shared" si="6026"/>
        <v>0</v>
      </c>
      <c r="K8260" s="1" t="str">
        <f t="shared" si="6027"/>
        <v>103</v>
      </c>
      <c r="L8260" s="1" t="str">
        <f t="shared" si="6028"/>
        <v>47</v>
      </c>
      <c r="M8260" s="1" t="str">
        <f t="shared" si="6032"/>
        <v>0</v>
      </c>
      <c r="N8260" s="1" t="str">
        <f t="shared" si="6033"/>
        <v>0</v>
      </c>
      <c r="O8260" s="1" t="str">
        <f>"11.24"</f>
        <v>11.24</v>
      </c>
    </row>
    <row r="8261" s="1" customFormat="1" spans="1:15">
      <c r="A8261" s="1" t="str">
        <f t="shared" si="6034"/>
        <v>202406</v>
      </c>
      <c r="B8261" s="1" t="str">
        <f t="shared" si="6035"/>
        <v>150525100</v>
      </c>
      <c r="C8261" s="1" t="str">
        <f>"1041077749"</f>
        <v>1041077749</v>
      </c>
      <c r="D8261" s="1" t="str">
        <f>"152326196012103317"</f>
        <v>152326196012103317</v>
      </c>
      <c r="E8261" s="1" t="s">
        <v>7878</v>
      </c>
      <c r="F8261" s="1" t="s">
        <v>25</v>
      </c>
      <c r="G8261" s="1" t="s">
        <v>17</v>
      </c>
      <c r="H8261" s="1" t="str">
        <f>"64"</f>
        <v>64</v>
      </c>
      <c r="I8261" s="1" t="str">
        <f>"157.08"</f>
        <v>157.08</v>
      </c>
      <c r="J8261" s="1" t="str">
        <f t="shared" si="6026"/>
        <v>0</v>
      </c>
      <c r="K8261" s="1" t="str">
        <f t="shared" si="6027"/>
        <v>103</v>
      </c>
      <c r="L8261" s="1" t="str">
        <f t="shared" si="6028"/>
        <v>47</v>
      </c>
      <c r="M8261" s="1" t="str">
        <f t="shared" si="6032"/>
        <v>0</v>
      </c>
      <c r="N8261" s="1" t="str">
        <f t="shared" si="6033"/>
        <v>0</v>
      </c>
      <c r="O8261" s="1" t="str">
        <f>"7.08"</f>
        <v>7.08</v>
      </c>
    </row>
    <row r="8262" s="1" customFormat="1" spans="1:15">
      <c r="A8262" s="1" t="str">
        <f t="shared" si="6034"/>
        <v>202406</v>
      </c>
      <c r="B8262" s="1" t="str">
        <f t="shared" si="6035"/>
        <v>150525100</v>
      </c>
      <c r="C8262" s="1" t="str">
        <f>"1040980945"</f>
        <v>1040980945</v>
      </c>
      <c r="D8262" s="1" t="str">
        <f>"152326195612174843"</f>
        <v>152326195612174843</v>
      </c>
      <c r="E8262" s="1" t="s">
        <v>1764</v>
      </c>
      <c r="F8262" s="1" t="s">
        <v>16</v>
      </c>
      <c r="G8262" s="1" t="s">
        <v>17</v>
      </c>
      <c r="H8262" s="1" t="str">
        <f>"68"</f>
        <v>68</v>
      </c>
      <c r="I8262" s="1" t="str">
        <f>"154.32"</f>
        <v>154.32</v>
      </c>
      <c r="J8262" s="1" t="str">
        <f t="shared" si="6026"/>
        <v>0</v>
      </c>
      <c r="K8262" s="1" t="str">
        <f t="shared" si="6027"/>
        <v>103</v>
      </c>
      <c r="L8262" s="1" t="str">
        <f t="shared" si="6028"/>
        <v>47</v>
      </c>
      <c r="M8262" s="1" t="str">
        <f t="shared" si="6032"/>
        <v>0</v>
      </c>
      <c r="N8262" s="1" t="str">
        <f t="shared" si="6033"/>
        <v>0</v>
      </c>
      <c r="O8262" s="1" t="str">
        <f>"4.32"</f>
        <v>4.32</v>
      </c>
    </row>
    <row r="8263" s="1" customFormat="1" spans="1:15">
      <c r="A8263" s="1" t="str">
        <f t="shared" si="6034"/>
        <v>202406</v>
      </c>
      <c r="B8263" s="1" t="str">
        <f t="shared" si="6035"/>
        <v>150525100</v>
      </c>
      <c r="C8263" s="1" t="str">
        <f>"1040989090"</f>
        <v>1040989090</v>
      </c>
      <c r="D8263" s="1" t="str">
        <f>"152326196212180683"</f>
        <v>152326196212180683</v>
      </c>
      <c r="E8263" s="1" t="s">
        <v>7879</v>
      </c>
      <c r="F8263" s="1" t="s">
        <v>16</v>
      </c>
      <c r="G8263" s="1" t="s">
        <v>17</v>
      </c>
      <c r="H8263" s="1" t="str">
        <f>"62"</f>
        <v>62</v>
      </c>
      <c r="I8263" s="1" t="str">
        <f>"161.25"</f>
        <v>161.25</v>
      </c>
      <c r="J8263" s="1" t="str">
        <f t="shared" si="6026"/>
        <v>0</v>
      </c>
      <c r="K8263" s="1" t="str">
        <f t="shared" si="6027"/>
        <v>103</v>
      </c>
      <c r="L8263" s="1" t="str">
        <f t="shared" si="6028"/>
        <v>47</v>
      </c>
      <c r="M8263" s="1" t="str">
        <f t="shared" si="6032"/>
        <v>0</v>
      </c>
      <c r="N8263" s="1" t="str">
        <f t="shared" si="6033"/>
        <v>0</v>
      </c>
      <c r="O8263" s="1" t="str">
        <f>"11.25"</f>
        <v>11.25</v>
      </c>
    </row>
    <row r="8264" s="1" customFormat="1" spans="1:15">
      <c r="A8264" s="1" t="str">
        <f t="shared" si="6034"/>
        <v>202406</v>
      </c>
      <c r="B8264" s="1" t="str">
        <f t="shared" si="6035"/>
        <v>150525100</v>
      </c>
      <c r="C8264" s="1" t="str">
        <f>"1040832524"</f>
        <v>1040832524</v>
      </c>
      <c r="D8264" s="1" t="str">
        <f>"152326194810010028"</f>
        <v>152326194810010028</v>
      </c>
      <c r="E8264" s="1" t="s">
        <v>7880</v>
      </c>
      <c r="F8264" s="1" t="s">
        <v>16</v>
      </c>
      <c r="G8264" s="1" t="s">
        <v>17</v>
      </c>
      <c r="H8264" s="1" t="str">
        <f>"76"</f>
        <v>76</v>
      </c>
      <c r="I8264" s="1" t="str">
        <f t="shared" ref="I8264:I8266" si="6036">"160"</f>
        <v>160</v>
      </c>
      <c r="J8264" s="1" t="str">
        <f t="shared" si="6026"/>
        <v>0</v>
      </c>
      <c r="K8264" s="1" t="str">
        <f t="shared" si="6027"/>
        <v>103</v>
      </c>
      <c r="L8264" s="1" t="str">
        <f t="shared" si="6028"/>
        <v>47</v>
      </c>
      <c r="M8264" s="1" t="str">
        <f t="shared" si="6032"/>
        <v>0</v>
      </c>
      <c r="N8264" s="1" t="str">
        <f t="shared" si="6033"/>
        <v>0</v>
      </c>
      <c r="O8264" s="1" t="str">
        <f t="shared" ref="O8264:O8268" si="6037">"0"</f>
        <v>0</v>
      </c>
    </row>
    <row r="8265" s="1" customFormat="1" spans="1:15">
      <c r="A8265" s="1" t="str">
        <f t="shared" si="6034"/>
        <v>202406</v>
      </c>
      <c r="B8265" s="1" t="str">
        <f t="shared" si="6035"/>
        <v>150525100</v>
      </c>
      <c r="C8265" s="1" t="str">
        <f>"1040832538"</f>
        <v>1040832538</v>
      </c>
      <c r="D8265" s="1" t="str">
        <f>"152321195102100367"</f>
        <v>152321195102100367</v>
      </c>
      <c r="E8265" s="1" t="s">
        <v>7881</v>
      </c>
      <c r="F8265" s="1" t="s">
        <v>16</v>
      </c>
      <c r="G8265" s="1" t="s">
        <v>17</v>
      </c>
      <c r="H8265" s="1" t="str">
        <f>"73"</f>
        <v>73</v>
      </c>
      <c r="I8265" s="1" t="str">
        <f t="shared" si="6036"/>
        <v>160</v>
      </c>
      <c r="J8265" s="1" t="str">
        <f t="shared" si="6026"/>
        <v>0</v>
      </c>
      <c r="K8265" s="1" t="str">
        <f t="shared" si="6027"/>
        <v>103</v>
      </c>
      <c r="L8265" s="1" t="str">
        <f t="shared" si="6028"/>
        <v>47</v>
      </c>
      <c r="M8265" s="1" t="str">
        <f t="shared" si="6032"/>
        <v>0</v>
      </c>
      <c r="N8265" s="1" t="str">
        <f t="shared" si="6033"/>
        <v>0</v>
      </c>
      <c r="O8265" s="1" t="str">
        <f t="shared" si="6037"/>
        <v>0</v>
      </c>
    </row>
    <row r="8266" s="1" customFormat="1" spans="1:15">
      <c r="A8266" s="1" t="str">
        <f t="shared" si="6034"/>
        <v>202406</v>
      </c>
      <c r="B8266" s="1" t="str">
        <f t="shared" si="6035"/>
        <v>150525100</v>
      </c>
      <c r="C8266" s="1" t="str">
        <f>"1040832546"</f>
        <v>1040832546</v>
      </c>
      <c r="D8266" s="1" t="s">
        <v>7882</v>
      </c>
      <c r="E8266" s="1" t="s">
        <v>2406</v>
      </c>
      <c r="F8266" s="1" t="s">
        <v>16</v>
      </c>
      <c r="G8266" s="1" t="s">
        <v>17</v>
      </c>
      <c r="H8266" s="1" t="str">
        <f>"77"</f>
        <v>77</v>
      </c>
      <c r="I8266" s="1" t="str">
        <f t="shared" si="6036"/>
        <v>160</v>
      </c>
      <c r="J8266" s="1" t="str">
        <f t="shared" si="6026"/>
        <v>0</v>
      </c>
      <c r="K8266" s="1" t="str">
        <f t="shared" si="6027"/>
        <v>103</v>
      </c>
      <c r="L8266" s="1" t="str">
        <f t="shared" si="6028"/>
        <v>47</v>
      </c>
      <c r="M8266" s="1" t="str">
        <f t="shared" si="6032"/>
        <v>0</v>
      </c>
      <c r="N8266" s="1" t="str">
        <f t="shared" si="6033"/>
        <v>0</v>
      </c>
      <c r="O8266" s="1" t="str">
        <f t="shared" si="6037"/>
        <v>0</v>
      </c>
    </row>
    <row r="8267" s="1" customFormat="1" spans="1:15">
      <c r="A8267" s="1" t="str">
        <f t="shared" si="6034"/>
        <v>202406</v>
      </c>
      <c r="B8267" s="1" t="str">
        <f t="shared" si="6035"/>
        <v>150525100</v>
      </c>
      <c r="C8267" s="1" t="str">
        <f>"1040832577"</f>
        <v>1040832577</v>
      </c>
      <c r="D8267" s="1" t="str">
        <f>"152326193107120028"</f>
        <v>152326193107120028</v>
      </c>
      <c r="E8267" s="1" t="s">
        <v>7883</v>
      </c>
      <c r="F8267" s="1" t="s">
        <v>16</v>
      </c>
      <c r="G8267" s="1" t="s">
        <v>17</v>
      </c>
      <c r="H8267" s="1" t="str">
        <f>"93"</f>
        <v>93</v>
      </c>
      <c r="I8267" s="1" t="str">
        <f t="shared" ref="I8267:I8273" si="6038">"170"</f>
        <v>170</v>
      </c>
      <c r="J8267" s="1" t="str">
        <f t="shared" si="6026"/>
        <v>0</v>
      </c>
      <c r="K8267" s="1" t="str">
        <f t="shared" si="6027"/>
        <v>103</v>
      </c>
      <c r="L8267" s="1" t="str">
        <f t="shared" si="6028"/>
        <v>47</v>
      </c>
      <c r="M8267" s="1" t="str">
        <f t="shared" si="6032"/>
        <v>0</v>
      </c>
      <c r="N8267" s="1" t="str">
        <f t="shared" si="6033"/>
        <v>0</v>
      </c>
      <c r="O8267" s="1" t="str">
        <f t="shared" si="6037"/>
        <v>0</v>
      </c>
    </row>
    <row r="8268" s="1" customFormat="1" spans="1:15">
      <c r="A8268" s="1" t="str">
        <f t="shared" si="6034"/>
        <v>202406</v>
      </c>
      <c r="B8268" s="1" t="str">
        <f t="shared" si="6035"/>
        <v>150525100</v>
      </c>
      <c r="C8268" s="1" t="str">
        <f>"1040832595"</f>
        <v>1040832595</v>
      </c>
      <c r="D8268" s="1" t="str">
        <f>"152326193411040049"</f>
        <v>152326193411040049</v>
      </c>
      <c r="E8268" s="1" t="s">
        <v>7884</v>
      </c>
      <c r="F8268" s="1" t="s">
        <v>16</v>
      </c>
      <c r="G8268" s="1" t="s">
        <v>17</v>
      </c>
      <c r="H8268" s="1" t="str">
        <f>"90"</f>
        <v>90</v>
      </c>
      <c r="I8268" s="1" t="str">
        <f t="shared" si="6038"/>
        <v>170</v>
      </c>
      <c r="J8268" s="1" t="str">
        <f t="shared" si="6026"/>
        <v>0</v>
      </c>
      <c r="K8268" s="1" t="str">
        <f t="shared" si="6027"/>
        <v>103</v>
      </c>
      <c r="L8268" s="1" t="str">
        <f t="shared" si="6028"/>
        <v>47</v>
      </c>
      <c r="M8268" s="1" t="str">
        <f t="shared" si="6032"/>
        <v>0</v>
      </c>
      <c r="N8268" s="1" t="str">
        <f t="shared" si="6033"/>
        <v>0</v>
      </c>
      <c r="O8268" s="1" t="str">
        <f t="shared" si="6037"/>
        <v>0</v>
      </c>
    </row>
    <row r="8269" s="1" customFormat="1" spans="1:15">
      <c r="A8269" s="1" t="str">
        <f t="shared" si="6034"/>
        <v>202406</v>
      </c>
      <c r="B8269" s="1" t="str">
        <f t="shared" si="6035"/>
        <v>150525100</v>
      </c>
      <c r="C8269" s="1" t="str">
        <f>"1040948649"</f>
        <v>1040948649</v>
      </c>
      <c r="D8269" s="1" t="str">
        <f>"152326196204203312"</f>
        <v>152326196204203312</v>
      </c>
      <c r="E8269" s="1" t="s">
        <v>7885</v>
      </c>
      <c r="F8269" s="1" t="s">
        <v>25</v>
      </c>
      <c r="G8269" s="1" t="s">
        <v>19</v>
      </c>
      <c r="H8269" s="1" t="str">
        <f>"62"</f>
        <v>62</v>
      </c>
      <c r="I8269" s="1" t="str">
        <f>"161.06"</f>
        <v>161.06</v>
      </c>
      <c r="J8269" s="1" t="str">
        <f t="shared" si="6026"/>
        <v>0</v>
      </c>
      <c r="K8269" s="1" t="str">
        <f t="shared" si="6027"/>
        <v>103</v>
      </c>
      <c r="L8269" s="1" t="str">
        <f t="shared" si="6028"/>
        <v>47</v>
      </c>
      <c r="M8269" s="1" t="str">
        <f t="shared" si="6032"/>
        <v>0</v>
      </c>
      <c r="N8269" s="1" t="str">
        <f t="shared" si="6033"/>
        <v>0</v>
      </c>
      <c r="O8269" s="1" t="str">
        <f>"11.06"</f>
        <v>11.06</v>
      </c>
    </row>
    <row r="8270" s="1" customFormat="1" spans="1:15">
      <c r="A8270" s="1" t="str">
        <f t="shared" si="6034"/>
        <v>202406</v>
      </c>
      <c r="B8270" s="1" t="str">
        <f t="shared" si="6035"/>
        <v>150525100</v>
      </c>
      <c r="C8270" s="1" t="str">
        <f>"1040832631"</f>
        <v>1040832631</v>
      </c>
      <c r="D8270" s="1" t="str">
        <f>"152326193902030021"</f>
        <v>152326193902030021</v>
      </c>
      <c r="E8270" s="1" t="s">
        <v>4559</v>
      </c>
      <c r="F8270" s="1" t="s">
        <v>16</v>
      </c>
      <c r="G8270" s="1" t="s">
        <v>17</v>
      </c>
      <c r="H8270" s="1" t="str">
        <f>"85"</f>
        <v>85</v>
      </c>
      <c r="I8270" s="1" t="str">
        <f>"2205"</f>
        <v>2205</v>
      </c>
      <c r="J8270" s="1" t="str">
        <f>"2035"</f>
        <v>2035</v>
      </c>
      <c r="K8270" s="1" t="str">
        <f>"1334"</f>
        <v>1334</v>
      </c>
      <c r="L8270" s="1" t="str">
        <f>"611"</f>
        <v>611</v>
      </c>
      <c r="M8270" s="1" t="str">
        <f t="shared" si="6032"/>
        <v>0</v>
      </c>
      <c r="N8270" s="1" t="str">
        <f t="shared" si="6033"/>
        <v>0</v>
      </c>
      <c r="O8270" s="1" t="str">
        <f t="shared" ref="O8270:O8278" si="6039">"0"</f>
        <v>0</v>
      </c>
    </row>
    <row r="8271" s="1" customFormat="1" spans="1:15">
      <c r="A8271" s="1" t="str">
        <f t="shared" si="6034"/>
        <v>202406</v>
      </c>
      <c r="B8271" s="1" t="str">
        <f t="shared" si="6035"/>
        <v>150525100</v>
      </c>
      <c r="C8271" s="1" t="str">
        <f>"1040832632"</f>
        <v>1040832632</v>
      </c>
      <c r="D8271" s="1" t="str">
        <f>"152326193903166617"</f>
        <v>152326193903166617</v>
      </c>
      <c r="E8271" s="1" t="s">
        <v>7886</v>
      </c>
      <c r="F8271" s="1" t="s">
        <v>25</v>
      </c>
      <c r="G8271" s="1" t="s">
        <v>17</v>
      </c>
      <c r="H8271" s="1" t="str">
        <f>"85"</f>
        <v>85</v>
      </c>
      <c r="I8271" s="1" t="str">
        <f t="shared" si="6038"/>
        <v>170</v>
      </c>
      <c r="J8271" s="1" t="str">
        <f t="shared" ref="J8271:J8298" si="6040">"0"</f>
        <v>0</v>
      </c>
      <c r="K8271" s="1" t="str">
        <f t="shared" ref="K8271:K8298" si="6041">"103"</f>
        <v>103</v>
      </c>
      <c r="L8271" s="1" t="str">
        <f t="shared" ref="L8271:L8298" si="6042">"47"</f>
        <v>47</v>
      </c>
      <c r="M8271" s="1" t="str">
        <f t="shared" si="6032"/>
        <v>0</v>
      </c>
      <c r="N8271" s="1" t="str">
        <f t="shared" si="6033"/>
        <v>0</v>
      </c>
      <c r="O8271" s="1" t="str">
        <f t="shared" si="6039"/>
        <v>0</v>
      </c>
    </row>
    <row r="8272" s="1" customFormat="1" spans="1:15">
      <c r="A8272" s="1" t="str">
        <f t="shared" si="6034"/>
        <v>202406</v>
      </c>
      <c r="B8272" s="1" t="str">
        <f t="shared" si="6035"/>
        <v>150525100</v>
      </c>
      <c r="C8272" s="1" t="str">
        <f>"1040832641"</f>
        <v>1040832641</v>
      </c>
      <c r="D8272" s="1" t="str">
        <f>"152326194105011746"</f>
        <v>152326194105011746</v>
      </c>
      <c r="E8272" s="1" t="s">
        <v>7416</v>
      </c>
      <c r="F8272" s="1" t="s">
        <v>16</v>
      </c>
      <c r="G8272" s="1" t="s">
        <v>17</v>
      </c>
      <c r="H8272" s="1" t="str">
        <f>"83"</f>
        <v>83</v>
      </c>
      <c r="I8272" s="1" t="str">
        <f t="shared" si="6038"/>
        <v>170</v>
      </c>
      <c r="J8272" s="1" t="str">
        <f t="shared" si="6040"/>
        <v>0</v>
      </c>
      <c r="K8272" s="1" t="str">
        <f t="shared" si="6041"/>
        <v>103</v>
      </c>
      <c r="L8272" s="1" t="str">
        <f t="shared" si="6042"/>
        <v>47</v>
      </c>
      <c r="M8272" s="1" t="str">
        <f t="shared" si="6032"/>
        <v>0</v>
      </c>
      <c r="N8272" s="1" t="str">
        <f t="shared" si="6033"/>
        <v>0</v>
      </c>
      <c r="O8272" s="1" t="str">
        <f t="shared" si="6039"/>
        <v>0</v>
      </c>
    </row>
    <row r="8273" s="1" customFormat="1" spans="1:15">
      <c r="A8273" s="1" t="str">
        <f t="shared" si="6034"/>
        <v>202406</v>
      </c>
      <c r="B8273" s="1" t="str">
        <f t="shared" si="6035"/>
        <v>150525100</v>
      </c>
      <c r="C8273" s="1" t="str">
        <f>"1040832642"</f>
        <v>1040832642</v>
      </c>
      <c r="D8273" s="1" t="str">
        <f>"152326194106197116"</f>
        <v>152326194106197116</v>
      </c>
      <c r="E8273" s="1" t="s">
        <v>2491</v>
      </c>
      <c r="F8273" s="1" t="s">
        <v>25</v>
      </c>
      <c r="G8273" s="1" t="s">
        <v>17</v>
      </c>
      <c r="H8273" s="1" t="str">
        <f>"83"</f>
        <v>83</v>
      </c>
      <c r="I8273" s="1" t="str">
        <f t="shared" si="6038"/>
        <v>170</v>
      </c>
      <c r="J8273" s="1" t="str">
        <f t="shared" si="6040"/>
        <v>0</v>
      </c>
      <c r="K8273" s="1" t="str">
        <f t="shared" si="6041"/>
        <v>103</v>
      </c>
      <c r="L8273" s="1" t="str">
        <f t="shared" si="6042"/>
        <v>47</v>
      </c>
      <c r="M8273" s="1" t="str">
        <f t="shared" si="6032"/>
        <v>0</v>
      </c>
      <c r="N8273" s="1" t="str">
        <f t="shared" si="6033"/>
        <v>0</v>
      </c>
      <c r="O8273" s="1" t="str">
        <f t="shared" si="6039"/>
        <v>0</v>
      </c>
    </row>
    <row r="8274" s="1" customFormat="1" spans="1:15">
      <c r="A8274" s="1" t="str">
        <f t="shared" si="6034"/>
        <v>202406</v>
      </c>
      <c r="B8274" s="1" t="str">
        <f t="shared" si="6035"/>
        <v>150525100</v>
      </c>
      <c r="C8274" s="1" t="str">
        <f>"1040832663"</f>
        <v>1040832663</v>
      </c>
      <c r="D8274" s="1" t="str">
        <f>"152326194408021722"</f>
        <v>152326194408021722</v>
      </c>
      <c r="E8274" s="1" t="s">
        <v>1843</v>
      </c>
      <c r="F8274" s="1" t="s">
        <v>16</v>
      </c>
      <c r="G8274" s="1" t="s">
        <v>17</v>
      </c>
      <c r="H8274" s="1" t="str">
        <f>"80"</f>
        <v>80</v>
      </c>
      <c r="I8274" s="1" t="str">
        <f t="shared" ref="I8274:I8278" si="6043">"160"</f>
        <v>160</v>
      </c>
      <c r="J8274" s="1" t="str">
        <f t="shared" si="6040"/>
        <v>0</v>
      </c>
      <c r="K8274" s="1" t="str">
        <f t="shared" si="6041"/>
        <v>103</v>
      </c>
      <c r="L8274" s="1" t="str">
        <f t="shared" si="6042"/>
        <v>47</v>
      </c>
      <c r="M8274" s="1" t="str">
        <f t="shared" si="6032"/>
        <v>0</v>
      </c>
      <c r="N8274" s="1" t="str">
        <f t="shared" si="6033"/>
        <v>0</v>
      </c>
      <c r="O8274" s="1" t="str">
        <f t="shared" si="6039"/>
        <v>0</v>
      </c>
    </row>
    <row r="8275" s="1" customFormat="1" spans="1:15">
      <c r="A8275" s="1" t="str">
        <f t="shared" si="6034"/>
        <v>202406</v>
      </c>
      <c r="B8275" s="1" t="str">
        <f t="shared" si="6035"/>
        <v>150525100</v>
      </c>
      <c r="C8275" s="1" t="str">
        <f>"1040832669"</f>
        <v>1040832669</v>
      </c>
      <c r="D8275" s="1" t="str">
        <f>"210922194409063045"</f>
        <v>210922194409063045</v>
      </c>
      <c r="E8275" s="1" t="s">
        <v>2427</v>
      </c>
      <c r="F8275" s="1" t="s">
        <v>16</v>
      </c>
      <c r="G8275" s="1" t="s">
        <v>17</v>
      </c>
      <c r="H8275" s="1" t="str">
        <f>"80"</f>
        <v>80</v>
      </c>
      <c r="I8275" s="1" t="str">
        <f t="shared" si="6043"/>
        <v>160</v>
      </c>
      <c r="J8275" s="1" t="str">
        <f t="shared" si="6040"/>
        <v>0</v>
      </c>
      <c r="K8275" s="1" t="str">
        <f t="shared" si="6041"/>
        <v>103</v>
      </c>
      <c r="L8275" s="1" t="str">
        <f t="shared" si="6042"/>
        <v>47</v>
      </c>
      <c r="M8275" s="1" t="str">
        <f t="shared" si="6032"/>
        <v>0</v>
      </c>
      <c r="N8275" s="1" t="str">
        <f t="shared" si="6033"/>
        <v>0</v>
      </c>
      <c r="O8275" s="1" t="str">
        <f t="shared" si="6039"/>
        <v>0</v>
      </c>
    </row>
    <row r="8276" s="1" customFormat="1" spans="1:15">
      <c r="A8276" s="1" t="str">
        <f t="shared" si="6034"/>
        <v>202406</v>
      </c>
      <c r="B8276" s="1" t="str">
        <f t="shared" si="6035"/>
        <v>150525100</v>
      </c>
      <c r="C8276" s="1" t="str">
        <f>"1040832685"</f>
        <v>1040832685</v>
      </c>
      <c r="D8276" s="1" t="str">
        <f>"152326194611100047"</f>
        <v>152326194611100047</v>
      </c>
      <c r="E8276" s="1" t="s">
        <v>7887</v>
      </c>
      <c r="F8276" s="1" t="s">
        <v>16</v>
      </c>
      <c r="G8276" s="1" t="s">
        <v>17</v>
      </c>
      <c r="H8276" s="1" t="str">
        <f>"78"</f>
        <v>78</v>
      </c>
      <c r="I8276" s="1" t="str">
        <f t="shared" si="6043"/>
        <v>160</v>
      </c>
      <c r="J8276" s="1" t="str">
        <f t="shared" si="6040"/>
        <v>0</v>
      </c>
      <c r="K8276" s="1" t="str">
        <f t="shared" si="6041"/>
        <v>103</v>
      </c>
      <c r="L8276" s="1" t="str">
        <f t="shared" si="6042"/>
        <v>47</v>
      </c>
      <c r="M8276" s="1" t="str">
        <f t="shared" si="6032"/>
        <v>0</v>
      </c>
      <c r="N8276" s="1" t="str">
        <f t="shared" si="6033"/>
        <v>0</v>
      </c>
      <c r="O8276" s="1" t="str">
        <f t="shared" si="6039"/>
        <v>0</v>
      </c>
    </row>
    <row r="8277" s="1" customFormat="1" spans="1:15">
      <c r="A8277" s="1" t="str">
        <f t="shared" si="6034"/>
        <v>202406</v>
      </c>
      <c r="B8277" s="1" t="str">
        <f t="shared" si="6035"/>
        <v>150525100</v>
      </c>
      <c r="C8277" s="1" t="str">
        <f>"1040832687"</f>
        <v>1040832687</v>
      </c>
      <c r="D8277" s="1" t="s">
        <v>7888</v>
      </c>
      <c r="E8277" s="1" t="s">
        <v>7889</v>
      </c>
      <c r="F8277" s="1" t="s">
        <v>16</v>
      </c>
      <c r="G8277" s="1" t="s">
        <v>17</v>
      </c>
      <c r="H8277" s="1" t="str">
        <f>"77"</f>
        <v>77</v>
      </c>
      <c r="I8277" s="1" t="str">
        <f t="shared" si="6043"/>
        <v>160</v>
      </c>
      <c r="J8277" s="1" t="str">
        <f t="shared" si="6040"/>
        <v>0</v>
      </c>
      <c r="K8277" s="1" t="str">
        <f t="shared" si="6041"/>
        <v>103</v>
      </c>
      <c r="L8277" s="1" t="str">
        <f t="shared" si="6042"/>
        <v>47</v>
      </c>
      <c r="M8277" s="1" t="str">
        <f t="shared" si="6032"/>
        <v>0</v>
      </c>
      <c r="N8277" s="1" t="str">
        <f t="shared" si="6033"/>
        <v>0</v>
      </c>
      <c r="O8277" s="1" t="str">
        <f t="shared" si="6039"/>
        <v>0</v>
      </c>
    </row>
    <row r="8278" s="1" customFormat="1" spans="1:15">
      <c r="A8278" s="1" t="str">
        <f t="shared" si="6034"/>
        <v>202406</v>
      </c>
      <c r="B8278" s="1" t="str">
        <f t="shared" si="6035"/>
        <v>150525100</v>
      </c>
      <c r="C8278" s="1" t="str">
        <f>"1040832694"</f>
        <v>1040832694</v>
      </c>
      <c r="D8278" s="1" t="str">
        <f>"152326194709120660"</f>
        <v>152326194709120660</v>
      </c>
      <c r="E8278" s="1" t="s">
        <v>2037</v>
      </c>
      <c r="F8278" s="1" t="s">
        <v>16</v>
      </c>
      <c r="G8278" s="1" t="s">
        <v>17</v>
      </c>
      <c r="H8278" s="1" t="str">
        <f>"77"</f>
        <v>77</v>
      </c>
      <c r="I8278" s="1" t="str">
        <f t="shared" si="6043"/>
        <v>160</v>
      </c>
      <c r="J8278" s="1" t="str">
        <f t="shared" si="6040"/>
        <v>0</v>
      </c>
      <c r="K8278" s="1" t="str">
        <f t="shared" si="6041"/>
        <v>103</v>
      </c>
      <c r="L8278" s="1" t="str">
        <f t="shared" si="6042"/>
        <v>47</v>
      </c>
      <c r="M8278" s="1" t="str">
        <f t="shared" si="6032"/>
        <v>0</v>
      </c>
      <c r="N8278" s="1" t="str">
        <f t="shared" si="6033"/>
        <v>0</v>
      </c>
      <c r="O8278" s="1" t="str">
        <f t="shared" si="6039"/>
        <v>0</v>
      </c>
    </row>
    <row r="8279" s="1" customFormat="1" spans="1:15">
      <c r="A8279" s="1" t="str">
        <f t="shared" si="6034"/>
        <v>202406</v>
      </c>
      <c r="B8279" s="1" t="str">
        <f t="shared" si="6035"/>
        <v>150525100</v>
      </c>
      <c r="C8279" s="1" t="str">
        <f>"1041005926"</f>
        <v>1041005926</v>
      </c>
      <c r="D8279" s="1" t="str">
        <f>"152326195505080921"</f>
        <v>152326195505080921</v>
      </c>
      <c r="E8279" s="1" t="s">
        <v>7890</v>
      </c>
      <c r="F8279" s="1" t="s">
        <v>16</v>
      </c>
      <c r="G8279" s="1" t="s">
        <v>19</v>
      </c>
      <c r="H8279" s="1" t="str">
        <f>"69"</f>
        <v>69</v>
      </c>
      <c r="I8279" s="1" t="str">
        <f>"153.6"</f>
        <v>153.6</v>
      </c>
      <c r="J8279" s="1" t="str">
        <f t="shared" si="6040"/>
        <v>0</v>
      </c>
      <c r="K8279" s="1" t="str">
        <f t="shared" si="6041"/>
        <v>103</v>
      </c>
      <c r="L8279" s="1" t="str">
        <f t="shared" si="6042"/>
        <v>47</v>
      </c>
      <c r="M8279" s="1" t="str">
        <f t="shared" si="6032"/>
        <v>0</v>
      </c>
      <c r="N8279" s="1" t="str">
        <f t="shared" si="6033"/>
        <v>0</v>
      </c>
      <c r="O8279" s="1" t="str">
        <f>"3.6"</f>
        <v>3.6</v>
      </c>
    </row>
    <row r="8280" s="1" customFormat="1" spans="1:15">
      <c r="A8280" s="1" t="str">
        <f t="shared" si="6034"/>
        <v>202406</v>
      </c>
      <c r="B8280" s="1" t="str">
        <f t="shared" si="6035"/>
        <v>150525100</v>
      </c>
      <c r="C8280" s="1" t="str">
        <f>"1041005928"</f>
        <v>1041005928</v>
      </c>
      <c r="D8280" s="1" t="str">
        <f>"152326195802050913"</f>
        <v>152326195802050913</v>
      </c>
      <c r="E8280" s="1" t="s">
        <v>7891</v>
      </c>
      <c r="F8280" s="1" t="s">
        <v>25</v>
      </c>
      <c r="G8280" s="1" t="s">
        <v>19</v>
      </c>
      <c r="H8280" s="1" t="str">
        <f>"66"</f>
        <v>66</v>
      </c>
      <c r="I8280" s="1" t="str">
        <f>"155.29"</f>
        <v>155.29</v>
      </c>
      <c r="J8280" s="1" t="str">
        <f t="shared" si="6040"/>
        <v>0</v>
      </c>
      <c r="K8280" s="1" t="str">
        <f t="shared" si="6041"/>
        <v>103</v>
      </c>
      <c r="L8280" s="1" t="str">
        <f t="shared" si="6042"/>
        <v>47</v>
      </c>
      <c r="M8280" s="1" t="str">
        <f t="shared" si="6032"/>
        <v>0</v>
      </c>
      <c r="N8280" s="1" t="str">
        <f t="shared" si="6033"/>
        <v>0</v>
      </c>
      <c r="O8280" s="1" t="str">
        <f>"5.29"</f>
        <v>5.29</v>
      </c>
    </row>
    <row r="8281" s="1" customFormat="1" spans="1:15">
      <c r="A8281" s="1" t="str">
        <f t="shared" si="6034"/>
        <v>202406</v>
      </c>
      <c r="B8281" s="1" t="str">
        <f t="shared" si="6035"/>
        <v>150525100</v>
      </c>
      <c r="C8281" s="1" t="str">
        <f>"1041005929"</f>
        <v>1041005929</v>
      </c>
      <c r="D8281" s="1" t="s">
        <v>7892</v>
      </c>
      <c r="E8281" s="1" t="s">
        <v>7893</v>
      </c>
      <c r="F8281" s="1" t="s">
        <v>16</v>
      </c>
      <c r="G8281" s="1" t="s">
        <v>17</v>
      </c>
      <c r="H8281" s="1" t="str">
        <f>"60"</f>
        <v>60</v>
      </c>
      <c r="I8281" s="1" t="str">
        <f>"168.32"</f>
        <v>168.32</v>
      </c>
      <c r="J8281" s="1" t="str">
        <f t="shared" si="6040"/>
        <v>0</v>
      </c>
      <c r="K8281" s="1" t="str">
        <f t="shared" si="6041"/>
        <v>103</v>
      </c>
      <c r="L8281" s="1" t="str">
        <f t="shared" si="6042"/>
        <v>47</v>
      </c>
      <c r="M8281" s="1" t="str">
        <f t="shared" si="6032"/>
        <v>0</v>
      </c>
      <c r="N8281" s="1" t="str">
        <f t="shared" si="6033"/>
        <v>0</v>
      </c>
      <c r="O8281" s="1" t="str">
        <f>"18.32"</f>
        <v>18.32</v>
      </c>
    </row>
    <row r="8282" s="1" customFormat="1" spans="1:15">
      <c r="A8282" s="1" t="str">
        <f t="shared" si="6034"/>
        <v>202406</v>
      </c>
      <c r="B8282" s="1" t="str">
        <f t="shared" si="6035"/>
        <v>150525100</v>
      </c>
      <c r="C8282" s="1" t="str">
        <f>"1040832709"</f>
        <v>1040832709</v>
      </c>
      <c r="D8282" s="1" t="str">
        <f>"152326194812010048"</f>
        <v>152326194812010048</v>
      </c>
      <c r="E8282" s="1" t="s">
        <v>7894</v>
      </c>
      <c r="F8282" s="1" t="s">
        <v>16</v>
      </c>
      <c r="G8282" s="1" t="s">
        <v>19</v>
      </c>
      <c r="H8282" s="1" t="str">
        <f>"76"</f>
        <v>76</v>
      </c>
      <c r="I8282" s="1" t="str">
        <f t="shared" ref="I8282:I8286" si="6044">"160"</f>
        <v>160</v>
      </c>
      <c r="J8282" s="1" t="str">
        <f t="shared" si="6040"/>
        <v>0</v>
      </c>
      <c r="K8282" s="1" t="str">
        <f t="shared" si="6041"/>
        <v>103</v>
      </c>
      <c r="L8282" s="1" t="str">
        <f t="shared" si="6042"/>
        <v>47</v>
      </c>
      <c r="M8282" s="1" t="str">
        <f t="shared" si="6032"/>
        <v>0</v>
      </c>
      <c r="N8282" s="1" t="str">
        <f t="shared" si="6033"/>
        <v>0</v>
      </c>
      <c r="O8282" s="1" t="str">
        <f t="shared" ref="O8282:O8286" si="6045">"0"</f>
        <v>0</v>
      </c>
    </row>
    <row r="8283" s="1" customFormat="1" spans="1:15">
      <c r="A8283" s="1" t="str">
        <f t="shared" si="6034"/>
        <v>202406</v>
      </c>
      <c r="B8283" s="1" t="str">
        <f t="shared" si="6035"/>
        <v>150525100</v>
      </c>
      <c r="C8283" s="1" t="str">
        <f>"1040832724"</f>
        <v>1040832724</v>
      </c>
      <c r="D8283" s="1" t="str">
        <f>"152326194909160026"</f>
        <v>152326194909160026</v>
      </c>
      <c r="E8283" s="1" t="s">
        <v>7895</v>
      </c>
      <c r="F8283" s="1" t="s">
        <v>16</v>
      </c>
      <c r="G8283" s="1" t="s">
        <v>17</v>
      </c>
      <c r="H8283" s="1" t="str">
        <f>"75"</f>
        <v>75</v>
      </c>
      <c r="I8283" s="1" t="str">
        <f t="shared" si="6044"/>
        <v>160</v>
      </c>
      <c r="J8283" s="1" t="str">
        <f t="shared" si="6040"/>
        <v>0</v>
      </c>
      <c r="K8283" s="1" t="str">
        <f t="shared" si="6041"/>
        <v>103</v>
      </c>
      <c r="L8283" s="1" t="str">
        <f t="shared" si="6042"/>
        <v>47</v>
      </c>
      <c r="M8283" s="1" t="str">
        <f t="shared" si="6032"/>
        <v>0</v>
      </c>
      <c r="N8283" s="1" t="str">
        <f t="shared" si="6033"/>
        <v>0</v>
      </c>
      <c r="O8283" s="1" t="str">
        <f t="shared" si="6045"/>
        <v>0</v>
      </c>
    </row>
    <row r="8284" s="1" customFormat="1" spans="1:15">
      <c r="A8284" s="1" t="str">
        <f t="shared" si="6034"/>
        <v>202406</v>
      </c>
      <c r="B8284" s="1" t="str">
        <f t="shared" si="6035"/>
        <v>150525100</v>
      </c>
      <c r="C8284" s="1" t="str">
        <f>"1040832744"</f>
        <v>1040832744</v>
      </c>
      <c r="D8284" s="1" t="str">
        <f>"152326195101180029"</f>
        <v>152326195101180029</v>
      </c>
      <c r="E8284" s="1" t="s">
        <v>7896</v>
      </c>
      <c r="F8284" s="1" t="s">
        <v>16</v>
      </c>
      <c r="G8284" s="1" t="s">
        <v>17</v>
      </c>
      <c r="H8284" s="1" t="str">
        <f t="shared" ref="H8284:H8286" si="6046">"73"</f>
        <v>73</v>
      </c>
      <c r="I8284" s="1" t="str">
        <f t="shared" si="6044"/>
        <v>160</v>
      </c>
      <c r="J8284" s="1" t="str">
        <f t="shared" si="6040"/>
        <v>0</v>
      </c>
      <c r="K8284" s="1" t="str">
        <f t="shared" si="6041"/>
        <v>103</v>
      </c>
      <c r="L8284" s="1" t="str">
        <f t="shared" si="6042"/>
        <v>47</v>
      </c>
      <c r="M8284" s="1" t="str">
        <f t="shared" si="6032"/>
        <v>0</v>
      </c>
      <c r="N8284" s="1" t="str">
        <f t="shared" si="6033"/>
        <v>0</v>
      </c>
      <c r="O8284" s="1" t="str">
        <f t="shared" si="6045"/>
        <v>0</v>
      </c>
    </row>
    <row r="8285" s="1" customFormat="1" spans="1:15">
      <c r="A8285" s="1" t="str">
        <f t="shared" si="6034"/>
        <v>202406</v>
      </c>
      <c r="B8285" s="1" t="str">
        <f t="shared" si="6035"/>
        <v>150525100</v>
      </c>
      <c r="C8285" s="1" t="str">
        <f>"1040832750"</f>
        <v>1040832750</v>
      </c>
      <c r="D8285" s="1" t="str">
        <f>"152326195104090045"</f>
        <v>152326195104090045</v>
      </c>
      <c r="E8285" s="1" t="s">
        <v>7897</v>
      </c>
      <c r="F8285" s="1" t="s">
        <v>16</v>
      </c>
      <c r="G8285" s="1" t="s">
        <v>17</v>
      </c>
      <c r="H8285" s="1" t="str">
        <f t="shared" si="6046"/>
        <v>73</v>
      </c>
      <c r="I8285" s="1" t="str">
        <f t="shared" si="6044"/>
        <v>160</v>
      </c>
      <c r="J8285" s="1" t="str">
        <f t="shared" si="6040"/>
        <v>0</v>
      </c>
      <c r="K8285" s="1" t="str">
        <f t="shared" si="6041"/>
        <v>103</v>
      </c>
      <c r="L8285" s="1" t="str">
        <f t="shared" si="6042"/>
        <v>47</v>
      </c>
      <c r="M8285" s="1" t="str">
        <f t="shared" si="6032"/>
        <v>0</v>
      </c>
      <c r="N8285" s="1" t="str">
        <f t="shared" si="6033"/>
        <v>0</v>
      </c>
      <c r="O8285" s="1" t="str">
        <f t="shared" si="6045"/>
        <v>0</v>
      </c>
    </row>
    <row r="8286" s="1" customFormat="1" spans="1:15">
      <c r="A8286" s="1" t="str">
        <f t="shared" si="6034"/>
        <v>202406</v>
      </c>
      <c r="B8286" s="1" t="str">
        <f t="shared" si="6035"/>
        <v>150525100</v>
      </c>
      <c r="C8286" s="1" t="str">
        <f>"1040832759"</f>
        <v>1040832759</v>
      </c>
      <c r="D8286" s="1" t="s">
        <v>7898</v>
      </c>
      <c r="E8286" s="1" t="s">
        <v>7899</v>
      </c>
      <c r="F8286" s="1" t="s">
        <v>25</v>
      </c>
      <c r="G8286" s="1" t="s">
        <v>17</v>
      </c>
      <c r="H8286" s="1" t="str">
        <f t="shared" si="6046"/>
        <v>73</v>
      </c>
      <c r="I8286" s="1" t="str">
        <f t="shared" si="6044"/>
        <v>160</v>
      </c>
      <c r="J8286" s="1" t="str">
        <f t="shared" si="6040"/>
        <v>0</v>
      </c>
      <c r="K8286" s="1" t="str">
        <f t="shared" si="6041"/>
        <v>103</v>
      </c>
      <c r="L8286" s="1" t="str">
        <f t="shared" si="6042"/>
        <v>47</v>
      </c>
      <c r="M8286" s="1" t="str">
        <f t="shared" si="6032"/>
        <v>0</v>
      </c>
      <c r="N8286" s="1" t="str">
        <f t="shared" si="6033"/>
        <v>0</v>
      </c>
      <c r="O8286" s="1" t="str">
        <f t="shared" si="6045"/>
        <v>0</v>
      </c>
    </row>
    <row r="8287" s="1" customFormat="1" spans="1:15">
      <c r="A8287" s="1" t="str">
        <f t="shared" si="6034"/>
        <v>202406</v>
      </c>
      <c r="B8287" s="1" t="str">
        <f t="shared" si="6035"/>
        <v>150525100</v>
      </c>
      <c r="C8287" s="1" t="str">
        <f>"1040965507"</f>
        <v>1040965507</v>
      </c>
      <c r="D8287" s="1" t="str">
        <f>"152326196206020456"</f>
        <v>152326196206020456</v>
      </c>
      <c r="E8287" s="1" t="s">
        <v>7900</v>
      </c>
      <c r="F8287" s="1" t="s">
        <v>25</v>
      </c>
      <c r="G8287" s="1" t="s">
        <v>17</v>
      </c>
      <c r="H8287" s="1" t="str">
        <f>"62"</f>
        <v>62</v>
      </c>
      <c r="I8287" s="1" t="str">
        <f>"161.13"</f>
        <v>161.13</v>
      </c>
      <c r="J8287" s="1" t="str">
        <f t="shared" si="6040"/>
        <v>0</v>
      </c>
      <c r="K8287" s="1" t="str">
        <f t="shared" si="6041"/>
        <v>103</v>
      </c>
      <c r="L8287" s="1" t="str">
        <f t="shared" si="6042"/>
        <v>47</v>
      </c>
      <c r="M8287" s="1" t="str">
        <f t="shared" si="6032"/>
        <v>0</v>
      </c>
      <c r="N8287" s="1" t="str">
        <f t="shared" si="6033"/>
        <v>0</v>
      </c>
      <c r="O8287" s="1" t="str">
        <f>"11.13"</f>
        <v>11.13</v>
      </c>
    </row>
    <row r="8288" s="1" customFormat="1" spans="1:15">
      <c r="A8288" s="1" t="str">
        <f t="shared" si="6034"/>
        <v>202406</v>
      </c>
      <c r="B8288" s="1" t="str">
        <f t="shared" si="6035"/>
        <v>150525100</v>
      </c>
      <c r="C8288" s="1" t="str">
        <f>"1041153425"</f>
        <v>1041153425</v>
      </c>
      <c r="D8288" s="1" t="str">
        <f>"152326196306260019"</f>
        <v>152326196306260019</v>
      </c>
      <c r="E8288" s="1" t="s">
        <v>7901</v>
      </c>
      <c r="F8288" s="1" t="s">
        <v>25</v>
      </c>
      <c r="G8288" s="1" t="s">
        <v>17</v>
      </c>
      <c r="H8288" s="1" t="str">
        <f t="shared" ref="H8288:H8291" si="6047">"61"</f>
        <v>61</v>
      </c>
      <c r="I8288" s="1" t="str">
        <f>"164.55"</f>
        <v>164.55</v>
      </c>
      <c r="J8288" s="1" t="str">
        <f t="shared" si="6040"/>
        <v>0</v>
      </c>
      <c r="K8288" s="1" t="str">
        <f t="shared" si="6041"/>
        <v>103</v>
      </c>
      <c r="L8288" s="1" t="str">
        <f t="shared" si="6042"/>
        <v>47</v>
      </c>
      <c r="M8288" s="1" t="str">
        <f t="shared" si="6032"/>
        <v>0</v>
      </c>
      <c r="N8288" s="1" t="str">
        <f t="shared" si="6033"/>
        <v>0</v>
      </c>
      <c r="O8288" s="1" t="str">
        <f>"14.55"</f>
        <v>14.55</v>
      </c>
    </row>
    <row r="8289" s="1" customFormat="1" spans="1:15">
      <c r="A8289" s="1" t="str">
        <f t="shared" si="6034"/>
        <v>202406</v>
      </c>
      <c r="B8289" s="1" t="str">
        <f t="shared" si="6035"/>
        <v>150525100</v>
      </c>
      <c r="C8289" s="1" t="str">
        <f>"1041153435"</f>
        <v>1041153435</v>
      </c>
      <c r="D8289" s="1" t="str">
        <f>"152326196304220021"</f>
        <v>152326196304220021</v>
      </c>
      <c r="E8289" s="1" t="s">
        <v>7902</v>
      </c>
      <c r="F8289" s="1" t="s">
        <v>16</v>
      </c>
      <c r="G8289" s="1" t="s">
        <v>17</v>
      </c>
      <c r="H8289" s="1" t="str">
        <f t="shared" si="6047"/>
        <v>61</v>
      </c>
      <c r="I8289" s="1" t="str">
        <f>"163.24"</f>
        <v>163.24</v>
      </c>
      <c r="J8289" s="1" t="str">
        <f t="shared" si="6040"/>
        <v>0</v>
      </c>
      <c r="K8289" s="1" t="str">
        <f t="shared" si="6041"/>
        <v>103</v>
      </c>
      <c r="L8289" s="1" t="str">
        <f t="shared" si="6042"/>
        <v>47</v>
      </c>
      <c r="M8289" s="1" t="str">
        <f t="shared" si="6032"/>
        <v>0</v>
      </c>
      <c r="N8289" s="1" t="str">
        <f t="shared" si="6033"/>
        <v>0</v>
      </c>
      <c r="O8289" s="1" t="str">
        <f>"13.24"</f>
        <v>13.24</v>
      </c>
    </row>
    <row r="8290" s="1" customFormat="1" spans="1:15">
      <c r="A8290" s="1" t="str">
        <f t="shared" si="6034"/>
        <v>202406</v>
      </c>
      <c r="B8290" s="1" t="str">
        <f t="shared" si="6035"/>
        <v>150525100</v>
      </c>
      <c r="C8290" s="1" t="str">
        <f>"1041153503"</f>
        <v>1041153503</v>
      </c>
      <c r="D8290" s="1" t="str">
        <f>"152326196312270088"</f>
        <v>152326196312270088</v>
      </c>
      <c r="E8290" s="1" t="s">
        <v>7903</v>
      </c>
      <c r="F8290" s="1" t="s">
        <v>25</v>
      </c>
      <c r="G8290" s="1" t="s">
        <v>17</v>
      </c>
      <c r="H8290" s="1" t="str">
        <f t="shared" si="6047"/>
        <v>61</v>
      </c>
      <c r="I8290" s="1" t="str">
        <f>"167.03"</f>
        <v>167.03</v>
      </c>
      <c r="J8290" s="1" t="str">
        <f t="shared" si="6040"/>
        <v>0</v>
      </c>
      <c r="K8290" s="1" t="str">
        <f t="shared" si="6041"/>
        <v>103</v>
      </c>
      <c r="L8290" s="1" t="str">
        <f t="shared" si="6042"/>
        <v>47</v>
      </c>
      <c r="M8290" s="1" t="str">
        <f t="shared" si="6032"/>
        <v>0</v>
      </c>
      <c r="N8290" s="1" t="str">
        <f t="shared" si="6033"/>
        <v>0</v>
      </c>
      <c r="O8290" s="1" t="str">
        <f>"17.03"</f>
        <v>17.03</v>
      </c>
    </row>
    <row r="8291" s="1" customFormat="1" spans="1:15">
      <c r="A8291" s="1" t="str">
        <f t="shared" si="6034"/>
        <v>202406</v>
      </c>
      <c r="B8291" s="1" t="str">
        <f t="shared" si="6035"/>
        <v>150525100</v>
      </c>
      <c r="C8291" s="1" t="str">
        <f>"1041153504"</f>
        <v>1041153504</v>
      </c>
      <c r="D8291" s="1" t="str">
        <f>"152326196308080062"</f>
        <v>152326196308080062</v>
      </c>
      <c r="E8291" s="1" t="s">
        <v>7904</v>
      </c>
      <c r="F8291" s="1" t="s">
        <v>16</v>
      </c>
      <c r="G8291" s="1" t="s">
        <v>17</v>
      </c>
      <c r="H8291" s="1" t="str">
        <f t="shared" si="6047"/>
        <v>61</v>
      </c>
      <c r="I8291" s="1" t="str">
        <f>"201.63"</f>
        <v>201.63</v>
      </c>
      <c r="J8291" s="1" t="str">
        <f t="shared" si="6040"/>
        <v>0</v>
      </c>
      <c r="K8291" s="1" t="str">
        <f t="shared" si="6041"/>
        <v>103</v>
      </c>
      <c r="L8291" s="1" t="str">
        <f t="shared" si="6042"/>
        <v>47</v>
      </c>
      <c r="M8291" s="1" t="str">
        <f t="shared" si="6032"/>
        <v>0</v>
      </c>
      <c r="N8291" s="1" t="str">
        <f t="shared" si="6033"/>
        <v>0</v>
      </c>
      <c r="O8291" s="1" t="str">
        <f>"51.63"</f>
        <v>51.63</v>
      </c>
    </row>
    <row r="8292" s="1" customFormat="1" spans="1:15">
      <c r="A8292" s="1" t="str">
        <f t="shared" si="6034"/>
        <v>202406</v>
      </c>
      <c r="B8292" s="1" t="str">
        <f t="shared" si="6035"/>
        <v>150525100</v>
      </c>
      <c r="C8292" s="1" t="str">
        <f>"1040965524"</f>
        <v>1040965524</v>
      </c>
      <c r="D8292" s="1" t="str">
        <f>"152326196209050431"</f>
        <v>152326196209050431</v>
      </c>
      <c r="E8292" s="1" t="s">
        <v>7905</v>
      </c>
      <c r="F8292" s="1" t="s">
        <v>25</v>
      </c>
      <c r="G8292" s="1" t="s">
        <v>17</v>
      </c>
      <c r="H8292" s="1" t="str">
        <f>"62"</f>
        <v>62</v>
      </c>
      <c r="I8292" s="1" t="str">
        <f>"161.2"</f>
        <v>161.2</v>
      </c>
      <c r="J8292" s="1" t="str">
        <f t="shared" si="6040"/>
        <v>0</v>
      </c>
      <c r="K8292" s="1" t="str">
        <f t="shared" si="6041"/>
        <v>103</v>
      </c>
      <c r="L8292" s="1" t="str">
        <f t="shared" si="6042"/>
        <v>47</v>
      </c>
      <c r="M8292" s="1" t="str">
        <f t="shared" si="6032"/>
        <v>0</v>
      </c>
      <c r="N8292" s="1" t="str">
        <f t="shared" si="6033"/>
        <v>0</v>
      </c>
      <c r="O8292" s="1" t="str">
        <f>"11.2"</f>
        <v>11.2</v>
      </c>
    </row>
    <row r="8293" s="1" customFormat="1" spans="1:15">
      <c r="A8293" s="1" t="str">
        <f t="shared" si="6034"/>
        <v>202406</v>
      </c>
      <c r="B8293" s="1" t="str">
        <f t="shared" si="6035"/>
        <v>150525100</v>
      </c>
      <c r="C8293" s="1" t="str">
        <f>"1040937275"</f>
        <v>1040937275</v>
      </c>
      <c r="D8293" s="1" t="str">
        <f>"152326195610010677"</f>
        <v>152326195610010677</v>
      </c>
      <c r="E8293" s="1" t="s">
        <v>7906</v>
      </c>
      <c r="F8293" s="1" t="s">
        <v>25</v>
      </c>
      <c r="G8293" s="1" t="s">
        <v>17</v>
      </c>
      <c r="H8293" s="1" t="str">
        <f t="shared" ref="H8293:H8295" si="6048">"68"</f>
        <v>68</v>
      </c>
      <c r="I8293" s="1" t="str">
        <f t="shared" ref="I8293:I8295" si="6049">"155.43"</f>
        <v>155.43</v>
      </c>
      <c r="J8293" s="1" t="str">
        <f t="shared" si="6040"/>
        <v>0</v>
      </c>
      <c r="K8293" s="1" t="str">
        <f t="shared" si="6041"/>
        <v>103</v>
      </c>
      <c r="L8293" s="1" t="str">
        <f t="shared" si="6042"/>
        <v>47</v>
      </c>
      <c r="M8293" s="1" t="str">
        <f t="shared" si="6032"/>
        <v>0</v>
      </c>
      <c r="N8293" s="1" t="str">
        <f t="shared" si="6033"/>
        <v>0</v>
      </c>
      <c r="O8293" s="1" t="str">
        <f t="shared" ref="O8293:O8295" si="6050">"5.43"</f>
        <v>5.43</v>
      </c>
    </row>
    <row r="8294" s="1" customFormat="1" spans="1:15">
      <c r="A8294" s="1" t="str">
        <f t="shared" si="6034"/>
        <v>202406</v>
      </c>
      <c r="B8294" s="1" t="str">
        <f t="shared" si="6035"/>
        <v>150525100</v>
      </c>
      <c r="C8294" s="1" t="str">
        <f>"1040937281"</f>
        <v>1040937281</v>
      </c>
      <c r="D8294" s="1" t="str">
        <f>"152326195611170680"</f>
        <v>152326195611170680</v>
      </c>
      <c r="E8294" s="1" t="s">
        <v>7907</v>
      </c>
      <c r="F8294" s="1" t="s">
        <v>16</v>
      </c>
      <c r="G8294" s="1" t="s">
        <v>17</v>
      </c>
      <c r="H8294" s="1" t="str">
        <f t="shared" si="6048"/>
        <v>68</v>
      </c>
      <c r="I8294" s="1" t="str">
        <f t="shared" si="6049"/>
        <v>155.43</v>
      </c>
      <c r="J8294" s="1" t="str">
        <f t="shared" si="6040"/>
        <v>0</v>
      </c>
      <c r="K8294" s="1" t="str">
        <f t="shared" si="6041"/>
        <v>103</v>
      </c>
      <c r="L8294" s="1" t="str">
        <f t="shared" si="6042"/>
        <v>47</v>
      </c>
      <c r="M8294" s="1" t="str">
        <f t="shared" si="6032"/>
        <v>0</v>
      </c>
      <c r="N8294" s="1" t="str">
        <f t="shared" si="6033"/>
        <v>0</v>
      </c>
      <c r="O8294" s="1" t="str">
        <f t="shared" si="6050"/>
        <v>5.43</v>
      </c>
    </row>
    <row r="8295" s="1" customFormat="1" spans="1:15">
      <c r="A8295" s="1" t="str">
        <f t="shared" si="6034"/>
        <v>202406</v>
      </c>
      <c r="B8295" s="1" t="str">
        <f t="shared" si="6035"/>
        <v>150525100</v>
      </c>
      <c r="C8295" s="1" t="str">
        <f>"1040937283"</f>
        <v>1040937283</v>
      </c>
      <c r="D8295" s="1" t="str">
        <f>"152326195608020665"</f>
        <v>152326195608020665</v>
      </c>
      <c r="E8295" s="1" t="s">
        <v>7908</v>
      </c>
      <c r="F8295" s="1" t="s">
        <v>16</v>
      </c>
      <c r="G8295" s="1" t="s">
        <v>17</v>
      </c>
      <c r="H8295" s="1" t="str">
        <f t="shared" si="6048"/>
        <v>68</v>
      </c>
      <c r="I8295" s="1" t="str">
        <f t="shared" si="6049"/>
        <v>155.43</v>
      </c>
      <c r="J8295" s="1" t="str">
        <f t="shared" si="6040"/>
        <v>0</v>
      </c>
      <c r="K8295" s="1" t="str">
        <f t="shared" si="6041"/>
        <v>103</v>
      </c>
      <c r="L8295" s="1" t="str">
        <f t="shared" si="6042"/>
        <v>47</v>
      </c>
      <c r="M8295" s="1" t="str">
        <f t="shared" si="6032"/>
        <v>0</v>
      </c>
      <c r="N8295" s="1" t="str">
        <f t="shared" si="6033"/>
        <v>0</v>
      </c>
      <c r="O8295" s="1" t="str">
        <f t="shared" si="6050"/>
        <v>5.43</v>
      </c>
    </row>
    <row r="8296" s="1" customFormat="1" spans="1:15">
      <c r="A8296" s="1" t="str">
        <f t="shared" si="6034"/>
        <v>202406</v>
      </c>
      <c r="B8296" s="1" t="str">
        <f t="shared" si="6035"/>
        <v>150525100</v>
      </c>
      <c r="C8296" s="1" t="str">
        <f>"1040965583"</f>
        <v>1040965583</v>
      </c>
      <c r="D8296" s="1" t="str">
        <f>"152326196301130418"</f>
        <v>152326196301130418</v>
      </c>
      <c r="E8296" s="1" t="s">
        <v>7909</v>
      </c>
      <c r="F8296" s="1" t="s">
        <v>25</v>
      </c>
      <c r="G8296" s="1" t="s">
        <v>17</v>
      </c>
      <c r="H8296" s="1" t="str">
        <f>"61"</f>
        <v>61</v>
      </c>
      <c r="I8296" s="1" t="str">
        <f>"162.97"</f>
        <v>162.97</v>
      </c>
      <c r="J8296" s="1" t="str">
        <f t="shared" si="6040"/>
        <v>0</v>
      </c>
      <c r="K8296" s="1" t="str">
        <f t="shared" si="6041"/>
        <v>103</v>
      </c>
      <c r="L8296" s="1" t="str">
        <f t="shared" si="6042"/>
        <v>47</v>
      </c>
      <c r="M8296" s="1" t="str">
        <f t="shared" si="6032"/>
        <v>0</v>
      </c>
      <c r="N8296" s="1" t="str">
        <f t="shared" si="6033"/>
        <v>0</v>
      </c>
      <c r="O8296" s="1" t="str">
        <f>"12.97"</f>
        <v>12.97</v>
      </c>
    </row>
    <row r="8297" s="1" customFormat="1" spans="1:15">
      <c r="A8297" s="1" t="str">
        <f t="shared" si="6034"/>
        <v>202406</v>
      </c>
      <c r="B8297" s="1" t="str">
        <f t="shared" si="6035"/>
        <v>150525100</v>
      </c>
      <c r="C8297" s="1" t="str">
        <f>"1040978818"</f>
        <v>1040978818</v>
      </c>
      <c r="D8297" s="1" t="str">
        <f>"152326196010123824"</f>
        <v>152326196010123824</v>
      </c>
      <c r="E8297" s="1" t="s">
        <v>7910</v>
      </c>
      <c r="F8297" s="1" t="s">
        <v>16</v>
      </c>
      <c r="G8297" s="1" t="s">
        <v>17</v>
      </c>
      <c r="H8297" s="1" t="str">
        <f>"64"</f>
        <v>64</v>
      </c>
      <c r="I8297" s="1" t="str">
        <f>"157.42"</f>
        <v>157.42</v>
      </c>
      <c r="J8297" s="1" t="str">
        <f t="shared" si="6040"/>
        <v>0</v>
      </c>
      <c r="K8297" s="1" t="str">
        <f t="shared" si="6041"/>
        <v>103</v>
      </c>
      <c r="L8297" s="1" t="str">
        <f t="shared" si="6042"/>
        <v>47</v>
      </c>
      <c r="M8297" s="1" t="str">
        <f t="shared" si="6032"/>
        <v>0</v>
      </c>
      <c r="N8297" s="1" t="str">
        <f t="shared" si="6033"/>
        <v>0</v>
      </c>
      <c r="O8297" s="1" t="str">
        <f>"7.42"</f>
        <v>7.42</v>
      </c>
    </row>
    <row r="8298" s="1" customFormat="1" spans="1:15">
      <c r="A8298" s="1" t="str">
        <f t="shared" si="6034"/>
        <v>202406</v>
      </c>
      <c r="B8298" s="1" t="str">
        <f t="shared" si="6035"/>
        <v>150525100</v>
      </c>
      <c r="C8298" s="1" t="str">
        <f>"1040962371"</f>
        <v>1040962371</v>
      </c>
      <c r="D8298" s="1" t="str">
        <f>"152326196309020416"</f>
        <v>152326196309020416</v>
      </c>
      <c r="E8298" s="1" t="s">
        <v>7911</v>
      </c>
      <c r="F8298" s="1" t="s">
        <v>25</v>
      </c>
      <c r="G8298" s="1" t="s">
        <v>17</v>
      </c>
      <c r="H8298" s="1" t="str">
        <f>"61"</f>
        <v>61</v>
      </c>
      <c r="I8298" s="1" t="str">
        <f>"163.11"</f>
        <v>163.11</v>
      </c>
      <c r="J8298" s="1" t="str">
        <f t="shared" si="6040"/>
        <v>0</v>
      </c>
      <c r="K8298" s="1" t="str">
        <f t="shared" si="6041"/>
        <v>103</v>
      </c>
      <c r="L8298" s="1" t="str">
        <f t="shared" si="6042"/>
        <v>47</v>
      </c>
      <c r="M8298" s="1" t="str">
        <f t="shared" si="6032"/>
        <v>0</v>
      </c>
      <c r="N8298" s="1" t="str">
        <f t="shared" si="6033"/>
        <v>0</v>
      </c>
      <c r="O8298" s="1" t="str">
        <f>"13.11"</f>
        <v>13.11</v>
      </c>
    </row>
    <row r="8299" s="1" customFormat="1" spans="1:15">
      <c r="A8299" s="1" t="str">
        <f t="shared" si="6034"/>
        <v>202406</v>
      </c>
      <c r="B8299" s="1" t="str">
        <f t="shared" si="6035"/>
        <v>150525100</v>
      </c>
      <c r="C8299" s="1" t="str">
        <f>"1040833827"</f>
        <v>1040833827</v>
      </c>
      <c r="D8299" s="1" t="str">
        <f>"152326195304020703"</f>
        <v>152326195304020703</v>
      </c>
      <c r="E8299" s="1" t="s">
        <v>7912</v>
      </c>
      <c r="F8299" s="1" t="s">
        <v>16</v>
      </c>
      <c r="G8299" s="1" t="s">
        <v>17</v>
      </c>
      <c r="H8299" s="1" t="str">
        <f>"71"</f>
        <v>71</v>
      </c>
      <c r="I8299" s="1" t="str">
        <f>"975.48"</f>
        <v>975.48</v>
      </c>
      <c r="J8299" s="1" t="str">
        <f>"812.9"</f>
        <v>812.9</v>
      </c>
      <c r="K8299" s="1" t="str">
        <f>"618"</f>
        <v>618</v>
      </c>
      <c r="L8299" s="1" t="str">
        <f>"282"</f>
        <v>282</v>
      </c>
      <c r="M8299" s="1" t="str">
        <f t="shared" si="6032"/>
        <v>0</v>
      </c>
      <c r="N8299" s="1" t="str">
        <f t="shared" si="6033"/>
        <v>0</v>
      </c>
      <c r="O8299" s="1" t="str">
        <f>"15.48"</f>
        <v>15.48</v>
      </c>
    </row>
    <row r="8300" s="1" customFormat="1" spans="1:15">
      <c r="A8300" s="1" t="str">
        <f t="shared" si="6034"/>
        <v>202406</v>
      </c>
      <c r="B8300" s="1" t="str">
        <f t="shared" si="6035"/>
        <v>150525100</v>
      </c>
      <c r="C8300" s="1" t="str">
        <f>"1041017768"</f>
        <v>1041017768</v>
      </c>
      <c r="D8300" s="1" t="str">
        <f>"152326195707163821"</f>
        <v>152326195707163821</v>
      </c>
      <c r="E8300" s="1" t="s">
        <v>7913</v>
      </c>
      <c r="F8300" s="1" t="s">
        <v>16</v>
      </c>
      <c r="G8300" s="1" t="s">
        <v>19</v>
      </c>
      <c r="H8300" s="1" t="str">
        <f>"67"</f>
        <v>67</v>
      </c>
      <c r="I8300" s="1" t="str">
        <f>"154.32"</f>
        <v>154.32</v>
      </c>
      <c r="J8300" s="1" t="str">
        <f t="shared" ref="J8300:J8321" si="6051">"0"</f>
        <v>0</v>
      </c>
      <c r="K8300" s="1" t="str">
        <f t="shared" ref="K8300:K8306" si="6052">"103"</f>
        <v>103</v>
      </c>
      <c r="L8300" s="1" t="str">
        <f t="shared" ref="L8300:L8306" si="6053">"47"</f>
        <v>47</v>
      </c>
      <c r="M8300" s="1" t="str">
        <f t="shared" si="6032"/>
        <v>0</v>
      </c>
      <c r="N8300" s="1" t="str">
        <f t="shared" si="6033"/>
        <v>0</v>
      </c>
      <c r="O8300" s="1" t="str">
        <f>"4.32"</f>
        <v>4.32</v>
      </c>
    </row>
    <row r="8301" s="1" customFormat="1" spans="1:15">
      <c r="A8301" s="1" t="str">
        <f t="shared" si="6034"/>
        <v>202406</v>
      </c>
      <c r="B8301" s="1" t="str">
        <f t="shared" si="6035"/>
        <v>150525100</v>
      </c>
      <c r="C8301" s="1" t="str">
        <f>"1041015443"</f>
        <v>1041015443</v>
      </c>
      <c r="D8301" s="1" t="str">
        <f>"152326196404233321"</f>
        <v>152326196404233321</v>
      </c>
      <c r="E8301" s="1" t="s">
        <v>7914</v>
      </c>
      <c r="F8301" s="1" t="s">
        <v>16</v>
      </c>
      <c r="G8301" s="1" t="s">
        <v>19</v>
      </c>
      <c r="H8301" s="1" t="str">
        <f>"60"</f>
        <v>60</v>
      </c>
      <c r="I8301" s="1" t="str">
        <f>"164.8"</f>
        <v>164.8</v>
      </c>
      <c r="J8301" s="1" t="str">
        <f t="shared" si="6051"/>
        <v>0</v>
      </c>
      <c r="K8301" s="1" t="str">
        <f t="shared" si="6052"/>
        <v>103</v>
      </c>
      <c r="L8301" s="1" t="str">
        <f t="shared" si="6053"/>
        <v>47</v>
      </c>
      <c r="M8301" s="1" t="str">
        <f t="shared" si="6032"/>
        <v>0</v>
      </c>
      <c r="N8301" s="1" t="str">
        <f t="shared" si="6033"/>
        <v>0</v>
      </c>
      <c r="O8301" s="1" t="str">
        <f>"14.8"</f>
        <v>14.8</v>
      </c>
    </row>
    <row r="8302" s="1" customFormat="1" spans="1:15">
      <c r="A8302" s="1" t="str">
        <f t="shared" si="6034"/>
        <v>202406</v>
      </c>
      <c r="B8302" s="1" t="str">
        <f t="shared" si="6035"/>
        <v>150525100</v>
      </c>
      <c r="C8302" s="1" t="str">
        <f>"1040983811"</f>
        <v>1040983811</v>
      </c>
      <c r="D8302" s="1" t="s">
        <v>7915</v>
      </c>
      <c r="E8302" s="1" t="s">
        <v>7916</v>
      </c>
      <c r="F8302" s="1" t="s">
        <v>16</v>
      </c>
      <c r="G8302" s="1" t="s">
        <v>17</v>
      </c>
      <c r="H8302" s="1" t="str">
        <f>"65"</f>
        <v>65</v>
      </c>
      <c r="I8302" s="1" t="str">
        <f>"156.35"</f>
        <v>156.35</v>
      </c>
      <c r="J8302" s="1" t="str">
        <f t="shared" si="6051"/>
        <v>0</v>
      </c>
      <c r="K8302" s="1" t="str">
        <f t="shared" si="6052"/>
        <v>103</v>
      </c>
      <c r="L8302" s="1" t="str">
        <f t="shared" si="6053"/>
        <v>47</v>
      </c>
      <c r="M8302" s="1" t="str">
        <f t="shared" si="6032"/>
        <v>0</v>
      </c>
      <c r="N8302" s="1" t="str">
        <f t="shared" si="6033"/>
        <v>0</v>
      </c>
      <c r="O8302" s="1" t="str">
        <f>"6.35"</f>
        <v>6.35</v>
      </c>
    </row>
    <row r="8303" s="1" customFormat="1" spans="1:15">
      <c r="A8303" s="1" t="str">
        <f t="shared" si="6034"/>
        <v>202406</v>
      </c>
      <c r="B8303" s="1" t="str">
        <f t="shared" si="6035"/>
        <v>150525100</v>
      </c>
      <c r="C8303" s="1" t="str">
        <f>"1041074753"</f>
        <v>1041074753</v>
      </c>
      <c r="D8303" s="1" t="str">
        <f>"152326196311273076"</f>
        <v>152326196311273076</v>
      </c>
      <c r="E8303" s="1" t="s">
        <v>7917</v>
      </c>
      <c r="F8303" s="1" t="s">
        <v>25</v>
      </c>
      <c r="G8303" s="1" t="s">
        <v>19</v>
      </c>
      <c r="H8303" s="1" t="str">
        <f>"61"</f>
        <v>61</v>
      </c>
      <c r="I8303" s="1" t="str">
        <f>"164.12"</f>
        <v>164.12</v>
      </c>
      <c r="J8303" s="1" t="str">
        <f t="shared" si="6051"/>
        <v>0</v>
      </c>
      <c r="K8303" s="1" t="str">
        <f t="shared" si="6052"/>
        <v>103</v>
      </c>
      <c r="L8303" s="1" t="str">
        <f t="shared" si="6053"/>
        <v>47</v>
      </c>
      <c r="M8303" s="1" t="str">
        <f t="shared" si="6032"/>
        <v>0</v>
      </c>
      <c r="N8303" s="1" t="str">
        <f t="shared" si="6033"/>
        <v>0</v>
      </c>
      <c r="O8303" s="1" t="str">
        <f>"14.12"</f>
        <v>14.12</v>
      </c>
    </row>
    <row r="8304" s="1" customFormat="1" spans="1:15">
      <c r="A8304" s="1" t="str">
        <f t="shared" si="6034"/>
        <v>202406</v>
      </c>
      <c r="B8304" s="1" t="str">
        <f t="shared" si="6035"/>
        <v>150525100</v>
      </c>
      <c r="C8304" s="1" t="str">
        <f>"1040937074"</f>
        <v>1040937074</v>
      </c>
      <c r="D8304" s="1" t="str">
        <f>"152326195910150663"</f>
        <v>152326195910150663</v>
      </c>
      <c r="E8304" s="1" t="s">
        <v>7918</v>
      </c>
      <c r="F8304" s="1" t="s">
        <v>16</v>
      </c>
      <c r="G8304" s="1" t="s">
        <v>17</v>
      </c>
      <c r="H8304" s="1" t="str">
        <f>"65"</f>
        <v>65</v>
      </c>
      <c r="I8304" s="1" t="str">
        <f>"157.59"</f>
        <v>157.59</v>
      </c>
      <c r="J8304" s="1" t="str">
        <f t="shared" si="6051"/>
        <v>0</v>
      </c>
      <c r="K8304" s="1" t="str">
        <f t="shared" si="6052"/>
        <v>103</v>
      </c>
      <c r="L8304" s="1" t="str">
        <f t="shared" si="6053"/>
        <v>47</v>
      </c>
      <c r="M8304" s="1" t="str">
        <f t="shared" si="6032"/>
        <v>0</v>
      </c>
      <c r="N8304" s="1" t="str">
        <f t="shared" si="6033"/>
        <v>0</v>
      </c>
      <c r="O8304" s="1" t="str">
        <f>"7.59"</f>
        <v>7.59</v>
      </c>
    </row>
    <row r="8305" s="1" customFormat="1" spans="1:15">
      <c r="A8305" s="1" t="str">
        <f t="shared" si="6034"/>
        <v>202406</v>
      </c>
      <c r="B8305" s="1" t="str">
        <f t="shared" si="6035"/>
        <v>150525100</v>
      </c>
      <c r="C8305" s="1" t="str">
        <f>"1040937077"</f>
        <v>1040937077</v>
      </c>
      <c r="D8305" s="1" t="str">
        <f>"152326195702220663"</f>
        <v>152326195702220663</v>
      </c>
      <c r="E8305" s="1" t="s">
        <v>7919</v>
      </c>
      <c r="F8305" s="1" t="s">
        <v>16</v>
      </c>
      <c r="G8305" s="1" t="s">
        <v>17</v>
      </c>
      <c r="H8305" s="1" t="str">
        <f>"67"</f>
        <v>67</v>
      </c>
      <c r="I8305" s="1" t="str">
        <f>"155.46"</f>
        <v>155.46</v>
      </c>
      <c r="J8305" s="1" t="str">
        <f t="shared" si="6051"/>
        <v>0</v>
      </c>
      <c r="K8305" s="1" t="str">
        <f t="shared" si="6052"/>
        <v>103</v>
      </c>
      <c r="L8305" s="1" t="str">
        <f t="shared" si="6053"/>
        <v>47</v>
      </c>
      <c r="M8305" s="1" t="str">
        <f t="shared" si="6032"/>
        <v>0</v>
      </c>
      <c r="N8305" s="1" t="str">
        <f t="shared" si="6033"/>
        <v>0</v>
      </c>
      <c r="O8305" s="1" t="str">
        <f>"5.46"</f>
        <v>5.46</v>
      </c>
    </row>
    <row r="8306" s="1" customFormat="1" spans="1:15">
      <c r="A8306" s="1" t="str">
        <f t="shared" si="6034"/>
        <v>202406</v>
      </c>
      <c r="B8306" s="1" t="str">
        <f t="shared" si="6035"/>
        <v>150525100</v>
      </c>
      <c r="C8306" s="1" t="str">
        <f>"1040937090"</f>
        <v>1040937090</v>
      </c>
      <c r="D8306" s="1" t="str">
        <f>"152326196010290673"</f>
        <v>152326196010290673</v>
      </c>
      <c r="E8306" s="1" t="s">
        <v>7920</v>
      </c>
      <c r="F8306" s="1" t="s">
        <v>25</v>
      </c>
      <c r="G8306" s="1" t="s">
        <v>17</v>
      </c>
      <c r="H8306" s="1" t="str">
        <f>"64"</f>
        <v>64</v>
      </c>
      <c r="I8306" s="1" t="str">
        <f>"158.65"</f>
        <v>158.65</v>
      </c>
      <c r="J8306" s="1" t="str">
        <f t="shared" si="6051"/>
        <v>0</v>
      </c>
      <c r="K8306" s="1" t="str">
        <f t="shared" si="6052"/>
        <v>103</v>
      </c>
      <c r="L8306" s="1" t="str">
        <f t="shared" si="6053"/>
        <v>47</v>
      </c>
      <c r="M8306" s="1" t="str">
        <f t="shared" si="6032"/>
        <v>0</v>
      </c>
      <c r="N8306" s="1" t="str">
        <f t="shared" si="6033"/>
        <v>0</v>
      </c>
      <c r="O8306" s="1" t="str">
        <f>"8.65"</f>
        <v>8.65</v>
      </c>
    </row>
    <row r="8307" s="1" customFormat="1" spans="1:15">
      <c r="A8307" s="1" t="str">
        <f t="shared" si="6034"/>
        <v>202406</v>
      </c>
      <c r="B8307" s="1" t="str">
        <f t="shared" si="6035"/>
        <v>150525100</v>
      </c>
      <c r="C8307" s="1" t="str">
        <f>"1040937100"</f>
        <v>1040937100</v>
      </c>
      <c r="D8307" s="1" t="str">
        <f>"152326195811050675"</f>
        <v>152326195811050675</v>
      </c>
      <c r="E8307" s="1" t="s">
        <v>7921</v>
      </c>
      <c r="F8307" s="1" t="s">
        <v>25</v>
      </c>
      <c r="G8307" s="1" t="s">
        <v>17</v>
      </c>
      <c r="H8307" s="1" t="str">
        <f>"66"</f>
        <v>66</v>
      </c>
      <c r="I8307" s="1" t="str">
        <f>"2338.49"</f>
        <v>2338.49</v>
      </c>
      <c r="J8307" s="1" t="str">
        <f t="shared" si="6051"/>
        <v>0</v>
      </c>
      <c r="K8307" s="1" t="str">
        <f t="shared" ref="K8307:O8307" si="6054">"0"</f>
        <v>0</v>
      </c>
      <c r="L8307" s="1" t="str">
        <f t="shared" si="6054"/>
        <v>0</v>
      </c>
      <c r="M8307" s="1" t="str">
        <f t="shared" si="6032"/>
        <v>0</v>
      </c>
      <c r="N8307" s="1" t="str">
        <f t="shared" si="6033"/>
        <v>0</v>
      </c>
      <c r="O8307" s="1" t="str">
        <f t="shared" si="6054"/>
        <v>0</v>
      </c>
    </row>
    <row r="8308" s="1" customFormat="1" spans="1:15">
      <c r="A8308" s="1" t="str">
        <f t="shared" si="6034"/>
        <v>202406</v>
      </c>
      <c r="B8308" s="1" t="str">
        <f t="shared" si="6035"/>
        <v>150525100</v>
      </c>
      <c r="C8308" s="1" t="str">
        <f>"1040937178"</f>
        <v>1040937178</v>
      </c>
      <c r="D8308" s="1" t="str">
        <f>"152326195704040666"</f>
        <v>152326195704040666</v>
      </c>
      <c r="E8308" s="1" t="s">
        <v>7922</v>
      </c>
      <c r="F8308" s="1" t="s">
        <v>16</v>
      </c>
      <c r="G8308" s="1" t="s">
        <v>17</v>
      </c>
      <c r="H8308" s="1" t="str">
        <f>"67"</f>
        <v>67</v>
      </c>
      <c r="I8308" s="1" t="str">
        <f>"155.47"</f>
        <v>155.47</v>
      </c>
      <c r="J8308" s="1" t="str">
        <f t="shared" si="6051"/>
        <v>0</v>
      </c>
      <c r="K8308" s="1" t="str">
        <f t="shared" ref="K8308:K8321" si="6055">"103"</f>
        <v>103</v>
      </c>
      <c r="L8308" s="1" t="str">
        <f t="shared" ref="L8308:L8321" si="6056">"47"</f>
        <v>47</v>
      </c>
      <c r="M8308" s="1" t="str">
        <f t="shared" si="6032"/>
        <v>0</v>
      </c>
      <c r="N8308" s="1" t="str">
        <f t="shared" si="6033"/>
        <v>0</v>
      </c>
      <c r="O8308" s="1" t="str">
        <f>"5.47"</f>
        <v>5.47</v>
      </c>
    </row>
    <row r="8309" s="1" customFormat="1" spans="1:15">
      <c r="A8309" s="1" t="str">
        <f t="shared" si="6034"/>
        <v>202406</v>
      </c>
      <c r="B8309" s="1" t="str">
        <f t="shared" si="6035"/>
        <v>150525100</v>
      </c>
      <c r="C8309" s="1" t="str">
        <f>"1040937210"</f>
        <v>1040937210</v>
      </c>
      <c r="D8309" s="1" t="str">
        <f>"152326195905280674"</f>
        <v>152326195905280674</v>
      </c>
      <c r="E8309" s="1" t="s">
        <v>7923</v>
      </c>
      <c r="F8309" s="1" t="s">
        <v>25</v>
      </c>
      <c r="G8309" s="1" t="s">
        <v>17</v>
      </c>
      <c r="H8309" s="1" t="str">
        <f>"65"</f>
        <v>65</v>
      </c>
      <c r="I8309" s="1" t="str">
        <f>"157.54"</f>
        <v>157.54</v>
      </c>
      <c r="J8309" s="1" t="str">
        <f t="shared" si="6051"/>
        <v>0</v>
      </c>
      <c r="K8309" s="1" t="str">
        <f t="shared" si="6055"/>
        <v>103</v>
      </c>
      <c r="L8309" s="1" t="str">
        <f t="shared" si="6056"/>
        <v>47</v>
      </c>
      <c r="M8309" s="1" t="str">
        <f t="shared" si="6032"/>
        <v>0</v>
      </c>
      <c r="N8309" s="1" t="str">
        <f t="shared" si="6033"/>
        <v>0</v>
      </c>
      <c r="O8309" s="1" t="str">
        <f>"7.54"</f>
        <v>7.54</v>
      </c>
    </row>
    <row r="8310" s="1" customFormat="1" spans="1:15">
      <c r="A8310" s="1" t="str">
        <f t="shared" si="6034"/>
        <v>202406</v>
      </c>
      <c r="B8310" s="1" t="str">
        <f t="shared" si="6035"/>
        <v>150525100</v>
      </c>
      <c r="C8310" s="1" t="str">
        <f>"1040937694"</f>
        <v>1040937694</v>
      </c>
      <c r="D8310" s="1" t="str">
        <f>"152326195505050423"</f>
        <v>152326195505050423</v>
      </c>
      <c r="E8310" s="1" t="s">
        <v>7924</v>
      </c>
      <c r="F8310" s="1" t="s">
        <v>16</v>
      </c>
      <c r="G8310" s="1" t="s">
        <v>17</v>
      </c>
      <c r="H8310" s="1" t="str">
        <f>"69"</f>
        <v>69</v>
      </c>
      <c r="I8310" s="1" t="str">
        <f>"153.62"</f>
        <v>153.62</v>
      </c>
      <c r="J8310" s="1" t="str">
        <f t="shared" si="6051"/>
        <v>0</v>
      </c>
      <c r="K8310" s="1" t="str">
        <f t="shared" si="6055"/>
        <v>103</v>
      </c>
      <c r="L8310" s="1" t="str">
        <f t="shared" si="6056"/>
        <v>47</v>
      </c>
      <c r="M8310" s="1" t="str">
        <f t="shared" si="6032"/>
        <v>0</v>
      </c>
      <c r="N8310" s="1" t="str">
        <f t="shared" si="6033"/>
        <v>0</v>
      </c>
      <c r="O8310" s="1" t="str">
        <f>"3.62"</f>
        <v>3.62</v>
      </c>
    </row>
    <row r="8311" s="1" customFormat="1" spans="1:15">
      <c r="A8311" s="1" t="str">
        <f t="shared" si="6034"/>
        <v>202406</v>
      </c>
      <c r="B8311" s="1" t="str">
        <f t="shared" si="6035"/>
        <v>150525100</v>
      </c>
      <c r="C8311" s="1" t="str">
        <f>"1040937240"</f>
        <v>1040937240</v>
      </c>
      <c r="D8311" s="1" t="str">
        <f>"152326196106070667"</f>
        <v>152326196106070667</v>
      </c>
      <c r="E8311" s="1" t="s">
        <v>7925</v>
      </c>
      <c r="F8311" s="1" t="s">
        <v>16</v>
      </c>
      <c r="G8311" s="1" t="s">
        <v>17</v>
      </c>
      <c r="H8311" s="1" t="str">
        <f>"63"</f>
        <v>63</v>
      </c>
      <c r="I8311" s="1" t="str">
        <f>"160.45"</f>
        <v>160.45</v>
      </c>
      <c r="J8311" s="1" t="str">
        <f t="shared" si="6051"/>
        <v>0</v>
      </c>
      <c r="K8311" s="1" t="str">
        <f t="shared" si="6055"/>
        <v>103</v>
      </c>
      <c r="L8311" s="1" t="str">
        <f t="shared" si="6056"/>
        <v>47</v>
      </c>
      <c r="M8311" s="1" t="str">
        <f t="shared" si="6032"/>
        <v>0</v>
      </c>
      <c r="N8311" s="1" t="str">
        <f t="shared" si="6033"/>
        <v>0</v>
      </c>
      <c r="O8311" s="1" t="str">
        <f>"10.45"</f>
        <v>10.45</v>
      </c>
    </row>
    <row r="8312" s="1" customFormat="1" spans="1:15">
      <c r="A8312" s="1" t="str">
        <f t="shared" si="6034"/>
        <v>202406</v>
      </c>
      <c r="B8312" s="1" t="str">
        <f t="shared" si="6035"/>
        <v>150525100</v>
      </c>
      <c r="C8312" s="1" t="str">
        <f>"1040937248"</f>
        <v>1040937248</v>
      </c>
      <c r="D8312" s="1" t="str">
        <f>"152326195809290661"</f>
        <v>152326195809290661</v>
      </c>
      <c r="E8312" s="1" t="s">
        <v>7926</v>
      </c>
      <c r="F8312" s="1" t="s">
        <v>16</v>
      </c>
      <c r="G8312" s="1" t="s">
        <v>17</v>
      </c>
      <c r="H8312" s="1" t="str">
        <f>"66"</f>
        <v>66</v>
      </c>
      <c r="I8312" s="1" t="str">
        <f>"156.53"</f>
        <v>156.53</v>
      </c>
      <c r="J8312" s="1" t="str">
        <f t="shared" si="6051"/>
        <v>0</v>
      </c>
      <c r="K8312" s="1" t="str">
        <f t="shared" si="6055"/>
        <v>103</v>
      </c>
      <c r="L8312" s="1" t="str">
        <f t="shared" si="6056"/>
        <v>47</v>
      </c>
      <c r="M8312" s="1" t="str">
        <f t="shared" si="6032"/>
        <v>0</v>
      </c>
      <c r="N8312" s="1" t="str">
        <f t="shared" si="6033"/>
        <v>0</v>
      </c>
      <c r="O8312" s="1" t="str">
        <f>"6.53"</f>
        <v>6.53</v>
      </c>
    </row>
    <row r="8313" s="1" customFormat="1" spans="1:15">
      <c r="A8313" s="1" t="str">
        <f t="shared" si="6034"/>
        <v>202406</v>
      </c>
      <c r="B8313" s="1" t="str">
        <f t="shared" si="6035"/>
        <v>150525100</v>
      </c>
      <c r="C8313" s="1" t="str">
        <f>"1040937249"</f>
        <v>1040937249</v>
      </c>
      <c r="D8313" s="1" t="s">
        <v>7927</v>
      </c>
      <c r="E8313" s="1" t="s">
        <v>7928</v>
      </c>
      <c r="F8313" s="1" t="s">
        <v>25</v>
      </c>
      <c r="G8313" s="1" t="s">
        <v>19</v>
      </c>
      <c r="H8313" s="1" t="str">
        <f>"65"</f>
        <v>65</v>
      </c>
      <c r="I8313" s="1" t="str">
        <f>"157.57"</f>
        <v>157.57</v>
      </c>
      <c r="J8313" s="1" t="str">
        <f t="shared" si="6051"/>
        <v>0</v>
      </c>
      <c r="K8313" s="1" t="str">
        <f t="shared" si="6055"/>
        <v>103</v>
      </c>
      <c r="L8313" s="1" t="str">
        <f t="shared" si="6056"/>
        <v>47</v>
      </c>
      <c r="M8313" s="1" t="str">
        <f t="shared" si="6032"/>
        <v>0</v>
      </c>
      <c r="N8313" s="1" t="str">
        <f t="shared" si="6033"/>
        <v>0</v>
      </c>
      <c r="O8313" s="1" t="str">
        <f>"7.57"</f>
        <v>7.57</v>
      </c>
    </row>
    <row r="8314" s="1" customFormat="1" spans="1:15">
      <c r="A8314" s="1" t="str">
        <f t="shared" si="6034"/>
        <v>202406</v>
      </c>
      <c r="B8314" s="1" t="str">
        <f t="shared" si="6035"/>
        <v>150525100</v>
      </c>
      <c r="C8314" s="1" t="str">
        <f>"1041161484"</f>
        <v>1041161484</v>
      </c>
      <c r="D8314" s="1" t="str">
        <f>"152326196007260422"</f>
        <v>152326196007260422</v>
      </c>
      <c r="E8314" s="1" t="s">
        <v>7929</v>
      </c>
      <c r="F8314" s="1" t="s">
        <v>16</v>
      </c>
      <c r="G8314" s="1" t="s">
        <v>17</v>
      </c>
      <c r="H8314" s="1" t="str">
        <f>"64"</f>
        <v>64</v>
      </c>
      <c r="I8314" s="1" t="str">
        <f>"158.37"</f>
        <v>158.37</v>
      </c>
      <c r="J8314" s="1" t="str">
        <f t="shared" si="6051"/>
        <v>0</v>
      </c>
      <c r="K8314" s="1" t="str">
        <f t="shared" si="6055"/>
        <v>103</v>
      </c>
      <c r="L8314" s="1" t="str">
        <f t="shared" si="6056"/>
        <v>47</v>
      </c>
      <c r="M8314" s="1" t="str">
        <f t="shared" si="6032"/>
        <v>0</v>
      </c>
      <c r="N8314" s="1" t="str">
        <f t="shared" si="6033"/>
        <v>0</v>
      </c>
      <c r="O8314" s="1" t="str">
        <f>"8.37"</f>
        <v>8.37</v>
      </c>
    </row>
    <row r="8315" s="1" customFormat="1" spans="1:15">
      <c r="A8315" s="1" t="str">
        <f t="shared" si="6034"/>
        <v>202406</v>
      </c>
      <c r="B8315" s="1" t="str">
        <f t="shared" si="6035"/>
        <v>150525100</v>
      </c>
      <c r="C8315" s="1" t="str">
        <f>"1041162386"</f>
        <v>1041162386</v>
      </c>
      <c r="D8315" s="1" t="str">
        <f>"152326195802067619"</f>
        <v>152326195802067619</v>
      </c>
      <c r="E8315" s="1" t="s">
        <v>7930</v>
      </c>
      <c r="F8315" s="1" t="s">
        <v>25</v>
      </c>
      <c r="G8315" s="1" t="s">
        <v>17</v>
      </c>
      <c r="H8315" s="1" t="str">
        <f>"66"</f>
        <v>66</v>
      </c>
      <c r="I8315" s="1" t="str">
        <f>"155.98"</f>
        <v>155.98</v>
      </c>
      <c r="J8315" s="1" t="str">
        <f t="shared" si="6051"/>
        <v>0</v>
      </c>
      <c r="K8315" s="1" t="str">
        <f t="shared" si="6055"/>
        <v>103</v>
      </c>
      <c r="L8315" s="1" t="str">
        <f t="shared" si="6056"/>
        <v>47</v>
      </c>
      <c r="M8315" s="1" t="str">
        <f t="shared" si="6032"/>
        <v>0</v>
      </c>
      <c r="N8315" s="1" t="str">
        <f t="shared" si="6033"/>
        <v>0</v>
      </c>
      <c r="O8315" s="1" t="str">
        <f>"5.98"</f>
        <v>5.98</v>
      </c>
    </row>
    <row r="8316" s="1" customFormat="1" spans="1:15">
      <c r="A8316" s="1" t="str">
        <f t="shared" si="6034"/>
        <v>202406</v>
      </c>
      <c r="B8316" s="1" t="str">
        <f t="shared" si="6035"/>
        <v>150525100</v>
      </c>
      <c r="C8316" s="1" t="str">
        <f>"1041162387"</f>
        <v>1041162387</v>
      </c>
      <c r="D8316" s="1" t="str">
        <f>"152326195903123085"</f>
        <v>152326195903123085</v>
      </c>
      <c r="E8316" s="1" t="s">
        <v>7931</v>
      </c>
      <c r="F8316" s="1" t="s">
        <v>16</v>
      </c>
      <c r="G8316" s="1" t="s">
        <v>19</v>
      </c>
      <c r="H8316" s="1" t="str">
        <f>"65"</f>
        <v>65</v>
      </c>
      <c r="I8316" s="1" t="str">
        <f>"157.26"</f>
        <v>157.26</v>
      </c>
      <c r="J8316" s="1" t="str">
        <f t="shared" si="6051"/>
        <v>0</v>
      </c>
      <c r="K8316" s="1" t="str">
        <f t="shared" si="6055"/>
        <v>103</v>
      </c>
      <c r="L8316" s="1" t="str">
        <f t="shared" si="6056"/>
        <v>47</v>
      </c>
      <c r="M8316" s="1" t="str">
        <f t="shared" si="6032"/>
        <v>0</v>
      </c>
      <c r="N8316" s="1" t="str">
        <f t="shared" si="6033"/>
        <v>0</v>
      </c>
      <c r="O8316" s="1" t="str">
        <f>"7.26"</f>
        <v>7.26</v>
      </c>
    </row>
    <row r="8317" s="1" customFormat="1" spans="1:15">
      <c r="A8317" s="1" t="str">
        <f t="shared" si="6034"/>
        <v>202406</v>
      </c>
      <c r="B8317" s="1" t="str">
        <f t="shared" si="6035"/>
        <v>150525100</v>
      </c>
      <c r="C8317" s="1" t="str">
        <f>"1041310568"</f>
        <v>1041310568</v>
      </c>
      <c r="D8317" s="1" t="str">
        <f>"152326196306030029"</f>
        <v>152326196306030029</v>
      </c>
      <c r="E8317" s="1" t="s">
        <v>7932</v>
      </c>
      <c r="F8317" s="1" t="s">
        <v>16</v>
      </c>
      <c r="G8317" s="1" t="s">
        <v>17</v>
      </c>
      <c r="H8317" s="1" t="str">
        <f>"61"</f>
        <v>61</v>
      </c>
      <c r="I8317" s="1" t="str">
        <f>"167.25"</f>
        <v>167.25</v>
      </c>
      <c r="J8317" s="1" t="str">
        <f t="shared" si="6051"/>
        <v>0</v>
      </c>
      <c r="K8317" s="1" t="str">
        <f t="shared" si="6055"/>
        <v>103</v>
      </c>
      <c r="L8317" s="1" t="str">
        <f t="shared" si="6056"/>
        <v>47</v>
      </c>
      <c r="M8317" s="1" t="str">
        <f t="shared" si="6032"/>
        <v>0</v>
      </c>
      <c r="N8317" s="1" t="str">
        <f t="shared" si="6033"/>
        <v>0</v>
      </c>
      <c r="O8317" s="1" t="str">
        <f>"17.25"</f>
        <v>17.25</v>
      </c>
    </row>
    <row r="8318" s="1" customFormat="1" spans="1:15">
      <c r="A8318" s="1" t="str">
        <f t="shared" si="6034"/>
        <v>202406</v>
      </c>
      <c r="B8318" s="1" t="str">
        <f t="shared" si="6035"/>
        <v>150525100</v>
      </c>
      <c r="C8318" s="1" t="str">
        <f>"1041310570"</f>
        <v>1041310570</v>
      </c>
      <c r="D8318" s="1" t="s">
        <v>7933</v>
      </c>
      <c r="E8318" s="1" t="s">
        <v>7934</v>
      </c>
      <c r="F8318" s="1" t="s">
        <v>25</v>
      </c>
      <c r="G8318" s="1" t="s">
        <v>17</v>
      </c>
      <c r="H8318" s="1" t="str">
        <f>"63"</f>
        <v>63</v>
      </c>
      <c r="I8318" s="1" t="str">
        <f>"158.9"</f>
        <v>158.9</v>
      </c>
      <c r="J8318" s="1" t="str">
        <f t="shared" si="6051"/>
        <v>0</v>
      </c>
      <c r="K8318" s="1" t="str">
        <f t="shared" si="6055"/>
        <v>103</v>
      </c>
      <c r="L8318" s="1" t="str">
        <f t="shared" si="6056"/>
        <v>47</v>
      </c>
      <c r="M8318" s="1" t="str">
        <f t="shared" ref="M8318:M8381" si="6057">"0"</f>
        <v>0</v>
      </c>
      <c r="N8318" s="1" t="str">
        <f t="shared" si="6033"/>
        <v>0</v>
      </c>
      <c r="O8318" s="1" t="str">
        <f>"8.9"</f>
        <v>8.9</v>
      </c>
    </row>
    <row r="8319" s="1" customFormat="1" spans="1:15">
      <c r="A8319" s="1" t="str">
        <f t="shared" si="6034"/>
        <v>202406</v>
      </c>
      <c r="B8319" s="1" t="str">
        <f t="shared" si="6035"/>
        <v>150525100</v>
      </c>
      <c r="C8319" s="1" t="str">
        <f>"1041317064"</f>
        <v>1041317064</v>
      </c>
      <c r="D8319" s="1" t="str">
        <f>"152326196401140023"</f>
        <v>152326196401140023</v>
      </c>
      <c r="E8319" s="1" t="s">
        <v>7935</v>
      </c>
      <c r="F8319" s="1" t="s">
        <v>16</v>
      </c>
      <c r="G8319" s="1" t="s">
        <v>17</v>
      </c>
      <c r="H8319" s="1" t="str">
        <f>"60"</f>
        <v>60</v>
      </c>
      <c r="I8319" s="1" t="str">
        <f>"185.83"</f>
        <v>185.83</v>
      </c>
      <c r="J8319" s="1" t="str">
        <f t="shared" si="6051"/>
        <v>0</v>
      </c>
      <c r="K8319" s="1" t="str">
        <f t="shared" si="6055"/>
        <v>103</v>
      </c>
      <c r="L8319" s="1" t="str">
        <f t="shared" si="6056"/>
        <v>47</v>
      </c>
      <c r="M8319" s="1" t="str">
        <f t="shared" si="6057"/>
        <v>0</v>
      </c>
      <c r="N8319" s="1" t="str">
        <f t="shared" ref="N8319:N8382" si="6058">"0"</f>
        <v>0</v>
      </c>
      <c r="O8319" s="1" t="str">
        <f>"35.83"</f>
        <v>35.83</v>
      </c>
    </row>
    <row r="8320" s="1" customFormat="1" spans="1:15">
      <c r="A8320" s="1" t="str">
        <f t="shared" si="6034"/>
        <v>202406</v>
      </c>
      <c r="B8320" s="1" t="str">
        <f t="shared" si="6035"/>
        <v>150525100</v>
      </c>
      <c r="C8320" s="1" t="str">
        <f>"1041451602"</f>
        <v>1041451602</v>
      </c>
      <c r="D8320" s="1" t="str">
        <f>"152326195601036402"</f>
        <v>152326195601036402</v>
      </c>
      <c r="E8320" s="1" t="s">
        <v>7936</v>
      </c>
      <c r="F8320" s="1" t="s">
        <v>16</v>
      </c>
      <c r="G8320" s="1" t="s">
        <v>17</v>
      </c>
      <c r="H8320" s="1" t="str">
        <f>"69"</f>
        <v>69</v>
      </c>
      <c r="I8320" s="1" t="str">
        <f>"154.32"</f>
        <v>154.32</v>
      </c>
      <c r="J8320" s="1" t="str">
        <f t="shared" si="6051"/>
        <v>0</v>
      </c>
      <c r="K8320" s="1" t="str">
        <f t="shared" si="6055"/>
        <v>103</v>
      </c>
      <c r="L8320" s="1" t="str">
        <f t="shared" si="6056"/>
        <v>47</v>
      </c>
      <c r="M8320" s="1" t="str">
        <f t="shared" si="6057"/>
        <v>0</v>
      </c>
      <c r="N8320" s="1" t="str">
        <f t="shared" si="6058"/>
        <v>0</v>
      </c>
      <c r="O8320" s="1" t="str">
        <f>"4.32"</f>
        <v>4.32</v>
      </c>
    </row>
    <row r="8321" s="1" customFormat="1" spans="1:15">
      <c r="A8321" s="1" t="str">
        <f t="shared" si="6034"/>
        <v>202406</v>
      </c>
      <c r="B8321" s="1" t="str">
        <f t="shared" si="6035"/>
        <v>150525100</v>
      </c>
      <c r="C8321" s="1" t="str">
        <f>"1041280603"</f>
        <v>1041280603</v>
      </c>
      <c r="D8321" s="1" t="str">
        <f>"152326195910100420"</f>
        <v>152326195910100420</v>
      </c>
      <c r="E8321" s="1" t="s">
        <v>940</v>
      </c>
      <c r="F8321" s="1" t="s">
        <v>16</v>
      </c>
      <c r="G8321" s="1" t="s">
        <v>17</v>
      </c>
      <c r="H8321" s="1" t="str">
        <f>"65"</f>
        <v>65</v>
      </c>
      <c r="I8321" s="1" t="str">
        <f>"156.06"</f>
        <v>156.06</v>
      </c>
      <c r="J8321" s="1" t="str">
        <f t="shared" si="6051"/>
        <v>0</v>
      </c>
      <c r="K8321" s="1" t="str">
        <f t="shared" si="6055"/>
        <v>103</v>
      </c>
      <c r="L8321" s="1" t="str">
        <f t="shared" si="6056"/>
        <v>47</v>
      </c>
      <c r="M8321" s="1" t="str">
        <f t="shared" si="6057"/>
        <v>0</v>
      </c>
      <c r="N8321" s="1" t="str">
        <f t="shared" si="6058"/>
        <v>0</v>
      </c>
      <c r="O8321" s="1" t="str">
        <f>"6.06"</f>
        <v>6.06</v>
      </c>
    </row>
    <row r="8322" s="1" customFormat="1" spans="1:15">
      <c r="A8322" s="1" t="str">
        <f t="shared" ref="A8322:A8385" si="6059">"202406"</f>
        <v>202406</v>
      </c>
      <c r="B8322" s="1" t="str">
        <f t="shared" ref="B8322:B8385" si="6060">"150525100"</f>
        <v>150525100</v>
      </c>
      <c r="C8322" s="1" t="str">
        <f>"1041286407"</f>
        <v>1041286407</v>
      </c>
      <c r="D8322" s="1" t="str">
        <f>"152326196006220410"</f>
        <v>152326196006220410</v>
      </c>
      <c r="E8322" s="1" t="s">
        <v>7937</v>
      </c>
      <c r="F8322" s="1" t="s">
        <v>25</v>
      </c>
      <c r="G8322" s="1" t="s">
        <v>17</v>
      </c>
      <c r="H8322" s="1" t="str">
        <f>"64"</f>
        <v>64</v>
      </c>
      <c r="I8322" s="1" t="str">
        <f>"471.21"</f>
        <v>471.21</v>
      </c>
      <c r="J8322" s="1" t="str">
        <f>"314.14"</f>
        <v>314.14</v>
      </c>
      <c r="K8322" s="1" t="str">
        <f>"309"</f>
        <v>309</v>
      </c>
      <c r="L8322" s="1" t="str">
        <f>"141"</f>
        <v>141</v>
      </c>
      <c r="M8322" s="1" t="str">
        <f t="shared" si="6057"/>
        <v>0</v>
      </c>
      <c r="N8322" s="1" t="str">
        <f t="shared" si="6058"/>
        <v>0</v>
      </c>
      <c r="O8322" s="1" t="str">
        <f>"21.21"</f>
        <v>21.21</v>
      </c>
    </row>
    <row r="8323" s="1" customFormat="1" spans="1:15">
      <c r="A8323" s="1" t="str">
        <f t="shared" si="6059"/>
        <v>202406</v>
      </c>
      <c r="B8323" s="1" t="str">
        <f t="shared" si="6060"/>
        <v>150525100</v>
      </c>
      <c r="C8323" s="1" t="str">
        <f>"1041286837"</f>
        <v>1041286837</v>
      </c>
      <c r="D8323" s="1" t="str">
        <f>"152326196112040421"</f>
        <v>152326196112040421</v>
      </c>
      <c r="E8323" s="1" t="s">
        <v>7938</v>
      </c>
      <c r="F8323" s="1" t="s">
        <v>16</v>
      </c>
      <c r="G8323" s="1" t="s">
        <v>17</v>
      </c>
      <c r="H8323" s="1" t="str">
        <f>"63"</f>
        <v>63</v>
      </c>
      <c r="I8323" s="1" t="str">
        <f>"158.96"</f>
        <v>158.96</v>
      </c>
      <c r="J8323" s="1" t="str">
        <f t="shared" ref="J8323:J8329" si="6061">"0"</f>
        <v>0</v>
      </c>
      <c r="K8323" s="1" t="str">
        <f t="shared" ref="K8323:K8329" si="6062">"103"</f>
        <v>103</v>
      </c>
      <c r="L8323" s="1" t="str">
        <f t="shared" ref="L8323:L8329" si="6063">"47"</f>
        <v>47</v>
      </c>
      <c r="M8323" s="1" t="str">
        <f t="shared" si="6057"/>
        <v>0</v>
      </c>
      <c r="N8323" s="1" t="str">
        <f t="shared" si="6058"/>
        <v>0</v>
      </c>
      <c r="O8323" s="1" t="str">
        <f>"8.96"</f>
        <v>8.96</v>
      </c>
    </row>
    <row r="8324" s="1" customFormat="1" spans="1:15">
      <c r="A8324" s="1" t="str">
        <f t="shared" si="6059"/>
        <v>202406</v>
      </c>
      <c r="B8324" s="1" t="str">
        <f t="shared" si="6060"/>
        <v>150525100</v>
      </c>
      <c r="C8324" s="1" t="str">
        <f>"1041403449"</f>
        <v>1041403449</v>
      </c>
      <c r="D8324" s="1" t="str">
        <f>"152326196304183822"</f>
        <v>152326196304183822</v>
      </c>
      <c r="E8324" s="1" t="s">
        <v>7939</v>
      </c>
      <c r="F8324" s="1" t="s">
        <v>16</v>
      </c>
      <c r="G8324" s="1" t="s">
        <v>17</v>
      </c>
      <c r="H8324" s="1" t="str">
        <f>"61"</f>
        <v>61</v>
      </c>
      <c r="I8324" s="1" t="str">
        <f>"166.41"</f>
        <v>166.41</v>
      </c>
      <c r="J8324" s="1" t="str">
        <f t="shared" si="6061"/>
        <v>0</v>
      </c>
      <c r="K8324" s="1" t="str">
        <f t="shared" si="6062"/>
        <v>103</v>
      </c>
      <c r="L8324" s="1" t="str">
        <f t="shared" si="6063"/>
        <v>47</v>
      </c>
      <c r="M8324" s="1" t="str">
        <f t="shared" si="6057"/>
        <v>0</v>
      </c>
      <c r="N8324" s="1" t="str">
        <f t="shared" si="6058"/>
        <v>0</v>
      </c>
      <c r="O8324" s="1" t="str">
        <f>"16.41"</f>
        <v>16.41</v>
      </c>
    </row>
    <row r="8325" s="1" customFormat="1" spans="1:15">
      <c r="A8325" s="1" t="str">
        <f t="shared" si="6059"/>
        <v>202406</v>
      </c>
      <c r="B8325" s="1" t="str">
        <f t="shared" si="6060"/>
        <v>150525100</v>
      </c>
      <c r="C8325" s="1" t="str">
        <f>"1041558709"</f>
        <v>1041558709</v>
      </c>
      <c r="D8325" s="1" t="str">
        <f>"152326195807030911"</f>
        <v>152326195807030911</v>
      </c>
      <c r="E8325" s="1" t="s">
        <v>7940</v>
      </c>
      <c r="F8325" s="1" t="s">
        <v>25</v>
      </c>
      <c r="G8325" s="1" t="s">
        <v>19</v>
      </c>
      <c r="H8325" s="1" t="str">
        <f>"66"</f>
        <v>66</v>
      </c>
      <c r="I8325" s="1" t="str">
        <f>"155.97"</f>
        <v>155.97</v>
      </c>
      <c r="J8325" s="1" t="str">
        <f t="shared" si="6061"/>
        <v>0</v>
      </c>
      <c r="K8325" s="1" t="str">
        <f t="shared" si="6062"/>
        <v>103</v>
      </c>
      <c r="L8325" s="1" t="str">
        <f t="shared" si="6063"/>
        <v>47</v>
      </c>
      <c r="M8325" s="1" t="str">
        <f t="shared" si="6057"/>
        <v>0</v>
      </c>
      <c r="N8325" s="1" t="str">
        <f t="shared" si="6058"/>
        <v>0</v>
      </c>
      <c r="O8325" s="1" t="str">
        <f>"5.97"</f>
        <v>5.97</v>
      </c>
    </row>
    <row r="8326" s="1" customFormat="1" spans="1:15">
      <c r="A8326" s="1" t="str">
        <f t="shared" si="6059"/>
        <v>202406</v>
      </c>
      <c r="B8326" s="1" t="str">
        <f t="shared" si="6060"/>
        <v>150525100</v>
      </c>
      <c r="C8326" s="1" t="str">
        <f>"1041288370"</f>
        <v>1041288370</v>
      </c>
      <c r="D8326" s="1" t="str">
        <f>"152326195806280679"</f>
        <v>152326195806280679</v>
      </c>
      <c r="E8326" s="1" t="s">
        <v>275</v>
      </c>
      <c r="F8326" s="1" t="s">
        <v>25</v>
      </c>
      <c r="G8326" s="1" t="s">
        <v>96</v>
      </c>
      <c r="H8326" s="1" t="str">
        <f>"66"</f>
        <v>66</v>
      </c>
      <c r="I8326" s="1" t="str">
        <f>"186.23"</f>
        <v>186.23</v>
      </c>
      <c r="J8326" s="1" t="str">
        <f t="shared" si="6061"/>
        <v>0</v>
      </c>
      <c r="K8326" s="1" t="str">
        <f t="shared" si="6062"/>
        <v>103</v>
      </c>
      <c r="L8326" s="1" t="str">
        <f t="shared" si="6063"/>
        <v>47</v>
      </c>
      <c r="M8326" s="1" t="str">
        <f t="shared" si="6057"/>
        <v>0</v>
      </c>
      <c r="N8326" s="1" t="str">
        <f t="shared" si="6058"/>
        <v>0</v>
      </c>
      <c r="O8326" s="1" t="str">
        <f>"36.23"</f>
        <v>36.23</v>
      </c>
    </row>
    <row r="8327" s="1" customFormat="1" spans="1:15">
      <c r="A8327" s="1" t="str">
        <f t="shared" si="6059"/>
        <v>202406</v>
      </c>
      <c r="B8327" s="1" t="str">
        <f t="shared" si="6060"/>
        <v>150525100</v>
      </c>
      <c r="C8327" s="1" t="str">
        <f>"1041305748"</f>
        <v>1041305748</v>
      </c>
      <c r="D8327" s="1" t="str">
        <f>"152326196006246127"</f>
        <v>152326196006246127</v>
      </c>
      <c r="E8327" s="1" t="s">
        <v>7941</v>
      </c>
      <c r="F8327" s="1" t="s">
        <v>16</v>
      </c>
      <c r="G8327" s="1" t="s">
        <v>17</v>
      </c>
      <c r="H8327" s="1" t="str">
        <f>"64"</f>
        <v>64</v>
      </c>
      <c r="I8327" s="1" t="str">
        <f>"157.36"</f>
        <v>157.36</v>
      </c>
      <c r="J8327" s="1" t="str">
        <f t="shared" si="6061"/>
        <v>0</v>
      </c>
      <c r="K8327" s="1" t="str">
        <f t="shared" si="6062"/>
        <v>103</v>
      </c>
      <c r="L8327" s="1" t="str">
        <f t="shared" si="6063"/>
        <v>47</v>
      </c>
      <c r="M8327" s="1" t="str">
        <f t="shared" si="6057"/>
        <v>0</v>
      </c>
      <c r="N8327" s="1" t="str">
        <f t="shared" si="6058"/>
        <v>0</v>
      </c>
      <c r="O8327" s="1" t="str">
        <f>"7.36"</f>
        <v>7.36</v>
      </c>
    </row>
    <row r="8328" s="1" customFormat="1" spans="1:15">
      <c r="A8328" s="1" t="str">
        <f t="shared" si="6059"/>
        <v>202406</v>
      </c>
      <c r="B8328" s="1" t="str">
        <f t="shared" si="6060"/>
        <v>150525100</v>
      </c>
      <c r="C8328" s="1" t="str">
        <f>"1041285422"</f>
        <v>1041285422</v>
      </c>
      <c r="D8328" s="1" t="str">
        <f>"152326196212183323"</f>
        <v>152326196212183323</v>
      </c>
      <c r="E8328" s="1" t="s">
        <v>476</v>
      </c>
      <c r="F8328" s="1" t="s">
        <v>16</v>
      </c>
      <c r="G8328" s="1" t="s">
        <v>17</v>
      </c>
      <c r="H8328" s="1" t="str">
        <f>"62"</f>
        <v>62</v>
      </c>
      <c r="I8328" s="1" t="str">
        <f>"162.95"</f>
        <v>162.95</v>
      </c>
      <c r="J8328" s="1" t="str">
        <f t="shared" si="6061"/>
        <v>0</v>
      </c>
      <c r="K8328" s="1" t="str">
        <f t="shared" si="6062"/>
        <v>103</v>
      </c>
      <c r="L8328" s="1" t="str">
        <f t="shared" si="6063"/>
        <v>47</v>
      </c>
      <c r="M8328" s="1" t="str">
        <f t="shared" si="6057"/>
        <v>0</v>
      </c>
      <c r="N8328" s="1" t="str">
        <f t="shared" si="6058"/>
        <v>0</v>
      </c>
      <c r="O8328" s="1" t="str">
        <f>"12.95"</f>
        <v>12.95</v>
      </c>
    </row>
    <row r="8329" s="1" customFormat="1" spans="1:15">
      <c r="A8329" s="1" t="str">
        <f t="shared" si="6059"/>
        <v>202406</v>
      </c>
      <c r="B8329" s="1" t="str">
        <f t="shared" si="6060"/>
        <v>150525100</v>
      </c>
      <c r="C8329" s="1" t="str">
        <f>"1041307336"</f>
        <v>1041307336</v>
      </c>
      <c r="D8329" s="1" t="str">
        <f>"152326196109100040"</f>
        <v>152326196109100040</v>
      </c>
      <c r="E8329" s="1" t="s">
        <v>7942</v>
      </c>
      <c r="F8329" s="1" t="s">
        <v>16</v>
      </c>
      <c r="G8329" s="1" t="s">
        <v>17</v>
      </c>
      <c r="H8329" s="1" t="str">
        <f>"63"</f>
        <v>63</v>
      </c>
      <c r="I8329" s="1" t="str">
        <f>"159.23"</f>
        <v>159.23</v>
      </c>
      <c r="J8329" s="1" t="str">
        <f t="shared" si="6061"/>
        <v>0</v>
      </c>
      <c r="K8329" s="1" t="str">
        <f t="shared" si="6062"/>
        <v>103</v>
      </c>
      <c r="L8329" s="1" t="str">
        <f t="shared" si="6063"/>
        <v>47</v>
      </c>
      <c r="M8329" s="1" t="str">
        <f t="shared" si="6057"/>
        <v>0</v>
      </c>
      <c r="N8329" s="1" t="str">
        <f t="shared" si="6058"/>
        <v>0</v>
      </c>
      <c r="O8329" s="1" t="str">
        <f>"9.23"</f>
        <v>9.23</v>
      </c>
    </row>
    <row r="8330" s="1" customFormat="1" spans="1:15">
      <c r="A8330" s="1" t="str">
        <f t="shared" si="6059"/>
        <v>202406</v>
      </c>
      <c r="B8330" s="1" t="str">
        <f t="shared" si="6060"/>
        <v>150525100</v>
      </c>
      <c r="C8330" s="1" t="str">
        <f>"1041305066"</f>
        <v>1041305066</v>
      </c>
      <c r="D8330" s="1" t="str">
        <f>"152326195611290420"</f>
        <v>152326195611290420</v>
      </c>
      <c r="E8330" s="1" t="s">
        <v>7943</v>
      </c>
      <c r="F8330" s="1" t="s">
        <v>16</v>
      </c>
      <c r="G8330" s="1" t="s">
        <v>17</v>
      </c>
      <c r="H8330" s="1" t="str">
        <f>"68"</f>
        <v>68</v>
      </c>
      <c r="I8330" s="1" t="str">
        <f>"930.24"</f>
        <v>930.24</v>
      </c>
      <c r="J8330" s="1" t="str">
        <f>"775.2"</f>
        <v>775.2</v>
      </c>
      <c r="K8330" s="1" t="str">
        <f>"618"</f>
        <v>618</v>
      </c>
      <c r="L8330" s="1" t="str">
        <f>"282"</f>
        <v>282</v>
      </c>
      <c r="M8330" s="1" t="str">
        <f t="shared" si="6057"/>
        <v>0</v>
      </c>
      <c r="N8330" s="1" t="str">
        <f t="shared" si="6058"/>
        <v>0</v>
      </c>
      <c r="O8330" s="1" t="str">
        <f>"30.24"</f>
        <v>30.24</v>
      </c>
    </row>
    <row r="8331" s="1" customFormat="1" spans="1:15">
      <c r="A8331" s="1" t="str">
        <f t="shared" si="6059"/>
        <v>202406</v>
      </c>
      <c r="B8331" s="1" t="str">
        <f t="shared" si="6060"/>
        <v>150525100</v>
      </c>
      <c r="C8331" s="1" t="str">
        <f>"1041307454"</f>
        <v>1041307454</v>
      </c>
      <c r="D8331" s="1" t="str">
        <f>"150525195909120013"</f>
        <v>150525195909120013</v>
      </c>
      <c r="E8331" s="1" t="s">
        <v>7944</v>
      </c>
      <c r="F8331" s="1" t="s">
        <v>25</v>
      </c>
      <c r="G8331" s="1" t="s">
        <v>17</v>
      </c>
      <c r="H8331" s="1" t="str">
        <f>"65"</f>
        <v>65</v>
      </c>
      <c r="I8331" s="1" t="str">
        <f>"152.69"</f>
        <v>152.69</v>
      </c>
      <c r="J8331" s="1" t="str">
        <f t="shared" ref="J8331:J8379" si="6064">"0"</f>
        <v>0</v>
      </c>
      <c r="K8331" s="1" t="str">
        <f t="shared" ref="K8331:K8379" si="6065">"103"</f>
        <v>103</v>
      </c>
      <c r="L8331" s="1" t="str">
        <f t="shared" ref="L8331:L8379" si="6066">"47"</f>
        <v>47</v>
      </c>
      <c r="M8331" s="1" t="str">
        <f t="shared" si="6057"/>
        <v>0</v>
      </c>
      <c r="N8331" s="1" t="str">
        <f t="shared" si="6058"/>
        <v>0</v>
      </c>
      <c r="O8331" s="1" t="str">
        <f>"2.69"</f>
        <v>2.69</v>
      </c>
    </row>
    <row r="8332" s="1" customFormat="1" spans="1:15">
      <c r="A8332" s="1" t="str">
        <f t="shared" si="6059"/>
        <v>202406</v>
      </c>
      <c r="B8332" s="1" t="str">
        <f t="shared" si="6060"/>
        <v>150525100</v>
      </c>
      <c r="C8332" s="1" t="str">
        <f>"1041767003"</f>
        <v>1041767003</v>
      </c>
      <c r="D8332" s="1" t="str">
        <f>"152326195908160686"</f>
        <v>152326195908160686</v>
      </c>
      <c r="E8332" s="1" t="s">
        <v>7945</v>
      </c>
      <c r="F8332" s="1" t="s">
        <v>16</v>
      </c>
      <c r="G8332" s="1" t="s">
        <v>17</v>
      </c>
      <c r="H8332" s="1" t="str">
        <f>"65"</f>
        <v>65</v>
      </c>
      <c r="I8332" s="1" t="str">
        <f>"155.76"</f>
        <v>155.76</v>
      </c>
      <c r="J8332" s="1" t="str">
        <f t="shared" si="6064"/>
        <v>0</v>
      </c>
      <c r="K8332" s="1" t="str">
        <f t="shared" si="6065"/>
        <v>103</v>
      </c>
      <c r="L8332" s="1" t="str">
        <f t="shared" si="6066"/>
        <v>47</v>
      </c>
      <c r="M8332" s="1" t="str">
        <f t="shared" si="6057"/>
        <v>0</v>
      </c>
      <c r="N8332" s="1" t="str">
        <f t="shared" si="6058"/>
        <v>0</v>
      </c>
      <c r="O8332" s="1" t="str">
        <f>"5.76"</f>
        <v>5.76</v>
      </c>
    </row>
    <row r="8333" s="1" customFormat="1" spans="1:15">
      <c r="A8333" s="1" t="str">
        <f t="shared" si="6059"/>
        <v>202406</v>
      </c>
      <c r="B8333" s="1" t="str">
        <f t="shared" si="6060"/>
        <v>150525100</v>
      </c>
      <c r="C8333" s="1" t="str">
        <f>"1041730435"</f>
        <v>1041730435</v>
      </c>
      <c r="D8333" s="1" t="str">
        <f>"152326195411260673"</f>
        <v>152326195411260673</v>
      </c>
      <c r="E8333" s="1" t="s">
        <v>71</v>
      </c>
      <c r="F8333" s="1" t="s">
        <v>25</v>
      </c>
      <c r="G8333" s="1" t="s">
        <v>17</v>
      </c>
      <c r="H8333" s="1" t="str">
        <f>"70"</f>
        <v>70</v>
      </c>
      <c r="I8333" s="1" t="str">
        <f>"150"</f>
        <v>150</v>
      </c>
      <c r="J8333" s="1" t="str">
        <f t="shared" si="6064"/>
        <v>0</v>
      </c>
      <c r="K8333" s="1" t="str">
        <f t="shared" si="6065"/>
        <v>103</v>
      </c>
      <c r="L8333" s="1" t="str">
        <f t="shared" si="6066"/>
        <v>47</v>
      </c>
      <c r="M8333" s="1" t="str">
        <f t="shared" si="6057"/>
        <v>0</v>
      </c>
      <c r="N8333" s="1" t="str">
        <f t="shared" si="6058"/>
        <v>0</v>
      </c>
      <c r="O8333" s="1" t="str">
        <f>"0"</f>
        <v>0</v>
      </c>
    </row>
    <row r="8334" s="1" customFormat="1" spans="1:15">
      <c r="A8334" s="1" t="str">
        <f t="shared" si="6059"/>
        <v>202406</v>
      </c>
      <c r="B8334" s="1" t="str">
        <f t="shared" si="6060"/>
        <v>150525100</v>
      </c>
      <c r="C8334" s="1" t="str">
        <f>"1041807123"</f>
        <v>1041807123</v>
      </c>
      <c r="D8334" s="1" t="str">
        <f>"152326196105263088"</f>
        <v>152326196105263088</v>
      </c>
      <c r="E8334" s="1" t="s">
        <v>7946</v>
      </c>
      <c r="F8334" s="1" t="s">
        <v>16</v>
      </c>
      <c r="G8334" s="1" t="s">
        <v>17</v>
      </c>
      <c r="H8334" s="1" t="str">
        <f>"63"</f>
        <v>63</v>
      </c>
      <c r="I8334" s="1" t="str">
        <f>"158.6"</f>
        <v>158.6</v>
      </c>
      <c r="J8334" s="1" t="str">
        <f t="shared" si="6064"/>
        <v>0</v>
      </c>
      <c r="K8334" s="1" t="str">
        <f t="shared" si="6065"/>
        <v>103</v>
      </c>
      <c r="L8334" s="1" t="str">
        <f t="shared" si="6066"/>
        <v>47</v>
      </c>
      <c r="M8334" s="1" t="str">
        <f t="shared" si="6057"/>
        <v>0</v>
      </c>
      <c r="N8334" s="1" t="str">
        <f t="shared" si="6058"/>
        <v>0</v>
      </c>
      <c r="O8334" s="1" t="str">
        <f>"8.6"</f>
        <v>8.6</v>
      </c>
    </row>
    <row r="8335" s="1" customFormat="1" spans="1:15">
      <c r="A8335" s="1" t="str">
        <f t="shared" si="6059"/>
        <v>202406</v>
      </c>
      <c r="B8335" s="1" t="str">
        <f t="shared" si="6060"/>
        <v>150525100</v>
      </c>
      <c r="C8335" s="1" t="str">
        <f>"1041824470"</f>
        <v>1041824470</v>
      </c>
      <c r="D8335" s="1" t="str">
        <f>"152326195703131179"</f>
        <v>152326195703131179</v>
      </c>
      <c r="E8335" s="1" t="s">
        <v>7947</v>
      </c>
      <c r="F8335" s="1" t="s">
        <v>25</v>
      </c>
      <c r="G8335" s="1" t="s">
        <v>17</v>
      </c>
      <c r="H8335" s="1" t="str">
        <f>"67"</f>
        <v>67</v>
      </c>
      <c r="I8335" s="1" t="str">
        <f>"155.04"</f>
        <v>155.04</v>
      </c>
      <c r="J8335" s="1" t="str">
        <f t="shared" si="6064"/>
        <v>0</v>
      </c>
      <c r="K8335" s="1" t="str">
        <f t="shared" si="6065"/>
        <v>103</v>
      </c>
      <c r="L8335" s="1" t="str">
        <f t="shared" si="6066"/>
        <v>47</v>
      </c>
      <c r="M8335" s="1" t="str">
        <f t="shared" si="6057"/>
        <v>0</v>
      </c>
      <c r="N8335" s="1" t="str">
        <f t="shared" si="6058"/>
        <v>0</v>
      </c>
      <c r="O8335" s="1" t="str">
        <f>"5.04"</f>
        <v>5.04</v>
      </c>
    </row>
    <row r="8336" s="1" customFormat="1" spans="1:15">
      <c r="A8336" s="1" t="str">
        <f t="shared" si="6059"/>
        <v>202406</v>
      </c>
      <c r="B8336" s="1" t="str">
        <f t="shared" si="6060"/>
        <v>150525100</v>
      </c>
      <c r="C8336" s="1" t="str">
        <f>"1041832716"</f>
        <v>1041832716</v>
      </c>
      <c r="D8336" s="1" t="str">
        <f>"152326195802260670"</f>
        <v>152326195802260670</v>
      </c>
      <c r="E8336" s="1" t="s">
        <v>7948</v>
      </c>
      <c r="F8336" s="1" t="s">
        <v>25</v>
      </c>
      <c r="G8336" s="1" t="s">
        <v>17</v>
      </c>
      <c r="H8336" s="1" t="str">
        <f>"66"</f>
        <v>66</v>
      </c>
      <c r="I8336" s="1" t="str">
        <f>"155.76"</f>
        <v>155.76</v>
      </c>
      <c r="J8336" s="1" t="str">
        <f t="shared" si="6064"/>
        <v>0</v>
      </c>
      <c r="K8336" s="1" t="str">
        <f t="shared" si="6065"/>
        <v>103</v>
      </c>
      <c r="L8336" s="1" t="str">
        <f t="shared" si="6066"/>
        <v>47</v>
      </c>
      <c r="M8336" s="1" t="str">
        <f t="shared" si="6057"/>
        <v>0</v>
      </c>
      <c r="N8336" s="1" t="str">
        <f t="shared" si="6058"/>
        <v>0</v>
      </c>
      <c r="O8336" s="1" t="str">
        <f>"5.76"</f>
        <v>5.76</v>
      </c>
    </row>
    <row r="8337" s="1" customFormat="1" spans="1:15">
      <c r="A8337" s="1" t="str">
        <f t="shared" si="6059"/>
        <v>202406</v>
      </c>
      <c r="B8337" s="1" t="str">
        <f t="shared" si="6060"/>
        <v>150525100</v>
      </c>
      <c r="C8337" s="1" t="str">
        <f>"1041781500"</f>
        <v>1041781500</v>
      </c>
      <c r="D8337" s="1" t="str">
        <f>"152326195912010672"</f>
        <v>152326195912010672</v>
      </c>
      <c r="E8337" s="1" t="s">
        <v>7949</v>
      </c>
      <c r="F8337" s="1" t="s">
        <v>25</v>
      </c>
      <c r="G8337" s="1" t="s">
        <v>17</v>
      </c>
      <c r="H8337" s="1" t="str">
        <f>"65"</f>
        <v>65</v>
      </c>
      <c r="I8337" s="1" t="str">
        <f>"155.77"</f>
        <v>155.77</v>
      </c>
      <c r="J8337" s="1" t="str">
        <f t="shared" si="6064"/>
        <v>0</v>
      </c>
      <c r="K8337" s="1" t="str">
        <f t="shared" si="6065"/>
        <v>103</v>
      </c>
      <c r="L8337" s="1" t="str">
        <f t="shared" si="6066"/>
        <v>47</v>
      </c>
      <c r="M8337" s="1" t="str">
        <f t="shared" si="6057"/>
        <v>0</v>
      </c>
      <c r="N8337" s="1" t="str">
        <f t="shared" si="6058"/>
        <v>0</v>
      </c>
      <c r="O8337" s="1" t="str">
        <f>"5.77"</f>
        <v>5.77</v>
      </c>
    </row>
    <row r="8338" s="1" customFormat="1" spans="1:15">
      <c r="A8338" s="1" t="str">
        <f t="shared" si="6059"/>
        <v>202406</v>
      </c>
      <c r="B8338" s="1" t="str">
        <f t="shared" si="6060"/>
        <v>150525100</v>
      </c>
      <c r="C8338" s="1" t="str">
        <f>"1041602115"</f>
        <v>1041602115</v>
      </c>
      <c r="D8338" s="1" t="str">
        <f>"152326196006033084"</f>
        <v>152326196006033084</v>
      </c>
      <c r="E8338" s="1" t="s">
        <v>7950</v>
      </c>
      <c r="F8338" s="1" t="s">
        <v>16</v>
      </c>
      <c r="G8338" s="1" t="s">
        <v>17</v>
      </c>
      <c r="H8338" s="1" t="str">
        <f t="shared" ref="H8338:H8343" si="6067">"64"</f>
        <v>64</v>
      </c>
      <c r="I8338" s="1" t="str">
        <f>"158.51"</f>
        <v>158.51</v>
      </c>
      <c r="J8338" s="1" t="str">
        <f t="shared" si="6064"/>
        <v>0</v>
      </c>
      <c r="K8338" s="1" t="str">
        <f t="shared" si="6065"/>
        <v>103</v>
      </c>
      <c r="L8338" s="1" t="str">
        <f t="shared" si="6066"/>
        <v>47</v>
      </c>
      <c r="M8338" s="1" t="str">
        <f t="shared" si="6057"/>
        <v>0</v>
      </c>
      <c r="N8338" s="1" t="str">
        <f t="shared" si="6058"/>
        <v>0</v>
      </c>
      <c r="O8338" s="1" t="str">
        <f>"8.51"</f>
        <v>8.51</v>
      </c>
    </row>
    <row r="8339" s="1" customFormat="1" spans="1:15">
      <c r="A8339" s="1" t="str">
        <f t="shared" si="6059"/>
        <v>202406</v>
      </c>
      <c r="B8339" s="1" t="str">
        <f t="shared" si="6060"/>
        <v>150525100</v>
      </c>
      <c r="C8339" s="1" t="str">
        <f>"1042045726"</f>
        <v>1042045726</v>
      </c>
      <c r="D8339" s="1" t="s">
        <v>7951</v>
      </c>
      <c r="E8339" s="1" t="s">
        <v>7952</v>
      </c>
      <c r="F8339" s="1" t="s">
        <v>25</v>
      </c>
      <c r="G8339" s="1" t="s">
        <v>17</v>
      </c>
      <c r="H8339" s="1" t="str">
        <f>"61"</f>
        <v>61</v>
      </c>
      <c r="I8339" s="1" t="str">
        <f>"169.56"</f>
        <v>169.56</v>
      </c>
      <c r="J8339" s="1" t="str">
        <f t="shared" si="6064"/>
        <v>0</v>
      </c>
      <c r="K8339" s="1" t="str">
        <f t="shared" si="6065"/>
        <v>103</v>
      </c>
      <c r="L8339" s="1" t="str">
        <f t="shared" si="6066"/>
        <v>47</v>
      </c>
      <c r="M8339" s="1" t="str">
        <f t="shared" si="6057"/>
        <v>0</v>
      </c>
      <c r="N8339" s="1" t="str">
        <f t="shared" si="6058"/>
        <v>0</v>
      </c>
      <c r="O8339" s="1" t="str">
        <f>"19.56"</f>
        <v>19.56</v>
      </c>
    </row>
    <row r="8340" s="1" customFormat="1" spans="1:15">
      <c r="A8340" s="1" t="str">
        <f t="shared" si="6059"/>
        <v>202406</v>
      </c>
      <c r="B8340" s="1" t="str">
        <f t="shared" si="6060"/>
        <v>150525100</v>
      </c>
      <c r="C8340" s="1" t="str">
        <f>"1042056288"</f>
        <v>1042056288</v>
      </c>
      <c r="D8340" s="1" t="str">
        <f>"152326195802223837"</f>
        <v>152326195802223837</v>
      </c>
      <c r="E8340" s="1" t="s">
        <v>7953</v>
      </c>
      <c r="F8340" s="1" t="s">
        <v>25</v>
      </c>
      <c r="G8340" s="1" t="s">
        <v>19</v>
      </c>
      <c r="H8340" s="1" t="str">
        <f>"66"</f>
        <v>66</v>
      </c>
      <c r="I8340" s="1" t="str">
        <f>"155.76"</f>
        <v>155.76</v>
      </c>
      <c r="J8340" s="1" t="str">
        <f t="shared" si="6064"/>
        <v>0</v>
      </c>
      <c r="K8340" s="1" t="str">
        <f t="shared" si="6065"/>
        <v>103</v>
      </c>
      <c r="L8340" s="1" t="str">
        <f t="shared" si="6066"/>
        <v>47</v>
      </c>
      <c r="M8340" s="1" t="str">
        <f t="shared" si="6057"/>
        <v>0</v>
      </c>
      <c r="N8340" s="1" t="str">
        <f t="shared" si="6058"/>
        <v>0</v>
      </c>
      <c r="O8340" s="1" t="str">
        <f>"5.76"</f>
        <v>5.76</v>
      </c>
    </row>
    <row r="8341" s="1" customFormat="1" spans="1:15">
      <c r="A8341" s="1" t="str">
        <f t="shared" si="6059"/>
        <v>202406</v>
      </c>
      <c r="B8341" s="1" t="str">
        <f t="shared" si="6060"/>
        <v>150525100</v>
      </c>
      <c r="C8341" s="1" t="str">
        <f>"1042074141"</f>
        <v>1042074141</v>
      </c>
      <c r="D8341" s="1" t="str">
        <f>"152326196001080666"</f>
        <v>152326196001080666</v>
      </c>
      <c r="E8341" s="1" t="s">
        <v>7954</v>
      </c>
      <c r="F8341" s="1" t="s">
        <v>16</v>
      </c>
      <c r="G8341" s="1" t="s">
        <v>17</v>
      </c>
      <c r="H8341" s="1" t="str">
        <f t="shared" si="6067"/>
        <v>64</v>
      </c>
      <c r="I8341" s="1" t="str">
        <f>"157.01"</f>
        <v>157.01</v>
      </c>
      <c r="J8341" s="1" t="str">
        <f t="shared" si="6064"/>
        <v>0</v>
      </c>
      <c r="K8341" s="1" t="str">
        <f t="shared" si="6065"/>
        <v>103</v>
      </c>
      <c r="L8341" s="1" t="str">
        <f t="shared" si="6066"/>
        <v>47</v>
      </c>
      <c r="M8341" s="1" t="str">
        <f t="shared" si="6057"/>
        <v>0</v>
      </c>
      <c r="N8341" s="1" t="str">
        <f t="shared" si="6058"/>
        <v>0</v>
      </c>
      <c r="O8341" s="1" t="str">
        <f>"7.01"</f>
        <v>7.01</v>
      </c>
    </row>
    <row r="8342" s="1" customFormat="1" spans="1:15">
      <c r="A8342" s="1" t="str">
        <f t="shared" si="6059"/>
        <v>202406</v>
      </c>
      <c r="B8342" s="1" t="str">
        <f t="shared" si="6060"/>
        <v>150525100</v>
      </c>
      <c r="C8342" s="1" t="str">
        <f>"1041655156"</f>
        <v>1041655156</v>
      </c>
      <c r="D8342" s="1" t="str">
        <f>"152326195710106385"</f>
        <v>152326195710106385</v>
      </c>
      <c r="E8342" s="1" t="s">
        <v>7955</v>
      </c>
      <c r="F8342" s="1" t="s">
        <v>16</v>
      </c>
      <c r="G8342" s="1" t="s">
        <v>19</v>
      </c>
      <c r="H8342" s="1" t="str">
        <f>"67"</f>
        <v>67</v>
      </c>
      <c r="I8342" s="1" t="str">
        <f>"154.32"</f>
        <v>154.32</v>
      </c>
      <c r="J8342" s="1" t="str">
        <f t="shared" si="6064"/>
        <v>0</v>
      </c>
      <c r="K8342" s="1" t="str">
        <f t="shared" si="6065"/>
        <v>103</v>
      </c>
      <c r="L8342" s="1" t="str">
        <f t="shared" si="6066"/>
        <v>47</v>
      </c>
      <c r="M8342" s="1" t="str">
        <f t="shared" si="6057"/>
        <v>0</v>
      </c>
      <c r="N8342" s="1" t="str">
        <f t="shared" si="6058"/>
        <v>0</v>
      </c>
      <c r="O8342" s="1" t="str">
        <f>"4.32"</f>
        <v>4.32</v>
      </c>
    </row>
    <row r="8343" s="1" customFormat="1" spans="1:15">
      <c r="A8343" s="1" t="str">
        <f t="shared" si="6059"/>
        <v>202406</v>
      </c>
      <c r="B8343" s="1" t="str">
        <f t="shared" si="6060"/>
        <v>150525100</v>
      </c>
      <c r="C8343" s="1" t="str">
        <f>"1041559637"</f>
        <v>1041559637</v>
      </c>
      <c r="D8343" s="1" t="str">
        <f>"152326196012060417"</f>
        <v>152326196012060417</v>
      </c>
      <c r="E8343" s="1" t="s">
        <v>1865</v>
      </c>
      <c r="F8343" s="1" t="s">
        <v>25</v>
      </c>
      <c r="G8343" s="1" t="s">
        <v>17</v>
      </c>
      <c r="H8343" s="1" t="str">
        <f t="shared" si="6067"/>
        <v>64</v>
      </c>
      <c r="I8343" s="1" t="str">
        <f>"157.12"</f>
        <v>157.12</v>
      </c>
      <c r="J8343" s="1" t="str">
        <f t="shared" si="6064"/>
        <v>0</v>
      </c>
      <c r="K8343" s="1" t="str">
        <f t="shared" si="6065"/>
        <v>103</v>
      </c>
      <c r="L8343" s="1" t="str">
        <f t="shared" si="6066"/>
        <v>47</v>
      </c>
      <c r="M8343" s="1" t="str">
        <f t="shared" si="6057"/>
        <v>0</v>
      </c>
      <c r="N8343" s="1" t="str">
        <f t="shared" si="6058"/>
        <v>0</v>
      </c>
      <c r="O8343" s="1" t="str">
        <f>"7.12"</f>
        <v>7.12</v>
      </c>
    </row>
    <row r="8344" s="1" customFormat="1" spans="1:15">
      <c r="A8344" s="1" t="str">
        <f t="shared" si="6059"/>
        <v>202406</v>
      </c>
      <c r="B8344" s="1" t="str">
        <f t="shared" si="6060"/>
        <v>150525100</v>
      </c>
      <c r="C8344" s="1" t="str">
        <f>"1041559638"</f>
        <v>1041559638</v>
      </c>
      <c r="D8344" s="1" t="str">
        <f>"152326195707110447"</f>
        <v>152326195707110447</v>
      </c>
      <c r="E8344" s="1" t="s">
        <v>7956</v>
      </c>
      <c r="F8344" s="1" t="s">
        <v>16</v>
      </c>
      <c r="G8344" s="1" t="s">
        <v>17</v>
      </c>
      <c r="H8344" s="1" t="str">
        <f>"67"</f>
        <v>67</v>
      </c>
      <c r="I8344" s="1" t="str">
        <f>"155.04"</f>
        <v>155.04</v>
      </c>
      <c r="J8344" s="1" t="str">
        <f t="shared" si="6064"/>
        <v>0</v>
      </c>
      <c r="K8344" s="1" t="str">
        <f t="shared" si="6065"/>
        <v>103</v>
      </c>
      <c r="L8344" s="1" t="str">
        <f t="shared" si="6066"/>
        <v>47</v>
      </c>
      <c r="M8344" s="1" t="str">
        <f t="shared" si="6057"/>
        <v>0</v>
      </c>
      <c r="N8344" s="1" t="str">
        <f t="shared" si="6058"/>
        <v>0</v>
      </c>
      <c r="O8344" s="1" t="str">
        <f>"5.04"</f>
        <v>5.04</v>
      </c>
    </row>
    <row r="8345" s="1" customFormat="1" spans="1:15">
      <c r="A8345" s="1" t="str">
        <f t="shared" si="6059"/>
        <v>202406</v>
      </c>
      <c r="B8345" s="1" t="str">
        <f t="shared" si="6060"/>
        <v>150525100</v>
      </c>
      <c r="C8345" s="1" t="str">
        <f>"1042190673"</f>
        <v>1042190673</v>
      </c>
      <c r="D8345" s="1" t="s">
        <v>7957</v>
      </c>
      <c r="E8345" s="1" t="s">
        <v>7958</v>
      </c>
      <c r="F8345" s="1" t="s">
        <v>25</v>
      </c>
      <c r="G8345" s="1" t="s">
        <v>19</v>
      </c>
      <c r="H8345" s="1" t="str">
        <f>"65"</f>
        <v>65</v>
      </c>
      <c r="I8345" s="1" t="str">
        <f>"156.06"</f>
        <v>156.06</v>
      </c>
      <c r="J8345" s="1" t="str">
        <f t="shared" si="6064"/>
        <v>0</v>
      </c>
      <c r="K8345" s="1" t="str">
        <f t="shared" si="6065"/>
        <v>103</v>
      </c>
      <c r="L8345" s="1" t="str">
        <f t="shared" si="6066"/>
        <v>47</v>
      </c>
      <c r="M8345" s="1" t="str">
        <f t="shared" si="6057"/>
        <v>0</v>
      </c>
      <c r="N8345" s="1" t="str">
        <f t="shared" si="6058"/>
        <v>0</v>
      </c>
      <c r="O8345" s="1" t="str">
        <f>"6.06"</f>
        <v>6.06</v>
      </c>
    </row>
    <row r="8346" s="1" customFormat="1" spans="1:15">
      <c r="A8346" s="1" t="str">
        <f t="shared" si="6059"/>
        <v>202406</v>
      </c>
      <c r="B8346" s="1" t="str">
        <f t="shared" si="6060"/>
        <v>150525100</v>
      </c>
      <c r="C8346" s="1" t="str">
        <f>"1041646555"</f>
        <v>1041646555</v>
      </c>
      <c r="D8346" s="1" t="str">
        <f>"152326195807100676"</f>
        <v>152326195807100676</v>
      </c>
      <c r="E8346" s="1" t="s">
        <v>7959</v>
      </c>
      <c r="F8346" s="1" t="s">
        <v>25</v>
      </c>
      <c r="G8346" s="1" t="s">
        <v>17</v>
      </c>
      <c r="H8346" s="1" t="str">
        <f t="shared" ref="H8346:H8350" si="6068">"66"</f>
        <v>66</v>
      </c>
      <c r="I8346" s="1" t="str">
        <f>"208.24"</f>
        <v>208.24</v>
      </c>
      <c r="J8346" s="1" t="str">
        <f t="shared" si="6064"/>
        <v>0</v>
      </c>
      <c r="K8346" s="1" t="str">
        <f t="shared" si="6065"/>
        <v>103</v>
      </c>
      <c r="L8346" s="1" t="str">
        <f t="shared" si="6066"/>
        <v>47</v>
      </c>
      <c r="M8346" s="1" t="str">
        <f t="shared" si="6057"/>
        <v>0</v>
      </c>
      <c r="N8346" s="1" t="str">
        <f t="shared" si="6058"/>
        <v>0</v>
      </c>
      <c r="O8346" s="1" t="str">
        <f>"58.24"</f>
        <v>58.24</v>
      </c>
    </row>
    <row r="8347" s="1" customFormat="1" spans="1:15">
      <c r="A8347" s="1" t="str">
        <f t="shared" si="6059"/>
        <v>202406</v>
      </c>
      <c r="B8347" s="1" t="str">
        <f t="shared" si="6060"/>
        <v>150525100</v>
      </c>
      <c r="C8347" s="1" t="str">
        <f>"1041846888"</f>
        <v>1041846888</v>
      </c>
      <c r="D8347" s="1" t="s">
        <v>7960</v>
      </c>
      <c r="E8347" s="1" t="s">
        <v>7961</v>
      </c>
      <c r="F8347" s="1" t="s">
        <v>25</v>
      </c>
      <c r="G8347" s="1" t="s">
        <v>17</v>
      </c>
      <c r="H8347" s="1" t="str">
        <f>"68"</f>
        <v>68</v>
      </c>
      <c r="I8347" s="1" t="str">
        <f>"154.33"</f>
        <v>154.33</v>
      </c>
      <c r="J8347" s="1" t="str">
        <f t="shared" si="6064"/>
        <v>0</v>
      </c>
      <c r="K8347" s="1" t="str">
        <f t="shared" si="6065"/>
        <v>103</v>
      </c>
      <c r="L8347" s="1" t="str">
        <f t="shared" si="6066"/>
        <v>47</v>
      </c>
      <c r="M8347" s="1" t="str">
        <f t="shared" si="6057"/>
        <v>0</v>
      </c>
      <c r="N8347" s="1" t="str">
        <f t="shared" si="6058"/>
        <v>0</v>
      </c>
      <c r="O8347" s="1" t="str">
        <f>"4.33"</f>
        <v>4.33</v>
      </c>
    </row>
    <row r="8348" s="1" customFormat="1" spans="1:15">
      <c r="A8348" s="1" t="str">
        <f t="shared" si="6059"/>
        <v>202406</v>
      </c>
      <c r="B8348" s="1" t="str">
        <f t="shared" si="6060"/>
        <v>150525100</v>
      </c>
      <c r="C8348" s="1" t="str">
        <f>"1041738364"</f>
        <v>1041738364</v>
      </c>
      <c r="D8348" s="1" t="str">
        <f>"152326196206083326"</f>
        <v>152326196206083326</v>
      </c>
      <c r="E8348" s="1" t="s">
        <v>5449</v>
      </c>
      <c r="F8348" s="1" t="s">
        <v>16</v>
      </c>
      <c r="G8348" s="1" t="s">
        <v>19</v>
      </c>
      <c r="H8348" s="1" t="str">
        <f>"62"</f>
        <v>62</v>
      </c>
      <c r="I8348" s="1" t="str">
        <f>"159.72"</f>
        <v>159.72</v>
      </c>
      <c r="J8348" s="1" t="str">
        <f t="shared" si="6064"/>
        <v>0</v>
      </c>
      <c r="K8348" s="1" t="str">
        <f t="shared" si="6065"/>
        <v>103</v>
      </c>
      <c r="L8348" s="1" t="str">
        <f t="shared" si="6066"/>
        <v>47</v>
      </c>
      <c r="M8348" s="1" t="str">
        <f t="shared" si="6057"/>
        <v>0</v>
      </c>
      <c r="N8348" s="1" t="str">
        <f t="shared" si="6058"/>
        <v>0</v>
      </c>
      <c r="O8348" s="1" t="str">
        <f>"9.72"</f>
        <v>9.72</v>
      </c>
    </row>
    <row r="8349" s="1" customFormat="1" spans="1:15">
      <c r="A8349" s="1" t="str">
        <f t="shared" si="6059"/>
        <v>202406</v>
      </c>
      <c r="B8349" s="1" t="str">
        <f t="shared" si="6060"/>
        <v>150525100</v>
      </c>
      <c r="C8349" s="1" t="str">
        <f>"1041687150"</f>
        <v>1041687150</v>
      </c>
      <c r="D8349" s="1" t="str">
        <f>"152326195807050912"</f>
        <v>152326195807050912</v>
      </c>
      <c r="E8349" s="1" t="s">
        <v>7962</v>
      </c>
      <c r="F8349" s="1" t="s">
        <v>25</v>
      </c>
      <c r="G8349" s="1" t="s">
        <v>19</v>
      </c>
      <c r="H8349" s="1" t="str">
        <f t="shared" si="6068"/>
        <v>66</v>
      </c>
      <c r="I8349" s="1" t="str">
        <f>"150"</f>
        <v>150</v>
      </c>
      <c r="J8349" s="1" t="str">
        <f t="shared" si="6064"/>
        <v>0</v>
      </c>
      <c r="K8349" s="1" t="str">
        <f t="shared" si="6065"/>
        <v>103</v>
      </c>
      <c r="L8349" s="1" t="str">
        <f t="shared" si="6066"/>
        <v>47</v>
      </c>
      <c r="M8349" s="1" t="str">
        <f t="shared" si="6057"/>
        <v>0</v>
      </c>
      <c r="N8349" s="1" t="str">
        <f t="shared" si="6058"/>
        <v>0</v>
      </c>
      <c r="O8349" s="1" t="str">
        <f>"0"</f>
        <v>0</v>
      </c>
    </row>
    <row r="8350" s="1" customFormat="1" spans="1:15">
      <c r="A8350" s="1" t="str">
        <f t="shared" si="6059"/>
        <v>202406</v>
      </c>
      <c r="B8350" s="1" t="str">
        <f t="shared" si="6060"/>
        <v>150525100</v>
      </c>
      <c r="C8350" s="1" t="str">
        <f>"1041723385"</f>
        <v>1041723385</v>
      </c>
      <c r="D8350" s="1" t="str">
        <f>"152326195901073328"</f>
        <v>152326195901073328</v>
      </c>
      <c r="E8350" s="1" t="s">
        <v>7963</v>
      </c>
      <c r="F8350" s="1" t="s">
        <v>16</v>
      </c>
      <c r="G8350" s="1" t="s">
        <v>19</v>
      </c>
      <c r="H8350" s="1" t="str">
        <f t="shared" si="6068"/>
        <v>66</v>
      </c>
      <c r="I8350" s="1" t="str">
        <f>"156"</f>
        <v>156</v>
      </c>
      <c r="J8350" s="1" t="str">
        <f t="shared" si="6064"/>
        <v>0</v>
      </c>
      <c r="K8350" s="1" t="str">
        <f t="shared" si="6065"/>
        <v>103</v>
      </c>
      <c r="L8350" s="1" t="str">
        <f t="shared" si="6066"/>
        <v>47</v>
      </c>
      <c r="M8350" s="1" t="str">
        <f t="shared" si="6057"/>
        <v>0</v>
      </c>
      <c r="N8350" s="1" t="str">
        <f t="shared" si="6058"/>
        <v>0</v>
      </c>
      <c r="O8350" s="1" t="str">
        <f>"6"</f>
        <v>6</v>
      </c>
    </row>
    <row r="8351" s="1" customFormat="1" spans="1:15">
      <c r="A8351" s="1" t="str">
        <f t="shared" si="6059"/>
        <v>202406</v>
      </c>
      <c r="B8351" s="1" t="str">
        <f t="shared" si="6060"/>
        <v>150525100</v>
      </c>
      <c r="C8351" s="1" t="str">
        <f>"1041663054"</f>
        <v>1041663054</v>
      </c>
      <c r="D8351" s="1" t="str">
        <f>"150525195309180012"</f>
        <v>150525195309180012</v>
      </c>
      <c r="E8351" s="1" t="s">
        <v>7964</v>
      </c>
      <c r="F8351" s="1" t="s">
        <v>25</v>
      </c>
      <c r="G8351" s="1" t="s">
        <v>17</v>
      </c>
      <c r="H8351" s="1" t="str">
        <f>"71"</f>
        <v>71</v>
      </c>
      <c r="I8351" s="1" t="str">
        <f>"160"</f>
        <v>160</v>
      </c>
      <c r="J8351" s="1" t="str">
        <f t="shared" si="6064"/>
        <v>0</v>
      </c>
      <c r="K8351" s="1" t="str">
        <f t="shared" si="6065"/>
        <v>103</v>
      </c>
      <c r="L8351" s="1" t="str">
        <f t="shared" si="6066"/>
        <v>47</v>
      </c>
      <c r="M8351" s="1" t="str">
        <f t="shared" si="6057"/>
        <v>0</v>
      </c>
      <c r="N8351" s="1" t="str">
        <f t="shared" si="6058"/>
        <v>0</v>
      </c>
      <c r="O8351" s="1" t="str">
        <f>"0"</f>
        <v>0</v>
      </c>
    </row>
    <row r="8352" s="1" customFormat="1" spans="1:15">
      <c r="A8352" s="1" t="str">
        <f t="shared" si="6059"/>
        <v>202406</v>
      </c>
      <c r="B8352" s="1" t="str">
        <f t="shared" si="6060"/>
        <v>150525100</v>
      </c>
      <c r="C8352" s="1" t="str">
        <f>"1041920221"</f>
        <v>1041920221</v>
      </c>
      <c r="D8352" s="1" t="str">
        <f>"152326195906100663"</f>
        <v>152326195906100663</v>
      </c>
      <c r="E8352" s="1" t="s">
        <v>7965</v>
      </c>
      <c r="F8352" s="1" t="s">
        <v>16</v>
      </c>
      <c r="G8352" s="1" t="s">
        <v>19</v>
      </c>
      <c r="H8352" s="1" t="str">
        <f>"65"</f>
        <v>65</v>
      </c>
      <c r="I8352" s="1" t="str">
        <f>"156.02"</f>
        <v>156.02</v>
      </c>
      <c r="J8352" s="1" t="str">
        <f t="shared" si="6064"/>
        <v>0</v>
      </c>
      <c r="K8352" s="1" t="str">
        <f t="shared" si="6065"/>
        <v>103</v>
      </c>
      <c r="L8352" s="1" t="str">
        <f t="shared" si="6066"/>
        <v>47</v>
      </c>
      <c r="M8352" s="1" t="str">
        <f t="shared" si="6057"/>
        <v>0</v>
      </c>
      <c r="N8352" s="1" t="str">
        <f t="shared" si="6058"/>
        <v>0</v>
      </c>
      <c r="O8352" s="1" t="str">
        <f>"6.02"</f>
        <v>6.02</v>
      </c>
    </row>
    <row r="8353" s="1" customFormat="1" spans="1:15">
      <c r="A8353" s="1" t="str">
        <f t="shared" si="6059"/>
        <v>202406</v>
      </c>
      <c r="B8353" s="1" t="str">
        <f t="shared" si="6060"/>
        <v>150525100</v>
      </c>
      <c r="C8353" s="1" t="str">
        <f>"1042458703"</f>
        <v>1042458703</v>
      </c>
      <c r="D8353" s="1" t="str">
        <f>"152326196007140017"</f>
        <v>152326196007140017</v>
      </c>
      <c r="E8353" s="1" t="s">
        <v>7966</v>
      </c>
      <c r="F8353" s="1" t="s">
        <v>25</v>
      </c>
      <c r="G8353" s="1" t="s">
        <v>17</v>
      </c>
      <c r="H8353" s="1" t="str">
        <f t="shared" ref="H8353:H8357" si="6069">"64"</f>
        <v>64</v>
      </c>
      <c r="I8353" s="1" t="str">
        <f>"171.58"</f>
        <v>171.58</v>
      </c>
      <c r="J8353" s="1" t="str">
        <f t="shared" si="6064"/>
        <v>0</v>
      </c>
      <c r="K8353" s="1" t="str">
        <f t="shared" si="6065"/>
        <v>103</v>
      </c>
      <c r="L8353" s="1" t="str">
        <f t="shared" si="6066"/>
        <v>47</v>
      </c>
      <c r="M8353" s="1" t="str">
        <f t="shared" si="6057"/>
        <v>0</v>
      </c>
      <c r="N8353" s="1" t="str">
        <f t="shared" si="6058"/>
        <v>0</v>
      </c>
      <c r="O8353" s="1" t="str">
        <f>"21.58"</f>
        <v>21.58</v>
      </c>
    </row>
    <row r="8354" s="1" customFormat="1" spans="1:15">
      <c r="A8354" s="1" t="str">
        <f t="shared" si="6059"/>
        <v>202406</v>
      </c>
      <c r="B8354" s="1" t="str">
        <f t="shared" si="6060"/>
        <v>150525100</v>
      </c>
      <c r="C8354" s="1" t="str">
        <f>"1042432993"</f>
        <v>1042432993</v>
      </c>
      <c r="D8354" s="1" t="s">
        <v>7967</v>
      </c>
      <c r="E8354" s="1" t="s">
        <v>7968</v>
      </c>
      <c r="F8354" s="1" t="s">
        <v>25</v>
      </c>
      <c r="G8354" s="1" t="s">
        <v>17</v>
      </c>
      <c r="H8354" s="1" t="str">
        <f t="shared" si="6069"/>
        <v>64</v>
      </c>
      <c r="I8354" s="1" t="str">
        <f>"157.02"</f>
        <v>157.02</v>
      </c>
      <c r="J8354" s="1" t="str">
        <f t="shared" si="6064"/>
        <v>0</v>
      </c>
      <c r="K8354" s="1" t="str">
        <f t="shared" si="6065"/>
        <v>103</v>
      </c>
      <c r="L8354" s="1" t="str">
        <f t="shared" si="6066"/>
        <v>47</v>
      </c>
      <c r="M8354" s="1" t="str">
        <f t="shared" si="6057"/>
        <v>0</v>
      </c>
      <c r="N8354" s="1" t="str">
        <f t="shared" si="6058"/>
        <v>0</v>
      </c>
      <c r="O8354" s="1" t="str">
        <f>"7.02"</f>
        <v>7.02</v>
      </c>
    </row>
    <row r="8355" s="1" customFormat="1" spans="1:15">
      <c r="A8355" s="1" t="str">
        <f t="shared" si="6059"/>
        <v>202406</v>
      </c>
      <c r="B8355" s="1" t="str">
        <f t="shared" si="6060"/>
        <v>150525100</v>
      </c>
      <c r="C8355" s="1" t="str">
        <f>"1042161896"</f>
        <v>1042161896</v>
      </c>
      <c r="D8355" s="1" t="str">
        <f>"152326196209113818"</f>
        <v>152326196209113818</v>
      </c>
      <c r="E8355" s="1" t="s">
        <v>7969</v>
      </c>
      <c r="F8355" s="1" t="s">
        <v>25</v>
      </c>
      <c r="G8355" s="1" t="s">
        <v>17</v>
      </c>
      <c r="H8355" s="1" t="str">
        <f>"62"</f>
        <v>62</v>
      </c>
      <c r="I8355" s="1" t="str">
        <f>"165.88"</f>
        <v>165.88</v>
      </c>
      <c r="J8355" s="1" t="str">
        <f t="shared" si="6064"/>
        <v>0</v>
      </c>
      <c r="K8355" s="1" t="str">
        <f t="shared" si="6065"/>
        <v>103</v>
      </c>
      <c r="L8355" s="1" t="str">
        <f t="shared" si="6066"/>
        <v>47</v>
      </c>
      <c r="M8355" s="1" t="str">
        <f t="shared" si="6057"/>
        <v>0</v>
      </c>
      <c r="N8355" s="1" t="str">
        <f t="shared" si="6058"/>
        <v>0</v>
      </c>
      <c r="O8355" s="1" t="str">
        <f>"15.88"</f>
        <v>15.88</v>
      </c>
    </row>
    <row r="8356" s="1" customFormat="1" spans="1:15">
      <c r="A8356" s="1" t="str">
        <f t="shared" si="6059"/>
        <v>202406</v>
      </c>
      <c r="B8356" s="1" t="str">
        <f t="shared" si="6060"/>
        <v>150525100</v>
      </c>
      <c r="C8356" s="1" t="str">
        <f>"1042478958"</f>
        <v>1042478958</v>
      </c>
      <c r="D8356" s="1" t="str">
        <f>"152326196001033077"</f>
        <v>152326196001033077</v>
      </c>
      <c r="E8356" s="1" t="s">
        <v>7970</v>
      </c>
      <c r="F8356" s="1" t="s">
        <v>25</v>
      </c>
      <c r="G8356" s="1" t="s">
        <v>17</v>
      </c>
      <c r="H8356" s="1" t="str">
        <f>"65"</f>
        <v>65</v>
      </c>
      <c r="I8356" s="1" t="str">
        <f>"157.02"</f>
        <v>157.02</v>
      </c>
      <c r="J8356" s="1" t="str">
        <f t="shared" si="6064"/>
        <v>0</v>
      </c>
      <c r="K8356" s="1" t="str">
        <f t="shared" si="6065"/>
        <v>103</v>
      </c>
      <c r="L8356" s="1" t="str">
        <f t="shared" si="6066"/>
        <v>47</v>
      </c>
      <c r="M8356" s="1" t="str">
        <f t="shared" si="6057"/>
        <v>0</v>
      </c>
      <c r="N8356" s="1" t="str">
        <f t="shared" si="6058"/>
        <v>0</v>
      </c>
      <c r="O8356" s="1" t="str">
        <f>"7.02"</f>
        <v>7.02</v>
      </c>
    </row>
    <row r="8357" s="1" customFormat="1" spans="1:15">
      <c r="A8357" s="1" t="str">
        <f t="shared" si="6059"/>
        <v>202406</v>
      </c>
      <c r="B8357" s="1" t="str">
        <f t="shared" si="6060"/>
        <v>150525100</v>
      </c>
      <c r="C8357" s="1" t="str">
        <f>"1042280827"</f>
        <v>1042280827</v>
      </c>
      <c r="D8357" s="1" t="str">
        <f>"152326196004100693"</f>
        <v>152326196004100693</v>
      </c>
      <c r="E8357" s="1" t="s">
        <v>7971</v>
      </c>
      <c r="F8357" s="1" t="s">
        <v>25</v>
      </c>
      <c r="G8357" s="1" t="s">
        <v>17</v>
      </c>
      <c r="H8357" s="1" t="str">
        <f t="shared" si="6069"/>
        <v>64</v>
      </c>
      <c r="I8357" s="1" t="str">
        <f>"156.73"</f>
        <v>156.73</v>
      </c>
      <c r="J8357" s="1" t="str">
        <f t="shared" si="6064"/>
        <v>0</v>
      </c>
      <c r="K8357" s="1" t="str">
        <f t="shared" si="6065"/>
        <v>103</v>
      </c>
      <c r="L8357" s="1" t="str">
        <f t="shared" si="6066"/>
        <v>47</v>
      </c>
      <c r="M8357" s="1" t="str">
        <f t="shared" si="6057"/>
        <v>0</v>
      </c>
      <c r="N8357" s="1" t="str">
        <f t="shared" si="6058"/>
        <v>0</v>
      </c>
      <c r="O8357" s="1" t="str">
        <f>"6.73"</f>
        <v>6.73</v>
      </c>
    </row>
    <row r="8358" s="1" customFormat="1" spans="1:15">
      <c r="A8358" s="1" t="str">
        <f t="shared" si="6059"/>
        <v>202406</v>
      </c>
      <c r="B8358" s="1" t="str">
        <f t="shared" si="6060"/>
        <v>150525100</v>
      </c>
      <c r="C8358" s="1" t="str">
        <f>"1042249880"</f>
        <v>1042249880</v>
      </c>
      <c r="D8358" s="1" t="str">
        <f>"152326195811090677"</f>
        <v>152326195811090677</v>
      </c>
      <c r="E8358" s="1" t="s">
        <v>7972</v>
      </c>
      <c r="F8358" s="1" t="s">
        <v>25</v>
      </c>
      <c r="G8358" s="1" t="s">
        <v>17</v>
      </c>
      <c r="H8358" s="1" t="str">
        <f t="shared" ref="H8358:H8360" si="6070">"66"</f>
        <v>66</v>
      </c>
      <c r="I8358" s="1" t="str">
        <f>"156.01"</f>
        <v>156.01</v>
      </c>
      <c r="J8358" s="1" t="str">
        <f t="shared" si="6064"/>
        <v>0</v>
      </c>
      <c r="K8358" s="1" t="str">
        <f t="shared" si="6065"/>
        <v>103</v>
      </c>
      <c r="L8358" s="1" t="str">
        <f t="shared" si="6066"/>
        <v>47</v>
      </c>
      <c r="M8358" s="1" t="str">
        <f t="shared" si="6057"/>
        <v>0</v>
      </c>
      <c r="N8358" s="1" t="str">
        <f t="shared" si="6058"/>
        <v>0</v>
      </c>
      <c r="O8358" s="1" t="str">
        <f>"6.01"</f>
        <v>6.01</v>
      </c>
    </row>
    <row r="8359" s="1" customFormat="1" spans="1:15">
      <c r="A8359" s="1" t="str">
        <f t="shared" si="6059"/>
        <v>202406</v>
      </c>
      <c r="B8359" s="1" t="str">
        <f t="shared" si="6060"/>
        <v>150525100</v>
      </c>
      <c r="C8359" s="1" t="str">
        <f>"1042267606"</f>
        <v>1042267606</v>
      </c>
      <c r="D8359" s="1" t="str">
        <f>"152326195812210423"</f>
        <v>152326195812210423</v>
      </c>
      <c r="E8359" s="1" t="s">
        <v>7973</v>
      </c>
      <c r="F8359" s="1" t="s">
        <v>16</v>
      </c>
      <c r="G8359" s="1" t="s">
        <v>17</v>
      </c>
      <c r="H8359" s="1" t="str">
        <f t="shared" si="6070"/>
        <v>66</v>
      </c>
      <c r="I8359" s="1" t="str">
        <f>"155.99"</f>
        <v>155.99</v>
      </c>
      <c r="J8359" s="1" t="str">
        <f t="shared" si="6064"/>
        <v>0</v>
      </c>
      <c r="K8359" s="1" t="str">
        <f t="shared" si="6065"/>
        <v>103</v>
      </c>
      <c r="L8359" s="1" t="str">
        <f t="shared" si="6066"/>
        <v>47</v>
      </c>
      <c r="M8359" s="1" t="str">
        <f t="shared" si="6057"/>
        <v>0</v>
      </c>
      <c r="N8359" s="1" t="str">
        <f t="shared" si="6058"/>
        <v>0</v>
      </c>
      <c r="O8359" s="1" t="str">
        <f>"5.99"</f>
        <v>5.99</v>
      </c>
    </row>
    <row r="8360" s="1" customFormat="1" spans="1:15">
      <c r="A8360" s="1" t="str">
        <f t="shared" si="6059"/>
        <v>202406</v>
      </c>
      <c r="B8360" s="1" t="str">
        <f t="shared" si="6060"/>
        <v>150525100</v>
      </c>
      <c r="C8360" s="1" t="str">
        <f>"1042283914"</f>
        <v>1042283914</v>
      </c>
      <c r="D8360" s="1" t="str">
        <f>"152326195901063824"</f>
        <v>152326195901063824</v>
      </c>
      <c r="E8360" s="1" t="s">
        <v>5836</v>
      </c>
      <c r="F8360" s="1" t="s">
        <v>16</v>
      </c>
      <c r="G8360" s="1" t="s">
        <v>17</v>
      </c>
      <c r="H8360" s="1" t="str">
        <f t="shared" si="6070"/>
        <v>66</v>
      </c>
      <c r="I8360" s="1" t="str">
        <f>"156.48"</f>
        <v>156.48</v>
      </c>
      <c r="J8360" s="1" t="str">
        <f t="shared" si="6064"/>
        <v>0</v>
      </c>
      <c r="K8360" s="1" t="str">
        <f t="shared" si="6065"/>
        <v>103</v>
      </c>
      <c r="L8360" s="1" t="str">
        <f t="shared" si="6066"/>
        <v>47</v>
      </c>
      <c r="M8360" s="1" t="str">
        <f t="shared" si="6057"/>
        <v>0</v>
      </c>
      <c r="N8360" s="1" t="str">
        <f t="shared" si="6058"/>
        <v>0</v>
      </c>
      <c r="O8360" s="1" t="str">
        <f>"6.48"</f>
        <v>6.48</v>
      </c>
    </row>
    <row r="8361" s="1" customFormat="1" spans="1:15">
      <c r="A8361" s="1" t="str">
        <f t="shared" si="6059"/>
        <v>202406</v>
      </c>
      <c r="B8361" s="1" t="str">
        <f t="shared" si="6060"/>
        <v>150525100</v>
      </c>
      <c r="C8361" s="1" t="str">
        <f>"1042275178"</f>
        <v>1042275178</v>
      </c>
      <c r="D8361" s="1" t="str">
        <f>"152326196210080670"</f>
        <v>152326196210080670</v>
      </c>
      <c r="E8361" s="1" t="s">
        <v>7974</v>
      </c>
      <c r="F8361" s="1" t="s">
        <v>25</v>
      </c>
      <c r="G8361" s="1" t="s">
        <v>17</v>
      </c>
      <c r="H8361" s="1" t="str">
        <f>"62"</f>
        <v>62</v>
      </c>
      <c r="I8361" s="1" t="str">
        <f>"167"</f>
        <v>167</v>
      </c>
      <c r="J8361" s="1" t="str">
        <f t="shared" si="6064"/>
        <v>0</v>
      </c>
      <c r="K8361" s="1" t="str">
        <f t="shared" si="6065"/>
        <v>103</v>
      </c>
      <c r="L8361" s="1" t="str">
        <f t="shared" si="6066"/>
        <v>47</v>
      </c>
      <c r="M8361" s="1" t="str">
        <f t="shared" si="6057"/>
        <v>0</v>
      </c>
      <c r="N8361" s="1" t="str">
        <f t="shared" si="6058"/>
        <v>0</v>
      </c>
      <c r="O8361" s="1" t="str">
        <f>"17"</f>
        <v>17</v>
      </c>
    </row>
    <row r="8362" s="1" customFormat="1" spans="1:15">
      <c r="A8362" s="1" t="str">
        <f t="shared" si="6059"/>
        <v>202406</v>
      </c>
      <c r="B8362" s="1" t="str">
        <f t="shared" si="6060"/>
        <v>150525100</v>
      </c>
      <c r="C8362" s="1" t="str">
        <f>"1042412679"</f>
        <v>1042412679</v>
      </c>
      <c r="D8362" s="1" t="str">
        <f>"152326195804230010"</f>
        <v>152326195804230010</v>
      </c>
      <c r="E8362" s="1" t="s">
        <v>7975</v>
      </c>
      <c r="F8362" s="1" t="s">
        <v>25</v>
      </c>
      <c r="G8362" s="1" t="s">
        <v>17</v>
      </c>
      <c r="H8362" s="1" t="str">
        <f>"66"</f>
        <v>66</v>
      </c>
      <c r="I8362" s="1" t="str">
        <f>"161.53"</f>
        <v>161.53</v>
      </c>
      <c r="J8362" s="1" t="str">
        <f t="shared" si="6064"/>
        <v>0</v>
      </c>
      <c r="K8362" s="1" t="str">
        <f t="shared" si="6065"/>
        <v>103</v>
      </c>
      <c r="L8362" s="1" t="str">
        <f t="shared" si="6066"/>
        <v>47</v>
      </c>
      <c r="M8362" s="1" t="str">
        <f t="shared" si="6057"/>
        <v>0</v>
      </c>
      <c r="N8362" s="1" t="str">
        <f t="shared" si="6058"/>
        <v>0</v>
      </c>
      <c r="O8362" s="1" t="str">
        <f>"11.53"</f>
        <v>11.53</v>
      </c>
    </row>
    <row r="8363" s="1" customFormat="1" spans="1:15">
      <c r="A8363" s="1" t="str">
        <f t="shared" si="6059"/>
        <v>202406</v>
      </c>
      <c r="B8363" s="1" t="str">
        <f t="shared" si="6060"/>
        <v>150525100</v>
      </c>
      <c r="C8363" s="1" t="str">
        <f>"1042877235"</f>
        <v>1042877235</v>
      </c>
      <c r="D8363" s="1" t="str">
        <f>"152326196110150010"</f>
        <v>152326196110150010</v>
      </c>
      <c r="E8363" s="1" t="s">
        <v>7976</v>
      </c>
      <c r="F8363" s="1" t="s">
        <v>25</v>
      </c>
      <c r="G8363" s="1" t="s">
        <v>17</v>
      </c>
      <c r="H8363" s="1" t="str">
        <f>"63"</f>
        <v>63</v>
      </c>
      <c r="I8363" s="1" t="str">
        <f>"164.42"</f>
        <v>164.42</v>
      </c>
      <c r="J8363" s="1" t="str">
        <f t="shared" si="6064"/>
        <v>0</v>
      </c>
      <c r="K8363" s="1" t="str">
        <f t="shared" si="6065"/>
        <v>103</v>
      </c>
      <c r="L8363" s="1" t="str">
        <f t="shared" si="6066"/>
        <v>47</v>
      </c>
      <c r="M8363" s="1" t="str">
        <f t="shared" si="6057"/>
        <v>0</v>
      </c>
      <c r="N8363" s="1" t="str">
        <f t="shared" si="6058"/>
        <v>0</v>
      </c>
      <c r="O8363" s="1" t="str">
        <f>"14.42"</f>
        <v>14.42</v>
      </c>
    </row>
    <row r="8364" s="1" customFormat="1" spans="1:15">
      <c r="A8364" s="1" t="str">
        <f t="shared" si="6059"/>
        <v>202406</v>
      </c>
      <c r="B8364" s="1" t="str">
        <f t="shared" si="6060"/>
        <v>150525100</v>
      </c>
      <c r="C8364" s="1" t="str">
        <f>"1042844185"</f>
        <v>1042844185</v>
      </c>
      <c r="D8364" s="1" t="s">
        <v>7977</v>
      </c>
      <c r="E8364" s="1" t="s">
        <v>7978</v>
      </c>
      <c r="F8364" s="1" t="s">
        <v>16</v>
      </c>
      <c r="G8364" s="1" t="s">
        <v>19</v>
      </c>
      <c r="H8364" s="1" t="str">
        <f>"61"</f>
        <v>61</v>
      </c>
      <c r="I8364" s="1" t="str">
        <f>"170.07"</f>
        <v>170.07</v>
      </c>
      <c r="J8364" s="1" t="str">
        <f t="shared" si="6064"/>
        <v>0</v>
      </c>
      <c r="K8364" s="1" t="str">
        <f t="shared" si="6065"/>
        <v>103</v>
      </c>
      <c r="L8364" s="1" t="str">
        <f t="shared" si="6066"/>
        <v>47</v>
      </c>
      <c r="M8364" s="1" t="str">
        <f t="shared" si="6057"/>
        <v>0</v>
      </c>
      <c r="N8364" s="1" t="str">
        <f t="shared" si="6058"/>
        <v>0</v>
      </c>
      <c r="O8364" s="1" t="str">
        <f>"20.07"</f>
        <v>20.07</v>
      </c>
    </row>
    <row r="8365" s="1" customFormat="1" spans="1:15">
      <c r="A8365" s="1" t="str">
        <f t="shared" si="6059"/>
        <v>202406</v>
      </c>
      <c r="B8365" s="1" t="str">
        <f t="shared" si="6060"/>
        <v>150525100</v>
      </c>
      <c r="C8365" s="1" t="str">
        <f>"1042836994"</f>
        <v>1042836994</v>
      </c>
      <c r="D8365" s="1" t="str">
        <f>"152326196211140911"</f>
        <v>152326196211140911</v>
      </c>
      <c r="E8365" s="1" t="s">
        <v>7979</v>
      </c>
      <c r="F8365" s="1" t="s">
        <v>25</v>
      </c>
      <c r="G8365" s="1" t="s">
        <v>17</v>
      </c>
      <c r="H8365" s="1" t="str">
        <f>"62"</f>
        <v>62</v>
      </c>
      <c r="I8365" s="1" t="str">
        <f>"166.51"</f>
        <v>166.51</v>
      </c>
      <c r="J8365" s="1" t="str">
        <f t="shared" si="6064"/>
        <v>0</v>
      </c>
      <c r="K8365" s="1" t="str">
        <f t="shared" si="6065"/>
        <v>103</v>
      </c>
      <c r="L8365" s="1" t="str">
        <f t="shared" si="6066"/>
        <v>47</v>
      </c>
      <c r="M8365" s="1" t="str">
        <f t="shared" si="6057"/>
        <v>0</v>
      </c>
      <c r="N8365" s="1" t="str">
        <f t="shared" si="6058"/>
        <v>0</v>
      </c>
      <c r="O8365" s="1" t="str">
        <f>"16.51"</f>
        <v>16.51</v>
      </c>
    </row>
    <row r="8366" s="1" customFormat="1" spans="1:15">
      <c r="A8366" s="1" t="str">
        <f t="shared" si="6059"/>
        <v>202406</v>
      </c>
      <c r="B8366" s="1" t="str">
        <f t="shared" si="6060"/>
        <v>150525100</v>
      </c>
      <c r="C8366" s="1" t="str">
        <f>"1042656036"</f>
        <v>1042656036</v>
      </c>
      <c r="D8366" s="1" t="str">
        <f>"152326196012140919"</f>
        <v>152326196012140919</v>
      </c>
      <c r="E8366" s="1" t="s">
        <v>7980</v>
      </c>
      <c r="F8366" s="1" t="s">
        <v>25</v>
      </c>
      <c r="G8366" s="1" t="s">
        <v>17</v>
      </c>
      <c r="H8366" s="1" t="str">
        <f t="shared" ref="H8366:H8369" si="6071">"64"</f>
        <v>64</v>
      </c>
      <c r="I8366" s="1" t="str">
        <f>"163.42"</f>
        <v>163.42</v>
      </c>
      <c r="J8366" s="1" t="str">
        <f t="shared" si="6064"/>
        <v>0</v>
      </c>
      <c r="K8366" s="1" t="str">
        <f t="shared" si="6065"/>
        <v>103</v>
      </c>
      <c r="L8366" s="1" t="str">
        <f t="shared" si="6066"/>
        <v>47</v>
      </c>
      <c r="M8366" s="1" t="str">
        <f t="shared" si="6057"/>
        <v>0</v>
      </c>
      <c r="N8366" s="1" t="str">
        <f t="shared" si="6058"/>
        <v>0</v>
      </c>
      <c r="O8366" s="1" t="str">
        <f>"13.42"</f>
        <v>13.42</v>
      </c>
    </row>
    <row r="8367" s="1" customFormat="1" spans="1:15">
      <c r="A8367" s="1" t="str">
        <f t="shared" si="6059"/>
        <v>202406</v>
      </c>
      <c r="B8367" s="1" t="str">
        <f t="shared" si="6060"/>
        <v>150525100</v>
      </c>
      <c r="C8367" s="1" t="str">
        <f>"1042570926"</f>
        <v>1042570926</v>
      </c>
      <c r="D8367" s="1" t="str">
        <f>"152326196002030919"</f>
        <v>152326196002030919</v>
      </c>
      <c r="E8367" s="1" t="s">
        <v>7981</v>
      </c>
      <c r="F8367" s="1" t="s">
        <v>25</v>
      </c>
      <c r="G8367" s="1" t="s">
        <v>19</v>
      </c>
      <c r="H8367" s="1" t="str">
        <f t="shared" si="6071"/>
        <v>64</v>
      </c>
      <c r="I8367" s="1" t="str">
        <f>"164.41"</f>
        <v>164.41</v>
      </c>
      <c r="J8367" s="1" t="str">
        <f t="shared" si="6064"/>
        <v>0</v>
      </c>
      <c r="K8367" s="1" t="str">
        <f t="shared" si="6065"/>
        <v>103</v>
      </c>
      <c r="L8367" s="1" t="str">
        <f t="shared" si="6066"/>
        <v>47</v>
      </c>
      <c r="M8367" s="1" t="str">
        <f t="shared" si="6057"/>
        <v>0</v>
      </c>
      <c r="N8367" s="1" t="str">
        <f t="shared" si="6058"/>
        <v>0</v>
      </c>
      <c r="O8367" s="1" t="str">
        <f>"14.41"</f>
        <v>14.41</v>
      </c>
    </row>
    <row r="8368" s="1" customFormat="1" spans="1:15">
      <c r="A8368" s="1" t="str">
        <f t="shared" si="6059"/>
        <v>202406</v>
      </c>
      <c r="B8368" s="1" t="str">
        <f t="shared" si="6060"/>
        <v>150525100</v>
      </c>
      <c r="C8368" s="1" t="str">
        <f>"1014585059"</f>
        <v>1014585059</v>
      </c>
      <c r="D8368" s="1" t="str">
        <f>"152326195408260680"</f>
        <v>152326195408260680</v>
      </c>
      <c r="E8368" s="1" t="s">
        <v>4116</v>
      </c>
      <c r="F8368" s="1" t="s">
        <v>16</v>
      </c>
      <c r="G8368" s="1" t="s">
        <v>17</v>
      </c>
      <c r="H8368" s="1" t="str">
        <f>"70"</f>
        <v>70</v>
      </c>
      <c r="I8368" s="1" t="str">
        <f>"153.64"</f>
        <v>153.64</v>
      </c>
      <c r="J8368" s="1" t="str">
        <f t="shared" si="6064"/>
        <v>0</v>
      </c>
      <c r="K8368" s="1" t="str">
        <f t="shared" si="6065"/>
        <v>103</v>
      </c>
      <c r="L8368" s="1" t="str">
        <f t="shared" si="6066"/>
        <v>47</v>
      </c>
      <c r="M8368" s="1" t="str">
        <f t="shared" si="6057"/>
        <v>0</v>
      </c>
      <c r="N8368" s="1" t="str">
        <f t="shared" si="6058"/>
        <v>0</v>
      </c>
      <c r="O8368" s="1" t="str">
        <f>"3.64"</f>
        <v>3.64</v>
      </c>
    </row>
    <row r="8369" s="1" customFormat="1" spans="1:15">
      <c r="A8369" s="1" t="str">
        <f t="shared" si="6059"/>
        <v>202406</v>
      </c>
      <c r="B8369" s="1" t="str">
        <f t="shared" si="6060"/>
        <v>150525100</v>
      </c>
      <c r="C8369" s="1" t="str">
        <f>"1042571048"</f>
        <v>1042571048</v>
      </c>
      <c r="D8369" s="1" t="str">
        <f>"152326196001266380"</f>
        <v>152326196001266380</v>
      </c>
      <c r="E8369" s="1" t="s">
        <v>7982</v>
      </c>
      <c r="F8369" s="1" t="s">
        <v>16</v>
      </c>
      <c r="G8369" s="1" t="s">
        <v>17</v>
      </c>
      <c r="H8369" s="1" t="str">
        <f t="shared" si="6071"/>
        <v>64</v>
      </c>
      <c r="I8369" s="1" t="str">
        <f>"157.04"</f>
        <v>157.04</v>
      </c>
      <c r="J8369" s="1" t="str">
        <f t="shared" si="6064"/>
        <v>0</v>
      </c>
      <c r="K8369" s="1" t="str">
        <f t="shared" si="6065"/>
        <v>103</v>
      </c>
      <c r="L8369" s="1" t="str">
        <f t="shared" si="6066"/>
        <v>47</v>
      </c>
      <c r="M8369" s="1" t="str">
        <f t="shared" si="6057"/>
        <v>0</v>
      </c>
      <c r="N8369" s="1" t="str">
        <f t="shared" si="6058"/>
        <v>0</v>
      </c>
      <c r="O8369" s="1" t="str">
        <f>"7.04"</f>
        <v>7.04</v>
      </c>
    </row>
    <row r="8370" s="1" customFormat="1" spans="1:15">
      <c r="A8370" s="1" t="str">
        <f t="shared" si="6059"/>
        <v>202406</v>
      </c>
      <c r="B8370" s="1" t="str">
        <f t="shared" si="6060"/>
        <v>150525100</v>
      </c>
      <c r="C8370" s="1" t="str">
        <f>"1042591003"</f>
        <v>1042591003</v>
      </c>
      <c r="D8370" s="1" t="str">
        <f>"152326196103026388"</f>
        <v>152326196103026388</v>
      </c>
      <c r="E8370" s="1" t="s">
        <v>7983</v>
      </c>
      <c r="F8370" s="1" t="s">
        <v>16</v>
      </c>
      <c r="G8370" s="1" t="s">
        <v>17</v>
      </c>
      <c r="H8370" s="1" t="str">
        <f>"63"</f>
        <v>63</v>
      </c>
      <c r="I8370" s="1" t="str">
        <f>"158.86"</f>
        <v>158.86</v>
      </c>
      <c r="J8370" s="1" t="str">
        <f t="shared" si="6064"/>
        <v>0</v>
      </c>
      <c r="K8370" s="1" t="str">
        <f t="shared" si="6065"/>
        <v>103</v>
      </c>
      <c r="L8370" s="1" t="str">
        <f t="shared" si="6066"/>
        <v>47</v>
      </c>
      <c r="M8370" s="1" t="str">
        <f t="shared" si="6057"/>
        <v>0</v>
      </c>
      <c r="N8370" s="1" t="str">
        <f t="shared" si="6058"/>
        <v>0</v>
      </c>
      <c r="O8370" s="1" t="str">
        <f>"8.86"</f>
        <v>8.86</v>
      </c>
    </row>
    <row r="8371" s="1" customFormat="1" spans="1:15">
      <c r="A8371" s="1" t="str">
        <f t="shared" si="6059"/>
        <v>202406</v>
      </c>
      <c r="B8371" s="1" t="str">
        <f t="shared" si="6060"/>
        <v>150525100</v>
      </c>
      <c r="C8371" s="1" t="str">
        <f>"1042591006"</f>
        <v>1042591006</v>
      </c>
      <c r="D8371" s="1" t="str">
        <f>"152326196001140024"</f>
        <v>152326196001140024</v>
      </c>
      <c r="E8371" s="1" t="s">
        <v>7984</v>
      </c>
      <c r="F8371" s="1" t="s">
        <v>16</v>
      </c>
      <c r="G8371" s="1" t="s">
        <v>17</v>
      </c>
      <c r="H8371" s="1" t="str">
        <f>"64"</f>
        <v>64</v>
      </c>
      <c r="I8371" s="1" t="str">
        <f>"162.97"</f>
        <v>162.97</v>
      </c>
      <c r="J8371" s="1" t="str">
        <f t="shared" si="6064"/>
        <v>0</v>
      </c>
      <c r="K8371" s="1" t="str">
        <f t="shared" si="6065"/>
        <v>103</v>
      </c>
      <c r="L8371" s="1" t="str">
        <f t="shared" si="6066"/>
        <v>47</v>
      </c>
      <c r="M8371" s="1" t="str">
        <f t="shared" si="6057"/>
        <v>0</v>
      </c>
      <c r="N8371" s="1" t="str">
        <f t="shared" si="6058"/>
        <v>0</v>
      </c>
      <c r="O8371" s="1" t="str">
        <f>"12.97"</f>
        <v>12.97</v>
      </c>
    </row>
    <row r="8372" s="1" customFormat="1" spans="1:15">
      <c r="A8372" s="1" t="str">
        <f t="shared" si="6059"/>
        <v>202406</v>
      </c>
      <c r="B8372" s="1" t="str">
        <f t="shared" si="6060"/>
        <v>150525100</v>
      </c>
      <c r="C8372" s="1" t="str">
        <f>"1042750326"</f>
        <v>1042750326</v>
      </c>
      <c r="D8372" s="1" t="str">
        <f>"152326196304143812"</f>
        <v>152326196304143812</v>
      </c>
      <c r="E8372" s="1" t="s">
        <v>7985</v>
      </c>
      <c r="F8372" s="1" t="s">
        <v>25</v>
      </c>
      <c r="G8372" s="1" t="s">
        <v>96</v>
      </c>
      <c r="H8372" s="1" t="str">
        <f t="shared" ref="H8372:H8375" si="6072">"61"</f>
        <v>61</v>
      </c>
      <c r="I8372" s="1" t="str">
        <f>"162.42"</f>
        <v>162.42</v>
      </c>
      <c r="J8372" s="1" t="str">
        <f t="shared" si="6064"/>
        <v>0</v>
      </c>
      <c r="K8372" s="1" t="str">
        <f t="shared" si="6065"/>
        <v>103</v>
      </c>
      <c r="L8372" s="1" t="str">
        <f t="shared" si="6066"/>
        <v>47</v>
      </c>
      <c r="M8372" s="1" t="str">
        <f t="shared" si="6057"/>
        <v>0</v>
      </c>
      <c r="N8372" s="1" t="str">
        <f t="shared" si="6058"/>
        <v>0</v>
      </c>
      <c r="O8372" s="1" t="str">
        <f>"12.42"</f>
        <v>12.42</v>
      </c>
    </row>
    <row r="8373" s="1" customFormat="1" spans="1:15">
      <c r="A8373" s="1" t="str">
        <f t="shared" si="6059"/>
        <v>202406</v>
      </c>
      <c r="B8373" s="1" t="str">
        <f t="shared" si="6060"/>
        <v>150525100</v>
      </c>
      <c r="C8373" s="1" t="str">
        <f>"1042721177"</f>
        <v>1042721177</v>
      </c>
      <c r="D8373" s="1" t="s">
        <v>7986</v>
      </c>
      <c r="E8373" s="1" t="s">
        <v>7987</v>
      </c>
      <c r="F8373" s="1" t="s">
        <v>25</v>
      </c>
      <c r="G8373" s="1" t="s">
        <v>17</v>
      </c>
      <c r="H8373" s="1" t="str">
        <f>"62"</f>
        <v>62</v>
      </c>
      <c r="I8373" s="1" t="str">
        <f>"166.41"</f>
        <v>166.41</v>
      </c>
      <c r="J8373" s="1" t="str">
        <f t="shared" si="6064"/>
        <v>0</v>
      </c>
      <c r="K8373" s="1" t="str">
        <f t="shared" si="6065"/>
        <v>103</v>
      </c>
      <c r="L8373" s="1" t="str">
        <f t="shared" si="6066"/>
        <v>47</v>
      </c>
      <c r="M8373" s="1" t="str">
        <f t="shared" si="6057"/>
        <v>0</v>
      </c>
      <c r="N8373" s="1" t="str">
        <f t="shared" si="6058"/>
        <v>0</v>
      </c>
      <c r="O8373" s="1" t="str">
        <f>"16.41"</f>
        <v>16.41</v>
      </c>
    </row>
    <row r="8374" s="1" customFormat="1" spans="1:15">
      <c r="A8374" s="1" t="str">
        <f t="shared" si="6059"/>
        <v>202406</v>
      </c>
      <c r="B8374" s="1" t="str">
        <f t="shared" si="6060"/>
        <v>150525100</v>
      </c>
      <c r="C8374" s="1" t="str">
        <f>"1042682034"</f>
        <v>1042682034</v>
      </c>
      <c r="D8374" s="1" t="str">
        <f>"152326196305123821"</f>
        <v>152326196305123821</v>
      </c>
      <c r="E8374" s="1" t="s">
        <v>7988</v>
      </c>
      <c r="F8374" s="1" t="s">
        <v>16</v>
      </c>
      <c r="G8374" s="1" t="s">
        <v>17</v>
      </c>
      <c r="H8374" s="1" t="str">
        <f t="shared" si="6072"/>
        <v>61</v>
      </c>
      <c r="I8374" s="1" t="str">
        <f>"168.45"</f>
        <v>168.45</v>
      </c>
      <c r="J8374" s="1" t="str">
        <f t="shared" si="6064"/>
        <v>0</v>
      </c>
      <c r="K8374" s="1" t="str">
        <f t="shared" si="6065"/>
        <v>103</v>
      </c>
      <c r="L8374" s="1" t="str">
        <f t="shared" si="6066"/>
        <v>47</v>
      </c>
      <c r="M8374" s="1" t="str">
        <f t="shared" si="6057"/>
        <v>0</v>
      </c>
      <c r="N8374" s="1" t="str">
        <f t="shared" si="6058"/>
        <v>0</v>
      </c>
      <c r="O8374" s="1" t="str">
        <f>"18.45"</f>
        <v>18.45</v>
      </c>
    </row>
    <row r="8375" s="1" customFormat="1" spans="1:15">
      <c r="A8375" s="1" t="str">
        <f t="shared" si="6059"/>
        <v>202406</v>
      </c>
      <c r="B8375" s="1" t="str">
        <f t="shared" si="6060"/>
        <v>150525100</v>
      </c>
      <c r="C8375" s="1" t="str">
        <f>"1042809927"</f>
        <v>1042809927</v>
      </c>
      <c r="D8375" s="1" t="str">
        <f>"152326196307190016"</f>
        <v>152326196307190016</v>
      </c>
      <c r="E8375" s="1" t="s">
        <v>7989</v>
      </c>
      <c r="F8375" s="1" t="s">
        <v>25</v>
      </c>
      <c r="G8375" s="1" t="s">
        <v>17</v>
      </c>
      <c r="H8375" s="1" t="str">
        <f t="shared" si="6072"/>
        <v>61</v>
      </c>
      <c r="I8375" s="1" t="str">
        <f>"162.47"</f>
        <v>162.47</v>
      </c>
      <c r="J8375" s="1" t="str">
        <f t="shared" si="6064"/>
        <v>0</v>
      </c>
      <c r="K8375" s="1" t="str">
        <f t="shared" si="6065"/>
        <v>103</v>
      </c>
      <c r="L8375" s="1" t="str">
        <f t="shared" si="6066"/>
        <v>47</v>
      </c>
      <c r="M8375" s="1" t="str">
        <f t="shared" si="6057"/>
        <v>0</v>
      </c>
      <c r="N8375" s="1" t="str">
        <f t="shared" si="6058"/>
        <v>0</v>
      </c>
      <c r="O8375" s="1" t="str">
        <f>"12.47"</f>
        <v>12.47</v>
      </c>
    </row>
    <row r="8376" s="1" customFormat="1" spans="1:15">
      <c r="A8376" s="1" t="str">
        <f t="shared" si="6059"/>
        <v>202406</v>
      </c>
      <c r="B8376" s="1" t="str">
        <f t="shared" si="6060"/>
        <v>150525100</v>
      </c>
      <c r="C8376" s="1" t="str">
        <f>"1042750525"</f>
        <v>1042750525</v>
      </c>
      <c r="D8376" s="1" t="str">
        <f>"152326196109070929"</f>
        <v>152326196109070929</v>
      </c>
      <c r="E8376" s="1" t="s">
        <v>7990</v>
      </c>
      <c r="F8376" s="1" t="s">
        <v>16</v>
      </c>
      <c r="G8376" s="1" t="s">
        <v>17</v>
      </c>
      <c r="H8376" s="1" t="str">
        <f t="shared" ref="H8376:H8379" si="6073">"63"</f>
        <v>63</v>
      </c>
      <c r="I8376" s="1" t="str">
        <f>"164.82"</f>
        <v>164.82</v>
      </c>
      <c r="J8376" s="1" t="str">
        <f t="shared" si="6064"/>
        <v>0</v>
      </c>
      <c r="K8376" s="1" t="str">
        <f t="shared" si="6065"/>
        <v>103</v>
      </c>
      <c r="L8376" s="1" t="str">
        <f t="shared" si="6066"/>
        <v>47</v>
      </c>
      <c r="M8376" s="1" t="str">
        <f t="shared" si="6057"/>
        <v>0</v>
      </c>
      <c r="N8376" s="1" t="str">
        <f t="shared" si="6058"/>
        <v>0</v>
      </c>
      <c r="O8376" s="1" t="str">
        <f>"14.82"</f>
        <v>14.82</v>
      </c>
    </row>
    <row r="8377" s="1" customFormat="1" spans="1:15">
      <c r="A8377" s="1" t="str">
        <f t="shared" si="6059"/>
        <v>202406</v>
      </c>
      <c r="B8377" s="1" t="str">
        <f t="shared" si="6060"/>
        <v>150525100</v>
      </c>
      <c r="C8377" s="1" t="str">
        <f>"1042771007"</f>
        <v>1042771007</v>
      </c>
      <c r="D8377" s="1" t="str">
        <f>"152326196304043862"</f>
        <v>152326196304043862</v>
      </c>
      <c r="E8377" s="1" t="s">
        <v>1613</v>
      </c>
      <c r="F8377" s="1" t="s">
        <v>16</v>
      </c>
      <c r="G8377" s="1" t="s">
        <v>17</v>
      </c>
      <c r="H8377" s="1" t="str">
        <f t="shared" ref="H8377:H8381" si="6074">"61"</f>
        <v>61</v>
      </c>
      <c r="I8377" s="1" t="str">
        <f>"162.35"</f>
        <v>162.35</v>
      </c>
      <c r="J8377" s="1" t="str">
        <f t="shared" si="6064"/>
        <v>0</v>
      </c>
      <c r="K8377" s="1" t="str">
        <f t="shared" si="6065"/>
        <v>103</v>
      </c>
      <c r="L8377" s="1" t="str">
        <f t="shared" si="6066"/>
        <v>47</v>
      </c>
      <c r="M8377" s="1" t="str">
        <f t="shared" si="6057"/>
        <v>0</v>
      </c>
      <c r="N8377" s="1" t="str">
        <f t="shared" si="6058"/>
        <v>0</v>
      </c>
      <c r="O8377" s="1" t="str">
        <f>"12.35"</f>
        <v>12.35</v>
      </c>
    </row>
    <row r="8378" s="1" customFormat="1" spans="1:15">
      <c r="A8378" s="1" t="str">
        <f t="shared" si="6059"/>
        <v>202406</v>
      </c>
      <c r="B8378" s="1" t="str">
        <f t="shared" si="6060"/>
        <v>150525100</v>
      </c>
      <c r="C8378" s="1" t="str">
        <f>"1042974777"</f>
        <v>1042974777</v>
      </c>
      <c r="D8378" s="1" t="s">
        <v>7991</v>
      </c>
      <c r="E8378" s="1" t="s">
        <v>7992</v>
      </c>
      <c r="F8378" s="1" t="s">
        <v>25</v>
      </c>
      <c r="G8378" s="1" t="s">
        <v>17</v>
      </c>
      <c r="H8378" s="1" t="str">
        <f t="shared" si="6073"/>
        <v>63</v>
      </c>
      <c r="I8378" s="1" t="str">
        <f>"158.58"</f>
        <v>158.58</v>
      </c>
      <c r="J8378" s="1" t="str">
        <f t="shared" si="6064"/>
        <v>0</v>
      </c>
      <c r="K8378" s="1" t="str">
        <f t="shared" si="6065"/>
        <v>103</v>
      </c>
      <c r="L8378" s="1" t="str">
        <f t="shared" si="6066"/>
        <v>47</v>
      </c>
      <c r="M8378" s="1" t="str">
        <f t="shared" si="6057"/>
        <v>0</v>
      </c>
      <c r="N8378" s="1" t="str">
        <f t="shared" si="6058"/>
        <v>0</v>
      </c>
      <c r="O8378" s="1" t="str">
        <f>"8.58"</f>
        <v>8.58</v>
      </c>
    </row>
    <row r="8379" s="1" customFormat="1" spans="1:15">
      <c r="A8379" s="1" t="str">
        <f t="shared" si="6059"/>
        <v>202406</v>
      </c>
      <c r="B8379" s="1" t="str">
        <f t="shared" si="6060"/>
        <v>150525100</v>
      </c>
      <c r="C8379" s="1" t="str">
        <f>"1042927736"</f>
        <v>1042927736</v>
      </c>
      <c r="D8379" s="1" t="str">
        <f>"152326196110223849"</f>
        <v>152326196110223849</v>
      </c>
      <c r="E8379" s="1" t="s">
        <v>7993</v>
      </c>
      <c r="F8379" s="1" t="s">
        <v>16</v>
      </c>
      <c r="G8379" s="1" t="s">
        <v>19</v>
      </c>
      <c r="H8379" s="1" t="str">
        <f t="shared" si="6073"/>
        <v>63</v>
      </c>
      <c r="I8379" s="1" t="str">
        <f>"158.6"</f>
        <v>158.6</v>
      </c>
      <c r="J8379" s="1" t="str">
        <f t="shared" si="6064"/>
        <v>0</v>
      </c>
      <c r="K8379" s="1" t="str">
        <f t="shared" si="6065"/>
        <v>103</v>
      </c>
      <c r="L8379" s="1" t="str">
        <f t="shared" si="6066"/>
        <v>47</v>
      </c>
      <c r="M8379" s="1" t="str">
        <f t="shared" si="6057"/>
        <v>0</v>
      </c>
      <c r="N8379" s="1" t="str">
        <f t="shared" si="6058"/>
        <v>0</v>
      </c>
      <c r="O8379" s="1" t="str">
        <f>"8.6"</f>
        <v>8.6</v>
      </c>
    </row>
    <row r="8380" s="1" customFormat="1" spans="1:15">
      <c r="A8380" s="1" t="str">
        <f t="shared" si="6059"/>
        <v>202406</v>
      </c>
      <c r="B8380" s="1" t="str">
        <f t="shared" si="6060"/>
        <v>150525100</v>
      </c>
      <c r="C8380" s="1" t="str">
        <f>"1043251076"</f>
        <v>1043251076</v>
      </c>
      <c r="D8380" s="1" t="str">
        <f>"152326196308170412"</f>
        <v>152326196308170412</v>
      </c>
      <c r="E8380" s="1" t="s">
        <v>7994</v>
      </c>
      <c r="F8380" s="1" t="s">
        <v>25</v>
      </c>
      <c r="G8380" s="1" t="s">
        <v>17</v>
      </c>
      <c r="H8380" s="1" t="str">
        <f t="shared" si="6074"/>
        <v>61</v>
      </c>
      <c r="I8380" s="1" t="str">
        <f>"1006.56"</f>
        <v>1006.56</v>
      </c>
      <c r="J8380" s="1" t="str">
        <f>"838.8"</f>
        <v>838.8</v>
      </c>
      <c r="K8380" s="1" t="str">
        <f>"618"</f>
        <v>618</v>
      </c>
      <c r="L8380" s="1" t="str">
        <f>"282"</f>
        <v>282</v>
      </c>
      <c r="M8380" s="1" t="str">
        <f t="shared" si="6057"/>
        <v>0</v>
      </c>
      <c r="N8380" s="1" t="str">
        <f t="shared" si="6058"/>
        <v>0</v>
      </c>
      <c r="O8380" s="1" t="str">
        <f>"106.56"</f>
        <v>106.56</v>
      </c>
    </row>
    <row r="8381" s="1" customFormat="1" spans="1:15">
      <c r="A8381" s="1" t="str">
        <f t="shared" si="6059"/>
        <v>202406</v>
      </c>
      <c r="B8381" s="1" t="str">
        <f t="shared" si="6060"/>
        <v>150525100</v>
      </c>
      <c r="C8381" s="1" t="str">
        <f>"1043316306"</f>
        <v>1043316306</v>
      </c>
      <c r="D8381" s="1" t="str">
        <f>"152326196306053343"</f>
        <v>152326196306053343</v>
      </c>
      <c r="E8381" s="1" t="s">
        <v>7995</v>
      </c>
      <c r="F8381" s="1" t="s">
        <v>16</v>
      </c>
      <c r="G8381" s="1" t="s">
        <v>17</v>
      </c>
      <c r="H8381" s="1" t="str">
        <f t="shared" si="6074"/>
        <v>61</v>
      </c>
      <c r="I8381" s="1" t="str">
        <f>"167.67"</f>
        <v>167.67</v>
      </c>
      <c r="J8381" s="1" t="str">
        <f t="shared" ref="J8381:J8411" si="6075">"0"</f>
        <v>0</v>
      </c>
      <c r="K8381" s="1" t="str">
        <f t="shared" ref="K8381:K8411" si="6076">"103"</f>
        <v>103</v>
      </c>
      <c r="L8381" s="1" t="str">
        <f t="shared" ref="L8381:L8411" si="6077">"47"</f>
        <v>47</v>
      </c>
      <c r="M8381" s="1" t="str">
        <f t="shared" si="6057"/>
        <v>0</v>
      </c>
      <c r="N8381" s="1" t="str">
        <f t="shared" si="6058"/>
        <v>0</v>
      </c>
      <c r="O8381" s="1" t="str">
        <f>"17.67"</f>
        <v>17.67</v>
      </c>
    </row>
    <row r="8382" s="1" customFormat="1" spans="1:15">
      <c r="A8382" s="1" t="str">
        <f t="shared" si="6059"/>
        <v>202406</v>
      </c>
      <c r="B8382" s="1" t="str">
        <f t="shared" si="6060"/>
        <v>150525100</v>
      </c>
      <c r="C8382" s="1" t="str">
        <f>"1043096039"</f>
        <v>1043096039</v>
      </c>
      <c r="D8382" s="1" t="str">
        <f>"152326195909170042"</f>
        <v>152326195909170042</v>
      </c>
      <c r="E8382" s="1" t="s">
        <v>2060</v>
      </c>
      <c r="F8382" s="1" t="s">
        <v>16</v>
      </c>
      <c r="G8382" s="1" t="s">
        <v>17</v>
      </c>
      <c r="H8382" s="1" t="str">
        <f>"65"</f>
        <v>65</v>
      </c>
      <c r="I8382" s="1" t="str">
        <f>"171.63"</f>
        <v>171.63</v>
      </c>
      <c r="J8382" s="1" t="str">
        <f t="shared" si="6075"/>
        <v>0</v>
      </c>
      <c r="K8382" s="1" t="str">
        <f t="shared" si="6076"/>
        <v>103</v>
      </c>
      <c r="L8382" s="1" t="str">
        <f t="shared" si="6077"/>
        <v>47</v>
      </c>
      <c r="M8382" s="1" t="str">
        <f t="shared" ref="M8382:M8411" si="6078">"0"</f>
        <v>0</v>
      </c>
      <c r="N8382" s="1" t="str">
        <f t="shared" si="6058"/>
        <v>0</v>
      </c>
      <c r="O8382" s="1" t="str">
        <f>"21.63"</f>
        <v>21.63</v>
      </c>
    </row>
    <row r="8383" s="1" customFormat="1" spans="1:15">
      <c r="A8383" s="1" t="str">
        <f t="shared" si="6059"/>
        <v>202406</v>
      </c>
      <c r="B8383" s="1" t="str">
        <f t="shared" si="6060"/>
        <v>150525100</v>
      </c>
      <c r="C8383" s="1" t="str">
        <f>"1042720949"</f>
        <v>1042720949</v>
      </c>
      <c r="D8383" s="1" t="str">
        <f>"152326196212153829"</f>
        <v>152326196212153829</v>
      </c>
      <c r="E8383" s="1" t="s">
        <v>7996</v>
      </c>
      <c r="F8383" s="1" t="s">
        <v>16</v>
      </c>
      <c r="G8383" s="1" t="s">
        <v>17</v>
      </c>
      <c r="H8383" s="1" t="str">
        <f t="shared" ref="H8383:H8388" si="6079">"62"</f>
        <v>62</v>
      </c>
      <c r="I8383" s="1" t="str">
        <f>"160.62"</f>
        <v>160.62</v>
      </c>
      <c r="J8383" s="1" t="str">
        <f t="shared" si="6075"/>
        <v>0</v>
      </c>
      <c r="K8383" s="1" t="str">
        <f t="shared" si="6076"/>
        <v>103</v>
      </c>
      <c r="L8383" s="1" t="str">
        <f t="shared" si="6077"/>
        <v>47</v>
      </c>
      <c r="M8383" s="1" t="str">
        <f t="shared" si="6078"/>
        <v>0</v>
      </c>
      <c r="N8383" s="1" t="str">
        <f t="shared" ref="N8383:N8411" si="6080">"0"</f>
        <v>0</v>
      </c>
      <c r="O8383" s="1" t="str">
        <f>"10.62"</f>
        <v>10.62</v>
      </c>
    </row>
    <row r="8384" s="1" customFormat="1" spans="1:15">
      <c r="A8384" s="1" t="str">
        <f t="shared" si="6059"/>
        <v>202406</v>
      </c>
      <c r="B8384" s="1" t="str">
        <f t="shared" si="6060"/>
        <v>150525100</v>
      </c>
      <c r="C8384" s="1" t="str">
        <f>"1042785394"</f>
        <v>1042785394</v>
      </c>
      <c r="D8384" s="1" t="str">
        <f>"152326196401220680"</f>
        <v>152326196401220680</v>
      </c>
      <c r="E8384" s="1" t="s">
        <v>7997</v>
      </c>
      <c r="F8384" s="1" t="s">
        <v>16</v>
      </c>
      <c r="G8384" s="1" t="s">
        <v>17</v>
      </c>
      <c r="H8384" s="1" t="str">
        <f>"60"</f>
        <v>60</v>
      </c>
      <c r="I8384" s="1" t="str">
        <f>"164.53"</f>
        <v>164.53</v>
      </c>
      <c r="J8384" s="1" t="str">
        <f t="shared" si="6075"/>
        <v>0</v>
      </c>
      <c r="K8384" s="1" t="str">
        <f t="shared" si="6076"/>
        <v>103</v>
      </c>
      <c r="L8384" s="1" t="str">
        <f t="shared" si="6077"/>
        <v>47</v>
      </c>
      <c r="M8384" s="1" t="str">
        <f t="shared" si="6078"/>
        <v>0</v>
      </c>
      <c r="N8384" s="1" t="str">
        <f t="shared" si="6080"/>
        <v>0</v>
      </c>
      <c r="O8384" s="1" t="str">
        <f>"14.53"</f>
        <v>14.53</v>
      </c>
    </row>
    <row r="8385" s="1" customFormat="1" spans="1:15">
      <c r="A8385" s="1" t="str">
        <f t="shared" si="6059"/>
        <v>202406</v>
      </c>
      <c r="B8385" s="1" t="str">
        <f t="shared" si="6060"/>
        <v>150525100</v>
      </c>
      <c r="C8385" s="1" t="str">
        <f>"1042793223"</f>
        <v>1042793223</v>
      </c>
      <c r="D8385" s="1" t="str">
        <f>"152326196309100678"</f>
        <v>152326196309100678</v>
      </c>
      <c r="E8385" s="1" t="s">
        <v>7998</v>
      </c>
      <c r="F8385" s="1" t="s">
        <v>25</v>
      </c>
      <c r="G8385" s="1" t="s">
        <v>17</v>
      </c>
      <c r="H8385" s="1" t="str">
        <f>"61"</f>
        <v>61</v>
      </c>
      <c r="I8385" s="1" t="str">
        <f>"164.83"</f>
        <v>164.83</v>
      </c>
      <c r="J8385" s="1" t="str">
        <f t="shared" si="6075"/>
        <v>0</v>
      </c>
      <c r="K8385" s="1" t="str">
        <f t="shared" si="6076"/>
        <v>103</v>
      </c>
      <c r="L8385" s="1" t="str">
        <f t="shared" si="6077"/>
        <v>47</v>
      </c>
      <c r="M8385" s="1" t="str">
        <f t="shared" si="6078"/>
        <v>0</v>
      </c>
      <c r="N8385" s="1" t="str">
        <f t="shared" si="6080"/>
        <v>0</v>
      </c>
      <c r="O8385" s="1" t="str">
        <f>"14.83"</f>
        <v>14.83</v>
      </c>
    </row>
    <row r="8386" s="1" customFormat="1" spans="1:15">
      <c r="A8386" s="1" t="str">
        <f t="shared" ref="A8386:A8411" si="6081">"202406"</f>
        <v>202406</v>
      </c>
      <c r="B8386" s="1" t="str">
        <f t="shared" ref="B8386:B8411" si="6082">"150525100"</f>
        <v>150525100</v>
      </c>
      <c r="C8386" s="1" t="str">
        <f>"1043000125"</f>
        <v>1043000125</v>
      </c>
      <c r="D8386" s="1" t="str">
        <f>"152326196211070669"</f>
        <v>152326196211070669</v>
      </c>
      <c r="E8386" s="1" t="s">
        <v>1337</v>
      </c>
      <c r="F8386" s="1" t="s">
        <v>16</v>
      </c>
      <c r="G8386" s="1" t="s">
        <v>17</v>
      </c>
      <c r="H8386" s="1" t="str">
        <f t="shared" si="6079"/>
        <v>62</v>
      </c>
      <c r="I8386" s="1" t="str">
        <f>"162.02"</f>
        <v>162.02</v>
      </c>
      <c r="J8386" s="1" t="str">
        <f t="shared" si="6075"/>
        <v>0</v>
      </c>
      <c r="K8386" s="1" t="str">
        <f t="shared" si="6076"/>
        <v>103</v>
      </c>
      <c r="L8386" s="1" t="str">
        <f t="shared" si="6077"/>
        <v>47</v>
      </c>
      <c r="M8386" s="1" t="str">
        <f t="shared" si="6078"/>
        <v>0</v>
      </c>
      <c r="N8386" s="1" t="str">
        <f t="shared" si="6080"/>
        <v>0</v>
      </c>
      <c r="O8386" s="1" t="str">
        <f>"12.02"</f>
        <v>12.02</v>
      </c>
    </row>
    <row r="8387" s="1" customFormat="1" spans="1:15">
      <c r="A8387" s="1" t="str">
        <f t="shared" si="6081"/>
        <v>202406</v>
      </c>
      <c r="B8387" s="1" t="str">
        <f t="shared" si="6082"/>
        <v>150525100</v>
      </c>
      <c r="C8387" s="1" t="str">
        <f>"1042990443"</f>
        <v>1042990443</v>
      </c>
      <c r="D8387" s="1" t="str">
        <f>"152326196109073812"</f>
        <v>152326196109073812</v>
      </c>
      <c r="E8387" s="1" t="s">
        <v>7999</v>
      </c>
      <c r="F8387" s="1" t="s">
        <v>25</v>
      </c>
      <c r="G8387" s="1" t="s">
        <v>17</v>
      </c>
      <c r="H8387" s="1" t="str">
        <f>"63"</f>
        <v>63</v>
      </c>
      <c r="I8387" s="1" t="str">
        <f>"158.9"</f>
        <v>158.9</v>
      </c>
      <c r="J8387" s="1" t="str">
        <f t="shared" si="6075"/>
        <v>0</v>
      </c>
      <c r="K8387" s="1" t="str">
        <f t="shared" si="6076"/>
        <v>103</v>
      </c>
      <c r="L8387" s="1" t="str">
        <f t="shared" si="6077"/>
        <v>47</v>
      </c>
      <c r="M8387" s="1" t="str">
        <f t="shared" si="6078"/>
        <v>0</v>
      </c>
      <c r="N8387" s="1" t="str">
        <f t="shared" si="6080"/>
        <v>0</v>
      </c>
      <c r="O8387" s="1" t="str">
        <f>"8.9"</f>
        <v>8.9</v>
      </c>
    </row>
    <row r="8388" s="1" customFormat="1" spans="1:15">
      <c r="A8388" s="1" t="str">
        <f t="shared" si="6081"/>
        <v>202406</v>
      </c>
      <c r="B8388" s="1" t="str">
        <f t="shared" si="6082"/>
        <v>150525100</v>
      </c>
      <c r="C8388" s="1" t="str">
        <f>"1042771411"</f>
        <v>1042771411</v>
      </c>
      <c r="D8388" s="1" t="str">
        <f>"152326196212243349"</f>
        <v>152326196212243349</v>
      </c>
      <c r="E8388" s="1" t="s">
        <v>8000</v>
      </c>
      <c r="F8388" s="1" t="s">
        <v>16</v>
      </c>
      <c r="G8388" s="1" t="s">
        <v>17</v>
      </c>
      <c r="H8388" s="1" t="str">
        <f t="shared" si="6079"/>
        <v>62</v>
      </c>
      <c r="I8388" s="1" t="str">
        <f>"162.63"</f>
        <v>162.63</v>
      </c>
      <c r="J8388" s="1" t="str">
        <f t="shared" si="6075"/>
        <v>0</v>
      </c>
      <c r="K8388" s="1" t="str">
        <f t="shared" si="6076"/>
        <v>103</v>
      </c>
      <c r="L8388" s="1" t="str">
        <f t="shared" si="6077"/>
        <v>47</v>
      </c>
      <c r="M8388" s="1" t="str">
        <f t="shared" si="6078"/>
        <v>0</v>
      </c>
      <c r="N8388" s="1" t="str">
        <f t="shared" si="6080"/>
        <v>0</v>
      </c>
      <c r="O8388" s="1" t="str">
        <f>"12.63"</f>
        <v>12.63</v>
      </c>
    </row>
    <row r="8389" s="1" customFormat="1" spans="1:15">
      <c r="A8389" s="1" t="str">
        <f t="shared" si="6081"/>
        <v>202406</v>
      </c>
      <c r="B8389" s="1" t="str">
        <f t="shared" si="6082"/>
        <v>150525100</v>
      </c>
      <c r="C8389" s="1" t="str">
        <f>"1042743194"</f>
        <v>1042743194</v>
      </c>
      <c r="D8389" s="1" t="str">
        <f>"152326196403120915"</f>
        <v>152326196403120915</v>
      </c>
      <c r="E8389" s="1" t="s">
        <v>8001</v>
      </c>
      <c r="F8389" s="1" t="s">
        <v>25</v>
      </c>
      <c r="G8389" s="1" t="s">
        <v>17</v>
      </c>
      <c r="H8389" s="1" t="str">
        <f t="shared" ref="H8389:H8393" si="6083">"60"</f>
        <v>60</v>
      </c>
      <c r="I8389" s="1" t="str">
        <f>"164.21"</f>
        <v>164.21</v>
      </c>
      <c r="J8389" s="1" t="str">
        <f t="shared" si="6075"/>
        <v>0</v>
      </c>
      <c r="K8389" s="1" t="str">
        <f t="shared" si="6076"/>
        <v>103</v>
      </c>
      <c r="L8389" s="1" t="str">
        <f t="shared" si="6077"/>
        <v>47</v>
      </c>
      <c r="M8389" s="1" t="str">
        <f t="shared" si="6078"/>
        <v>0</v>
      </c>
      <c r="N8389" s="1" t="str">
        <f t="shared" si="6080"/>
        <v>0</v>
      </c>
      <c r="O8389" s="1" t="str">
        <f>"14.21"</f>
        <v>14.21</v>
      </c>
    </row>
    <row r="8390" s="1" customFormat="1" spans="1:15">
      <c r="A8390" s="1" t="str">
        <f t="shared" si="6081"/>
        <v>202406</v>
      </c>
      <c r="B8390" s="1" t="str">
        <f t="shared" si="6082"/>
        <v>150525100</v>
      </c>
      <c r="C8390" s="1" t="str">
        <f>"1042691136"</f>
        <v>1042691136</v>
      </c>
      <c r="D8390" s="1" t="str">
        <f>"152326196402090670"</f>
        <v>152326196402090670</v>
      </c>
      <c r="E8390" s="1" t="s">
        <v>8002</v>
      </c>
      <c r="F8390" s="1" t="s">
        <v>25</v>
      </c>
      <c r="G8390" s="1" t="s">
        <v>17</v>
      </c>
      <c r="H8390" s="1" t="str">
        <f t="shared" si="6083"/>
        <v>60</v>
      </c>
      <c r="I8390" s="1" t="str">
        <f>"170.82"</f>
        <v>170.82</v>
      </c>
      <c r="J8390" s="1" t="str">
        <f t="shared" si="6075"/>
        <v>0</v>
      </c>
      <c r="K8390" s="1" t="str">
        <f t="shared" si="6076"/>
        <v>103</v>
      </c>
      <c r="L8390" s="1" t="str">
        <f t="shared" si="6077"/>
        <v>47</v>
      </c>
      <c r="M8390" s="1" t="str">
        <f t="shared" si="6078"/>
        <v>0</v>
      </c>
      <c r="N8390" s="1" t="str">
        <f t="shared" si="6080"/>
        <v>0</v>
      </c>
      <c r="O8390" s="1" t="str">
        <f>"20.82"</f>
        <v>20.82</v>
      </c>
    </row>
    <row r="8391" s="1" customFormat="1" spans="1:15">
      <c r="A8391" s="1" t="str">
        <f t="shared" si="6081"/>
        <v>202406</v>
      </c>
      <c r="B8391" s="1" t="str">
        <f t="shared" si="6082"/>
        <v>150525100</v>
      </c>
      <c r="C8391" s="1" t="str">
        <f>"1043205340"</f>
        <v>1043205340</v>
      </c>
      <c r="D8391" s="1" t="str">
        <f>"152326196309015385"</f>
        <v>152326196309015385</v>
      </c>
      <c r="E8391" s="1" t="s">
        <v>2406</v>
      </c>
      <c r="F8391" s="1" t="s">
        <v>16</v>
      </c>
      <c r="G8391" s="1" t="s">
        <v>17</v>
      </c>
      <c r="H8391" s="1" t="str">
        <f>"61"</f>
        <v>61</v>
      </c>
      <c r="I8391" s="1" t="str">
        <f>"167.86"</f>
        <v>167.86</v>
      </c>
      <c r="J8391" s="1" t="str">
        <f t="shared" si="6075"/>
        <v>0</v>
      </c>
      <c r="K8391" s="1" t="str">
        <f t="shared" si="6076"/>
        <v>103</v>
      </c>
      <c r="L8391" s="1" t="str">
        <f t="shared" si="6077"/>
        <v>47</v>
      </c>
      <c r="M8391" s="1" t="str">
        <f t="shared" si="6078"/>
        <v>0</v>
      </c>
      <c r="N8391" s="1" t="str">
        <f t="shared" si="6080"/>
        <v>0</v>
      </c>
      <c r="O8391" s="1" t="str">
        <f>"17.86"</f>
        <v>17.86</v>
      </c>
    </row>
    <row r="8392" s="1" customFormat="1" spans="1:15">
      <c r="A8392" s="1" t="str">
        <f t="shared" si="6081"/>
        <v>202406</v>
      </c>
      <c r="B8392" s="1" t="str">
        <f t="shared" si="6082"/>
        <v>150525100</v>
      </c>
      <c r="C8392" s="1" t="str">
        <f>"1042687514"</f>
        <v>1042687514</v>
      </c>
      <c r="D8392" s="1" t="s">
        <v>8003</v>
      </c>
      <c r="E8392" s="1" t="s">
        <v>8004</v>
      </c>
      <c r="F8392" s="1" t="s">
        <v>16</v>
      </c>
      <c r="G8392" s="1" t="s">
        <v>17</v>
      </c>
      <c r="H8392" s="1" t="str">
        <f t="shared" ref="H8392:H8395" si="6084">"62"</f>
        <v>62</v>
      </c>
      <c r="I8392" s="1" t="str">
        <f>"160.56"</f>
        <v>160.56</v>
      </c>
      <c r="J8392" s="1" t="str">
        <f t="shared" si="6075"/>
        <v>0</v>
      </c>
      <c r="K8392" s="1" t="str">
        <f t="shared" si="6076"/>
        <v>103</v>
      </c>
      <c r="L8392" s="1" t="str">
        <f t="shared" si="6077"/>
        <v>47</v>
      </c>
      <c r="M8392" s="1" t="str">
        <f t="shared" si="6078"/>
        <v>0</v>
      </c>
      <c r="N8392" s="1" t="str">
        <f t="shared" si="6080"/>
        <v>0</v>
      </c>
      <c r="O8392" s="1" t="str">
        <f>"10.56"</f>
        <v>10.56</v>
      </c>
    </row>
    <row r="8393" s="1" customFormat="1" spans="1:15">
      <c r="A8393" s="1" t="str">
        <f t="shared" si="6081"/>
        <v>202406</v>
      </c>
      <c r="B8393" s="1" t="str">
        <f t="shared" si="6082"/>
        <v>150525100</v>
      </c>
      <c r="C8393" s="1" t="str">
        <f>"1042691329"</f>
        <v>1042691329</v>
      </c>
      <c r="D8393" s="1" t="str">
        <f>"152326196402070418"</f>
        <v>152326196402070418</v>
      </c>
      <c r="E8393" s="1" t="s">
        <v>8005</v>
      </c>
      <c r="F8393" s="1" t="s">
        <v>25</v>
      </c>
      <c r="G8393" s="1" t="s">
        <v>17</v>
      </c>
      <c r="H8393" s="1" t="str">
        <f t="shared" si="6083"/>
        <v>60</v>
      </c>
      <c r="I8393" s="1" t="str">
        <f>"164.26"</f>
        <v>164.26</v>
      </c>
      <c r="J8393" s="1" t="str">
        <f t="shared" si="6075"/>
        <v>0</v>
      </c>
      <c r="K8393" s="1" t="str">
        <f t="shared" si="6076"/>
        <v>103</v>
      </c>
      <c r="L8393" s="1" t="str">
        <f t="shared" si="6077"/>
        <v>47</v>
      </c>
      <c r="M8393" s="1" t="str">
        <f t="shared" si="6078"/>
        <v>0</v>
      </c>
      <c r="N8393" s="1" t="str">
        <f t="shared" si="6080"/>
        <v>0</v>
      </c>
      <c r="O8393" s="1" t="str">
        <f>"14.26"</f>
        <v>14.26</v>
      </c>
    </row>
    <row r="8394" s="1" customFormat="1" spans="1:15">
      <c r="A8394" s="1" t="str">
        <f t="shared" si="6081"/>
        <v>202406</v>
      </c>
      <c r="B8394" s="1" t="str">
        <f t="shared" si="6082"/>
        <v>150525100</v>
      </c>
      <c r="C8394" s="1" t="str">
        <f>"1042806421"</f>
        <v>1042806421</v>
      </c>
      <c r="D8394" s="1" t="str">
        <f>"152326196207270676"</f>
        <v>152326196207270676</v>
      </c>
      <c r="E8394" s="1" t="s">
        <v>8006</v>
      </c>
      <c r="F8394" s="1" t="s">
        <v>25</v>
      </c>
      <c r="G8394" s="1" t="s">
        <v>17</v>
      </c>
      <c r="H8394" s="1" t="str">
        <f t="shared" si="6084"/>
        <v>62</v>
      </c>
      <c r="I8394" s="1" t="str">
        <f>"167.35"</f>
        <v>167.35</v>
      </c>
      <c r="J8394" s="1" t="str">
        <f t="shared" si="6075"/>
        <v>0</v>
      </c>
      <c r="K8394" s="1" t="str">
        <f t="shared" si="6076"/>
        <v>103</v>
      </c>
      <c r="L8394" s="1" t="str">
        <f t="shared" si="6077"/>
        <v>47</v>
      </c>
      <c r="M8394" s="1" t="str">
        <f t="shared" si="6078"/>
        <v>0</v>
      </c>
      <c r="N8394" s="1" t="str">
        <f t="shared" si="6080"/>
        <v>0</v>
      </c>
      <c r="O8394" s="1" t="str">
        <f>"17.35"</f>
        <v>17.35</v>
      </c>
    </row>
    <row r="8395" s="1" customFormat="1" spans="1:15">
      <c r="A8395" s="1" t="str">
        <f t="shared" si="6081"/>
        <v>202406</v>
      </c>
      <c r="B8395" s="1" t="str">
        <f t="shared" si="6082"/>
        <v>150525100</v>
      </c>
      <c r="C8395" s="1" t="str">
        <f>"1042684269"</f>
        <v>1042684269</v>
      </c>
      <c r="D8395" s="1" t="str">
        <f>"152326196201080679"</f>
        <v>152326196201080679</v>
      </c>
      <c r="E8395" s="1" t="s">
        <v>8007</v>
      </c>
      <c r="F8395" s="1" t="s">
        <v>25</v>
      </c>
      <c r="G8395" s="1" t="s">
        <v>17</v>
      </c>
      <c r="H8395" s="1" t="str">
        <f t="shared" si="6084"/>
        <v>62</v>
      </c>
      <c r="I8395" s="1" t="str">
        <f>"160.36"</f>
        <v>160.36</v>
      </c>
      <c r="J8395" s="1" t="str">
        <f t="shared" si="6075"/>
        <v>0</v>
      </c>
      <c r="K8395" s="1" t="str">
        <f t="shared" si="6076"/>
        <v>103</v>
      </c>
      <c r="L8395" s="1" t="str">
        <f t="shared" si="6077"/>
        <v>47</v>
      </c>
      <c r="M8395" s="1" t="str">
        <f t="shared" si="6078"/>
        <v>0</v>
      </c>
      <c r="N8395" s="1" t="str">
        <f t="shared" si="6080"/>
        <v>0</v>
      </c>
      <c r="O8395" s="1" t="str">
        <f>"10.36"</f>
        <v>10.36</v>
      </c>
    </row>
    <row r="8396" s="1" customFormat="1" spans="1:15">
      <c r="A8396" s="1" t="str">
        <f t="shared" si="6081"/>
        <v>202406</v>
      </c>
      <c r="B8396" s="1" t="str">
        <f t="shared" si="6082"/>
        <v>150525100</v>
      </c>
      <c r="C8396" s="1" t="str">
        <f>"1042714959"</f>
        <v>1042714959</v>
      </c>
      <c r="D8396" s="1" t="str">
        <f>"152326196301130055"</f>
        <v>152326196301130055</v>
      </c>
      <c r="E8396" s="1" t="s">
        <v>8008</v>
      </c>
      <c r="F8396" s="1" t="s">
        <v>25</v>
      </c>
      <c r="G8396" s="1" t="s">
        <v>17</v>
      </c>
      <c r="H8396" s="1" t="str">
        <f t="shared" ref="H8396:H8401" si="6085">"61"</f>
        <v>61</v>
      </c>
      <c r="I8396" s="1" t="str">
        <f>"346.35"</f>
        <v>346.35</v>
      </c>
      <c r="J8396" s="1" t="str">
        <f t="shared" si="6075"/>
        <v>0</v>
      </c>
      <c r="K8396" s="1" t="str">
        <f t="shared" si="6076"/>
        <v>103</v>
      </c>
      <c r="L8396" s="1" t="str">
        <f t="shared" si="6077"/>
        <v>47</v>
      </c>
      <c r="M8396" s="1" t="str">
        <f t="shared" si="6078"/>
        <v>0</v>
      </c>
      <c r="N8396" s="1" t="str">
        <f t="shared" si="6080"/>
        <v>0</v>
      </c>
      <c r="O8396" s="1" t="str">
        <f>"196.35"</f>
        <v>196.35</v>
      </c>
    </row>
    <row r="8397" s="1" customFormat="1" spans="1:15">
      <c r="A8397" s="1" t="str">
        <f t="shared" si="6081"/>
        <v>202406</v>
      </c>
      <c r="B8397" s="1" t="str">
        <f t="shared" si="6082"/>
        <v>150525100</v>
      </c>
      <c r="C8397" s="1" t="str">
        <f>"1042714961"</f>
        <v>1042714961</v>
      </c>
      <c r="D8397" s="1" t="str">
        <f>"152326196303260021"</f>
        <v>152326196303260021</v>
      </c>
      <c r="E8397" s="1" t="s">
        <v>8009</v>
      </c>
      <c r="F8397" s="1" t="s">
        <v>16</v>
      </c>
      <c r="G8397" s="1" t="s">
        <v>96</v>
      </c>
      <c r="H8397" s="1" t="str">
        <f t="shared" si="6085"/>
        <v>61</v>
      </c>
      <c r="I8397" s="1" t="str">
        <f>"346.84"</f>
        <v>346.84</v>
      </c>
      <c r="J8397" s="1" t="str">
        <f t="shared" si="6075"/>
        <v>0</v>
      </c>
      <c r="K8397" s="1" t="str">
        <f t="shared" si="6076"/>
        <v>103</v>
      </c>
      <c r="L8397" s="1" t="str">
        <f t="shared" si="6077"/>
        <v>47</v>
      </c>
      <c r="M8397" s="1" t="str">
        <f t="shared" si="6078"/>
        <v>0</v>
      </c>
      <c r="N8397" s="1" t="str">
        <f t="shared" si="6080"/>
        <v>0</v>
      </c>
      <c r="O8397" s="1" t="str">
        <f>"196.84"</f>
        <v>196.84</v>
      </c>
    </row>
    <row r="8398" s="1" customFormat="1" spans="1:15">
      <c r="A8398" s="1" t="str">
        <f t="shared" si="6081"/>
        <v>202406</v>
      </c>
      <c r="B8398" s="1" t="str">
        <f t="shared" si="6082"/>
        <v>150525100</v>
      </c>
      <c r="C8398" s="1" t="str">
        <f>"1042747176"</f>
        <v>1042747176</v>
      </c>
      <c r="D8398" s="1" t="str">
        <f>"152326196405013865"</f>
        <v>152326196405013865</v>
      </c>
      <c r="E8398" s="1" t="s">
        <v>8010</v>
      </c>
      <c r="F8398" s="1" t="s">
        <v>16</v>
      </c>
      <c r="G8398" s="1" t="s">
        <v>19</v>
      </c>
      <c r="H8398" s="1" t="str">
        <f>"60"</f>
        <v>60</v>
      </c>
      <c r="I8398" s="1" t="str">
        <f>"164.26"</f>
        <v>164.26</v>
      </c>
      <c r="J8398" s="1" t="str">
        <f t="shared" si="6075"/>
        <v>0</v>
      </c>
      <c r="K8398" s="1" t="str">
        <f t="shared" si="6076"/>
        <v>103</v>
      </c>
      <c r="L8398" s="1" t="str">
        <f t="shared" si="6077"/>
        <v>47</v>
      </c>
      <c r="M8398" s="1" t="str">
        <f t="shared" si="6078"/>
        <v>0</v>
      </c>
      <c r="N8398" s="1" t="str">
        <f t="shared" si="6080"/>
        <v>0</v>
      </c>
      <c r="O8398" s="1" t="str">
        <f>"14.26"</f>
        <v>14.26</v>
      </c>
    </row>
    <row r="8399" s="1" customFormat="1" spans="1:15">
      <c r="A8399" s="1" t="str">
        <f t="shared" si="6081"/>
        <v>202406</v>
      </c>
      <c r="B8399" s="1" t="str">
        <f t="shared" si="6082"/>
        <v>150525100</v>
      </c>
      <c r="C8399" s="1" t="str">
        <f>"1042747369"</f>
        <v>1042747369</v>
      </c>
      <c r="D8399" s="1" t="str">
        <f>"152326196210123853"</f>
        <v>152326196210123853</v>
      </c>
      <c r="E8399" s="1" t="s">
        <v>8011</v>
      </c>
      <c r="F8399" s="1" t="s">
        <v>25</v>
      </c>
      <c r="G8399" s="1" t="s">
        <v>17</v>
      </c>
      <c r="H8399" s="1" t="str">
        <f t="shared" ref="H8399:H8403" si="6086">"62"</f>
        <v>62</v>
      </c>
      <c r="I8399" s="1" t="str">
        <f>"160.58"</f>
        <v>160.58</v>
      </c>
      <c r="J8399" s="1" t="str">
        <f t="shared" si="6075"/>
        <v>0</v>
      </c>
      <c r="K8399" s="1" t="str">
        <f t="shared" si="6076"/>
        <v>103</v>
      </c>
      <c r="L8399" s="1" t="str">
        <f t="shared" si="6077"/>
        <v>47</v>
      </c>
      <c r="M8399" s="1" t="str">
        <f t="shared" si="6078"/>
        <v>0</v>
      </c>
      <c r="N8399" s="1" t="str">
        <f t="shared" si="6080"/>
        <v>0</v>
      </c>
      <c r="O8399" s="1" t="str">
        <f>"10.58"</f>
        <v>10.58</v>
      </c>
    </row>
    <row r="8400" s="1" customFormat="1" spans="1:15">
      <c r="A8400" s="1" t="str">
        <f t="shared" si="6081"/>
        <v>202406</v>
      </c>
      <c r="B8400" s="1" t="str">
        <f t="shared" si="6082"/>
        <v>150525100</v>
      </c>
      <c r="C8400" s="1" t="str">
        <f>"1042692679"</f>
        <v>1042692679</v>
      </c>
      <c r="D8400" s="1" t="str">
        <f>"152326196312093317"</f>
        <v>152326196312093317</v>
      </c>
      <c r="E8400" s="1" t="s">
        <v>8012</v>
      </c>
      <c r="F8400" s="1" t="s">
        <v>25</v>
      </c>
      <c r="G8400" s="1" t="s">
        <v>17</v>
      </c>
      <c r="H8400" s="1" t="str">
        <f t="shared" si="6085"/>
        <v>61</v>
      </c>
      <c r="I8400" s="1" t="str">
        <f>"169.02"</f>
        <v>169.02</v>
      </c>
      <c r="J8400" s="1" t="str">
        <f t="shared" si="6075"/>
        <v>0</v>
      </c>
      <c r="K8400" s="1" t="str">
        <f t="shared" si="6076"/>
        <v>103</v>
      </c>
      <c r="L8400" s="1" t="str">
        <f t="shared" si="6077"/>
        <v>47</v>
      </c>
      <c r="M8400" s="1" t="str">
        <f t="shared" si="6078"/>
        <v>0</v>
      </c>
      <c r="N8400" s="1" t="str">
        <f t="shared" si="6080"/>
        <v>0</v>
      </c>
      <c r="O8400" s="1" t="str">
        <f>"19.02"</f>
        <v>19.02</v>
      </c>
    </row>
    <row r="8401" s="1" customFormat="1" spans="1:15">
      <c r="A8401" s="1" t="str">
        <f t="shared" si="6081"/>
        <v>202406</v>
      </c>
      <c r="B8401" s="1" t="str">
        <f t="shared" si="6082"/>
        <v>150525100</v>
      </c>
      <c r="C8401" s="1" t="str">
        <f>"1041808454"</f>
        <v>1041808454</v>
      </c>
      <c r="D8401" s="1" t="s">
        <v>8013</v>
      </c>
      <c r="E8401" s="1" t="s">
        <v>8014</v>
      </c>
      <c r="F8401" s="1" t="s">
        <v>25</v>
      </c>
      <c r="G8401" s="1" t="s">
        <v>19</v>
      </c>
      <c r="H8401" s="1" t="str">
        <f t="shared" si="6085"/>
        <v>61</v>
      </c>
      <c r="I8401" s="1" t="str">
        <f>"162.46"</f>
        <v>162.46</v>
      </c>
      <c r="J8401" s="1" t="str">
        <f t="shared" si="6075"/>
        <v>0</v>
      </c>
      <c r="K8401" s="1" t="str">
        <f t="shared" si="6076"/>
        <v>103</v>
      </c>
      <c r="L8401" s="1" t="str">
        <f t="shared" si="6077"/>
        <v>47</v>
      </c>
      <c r="M8401" s="1" t="str">
        <f t="shared" si="6078"/>
        <v>0</v>
      </c>
      <c r="N8401" s="1" t="str">
        <f t="shared" si="6080"/>
        <v>0</v>
      </c>
      <c r="O8401" s="1" t="str">
        <f>"12.46"</f>
        <v>12.46</v>
      </c>
    </row>
    <row r="8402" s="1" customFormat="1" spans="1:15">
      <c r="A8402" s="1" t="str">
        <f t="shared" si="6081"/>
        <v>202406</v>
      </c>
      <c r="B8402" s="1" t="str">
        <f t="shared" si="6082"/>
        <v>150525100</v>
      </c>
      <c r="C8402" s="1" t="str">
        <f>"1043323428"</f>
        <v>1043323428</v>
      </c>
      <c r="D8402" s="1" t="str">
        <f>"152326196210280410"</f>
        <v>152326196210280410</v>
      </c>
      <c r="E8402" s="1" t="s">
        <v>8015</v>
      </c>
      <c r="F8402" s="1" t="s">
        <v>25</v>
      </c>
      <c r="G8402" s="1" t="s">
        <v>17</v>
      </c>
      <c r="H8402" s="1" t="str">
        <f t="shared" si="6086"/>
        <v>62</v>
      </c>
      <c r="I8402" s="1" t="str">
        <f>"165.85"</f>
        <v>165.85</v>
      </c>
      <c r="J8402" s="1" t="str">
        <f t="shared" si="6075"/>
        <v>0</v>
      </c>
      <c r="K8402" s="1" t="str">
        <f t="shared" si="6076"/>
        <v>103</v>
      </c>
      <c r="L8402" s="1" t="str">
        <f t="shared" si="6077"/>
        <v>47</v>
      </c>
      <c r="M8402" s="1" t="str">
        <f t="shared" si="6078"/>
        <v>0</v>
      </c>
      <c r="N8402" s="1" t="str">
        <f t="shared" si="6080"/>
        <v>0</v>
      </c>
      <c r="O8402" s="1" t="str">
        <f>"15.85"</f>
        <v>15.85</v>
      </c>
    </row>
    <row r="8403" s="1" customFormat="1" spans="1:15">
      <c r="A8403" s="1" t="str">
        <f t="shared" si="6081"/>
        <v>202406</v>
      </c>
      <c r="B8403" s="1" t="str">
        <f t="shared" si="6082"/>
        <v>150525100</v>
      </c>
      <c r="C8403" s="1" t="str">
        <f>"1043419098"</f>
        <v>1043419098</v>
      </c>
      <c r="D8403" s="1" t="str">
        <f>"152326196212180675"</f>
        <v>152326196212180675</v>
      </c>
      <c r="E8403" s="1" t="s">
        <v>8016</v>
      </c>
      <c r="F8403" s="1" t="s">
        <v>25</v>
      </c>
      <c r="G8403" s="1" t="s">
        <v>17</v>
      </c>
      <c r="H8403" s="1" t="str">
        <f t="shared" si="6086"/>
        <v>62</v>
      </c>
      <c r="I8403" s="1" t="str">
        <f>"189.62"</f>
        <v>189.62</v>
      </c>
      <c r="J8403" s="1" t="str">
        <f t="shared" si="6075"/>
        <v>0</v>
      </c>
      <c r="K8403" s="1" t="str">
        <f t="shared" si="6076"/>
        <v>103</v>
      </c>
      <c r="L8403" s="1" t="str">
        <f t="shared" si="6077"/>
        <v>47</v>
      </c>
      <c r="M8403" s="1" t="str">
        <f t="shared" si="6078"/>
        <v>0</v>
      </c>
      <c r="N8403" s="1" t="str">
        <f t="shared" si="6080"/>
        <v>0</v>
      </c>
      <c r="O8403" s="1" t="str">
        <f>"39.62"</f>
        <v>39.62</v>
      </c>
    </row>
    <row r="8404" s="1" customFormat="1" spans="1:15">
      <c r="A8404" s="1" t="str">
        <f t="shared" si="6081"/>
        <v>202406</v>
      </c>
      <c r="B8404" s="1" t="str">
        <f t="shared" si="6082"/>
        <v>150525100</v>
      </c>
      <c r="C8404" s="1" t="str">
        <f>"1043229755"</f>
        <v>1043229755</v>
      </c>
      <c r="D8404" s="1" t="str">
        <f>"152326196301290921"</f>
        <v>152326196301290921</v>
      </c>
      <c r="E8404" s="1" t="s">
        <v>2424</v>
      </c>
      <c r="F8404" s="1" t="s">
        <v>16</v>
      </c>
      <c r="G8404" s="1" t="s">
        <v>19</v>
      </c>
      <c r="H8404" s="1" t="str">
        <f>"61"</f>
        <v>61</v>
      </c>
      <c r="I8404" s="1" t="str">
        <f>"161.86"</f>
        <v>161.86</v>
      </c>
      <c r="J8404" s="1" t="str">
        <f t="shared" si="6075"/>
        <v>0</v>
      </c>
      <c r="K8404" s="1" t="str">
        <f t="shared" si="6076"/>
        <v>103</v>
      </c>
      <c r="L8404" s="1" t="str">
        <f t="shared" si="6077"/>
        <v>47</v>
      </c>
      <c r="M8404" s="1" t="str">
        <f t="shared" si="6078"/>
        <v>0</v>
      </c>
      <c r="N8404" s="1" t="str">
        <f t="shared" si="6080"/>
        <v>0</v>
      </c>
      <c r="O8404" s="1" t="str">
        <f>"11.86"</f>
        <v>11.86</v>
      </c>
    </row>
    <row r="8405" s="1" customFormat="1" spans="1:15">
      <c r="A8405" s="1" t="str">
        <f t="shared" si="6081"/>
        <v>202406</v>
      </c>
      <c r="B8405" s="1" t="str">
        <f t="shared" si="6082"/>
        <v>150525100</v>
      </c>
      <c r="C8405" s="1" t="str">
        <f>"1043320695"</f>
        <v>1043320695</v>
      </c>
      <c r="D8405" s="1" t="str">
        <f>"152326196211276376"</f>
        <v>152326196211276376</v>
      </c>
      <c r="E8405" s="1" t="s">
        <v>2173</v>
      </c>
      <c r="F8405" s="1" t="s">
        <v>25</v>
      </c>
      <c r="G8405" s="1" t="s">
        <v>17</v>
      </c>
      <c r="H8405" s="1" t="str">
        <f t="shared" ref="H8405:H8410" si="6087">"62"</f>
        <v>62</v>
      </c>
      <c r="I8405" s="1" t="str">
        <f>"165.85"</f>
        <v>165.85</v>
      </c>
      <c r="J8405" s="1" t="str">
        <f t="shared" si="6075"/>
        <v>0</v>
      </c>
      <c r="K8405" s="1" t="str">
        <f t="shared" si="6076"/>
        <v>103</v>
      </c>
      <c r="L8405" s="1" t="str">
        <f t="shared" si="6077"/>
        <v>47</v>
      </c>
      <c r="M8405" s="1" t="str">
        <f t="shared" si="6078"/>
        <v>0</v>
      </c>
      <c r="N8405" s="1" t="str">
        <f t="shared" si="6080"/>
        <v>0</v>
      </c>
      <c r="O8405" s="1" t="str">
        <f>"15.85"</f>
        <v>15.85</v>
      </c>
    </row>
    <row r="8406" s="1" customFormat="1" spans="1:15">
      <c r="A8406" s="1" t="str">
        <f t="shared" si="6081"/>
        <v>202406</v>
      </c>
      <c r="B8406" s="1" t="str">
        <f t="shared" si="6082"/>
        <v>150525100</v>
      </c>
      <c r="C8406" s="1" t="str">
        <f>"1043237138"</f>
        <v>1043237138</v>
      </c>
      <c r="D8406" s="1" t="str">
        <f>"152326196306060412"</f>
        <v>152326196306060412</v>
      </c>
      <c r="E8406" s="1" t="s">
        <v>8017</v>
      </c>
      <c r="F8406" s="1" t="s">
        <v>25</v>
      </c>
      <c r="G8406" s="1" t="s">
        <v>17</v>
      </c>
      <c r="H8406" s="1" t="str">
        <f>"61"</f>
        <v>61</v>
      </c>
      <c r="I8406" s="1" t="str">
        <f>"167.75"</f>
        <v>167.75</v>
      </c>
      <c r="J8406" s="1" t="str">
        <f t="shared" si="6075"/>
        <v>0</v>
      </c>
      <c r="K8406" s="1" t="str">
        <f t="shared" si="6076"/>
        <v>103</v>
      </c>
      <c r="L8406" s="1" t="str">
        <f t="shared" si="6077"/>
        <v>47</v>
      </c>
      <c r="M8406" s="1" t="str">
        <f t="shared" si="6078"/>
        <v>0</v>
      </c>
      <c r="N8406" s="1" t="str">
        <f t="shared" si="6080"/>
        <v>0</v>
      </c>
      <c r="O8406" s="1" t="str">
        <f>"17.75"</f>
        <v>17.75</v>
      </c>
    </row>
    <row r="8407" s="1" customFormat="1" spans="1:15">
      <c r="A8407" s="1" t="str">
        <f t="shared" si="6081"/>
        <v>202406</v>
      </c>
      <c r="B8407" s="1" t="str">
        <f t="shared" si="6082"/>
        <v>150525100</v>
      </c>
      <c r="C8407" s="1" t="str">
        <f>"1043272357"</f>
        <v>1043272357</v>
      </c>
      <c r="D8407" s="1" t="str">
        <f>"152326196202110016"</f>
        <v>152326196202110016</v>
      </c>
      <c r="E8407" s="1" t="s">
        <v>8018</v>
      </c>
      <c r="F8407" s="1" t="s">
        <v>25</v>
      </c>
      <c r="G8407" s="1" t="s">
        <v>17</v>
      </c>
      <c r="H8407" s="1" t="str">
        <f t="shared" si="6087"/>
        <v>62</v>
      </c>
      <c r="I8407" s="1" t="str">
        <f>"160.33"</f>
        <v>160.33</v>
      </c>
      <c r="J8407" s="1" t="str">
        <f t="shared" si="6075"/>
        <v>0</v>
      </c>
      <c r="K8407" s="1" t="str">
        <f t="shared" si="6076"/>
        <v>103</v>
      </c>
      <c r="L8407" s="1" t="str">
        <f t="shared" si="6077"/>
        <v>47</v>
      </c>
      <c r="M8407" s="1" t="str">
        <f t="shared" si="6078"/>
        <v>0</v>
      </c>
      <c r="N8407" s="1" t="str">
        <f t="shared" si="6080"/>
        <v>0</v>
      </c>
      <c r="O8407" s="1" t="str">
        <f>"10.33"</f>
        <v>10.33</v>
      </c>
    </row>
    <row r="8408" s="1" customFormat="1" spans="1:15">
      <c r="A8408" s="1" t="str">
        <f t="shared" si="6081"/>
        <v>202406</v>
      </c>
      <c r="B8408" s="1" t="str">
        <f t="shared" si="6082"/>
        <v>150525100</v>
      </c>
      <c r="C8408" s="1" t="str">
        <f>"1043313892"</f>
        <v>1043313892</v>
      </c>
      <c r="D8408" s="1" t="str">
        <f>"152326196401223814"</f>
        <v>152326196401223814</v>
      </c>
      <c r="E8408" s="1" t="s">
        <v>8019</v>
      </c>
      <c r="F8408" s="1" t="s">
        <v>25</v>
      </c>
      <c r="G8408" s="1" t="s">
        <v>17</v>
      </c>
      <c r="H8408" s="1" t="str">
        <f>"60"</f>
        <v>60</v>
      </c>
      <c r="I8408" s="1" t="str">
        <f>"168.98"</f>
        <v>168.98</v>
      </c>
      <c r="J8408" s="1" t="str">
        <f t="shared" si="6075"/>
        <v>0</v>
      </c>
      <c r="K8408" s="1" t="str">
        <f t="shared" si="6076"/>
        <v>103</v>
      </c>
      <c r="L8408" s="1" t="str">
        <f t="shared" si="6077"/>
        <v>47</v>
      </c>
      <c r="M8408" s="1" t="str">
        <f t="shared" si="6078"/>
        <v>0</v>
      </c>
      <c r="N8408" s="1" t="str">
        <f t="shared" si="6080"/>
        <v>0</v>
      </c>
      <c r="O8408" s="1" t="str">
        <f>"18.98"</f>
        <v>18.98</v>
      </c>
    </row>
    <row r="8409" s="1" customFormat="1" spans="1:15">
      <c r="A8409" s="1" t="str">
        <f t="shared" si="6081"/>
        <v>202406</v>
      </c>
      <c r="B8409" s="1" t="str">
        <f t="shared" si="6082"/>
        <v>150525100</v>
      </c>
      <c r="C8409" s="1" t="str">
        <f>"1043312807"</f>
        <v>1043312807</v>
      </c>
      <c r="D8409" s="1" t="str">
        <f>"152326195706230041"</f>
        <v>152326195706230041</v>
      </c>
      <c r="E8409" s="1" t="s">
        <v>8020</v>
      </c>
      <c r="F8409" s="1" t="s">
        <v>16</v>
      </c>
      <c r="G8409" s="1" t="s">
        <v>17</v>
      </c>
      <c r="H8409" s="1" t="str">
        <f>"67"</f>
        <v>67</v>
      </c>
      <c r="I8409" s="1" t="str">
        <f>"158.64"</f>
        <v>158.64</v>
      </c>
      <c r="J8409" s="1" t="str">
        <f t="shared" si="6075"/>
        <v>0</v>
      </c>
      <c r="K8409" s="1" t="str">
        <f t="shared" si="6076"/>
        <v>103</v>
      </c>
      <c r="L8409" s="1" t="str">
        <f t="shared" si="6077"/>
        <v>47</v>
      </c>
      <c r="M8409" s="1" t="str">
        <f t="shared" si="6078"/>
        <v>0</v>
      </c>
      <c r="N8409" s="1" t="str">
        <f t="shared" si="6080"/>
        <v>0</v>
      </c>
      <c r="O8409" s="1" t="str">
        <f>"8.64"</f>
        <v>8.64</v>
      </c>
    </row>
    <row r="8410" s="1" customFormat="1" spans="1:15">
      <c r="A8410" s="1" t="str">
        <f t="shared" si="6081"/>
        <v>202406</v>
      </c>
      <c r="B8410" s="1" t="str">
        <f t="shared" si="6082"/>
        <v>150525100</v>
      </c>
      <c r="C8410" s="1" t="str">
        <f>"1043063604"</f>
        <v>1043063604</v>
      </c>
      <c r="D8410" s="1" t="str">
        <f>"152326196209073879"</f>
        <v>152326196209073879</v>
      </c>
      <c r="E8410" s="1" t="s">
        <v>8021</v>
      </c>
      <c r="F8410" s="1" t="s">
        <v>25</v>
      </c>
      <c r="G8410" s="1" t="s">
        <v>19</v>
      </c>
      <c r="H8410" s="1" t="str">
        <f t="shared" si="6087"/>
        <v>62</v>
      </c>
      <c r="I8410" s="1" t="str">
        <f>"167.29"</f>
        <v>167.29</v>
      </c>
      <c r="J8410" s="1" t="str">
        <f t="shared" si="6075"/>
        <v>0</v>
      </c>
      <c r="K8410" s="1" t="str">
        <f t="shared" si="6076"/>
        <v>103</v>
      </c>
      <c r="L8410" s="1" t="str">
        <f t="shared" si="6077"/>
        <v>47</v>
      </c>
      <c r="M8410" s="1" t="str">
        <f t="shared" si="6078"/>
        <v>0</v>
      </c>
      <c r="N8410" s="1" t="str">
        <f t="shared" si="6080"/>
        <v>0</v>
      </c>
      <c r="O8410" s="1" t="str">
        <f>"17.29"</f>
        <v>17.29</v>
      </c>
    </row>
    <row r="8411" s="1" customFormat="1" spans="1:15">
      <c r="A8411" s="1" t="str">
        <f t="shared" si="6081"/>
        <v>202406</v>
      </c>
      <c r="B8411" s="1" t="str">
        <f t="shared" si="6082"/>
        <v>150525100</v>
      </c>
      <c r="C8411" s="1" t="str">
        <f>"1043317710"</f>
        <v>1043317710</v>
      </c>
      <c r="D8411" s="1" t="s">
        <v>8022</v>
      </c>
      <c r="E8411" s="1" t="s">
        <v>8023</v>
      </c>
      <c r="F8411" s="1" t="s">
        <v>25</v>
      </c>
      <c r="G8411" s="1" t="s">
        <v>17</v>
      </c>
      <c r="H8411" s="1" t="str">
        <f>"61"</f>
        <v>61</v>
      </c>
      <c r="I8411" s="1" t="str">
        <f>"167.33"</f>
        <v>167.33</v>
      </c>
      <c r="J8411" s="1" t="str">
        <f t="shared" si="6075"/>
        <v>0</v>
      </c>
      <c r="K8411" s="1" t="str">
        <f t="shared" si="6076"/>
        <v>103</v>
      </c>
      <c r="L8411" s="1" t="str">
        <f t="shared" si="6077"/>
        <v>47</v>
      </c>
      <c r="M8411" s="1" t="str">
        <f t="shared" si="6078"/>
        <v>0</v>
      </c>
      <c r="N8411" s="1" t="str">
        <f t="shared" si="6080"/>
        <v>0</v>
      </c>
      <c r="O8411" s="1" t="str">
        <f>"17.33"</f>
        <v>17.33</v>
      </c>
    </row>
    <row r="8412" s="1" customFormat="1" spans="1:1">
      <c r="A8412" s="1" t="s">
        <v>8024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*^_^*</cp:lastModifiedBy>
  <dcterms:created xsi:type="dcterms:W3CDTF">2023-05-12T11:15:00Z</dcterms:created>
  <dcterms:modified xsi:type="dcterms:W3CDTF">2025-01-07T09:12:04Z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E7C5046D548B45A1B1F83CA94AABFE2E_12</vt:lpwstr>
  </property>
</Properties>
</file>